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showInkAnnotation="0" codeName="ThisWorkbook" defaultThemeVersion="124226"/>
  <mc:AlternateContent xmlns:mc="http://schemas.openxmlformats.org/markup-compatibility/2006">
    <mc:Choice Requires="x15">
      <x15ac:absPath xmlns:x15ac="http://schemas.microsoft.com/office/spreadsheetml/2010/11/ac" url="https://onestreetres.sharepoint.com/sites/pwa/25-01 Retreat at Madison Place/Shared Documents/02 Finance/04 DCA/01 Pre Award/04 Application submission/2025-0xxRtrtMadPlRedevCOMPETITIVEAppFldr/"/>
    </mc:Choice>
  </mc:AlternateContent>
  <xr:revisionPtr revIDLastSave="761" documentId="8_{017791FB-509F-4293-BD09-177DFDC5D7E1}" xr6:coauthVersionLast="47" xr6:coauthVersionMax="47" xr10:uidLastSave="{EC2606BB-31AD-4ADB-ABF3-FE72305E5974}"/>
  <workbookProtection workbookAlgorithmName="SHA-512" workbookHashValue="47YrpECxZFSS9O6egF418hbUQMKB1XNhbGfmpI5wjR8LczVGaJFrqBD9P9UwJxIK0QYlLkEVZIVPYcxq/WKPLA==" workbookSaltValue="hV+Zq8WANMvgABT7YiIj8A==" workbookSpinCount="100000" lockStructure="1"/>
  <bookViews>
    <workbookView xWindow="-108" yWindow="-108" windowWidth="23256" windowHeight="13896" tabRatio="935" firstSheet="6"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4" i="110" l="1"/>
  <c r="H23" i="110"/>
  <c r="H20" i="110"/>
  <c r="H19" i="110"/>
  <c r="J22" i="110"/>
  <c r="J18" i="110"/>
  <c r="P31" i="107" l="1"/>
  <c r="L213" i="112" l="1"/>
  <c r="P1121" i="123"/>
  <c r="O50" i="123"/>
  <c r="O1316" i="123"/>
  <c r="O1317" i="123"/>
  <c r="O1318" i="123"/>
  <c r="O266" i="110"/>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505" i="123"/>
  <c r="O1505" i="123"/>
  <c r="P1432" i="123"/>
  <c r="O1432" i="123"/>
  <c r="P1423" i="123"/>
  <c r="O1423" i="123"/>
  <c r="P1418" i="123"/>
  <c r="O1418" i="123"/>
  <c r="P1416" i="123"/>
  <c r="O1416" i="123"/>
  <c r="P1410" i="123"/>
  <c r="O1410" i="123"/>
  <c r="P1409" i="123"/>
  <c r="O1409" i="123"/>
  <c r="P1406" i="123"/>
  <c r="O1406" i="123"/>
  <c r="P1371" i="123"/>
  <c r="P1354" i="123"/>
  <c r="P1346" i="123"/>
  <c r="P1315" i="123"/>
  <c r="P1311" i="123"/>
  <c r="P1294" i="123"/>
  <c r="P1274" i="123"/>
  <c r="P1272" i="123"/>
  <c r="P1249" i="123"/>
  <c r="J1234" i="123"/>
  <c r="P1240" i="123"/>
  <c r="P1238" i="123"/>
  <c r="P1231" i="123"/>
  <c r="P1221" i="123"/>
  <c r="P1219" i="123"/>
  <c r="P1215" i="123"/>
  <c r="P1214" i="123"/>
  <c r="V1459" i="123"/>
  <c r="V1432" i="123"/>
  <c r="K1502" i="123"/>
  <c r="K1578" i="123"/>
  <c r="K1577" i="123"/>
  <c r="K1576" i="123"/>
  <c r="J1505" i="123"/>
  <c r="J1502"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J1324" i="123"/>
  <c r="J1325" i="123"/>
  <c r="J1326" i="123"/>
  <c r="J1317" i="123"/>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O1546" i="123"/>
  <c r="R1546" i="123" s="1"/>
  <c r="O1538" i="123"/>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O1367" i="123"/>
  <c r="O1356" i="123"/>
  <c r="O1355" i="123"/>
  <c r="L1355" i="123" s="1"/>
  <c r="O1341" i="123"/>
  <c r="O1339" i="123"/>
  <c r="Q1339" i="123" s="1"/>
  <c r="O1338" i="123"/>
  <c r="L1338" i="123" s="1"/>
  <c r="J1322" i="123"/>
  <c r="J1316" i="123"/>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K844" i="123"/>
  <c r="J844" i="123"/>
  <c r="I844" i="123"/>
  <c r="H844" i="123"/>
  <c r="G844" i="123"/>
  <c r="F844" i="123"/>
  <c r="E844" i="123"/>
  <c r="D844" i="123"/>
  <c r="C844" i="123"/>
  <c r="B844" i="123"/>
  <c r="K843" i="123"/>
  <c r="J843" i="123"/>
  <c r="I843" i="123"/>
  <c r="H843" i="123"/>
  <c r="G843" i="123"/>
  <c r="F843" i="123"/>
  <c r="E843" i="123"/>
  <c r="D843" i="123"/>
  <c r="C843" i="123"/>
  <c r="B843" i="123"/>
  <c r="K813" i="123"/>
  <c r="J813" i="123"/>
  <c r="I813" i="123"/>
  <c r="H813" i="123"/>
  <c r="G813" i="123"/>
  <c r="F813" i="123"/>
  <c r="E813" i="123"/>
  <c r="D813" i="123"/>
  <c r="C813" i="123"/>
  <c r="B813" i="123"/>
  <c r="K812" i="123"/>
  <c r="J812" i="123"/>
  <c r="I812" i="123"/>
  <c r="H812" i="123"/>
  <c r="G812" i="123"/>
  <c r="F812" i="123"/>
  <c r="E812" i="123"/>
  <c r="D812" i="123"/>
  <c r="C812" i="123"/>
  <c r="B812" i="123"/>
  <c r="F862" i="123"/>
  <c r="E862" i="123"/>
  <c r="D862" i="123"/>
  <c r="C862" i="123"/>
  <c r="B862" i="123"/>
  <c r="F861" i="123"/>
  <c r="E861" i="123"/>
  <c r="D861" i="123"/>
  <c r="C861" i="123"/>
  <c r="C868" i="123" s="1"/>
  <c r="B861" i="123"/>
  <c r="F860" i="123"/>
  <c r="E860" i="123"/>
  <c r="D860" i="123"/>
  <c r="C860" i="123"/>
  <c r="B860"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B780" i="123"/>
  <c r="C780" i="123"/>
  <c r="D780" i="123"/>
  <c r="E780" i="123"/>
  <c r="F780" i="123"/>
  <c r="G780" i="123"/>
  <c r="H780" i="123"/>
  <c r="I780" i="123"/>
  <c r="J780" i="123"/>
  <c r="K780" i="123"/>
  <c r="B781" i="123"/>
  <c r="C781" i="123"/>
  <c r="D781" i="123"/>
  <c r="E781" i="123"/>
  <c r="F781" i="123"/>
  <c r="G781" i="123"/>
  <c r="H781" i="123"/>
  <c r="I781" i="123"/>
  <c r="J781" i="123"/>
  <c r="K781"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F720" i="123"/>
  <c r="L704" i="123"/>
  <c r="L703" i="123"/>
  <c r="L702" i="123"/>
  <c r="L721" i="123"/>
  <c r="L720" i="123"/>
  <c r="L719" i="123"/>
  <c r="F719" i="123"/>
  <c r="F718" i="123"/>
  <c r="F717" i="123"/>
  <c r="F716" i="123"/>
  <c r="F715" i="123"/>
  <c r="F714" i="123"/>
  <c r="F710" i="123"/>
  <c r="F709" i="123"/>
  <c r="F708" i="123"/>
  <c r="F707" i="123"/>
  <c r="F706" i="123"/>
  <c r="F705" i="123"/>
  <c r="H705" i="123" s="1"/>
  <c r="L715" i="123"/>
  <c r="L714" i="123"/>
  <c r="L713" i="123"/>
  <c r="L712" i="123"/>
  <c r="N712" i="123" s="1"/>
  <c r="L711" i="123"/>
  <c r="L710" i="123"/>
  <c r="F697" i="123"/>
  <c r="F698" i="123"/>
  <c r="F699" i="123"/>
  <c r="F700" i="123"/>
  <c r="F701" i="123"/>
  <c r="H701" i="123" s="1"/>
  <c r="F696" i="123"/>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N472" i="123"/>
  <c r="HI472" i="123" s="1"/>
  <c r="O472" i="123"/>
  <c r="P472" i="123"/>
  <c r="Q472" i="123"/>
  <c r="N473" i="123"/>
  <c r="O473" i="123"/>
  <c r="P473" i="123"/>
  <c r="Q473" i="123"/>
  <c r="N474" i="123"/>
  <c r="O474" i="123"/>
  <c r="P474" i="123"/>
  <c r="Q474" i="123"/>
  <c r="N475" i="123"/>
  <c r="O475" i="123"/>
  <c r="P475" i="123"/>
  <c r="Q475" i="123"/>
  <c r="N476" i="123"/>
  <c r="O476" i="123"/>
  <c r="P476" i="123"/>
  <c r="Q476" i="123"/>
  <c r="N477" i="123"/>
  <c r="O477" i="123"/>
  <c r="P477" i="123"/>
  <c r="Q477" i="123"/>
  <c r="N478" i="123"/>
  <c r="O478" i="123"/>
  <c r="P478" i="123"/>
  <c r="Q478" i="123"/>
  <c r="N479" i="123"/>
  <c r="O479" i="123"/>
  <c r="P479" i="123"/>
  <c r="Q479" i="123"/>
  <c r="LU479" i="123" s="1"/>
  <c r="N480" i="123"/>
  <c r="MS480" i="123" s="1"/>
  <c r="O480" i="123"/>
  <c r="P480" i="123"/>
  <c r="Q480" i="123"/>
  <c r="N481" i="123"/>
  <c r="O481" i="123"/>
  <c r="P481" i="123"/>
  <c r="Q481" i="123"/>
  <c r="N482" i="123"/>
  <c r="O482" i="123"/>
  <c r="P482" i="123"/>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F471" i="123"/>
  <c r="G471" i="123"/>
  <c r="I471" i="123"/>
  <c r="K471" i="123"/>
  <c r="B472" i="123"/>
  <c r="C472" i="123"/>
  <c r="D472" i="123"/>
  <c r="E472" i="123"/>
  <c r="F472" i="123"/>
  <c r="G472" i="123"/>
  <c r="I472" i="123"/>
  <c r="K472" i="123"/>
  <c r="B473" i="123"/>
  <c r="C473" i="123"/>
  <c r="D473" i="123"/>
  <c r="E473" i="123"/>
  <c r="NZ473" i="123" s="1"/>
  <c r="F473" i="123"/>
  <c r="G473" i="123"/>
  <c r="I473" i="123"/>
  <c r="K473" i="123"/>
  <c r="B474" i="123"/>
  <c r="C474" i="123"/>
  <c r="D474" i="123"/>
  <c r="E474" i="123"/>
  <c r="F474" i="123"/>
  <c r="G474" i="123"/>
  <c r="I474" i="123"/>
  <c r="K474" i="123"/>
  <c r="B475" i="123"/>
  <c r="C475" i="123"/>
  <c r="NK475" i="123" s="1"/>
  <c r="D475" i="123"/>
  <c r="E475" i="123"/>
  <c r="F475" i="123"/>
  <c r="G475" i="123"/>
  <c r="I475" i="123"/>
  <c r="K475" i="123"/>
  <c r="EJ475" i="123" s="1"/>
  <c r="B476" i="123"/>
  <c r="EC476" i="123" s="1"/>
  <c r="C476" i="123"/>
  <c r="D476" i="123"/>
  <c r="E476" i="123"/>
  <c r="F476" i="123"/>
  <c r="G476" i="123"/>
  <c r="I476" i="123"/>
  <c r="K476" i="123"/>
  <c r="B477" i="123"/>
  <c r="C477" i="123"/>
  <c r="D477" i="123"/>
  <c r="E477" i="123"/>
  <c r="F477" i="123"/>
  <c r="G477" i="123"/>
  <c r="I477" i="123"/>
  <c r="K477" i="123"/>
  <c r="B478" i="123"/>
  <c r="C478" i="123"/>
  <c r="D478" i="123"/>
  <c r="E478" i="123"/>
  <c r="F478" i="123"/>
  <c r="G478" i="123"/>
  <c r="I478" i="123"/>
  <c r="K478" i="123"/>
  <c r="EG478" i="123" s="1"/>
  <c r="B479" i="123"/>
  <c r="C479" i="123"/>
  <c r="D479" i="123"/>
  <c r="E479" i="123"/>
  <c r="F479" i="123"/>
  <c r="G479" i="123"/>
  <c r="H479" i="123"/>
  <c r="I479" i="123"/>
  <c r="K479" i="123"/>
  <c r="B480" i="123"/>
  <c r="C480" i="123"/>
  <c r="D480" i="123"/>
  <c r="E480" i="123"/>
  <c r="F480" i="123"/>
  <c r="G480" i="123"/>
  <c r="H480" i="123"/>
  <c r="I480" i="123"/>
  <c r="K480" i="123"/>
  <c r="B481" i="123"/>
  <c r="IO481" i="123" s="1"/>
  <c r="C481" i="123"/>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W482"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OC481" i="123"/>
  <c r="OB481" i="123"/>
  <c r="OA481" i="123"/>
  <c r="NZ481" i="123"/>
  <c r="NY481" i="123"/>
  <c r="NV481" i="123"/>
  <c r="NU481" i="123"/>
  <c r="NT481" i="123"/>
  <c r="NS481"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K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G478" i="123"/>
  <c r="MW478" i="123"/>
  <c r="LN478" i="123"/>
  <c r="JM478" i="123"/>
  <c r="JL478" i="123"/>
  <c r="JJ478" i="123"/>
  <c r="JI478" i="123"/>
  <c r="JE478" i="123"/>
  <c r="IW478" i="123"/>
  <c r="IV478" i="123"/>
  <c r="IN478" i="123"/>
  <c r="IL478" i="123"/>
  <c r="ID478" i="123"/>
  <c r="IC478" i="123"/>
  <c r="HU478" i="123"/>
  <c r="HT478" i="123"/>
  <c r="HL478" i="123"/>
  <c r="HK478" i="123"/>
  <c r="GY478" i="123"/>
  <c r="GX478" i="123"/>
  <c r="GQ478" i="123"/>
  <c r="GP478" i="123"/>
  <c r="GI478" i="123"/>
  <c r="GH478" i="123"/>
  <c r="GA478" i="123"/>
  <c r="FZ478" i="123"/>
  <c r="FS478" i="123"/>
  <c r="FR478" i="123"/>
  <c r="FB478" i="123"/>
  <c r="EZ478" i="123"/>
  <c r="CP478" i="123"/>
  <c r="CN478" i="123"/>
  <c r="BH478" i="123"/>
  <c r="BG478" i="123"/>
  <c r="AZ478" i="123"/>
  <c r="AY478" i="123"/>
  <c r="AR478" i="123"/>
  <c r="AQ478" i="123"/>
  <c r="AJ478" i="123"/>
  <c r="AI478" i="123"/>
  <c r="AB478" i="123"/>
  <c r="AA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MO476" i="123"/>
  <c r="ML476" i="123"/>
  <c r="MB476" i="123"/>
  <c r="KK476" i="123"/>
  <c r="KC476" i="123"/>
  <c r="JI476" i="123"/>
  <c r="HN476" i="123"/>
  <c r="FP476" i="123"/>
  <c r="CE476" i="123"/>
  <c r="NL475" i="123"/>
  <c r="NG475" i="123"/>
  <c r="ND475" i="123"/>
  <c r="MX475" i="123"/>
  <c r="MU475" i="123"/>
  <c r="MP475" i="123"/>
  <c r="JF475" i="123"/>
  <c r="JA475" i="123"/>
  <c r="IX475" i="123"/>
  <c r="IR475" i="123"/>
  <c r="IO475" i="123"/>
  <c r="IJ475" i="123"/>
  <c r="IG475" i="123"/>
  <c r="IA475" i="123"/>
  <c r="HX475" i="123"/>
  <c r="HS475" i="123"/>
  <c r="HO475" i="123"/>
  <c r="HG475" i="123"/>
  <c r="HA475" i="123"/>
  <c r="GX475" i="123"/>
  <c r="GS475" i="123"/>
  <c r="GO475" i="123"/>
  <c r="GJ475" i="123"/>
  <c r="GG475" i="123"/>
  <c r="GA475" i="123"/>
  <c r="FX475" i="123"/>
  <c r="FS475" i="123"/>
  <c r="FP475" i="123"/>
  <c r="EP475" i="123"/>
  <c r="DG475" i="123"/>
  <c r="BY475" i="123"/>
  <c r="BK475" i="123"/>
  <c r="BH475" i="123"/>
  <c r="BB475" i="123"/>
  <c r="AY475" i="123"/>
  <c r="AT475" i="123"/>
  <c r="AP475" i="123"/>
  <c r="AK475" i="123"/>
  <c r="AH475" i="123"/>
  <c r="AB475" i="123"/>
  <c r="Y475" i="123"/>
  <c r="NW474" i="123"/>
  <c r="NO474" i="123"/>
  <c r="MO474" i="123"/>
  <c r="MF474" i="123"/>
  <c r="LX474" i="123"/>
  <c r="LO474" i="123"/>
  <c r="LG474" i="123"/>
  <c r="KX474" i="123"/>
  <c r="KO474" i="123"/>
  <c r="KG474" i="123"/>
  <c r="JX474" i="123"/>
  <c r="JO474" i="123"/>
  <c r="IP474" i="123"/>
  <c r="IG474" i="123"/>
  <c r="FY474" i="123"/>
  <c r="FP474" i="123"/>
  <c r="DH474" i="123"/>
  <c r="CY474" i="123"/>
  <c r="AQ474" i="123"/>
  <c r="AH474" i="123"/>
  <c r="ML473" i="123"/>
  <c r="MK473" i="123"/>
  <c r="MH473" i="123"/>
  <c r="MG473" i="123"/>
  <c r="ME473" i="123"/>
  <c r="MD473" i="123"/>
  <c r="MA473" i="123"/>
  <c r="LL473" i="123"/>
  <c r="LH473" i="123"/>
  <c r="LF473" i="123"/>
  <c r="LC473" i="123"/>
  <c r="LB473" i="123"/>
  <c r="KY473" i="123"/>
  <c r="KR473" i="123"/>
  <c r="KQ473" i="123"/>
  <c r="KL473" i="123"/>
  <c r="KD473" i="123"/>
  <c r="JY473" i="123"/>
  <c r="JU473" i="123"/>
  <c r="JO473" i="123"/>
  <c r="JM473" i="123"/>
  <c r="JL473" i="123"/>
  <c r="JI473" i="123"/>
  <c r="II473" i="123"/>
  <c r="FQ473" i="123"/>
  <c r="MJ472" i="123"/>
  <c r="MB472" i="123"/>
  <c r="LS472" i="123"/>
  <c r="LK472" i="123"/>
  <c r="LB472" i="123"/>
  <c r="KS472" i="123"/>
  <c r="KK472" i="123"/>
  <c r="KB472" i="123"/>
  <c r="JT472" i="123"/>
  <c r="JK472" i="123"/>
  <c r="NX471" i="123"/>
  <c r="NL471" i="123"/>
  <c r="NK471" i="123"/>
  <c r="ND471" i="123"/>
  <c r="NC471" i="123"/>
  <c r="MV471" i="123"/>
  <c r="MU471" i="123"/>
  <c r="KC471" i="123"/>
  <c r="JM471" i="123"/>
  <c r="JF471" i="123"/>
  <c r="JE471" i="123"/>
  <c r="IX471" i="123"/>
  <c r="IW471" i="123"/>
  <c r="IP471" i="123"/>
  <c r="IO471" i="123"/>
  <c r="IH471" i="123"/>
  <c r="IG471" i="123"/>
  <c r="HZ471" i="123"/>
  <c r="HY471" i="123"/>
  <c r="HR471" i="123"/>
  <c r="HQ471" i="123"/>
  <c r="HE471" i="123"/>
  <c r="HD471" i="123"/>
  <c r="GW471" i="123"/>
  <c r="GV471" i="123"/>
  <c r="GO471" i="123"/>
  <c r="GN471" i="123"/>
  <c r="GG471" i="123"/>
  <c r="GF471" i="123"/>
  <c r="FY471" i="123"/>
  <c r="FX471" i="123"/>
  <c r="FQ471" i="123"/>
  <c r="FP471" i="123"/>
  <c r="EV471" i="123"/>
  <c r="ER471" i="123"/>
  <c r="DV471" i="123"/>
  <c r="DS471" i="123"/>
  <c r="CO471" i="123"/>
  <c r="CN471" i="123"/>
  <c r="BL471" i="123"/>
  <c r="BK471" i="123"/>
  <c r="BD471" i="123"/>
  <c r="BC471" i="123"/>
  <c r="AV471" i="123"/>
  <c r="AU471" i="123"/>
  <c r="AN471" i="123"/>
  <c r="AM471" i="123"/>
  <c r="AF471" i="123"/>
  <c r="AE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26" i="110"/>
  <c r="J479" i="123" s="1"/>
  <c r="L479" i="123" s="1"/>
  <c r="M479" i="123" s="1"/>
  <c r="J27" i="110"/>
  <c r="J480" i="123" s="1"/>
  <c r="L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J236" i="123"/>
  <c r="G236" i="123"/>
  <c r="S223" i="123"/>
  <c r="S224" i="123"/>
  <c r="S225" i="123"/>
  <c r="S226" i="123"/>
  <c r="S227" i="123"/>
  <c r="G223" i="123"/>
  <c r="G224" i="123"/>
  <c r="G225" i="123"/>
  <c r="G226" i="123"/>
  <c r="G227" i="123"/>
  <c r="S246" i="123"/>
  <c r="S243" i="123"/>
  <c r="G246" i="123"/>
  <c r="G243" i="123"/>
  <c r="G221" i="123"/>
  <c r="G220" i="123"/>
  <c r="G219" i="123"/>
  <c r="S221" i="123"/>
  <c r="S220" i="123"/>
  <c r="S219" i="123"/>
  <c r="S233" i="123"/>
  <c r="S232" i="123"/>
  <c r="S231" i="123"/>
  <c r="S230" i="123"/>
  <c r="G233" i="123"/>
  <c r="G232" i="123"/>
  <c r="G231" i="123"/>
  <c r="G230" i="123"/>
  <c r="S214" i="123"/>
  <c r="S213" i="123"/>
  <c r="S212" i="123"/>
  <c r="S211" i="123"/>
  <c r="G214" i="123"/>
  <c r="G213" i="123"/>
  <c r="G212" i="123"/>
  <c r="G211" i="123"/>
  <c r="G194" i="123"/>
  <c r="J194" i="123"/>
  <c r="M194" i="123"/>
  <c r="P194" i="123"/>
  <c r="S194" i="123"/>
  <c r="G195" i="123"/>
  <c r="J195" i="123"/>
  <c r="M195" i="123"/>
  <c r="P195" i="123"/>
  <c r="S195" i="123"/>
  <c r="G196" i="123"/>
  <c r="J196" i="123"/>
  <c r="M196" i="123"/>
  <c r="P196" i="123"/>
  <c r="S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M169" i="123"/>
  <c r="J169" i="123"/>
  <c r="S160" i="123"/>
  <c r="P160" i="123"/>
  <c r="M160" i="123"/>
  <c r="J160" i="123"/>
  <c r="G160" i="123"/>
  <c r="M137" i="123"/>
  <c r="M136" i="123"/>
  <c r="S141" i="123"/>
  <c r="J141" i="123"/>
  <c r="G141" i="123"/>
  <c r="S137" i="123"/>
  <c r="S136" i="123"/>
  <c r="S135" i="123"/>
  <c r="S134" i="123"/>
  <c r="G137" i="123"/>
  <c r="G136" i="123"/>
  <c r="G135" i="123"/>
  <c r="G134" i="123"/>
  <c r="F134" i="123" s="1"/>
  <c r="S140" i="123"/>
  <c r="P140" i="123"/>
  <c r="M140" i="123"/>
  <c r="M142" i="123" s="1"/>
  <c r="J140" i="123"/>
  <c r="G140" i="123"/>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J178" i="123"/>
  <c r="G178" i="123"/>
  <c r="S193" i="123"/>
  <c r="P193" i="123"/>
  <c r="M193" i="123"/>
  <c r="J193" i="123"/>
  <c r="G193" i="123"/>
  <c r="S192" i="123"/>
  <c r="P192" i="123"/>
  <c r="M192" i="123"/>
  <c r="J192" i="123"/>
  <c r="G192" i="123"/>
  <c r="S205" i="123"/>
  <c r="P205" i="123"/>
  <c r="M205" i="123"/>
  <c r="J205" i="123"/>
  <c r="G205" i="123"/>
  <c r="S204" i="123"/>
  <c r="P204" i="123"/>
  <c r="M204" i="123"/>
  <c r="J204" i="123"/>
  <c r="G204" i="123"/>
  <c r="S258" i="123"/>
  <c r="P258" i="123"/>
  <c r="M258" i="123"/>
  <c r="J258" i="123"/>
  <c r="G258" i="123"/>
  <c r="S257" i="123"/>
  <c r="P257" i="123"/>
  <c r="M257" i="123"/>
  <c r="J257" i="123"/>
  <c r="G257" i="123"/>
  <c r="S249" i="123"/>
  <c r="P249" i="123"/>
  <c r="M249" i="123"/>
  <c r="J249" i="123"/>
  <c r="G249" i="123"/>
  <c r="S248" i="123"/>
  <c r="P248" i="123"/>
  <c r="M248" i="123"/>
  <c r="J248" i="123"/>
  <c r="G248" i="123"/>
  <c r="S240" i="123"/>
  <c r="P240" i="123"/>
  <c r="M240" i="123"/>
  <c r="J240" i="123"/>
  <c r="G240" i="123"/>
  <c r="S239" i="123"/>
  <c r="P239" i="123"/>
  <c r="M239" i="123"/>
  <c r="J239" i="123"/>
  <c r="G239" i="123"/>
  <c r="S238" i="123"/>
  <c r="P238" i="123"/>
  <c r="M238" i="123"/>
  <c r="J238" i="123"/>
  <c r="G238" i="123"/>
  <c r="S203" i="123"/>
  <c r="P203" i="123"/>
  <c r="M203" i="123"/>
  <c r="J203" i="123"/>
  <c r="G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J177" i="123"/>
  <c r="G177" i="123"/>
  <c r="S176" i="123"/>
  <c r="P176" i="123"/>
  <c r="M176" i="123"/>
  <c r="J176" i="123"/>
  <c r="G176" i="123"/>
  <c r="S175" i="123"/>
  <c r="P175" i="123"/>
  <c r="M175" i="123"/>
  <c r="J175" i="123"/>
  <c r="G175" i="123"/>
  <c r="S154" i="123"/>
  <c r="M154" i="123"/>
  <c r="J154" i="123"/>
  <c r="S153" i="123"/>
  <c r="M153" i="123"/>
  <c r="J153" i="123"/>
  <c r="S152" i="123"/>
  <c r="M152" i="123"/>
  <c r="J152" i="123"/>
  <c r="S146" i="123"/>
  <c r="P146" i="123"/>
  <c r="M146" i="123"/>
  <c r="J146" i="123"/>
  <c r="G146" i="123"/>
  <c r="S145" i="123"/>
  <c r="P145" i="123"/>
  <c r="M145" i="123"/>
  <c r="J145" i="123"/>
  <c r="G145" i="123"/>
  <c r="S144" i="123"/>
  <c r="P144" i="123"/>
  <c r="M144" i="123"/>
  <c r="J144" i="123"/>
  <c r="G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E98" i="123"/>
  <c r="E97" i="123"/>
  <c r="I96" i="123"/>
  <c r="E96" i="123"/>
  <c r="I95" i="123"/>
  <c r="E95" i="123"/>
  <c r="C89" i="123"/>
  <c r="N91" i="123"/>
  <c r="M91" i="123"/>
  <c r="L91" i="123"/>
  <c r="K91" i="123"/>
  <c r="E90" i="123"/>
  <c r="I90" i="123"/>
  <c r="E91" i="123"/>
  <c r="I91" i="123"/>
  <c r="E87" i="123"/>
  <c r="I87" i="123"/>
  <c r="K87" i="123"/>
  <c r="L87" i="123"/>
  <c r="M87" i="123"/>
  <c r="N87" i="123"/>
  <c r="E88" i="123"/>
  <c r="I88" i="123"/>
  <c r="K88" i="123"/>
  <c r="L88" i="123"/>
  <c r="M88" i="123"/>
  <c r="N88" i="123"/>
  <c r="P88" i="123"/>
  <c r="E89" i="123"/>
  <c r="I89" i="123"/>
  <c r="K89" i="123"/>
  <c r="L89" i="123"/>
  <c r="M89" i="123"/>
  <c r="N89" i="123"/>
  <c r="P89" i="123"/>
  <c r="N86" i="123"/>
  <c r="M86" i="123"/>
  <c r="L86" i="123"/>
  <c r="K86" i="123"/>
  <c r="I86" i="123"/>
  <c r="E86" i="123"/>
  <c r="D77" i="123"/>
  <c r="D78" i="123"/>
  <c r="D76" i="123"/>
  <c r="G71" i="123"/>
  <c r="L71" i="123"/>
  <c r="G72" i="123"/>
  <c r="L72" i="123"/>
  <c r="G73" i="123"/>
  <c r="L73" i="123"/>
  <c r="G74" i="123"/>
  <c r="G75" i="123"/>
  <c r="G76" i="123"/>
  <c r="L76" i="123"/>
  <c r="G77" i="123"/>
  <c r="L77" i="123"/>
  <c r="G78" i="123"/>
  <c r="L78" i="123"/>
  <c r="G69" i="123"/>
  <c r="L69" i="123"/>
  <c r="N69" i="123"/>
  <c r="P69" i="123"/>
  <c r="G70" i="123"/>
  <c r="L70" i="123"/>
  <c r="N70" i="123"/>
  <c r="P70" i="123"/>
  <c r="P68" i="123"/>
  <c r="N68" i="123"/>
  <c r="L68" i="123"/>
  <c r="G68" i="123"/>
  <c r="H59" i="123"/>
  <c r="F56" i="123"/>
  <c r="F57" i="123"/>
  <c r="F58" i="123"/>
  <c r="F55" i="123"/>
  <c r="H51" i="123"/>
  <c r="H50" i="123"/>
  <c r="D62"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R1547" i="123"/>
  <c r="Q1547" i="123"/>
  <c r="Q1538" i="123"/>
  <c r="L1538" i="123"/>
  <c r="G1528" i="123"/>
  <c r="V1498" i="123"/>
  <c r="J1498" i="123"/>
  <c r="I1480" i="123"/>
  <c r="J1459" i="123"/>
  <c r="K1444" i="123"/>
  <c r="K1443" i="123"/>
  <c r="L1432" i="123"/>
  <c r="K1432" i="123"/>
  <c r="G1432" i="123"/>
  <c r="N1422" i="123"/>
  <c r="V1400" i="123"/>
  <c r="S1384" i="123"/>
  <c r="L1376" i="123"/>
  <c r="L1372" i="123"/>
  <c r="R1363" i="123"/>
  <c r="R1354" i="123"/>
  <c r="L1572"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K838" i="123"/>
  <c r="I838" i="123"/>
  <c r="F838" i="123"/>
  <c r="C838" i="123"/>
  <c r="I837" i="123"/>
  <c r="H837" i="123"/>
  <c r="F837" i="123"/>
  <c r="E837" i="123"/>
  <c r="B837"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C752" i="123"/>
  <c r="N750" i="123"/>
  <c r="C747" i="123"/>
  <c r="K746" i="123"/>
  <c r="B746" i="123"/>
  <c r="G745" i="123"/>
  <c r="B745" i="123"/>
  <c r="K744" i="123"/>
  <c r="B744" i="123"/>
  <c r="N742" i="123"/>
  <c r="C742" i="123"/>
  <c r="A740" i="123"/>
  <c r="N740" i="123" s="1"/>
  <c r="Q728" i="123"/>
  <c r="N720" i="123"/>
  <c r="H720" i="123"/>
  <c r="O719" i="123"/>
  <c r="N719" i="123"/>
  <c r="H719" i="123"/>
  <c r="H718" i="123"/>
  <c r="H717" i="123"/>
  <c r="H716" i="123"/>
  <c r="N715" i="123"/>
  <c r="H715" i="123"/>
  <c r="N714" i="123"/>
  <c r="H714" i="123"/>
  <c r="N713" i="123"/>
  <c r="N711" i="123"/>
  <c r="N710" i="123"/>
  <c r="H710" i="123"/>
  <c r="H709" i="123"/>
  <c r="H708" i="123"/>
  <c r="H707" i="123"/>
  <c r="H706" i="123"/>
  <c r="N705" i="123"/>
  <c r="N704" i="123"/>
  <c r="N703" i="123"/>
  <c r="H700" i="123"/>
  <c r="H699" i="123"/>
  <c r="L698" i="123"/>
  <c r="N698" i="123" s="1"/>
  <c r="H698" i="123"/>
  <c r="N697" i="123"/>
  <c r="H697" i="123"/>
  <c r="N696" i="123"/>
  <c r="H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S583" i="123"/>
  <c r="S574" i="123"/>
  <c r="S565" i="123"/>
  <c r="S564" i="123"/>
  <c r="L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D342" i="123"/>
  <c r="B342"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F246"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F140" i="123"/>
  <c r="W139" i="123"/>
  <c r="O139" i="123"/>
  <c r="V138" i="123"/>
  <c r="W133" i="123"/>
  <c r="O133" i="123"/>
  <c r="V132" i="123"/>
  <c r="W122" i="123"/>
  <c r="O122" i="123"/>
  <c r="V120" i="123"/>
  <c r="D120" i="123"/>
  <c r="A116" i="123"/>
  <c r="W116" i="123" s="1"/>
  <c r="L48" i="123"/>
  <c r="P47" i="106"/>
  <c r="P91" i="123" s="1"/>
  <c r="P45" i="106"/>
  <c r="P44" i="106"/>
  <c r="P43" i="106"/>
  <c r="P87" i="123" s="1"/>
  <c r="P42" i="106"/>
  <c r="P86" i="123" s="1"/>
  <c r="L4" i="106"/>
  <c r="O6" i="123"/>
  <c r="A5" i="123"/>
  <c r="A3" i="113"/>
  <c r="O9" i="123"/>
  <c r="F132" i="107"/>
  <c r="N268" i="110"/>
  <c r="N267" i="110"/>
  <c r="N266" i="110"/>
  <c r="N252" i="110"/>
  <c r="N251" i="110"/>
  <c r="N250" i="110"/>
  <c r="N249" i="110"/>
  <c r="N244" i="110"/>
  <c r="N243" i="110"/>
  <c r="H268" i="110"/>
  <c r="H267" i="110"/>
  <c r="H266" i="110"/>
  <c r="H265" i="110"/>
  <c r="H264" i="110"/>
  <c r="H263" i="110"/>
  <c r="H262" i="110"/>
  <c r="H261" i="110"/>
  <c r="N262" i="110"/>
  <c r="N261" i="110"/>
  <c r="N260" i="110"/>
  <c r="N259" i="110"/>
  <c r="N258" i="110"/>
  <c r="N257" i="110"/>
  <c r="H257" i="110"/>
  <c r="H256" i="110"/>
  <c r="H255" i="110"/>
  <c r="H254" i="110"/>
  <c r="H253" i="110"/>
  <c r="H252" i="110"/>
  <c r="H244" i="110"/>
  <c r="H245" i="110"/>
  <c r="H246" i="110"/>
  <c r="H247" i="110"/>
  <c r="H248" i="110"/>
  <c r="H243" i="110"/>
  <c r="MA476" i="123" l="1"/>
  <c r="MI472" i="123"/>
  <c r="NN478" i="123"/>
  <c r="NF474" i="123"/>
  <c r="NX478" i="123"/>
  <c r="JL472" i="123"/>
  <c r="JU472" i="123"/>
  <c r="KC472" i="123"/>
  <c r="KL472" i="123"/>
  <c r="KT472" i="123"/>
  <c r="LC472" i="123"/>
  <c r="LL472" i="123"/>
  <c r="LT472" i="123"/>
  <c r="MC472" i="123"/>
  <c r="ML472" i="123"/>
  <c r="JM472" i="123"/>
  <c r="JV472" i="123"/>
  <c r="KD472" i="123"/>
  <c r="KM472" i="123"/>
  <c r="KV472" i="123"/>
  <c r="LD472" i="123"/>
  <c r="LM472" i="123"/>
  <c r="LU472" i="123"/>
  <c r="MD472" i="123"/>
  <c r="MM472" i="123"/>
  <c r="OA472" i="123"/>
  <c r="JN472" i="123"/>
  <c r="JW472" i="123"/>
  <c r="KE472" i="123"/>
  <c r="KN472" i="123"/>
  <c r="KW472" i="123"/>
  <c r="LE472" i="123"/>
  <c r="LN472" i="123"/>
  <c r="LV472" i="123"/>
  <c r="ME472" i="123"/>
  <c r="MN472" i="123"/>
  <c r="JO472" i="123"/>
  <c r="JX472" i="123"/>
  <c r="KF472" i="123"/>
  <c r="KO472" i="123"/>
  <c r="KX472" i="123"/>
  <c r="LF472" i="123"/>
  <c r="LO472" i="123"/>
  <c r="LX472" i="123"/>
  <c r="MF472" i="123"/>
  <c r="MO472" i="123"/>
  <c r="JP472" i="123"/>
  <c r="JY472" i="123"/>
  <c r="KH472" i="123"/>
  <c r="KP472" i="123"/>
  <c r="KY472" i="123"/>
  <c r="LG472" i="123"/>
  <c r="LP472" i="123"/>
  <c r="LY472" i="123"/>
  <c r="MG472" i="123"/>
  <c r="JQ472" i="123"/>
  <c r="JZ472" i="123"/>
  <c r="KI472" i="123"/>
  <c r="KQ472" i="123"/>
  <c r="KZ472" i="123"/>
  <c r="LH472" i="123"/>
  <c r="LQ472" i="123"/>
  <c r="LZ472" i="123"/>
  <c r="MH472" i="123"/>
  <c r="JI472" i="123"/>
  <c r="JR472" i="123"/>
  <c r="KA472" i="123"/>
  <c r="KJ472" i="123"/>
  <c r="KR472" i="123"/>
  <c r="LA472" i="123"/>
  <c r="LJ472" i="123"/>
  <c r="LR472" i="123"/>
  <c r="MA472" i="123"/>
  <c r="MX478" i="123"/>
  <c r="AC478" i="123"/>
  <c r="AK478" i="123"/>
  <c r="AS478" i="123"/>
  <c r="BA478" i="123"/>
  <c r="BI478" i="123"/>
  <c r="DB478" i="123"/>
  <c r="FE478" i="123"/>
  <c r="FT478" i="123"/>
  <c r="GB478" i="123"/>
  <c r="GJ478" i="123"/>
  <c r="GR478" i="123"/>
  <c r="GZ478" i="123"/>
  <c r="HM478" i="123"/>
  <c r="HV478" i="123"/>
  <c r="IE478" i="123"/>
  <c r="IO478" i="123"/>
  <c r="IX478" i="123"/>
  <c r="JG478" i="123"/>
  <c r="MQ478" i="123"/>
  <c r="MY478" i="123"/>
  <c r="NI478" i="123"/>
  <c r="AD478" i="123"/>
  <c r="AL478" i="123"/>
  <c r="AT478" i="123"/>
  <c r="BB478" i="123"/>
  <c r="BJ478" i="123"/>
  <c r="DH478" i="123"/>
  <c r="FM478" i="123"/>
  <c r="FU478" i="123"/>
  <c r="GC478" i="123"/>
  <c r="GK478" i="123"/>
  <c r="GS478" i="123"/>
  <c r="HA478" i="123"/>
  <c r="HN478" i="123"/>
  <c r="HW478" i="123"/>
  <c r="IF478" i="123"/>
  <c r="IP478" i="123"/>
  <c r="IY478" i="123"/>
  <c r="JH478" i="123"/>
  <c r="MR478" i="123"/>
  <c r="MZ478" i="123"/>
  <c r="NJ478" i="123"/>
  <c r="JF478" i="123"/>
  <c r="MP478" i="123"/>
  <c r="AE478" i="123"/>
  <c r="AM478" i="123"/>
  <c r="AU478" i="123"/>
  <c r="BC478" i="123"/>
  <c r="BK478" i="123"/>
  <c r="EC478" i="123"/>
  <c r="FN478" i="123"/>
  <c r="FV478" i="123"/>
  <c r="GD478" i="123"/>
  <c r="GL478" i="123"/>
  <c r="GT478" i="123"/>
  <c r="HB478" i="123"/>
  <c r="HO478" i="123"/>
  <c r="HY478" i="123"/>
  <c r="IH478" i="123"/>
  <c r="IQ478" i="123"/>
  <c r="IZ478" i="123"/>
  <c r="MS478" i="123"/>
  <c r="NA478" i="123"/>
  <c r="NK478" i="123"/>
  <c r="NH478" i="123"/>
  <c r="AF478" i="123"/>
  <c r="AN478" i="123"/>
  <c r="AV478" i="123"/>
  <c r="BD478" i="123"/>
  <c r="BR478" i="123"/>
  <c r="EH478" i="123"/>
  <c r="FO478" i="123"/>
  <c r="FW478" i="123"/>
  <c r="GE478" i="123"/>
  <c r="GM478" i="123"/>
  <c r="GU478" i="123"/>
  <c r="HC478" i="123"/>
  <c r="HP478" i="123"/>
  <c r="HZ478" i="123"/>
  <c r="II478" i="123"/>
  <c r="IR478" i="123"/>
  <c r="JA478" i="123"/>
  <c r="MT478" i="123"/>
  <c r="ND478" i="123"/>
  <c r="NL478" i="123"/>
  <c r="X478" i="123"/>
  <c r="AG478" i="123"/>
  <c r="AO478" i="123"/>
  <c r="AW478" i="123"/>
  <c r="BE478" i="123"/>
  <c r="CH478" i="123"/>
  <c r="EL478" i="123"/>
  <c r="FP478" i="123"/>
  <c r="FX478" i="123"/>
  <c r="GF478" i="123"/>
  <c r="GN478" i="123"/>
  <c r="GV478" i="123"/>
  <c r="HD478" i="123"/>
  <c r="HQ478" i="123"/>
  <c r="IA478" i="123"/>
  <c r="IJ478" i="123"/>
  <c r="IS478" i="123"/>
  <c r="JC478" i="123"/>
  <c r="MU478" i="123"/>
  <c r="NE478" i="123"/>
  <c r="NM478" i="123"/>
  <c r="Y478" i="123"/>
  <c r="AH478" i="123"/>
  <c r="AP478" i="123"/>
  <c r="AX478" i="123"/>
  <c r="BF478" i="123"/>
  <c r="CM478" i="123"/>
  <c r="EY478" i="123"/>
  <c r="FQ478" i="123"/>
  <c r="FY478" i="123"/>
  <c r="GG478" i="123"/>
  <c r="GO478" i="123"/>
  <c r="GW478" i="123"/>
  <c r="HE478" i="123"/>
  <c r="HR478" i="123"/>
  <c r="IB478" i="123"/>
  <c r="IK478" i="123"/>
  <c r="IT478" i="123"/>
  <c r="JD478" i="123"/>
  <c r="MV478" i="123"/>
  <c r="NF478" i="123"/>
  <c r="AY474" i="123"/>
  <c r="DP474" i="123"/>
  <c r="GG474" i="123"/>
  <c r="IX474" i="123"/>
  <c r="BH474" i="123"/>
  <c r="DY474" i="123"/>
  <c r="GP474" i="123"/>
  <c r="JG474" i="123"/>
  <c r="BQ474" i="123"/>
  <c r="EH474" i="123"/>
  <c r="GY474" i="123"/>
  <c r="BY474" i="123"/>
  <c r="EP474" i="123"/>
  <c r="HG474" i="123"/>
  <c r="CH474" i="123"/>
  <c r="EY474" i="123"/>
  <c r="HP474" i="123"/>
  <c r="MX474" i="123"/>
  <c r="Z474" i="123"/>
  <c r="CQ474" i="123"/>
  <c r="FG474" i="123"/>
  <c r="HX474" i="123"/>
  <c r="FO472" i="123"/>
  <c r="HJ472" i="123"/>
  <c r="CT472" i="123"/>
  <c r="GR472" i="123"/>
  <c r="HM472" i="123"/>
  <c r="HK472" i="123"/>
  <c r="FQ472" i="123"/>
  <c r="DU472" i="123"/>
  <c r="HF472" i="123"/>
  <c r="HN472" i="123"/>
  <c r="HL472" i="123"/>
  <c r="ET472" i="123"/>
  <c r="HG472" i="123"/>
  <c r="HO472" i="123"/>
  <c r="MV472" i="123"/>
  <c r="FP472" i="123"/>
  <c r="BM472" i="123"/>
  <c r="FM472" i="123"/>
  <c r="HH472" i="123"/>
  <c r="IJ472" i="123"/>
  <c r="AJ472" i="123"/>
  <c r="FN472" i="123"/>
  <c r="CB475" i="123"/>
  <c r="CG475" i="123"/>
  <c r="DP475" i="123"/>
  <c r="EX475" i="123"/>
  <c r="CK475" i="123"/>
  <c r="DS475" i="123"/>
  <c r="FB475" i="123"/>
  <c r="DK475" i="123"/>
  <c r="CP475" i="123"/>
  <c r="DY475" i="123"/>
  <c r="FG475" i="123"/>
  <c r="ES475" i="123"/>
  <c r="CS475" i="123"/>
  <c r="EB475" i="123"/>
  <c r="FJ475" i="123"/>
  <c r="HJ475" i="123"/>
  <c r="BP475" i="123"/>
  <c r="CY475" i="123"/>
  <c r="EG475" i="123"/>
  <c r="BS475" i="123"/>
  <c r="DB475" i="123"/>
  <c r="NU474" i="123"/>
  <c r="NU472" i="123"/>
  <c r="NW471" i="123"/>
  <c r="OC472" i="123"/>
  <c r="OA473" i="123"/>
  <c r="Z478" i="123"/>
  <c r="JK478" i="123"/>
  <c r="CR478" i="123"/>
  <c r="NT478" i="123"/>
  <c r="NU478" i="123"/>
  <c r="NV478" i="123"/>
  <c r="NW478" i="123"/>
  <c r="NO473" i="123"/>
  <c r="JJ473" i="123"/>
  <c r="NX473" i="123"/>
  <c r="NY473" i="123"/>
  <c r="NT472" i="123"/>
  <c r="OB472" i="123"/>
  <c r="NV472" i="123"/>
  <c r="NW472" i="123"/>
  <c r="NO472" i="123"/>
  <c r="NX472" i="123"/>
  <c r="JJ472" i="123"/>
  <c r="NQ472" i="123"/>
  <c r="NY472" i="123"/>
  <c r="NR472" i="123"/>
  <c r="NZ472" i="123"/>
  <c r="NS472" i="123"/>
  <c r="FA477" i="123"/>
  <c r="Z475" i="123"/>
  <c r="AI475" i="123"/>
  <c r="AQ475" i="123"/>
  <c r="AZ475" i="123"/>
  <c r="BI475" i="123"/>
  <c r="BQ475" i="123"/>
  <c r="BZ475" i="123"/>
  <c r="CI475" i="123"/>
  <c r="CQ475" i="123"/>
  <c r="CZ475" i="123"/>
  <c r="DH475" i="123"/>
  <c r="DQ475" i="123"/>
  <c r="DZ475" i="123"/>
  <c r="EH475" i="123"/>
  <c r="EQ475" i="123"/>
  <c r="EY475" i="123"/>
  <c r="FH475" i="123"/>
  <c r="FQ475" i="123"/>
  <c r="FY475" i="123"/>
  <c r="GH475" i="123"/>
  <c r="GQ475" i="123"/>
  <c r="GY475" i="123"/>
  <c r="HH475" i="123"/>
  <c r="HP475" i="123"/>
  <c r="HY475" i="123"/>
  <c r="IH475" i="123"/>
  <c r="IP475" i="123"/>
  <c r="IY475" i="123"/>
  <c r="JG475" i="123"/>
  <c r="MV475" i="123"/>
  <c r="NE475" i="123"/>
  <c r="NM475" i="123"/>
  <c r="AA475" i="123"/>
  <c r="AJ475" i="123"/>
  <c r="AS475" i="123"/>
  <c r="BA475" i="123"/>
  <c r="BJ475" i="123"/>
  <c r="BR475" i="123"/>
  <c r="CA475" i="123"/>
  <c r="CJ475" i="123"/>
  <c r="CR475" i="123"/>
  <c r="DA475" i="123"/>
  <c r="DI475" i="123"/>
  <c r="DR475" i="123"/>
  <c r="EA475" i="123"/>
  <c r="EI475" i="123"/>
  <c r="ER475" i="123"/>
  <c r="FA475" i="123"/>
  <c r="FI475" i="123"/>
  <c r="FR475" i="123"/>
  <c r="FZ475" i="123"/>
  <c r="GI475" i="123"/>
  <c r="GR475" i="123"/>
  <c r="GZ475" i="123"/>
  <c r="HI475" i="123"/>
  <c r="HQ475" i="123"/>
  <c r="HZ475" i="123"/>
  <c r="II475" i="123"/>
  <c r="IQ475" i="123"/>
  <c r="IZ475" i="123"/>
  <c r="LH475" i="123"/>
  <c r="MW475" i="123"/>
  <c r="NF475" i="123"/>
  <c r="NN475" i="123"/>
  <c r="AC475" i="123"/>
  <c r="AL475" i="123"/>
  <c r="AU475" i="123"/>
  <c r="BC475" i="123"/>
  <c r="BL475" i="123"/>
  <c r="BU475" i="123"/>
  <c r="CC475" i="123"/>
  <c r="CL475" i="123"/>
  <c r="CT475" i="123"/>
  <c r="DC475" i="123"/>
  <c r="DL475" i="123"/>
  <c r="DT475" i="123"/>
  <c r="EC475" i="123"/>
  <c r="EK475" i="123"/>
  <c r="ET475" i="123"/>
  <c r="FC475" i="123"/>
  <c r="FK475" i="123"/>
  <c r="FT475" i="123"/>
  <c r="GC475" i="123"/>
  <c r="GK475" i="123"/>
  <c r="GT475" i="123"/>
  <c r="HB475" i="123"/>
  <c r="HK475" i="123"/>
  <c r="HT475" i="123"/>
  <c r="IB475" i="123"/>
  <c r="IK475" i="123"/>
  <c r="IS475" i="123"/>
  <c r="JB475" i="123"/>
  <c r="MQ475" i="123"/>
  <c r="MY475" i="123"/>
  <c r="NH475" i="123"/>
  <c r="AE475" i="123"/>
  <c r="AM475" i="123"/>
  <c r="AV475" i="123"/>
  <c r="BD475" i="123"/>
  <c r="BM475" i="123"/>
  <c r="BV475" i="123"/>
  <c r="CD475" i="123"/>
  <c r="CM475" i="123"/>
  <c r="CU475" i="123"/>
  <c r="DD475" i="123"/>
  <c r="DM475" i="123"/>
  <c r="DU475" i="123"/>
  <c r="ED475" i="123"/>
  <c r="EM475" i="123"/>
  <c r="EU475" i="123"/>
  <c r="FD475" i="123"/>
  <c r="FL475" i="123"/>
  <c r="FU475" i="123"/>
  <c r="GD475" i="123"/>
  <c r="GL475" i="123"/>
  <c r="GU475" i="123"/>
  <c r="HC475" i="123"/>
  <c r="HL475" i="123"/>
  <c r="HU475" i="123"/>
  <c r="IC475" i="123"/>
  <c r="IL475" i="123"/>
  <c r="IU475" i="123"/>
  <c r="JC475" i="123"/>
  <c r="MR475" i="123"/>
  <c r="MZ475" i="123"/>
  <c r="NI475" i="123"/>
  <c r="AF475" i="123"/>
  <c r="AN475" i="123"/>
  <c r="AW475" i="123"/>
  <c r="BE475" i="123"/>
  <c r="BN475" i="123"/>
  <c r="BW475" i="123"/>
  <c r="CE475" i="123"/>
  <c r="CN475" i="123"/>
  <c r="CW475" i="123"/>
  <c r="DE475" i="123"/>
  <c r="DN475" i="123"/>
  <c r="DV475" i="123"/>
  <c r="EE475" i="123"/>
  <c r="EN475" i="123"/>
  <c r="EV475" i="123"/>
  <c r="FE475" i="123"/>
  <c r="FM475" i="123"/>
  <c r="FV475" i="123"/>
  <c r="GE475" i="123"/>
  <c r="GM475" i="123"/>
  <c r="GV475" i="123"/>
  <c r="HE475" i="123"/>
  <c r="HM475" i="123"/>
  <c r="HV475" i="123"/>
  <c r="ID475" i="123"/>
  <c r="IM475" i="123"/>
  <c r="IV475" i="123"/>
  <c r="JD475" i="123"/>
  <c r="MS475" i="123"/>
  <c r="NA475" i="123"/>
  <c r="NJ475" i="123"/>
  <c r="X475" i="123"/>
  <c r="AG475" i="123"/>
  <c r="AO475" i="123"/>
  <c r="AX475" i="123"/>
  <c r="BG475" i="123"/>
  <c r="BO475" i="123"/>
  <c r="BX475" i="123"/>
  <c r="CF475" i="123"/>
  <c r="CO475" i="123"/>
  <c r="CX475" i="123"/>
  <c r="DF475" i="123"/>
  <c r="DO475" i="123"/>
  <c r="DW475" i="123"/>
  <c r="EF475" i="123"/>
  <c r="EO475" i="123"/>
  <c r="EW475" i="123"/>
  <c r="FF475" i="123"/>
  <c r="FO475" i="123"/>
  <c r="FW475" i="123"/>
  <c r="GF475" i="123"/>
  <c r="GN475" i="123"/>
  <c r="GW475" i="123"/>
  <c r="HF475" i="123"/>
  <c r="HN475" i="123"/>
  <c r="HW475" i="123"/>
  <c r="IE475" i="123"/>
  <c r="IN475" i="123"/>
  <c r="IW475" i="123"/>
  <c r="JE475" i="123"/>
  <c r="MT475" i="123"/>
  <c r="NC475" i="123"/>
  <c r="Y474" i="123"/>
  <c r="AG474" i="123"/>
  <c r="AP474" i="123"/>
  <c r="AX474" i="123"/>
  <c r="BG474" i="123"/>
  <c r="BP474" i="123"/>
  <c r="BX474" i="123"/>
  <c r="CG474" i="123"/>
  <c r="CO474" i="123"/>
  <c r="CX474" i="123"/>
  <c r="DG474" i="123"/>
  <c r="DO474" i="123"/>
  <c r="DX474" i="123"/>
  <c r="EG474" i="123"/>
  <c r="EO474" i="123"/>
  <c r="EX474" i="123"/>
  <c r="FF474" i="123"/>
  <c r="FO474" i="123"/>
  <c r="FX474" i="123"/>
  <c r="GF474" i="123"/>
  <c r="GO474" i="123"/>
  <c r="GW474" i="123"/>
  <c r="HF474" i="123"/>
  <c r="HO474" i="123"/>
  <c r="HW474" i="123"/>
  <c r="IF474" i="123"/>
  <c r="IO474" i="123"/>
  <c r="IW474" i="123"/>
  <c r="JF474" i="123"/>
  <c r="JN474" i="123"/>
  <c r="JW474" i="123"/>
  <c r="KF474" i="123"/>
  <c r="KN474" i="123"/>
  <c r="KW474" i="123"/>
  <c r="LE474" i="123"/>
  <c r="LN474" i="123"/>
  <c r="LW474" i="123"/>
  <c r="ME474" i="123"/>
  <c r="MN474" i="123"/>
  <c r="MW474" i="123"/>
  <c r="NE474" i="123"/>
  <c r="NN474" i="123"/>
  <c r="NV474" i="123"/>
  <c r="AA474" i="123"/>
  <c r="AI474" i="123"/>
  <c r="AR474" i="123"/>
  <c r="BA474" i="123"/>
  <c r="BI474" i="123"/>
  <c r="BR474" i="123"/>
  <c r="BZ474" i="123"/>
  <c r="CI474" i="123"/>
  <c r="CR474" i="123"/>
  <c r="CZ474" i="123"/>
  <c r="DI474" i="123"/>
  <c r="DQ474" i="123"/>
  <c r="DZ474" i="123"/>
  <c r="EI474" i="123"/>
  <c r="EQ474" i="123"/>
  <c r="EZ474" i="123"/>
  <c r="FI474" i="123"/>
  <c r="FQ474" i="123"/>
  <c r="FZ474" i="123"/>
  <c r="GH474" i="123"/>
  <c r="GQ474" i="123"/>
  <c r="GZ474" i="123"/>
  <c r="HH474" i="123"/>
  <c r="HQ474" i="123"/>
  <c r="HY474" i="123"/>
  <c r="IH474" i="123"/>
  <c r="IQ474" i="123"/>
  <c r="IY474" i="123"/>
  <c r="JH474" i="123"/>
  <c r="JQ474" i="123"/>
  <c r="JY474" i="123"/>
  <c r="KH474" i="123"/>
  <c r="KP474" i="123"/>
  <c r="KY474" i="123"/>
  <c r="LH474" i="123"/>
  <c r="LP474" i="123"/>
  <c r="LY474" i="123"/>
  <c r="MG474" i="123"/>
  <c r="MP474" i="123"/>
  <c r="MY474" i="123"/>
  <c r="NG474" i="123"/>
  <c r="NP474" i="123"/>
  <c r="NY474" i="123"/>
  <c r="AB474" i="123"/>
  <c r="AJ474" i="123"/>
  <c r="AS474" i="123"/>
  <c r="BB474" i="123"/>
  <c r="BJ474" i="123"/>
  <c r="BS474" i="123"/>
  <c r="CA474" i="123"/>
  <c r="CJ474" i="123"/>
  <c r="CS474" i="123"/>
  <c r="DA474" i="123"/>
  <c r="DJ474" i="123"/>
  <c r="DS474" i="123"/>
  <c r="EA474" i="123"/>
  <c r="EJ474" i="123"/>
  <c r="ER474" i="123"/>
  <c r="FA474" i="123"/>
  <c r="FJ474" i="123"/>
  <c r="FR474" i="123"/>
  <c r="GA474" i="123"/>
  <c r="GI474" i="123"/>
  <c r="GR474" i="123"/>
  <c r="HA474" i="123"/>
  <c r="HI474" i="123"/>
  <c r="HR474" i="123"/>
  <c r="IA474" i="123"/>
  <c r="II474" i="123"/>
  <c r="IR474" i="123"/>
  <c r="IZ474" i="123"/>
  <c r="JI474" i="123"/>
  <c r="JR474" i="123"/>
  <c r="JZ474" i="123"/>
  <c r="KI474" i="123"/>
  <c r="KQ474" i="123"/>
  <c r="KZ474" i="123"/>
  <c r="LI474" i="123"/>
  <c r="LQ474" i="123"/>
  <c r="LZ474" i="123"/>
  <c r="MI474" i="123"/>
  <c r="MQ474" i="123"/>
  <c r="MZ474" i="123"/>
  <c r="NH474" i="123"/>
  <c r="NQ474" i="123"/>
  <c r="NZ474" i="123"/>
  <c r="AC474" i="123"/>
  <c r="AK474" i="123"/>
  <c r="AT474" i="123"/>
  <c r="BC474" i="123"/>
  <c r="BK474" i="123"/>
  <c r="BT474" i="123"/>
  <c r="CC474" i="123"/>
  <c r="CK474" i="123"/>
  <c r="CT474" i="123"/>
  <c r="DB474" i="123"/>
  <c r="DK474" i="123"/>
  <c r="DT474" i="123"/>
  <c r="EB474" i="123"/>
  <c r="EK474" i="123"/>
  <c r="ES474" i="123"/>
  <c r="FB474" i="123"/>
  <c r="FK474" i="123"/>
  <c r="FS474" i="123"/>
  <c r="GB474" i="123"/>
  <c r="GK474" i="123"/>
  <c r="GS474" i="123"/>
  <c r="HB474" i="123"/>
  <c r="HJ474" i="123"/>
  <c r="HS474" i="123"/>
  <c r="IB474" i="123"/>
  <c r="IJ474" i="123"/>
  <c r="IS474" i="123"/>
  <c r="JA474" i="123"/>
  <c r="JJ474" i="123"/>
  <c r="JS474" i="123"/>
  <c r="KA474" i="123"/>
  <c r="KJ474" i="123"/>
  <c r="KS474" i="123"/>
  <c r="LA474" i="123"/>
  <c r="LJ474" i="123"/>
  <c r="LR474" i="123"/>
  <c r="MA474" i="123"/>
  <c r="MJ474" i="123"/>
  <c r="MR474" i="123"/>
  <c r="NA474" i="123"/>
  <c r="NI474" i="123"/>
  <c r="NR474" i="123"/>
  <c r="OA474" i="123"/>
  <c r="AD474" i="123"/>
  <c r="AM474" i="123"/>
  <c r="AU474" i="123"/>
  <c r="BD474" i="123"/>
  <c r="BL474" i="123"/>
  <c r="BU474" i="123"/>
  <c r="CD474" i="123"/>
  <c r="CL474" i="123"/>
  <c r="CU474" i="123"/>
  <c r="DC474" i="123"/>
  <c r="DL474" i="123"/>
  <c r="DU474" i="123"/>
  <c r="EC474" i="123"/>
  <c r="EL474" i="123"/>
  <c r="EU474" i="123"/>
  <c r="FC474" i="123"/>
  <c r="FL474" i="123"/>
  <c r="FT474" i="123"/>
  <c r="GC474" i="123"/>
  <c r="GL474" i="123"/>
  <c r="GT474" i="123"/>
  <c r="HC474" i="123"/>
  <c r="HK474" i="123"/>
  <c r="HT474" i="123"/>
  <c r="IC474" i="123"/>
  <c r="IK474" i="123"/>
  <c r="IT474" i="123"/>
  <c r="JC474" i="123"/>
  <c r="JK474" i="123"/>
  <c r="JT474" i="123"/>
  <c r="KB474" i="123"/>
  <c r="KK474" i="123"/>
  <c r="KT474" i="123"/>
  <c r="LB474" i="123"/>
  <c r="LK474" i="123"/>
  <c r="LS474" i="123"/>
  <c r="MB474" i="123"/>
  <c r="MK474" i="123"/>
  <c r="MS474" i="123"/>
  <c r="NB474" i="123"/>
  <c r="NK474" i="123"/>
  <c r="NS474" i="123"/>
  <c r="OB474" i="123"/>
  <c r="AE474" i="123"/>
  <c r="AN474" i="123"/>
  <c r="AV474" i="123"/>
  <c r="BE474" i="123"/>
  <c r="BM474" i="123"/>
  <c r="BV474" i="123"/>
  <c r="CE474" i="123"/>
  <c r="CM474" i="123"/>
  <c r="CV474" i="123"/>
  <c r="DE474" i="123"/>
  <c r="DM474" i="123"/>
  <c r="DV474" i="123"/>
  <c r="ED474" i="123"/>
  <c r="EM474" i="123"/>
  <c r="EV474" i="123"/>
  <c r="FD474" i="123"/>
  <c r="FM474" i="123"/>
  <c r="FU474" i="123"/>
  <c r="GD474" i="123"/>
  <c r="GM474" i="123"/>
  <c r="GU474" i="123"/>
  <c r="HD474" i="123"/>
  <c r="HM474" i="123"/>
  <c r="HU474" i="123"/>
  <c r="ID474" i="123"/>
  <c r="IL474" i="123"/>
  <c r="IU474" i="123"/>
  <c r="JD474" i="123"/>
  <c r="JL474" i="123"/>
  <c r="JU474" i="123"/>
  <c r="KC474" i="123"/>
  <c r="KL474" i="123"/>
  <c r="KU474" i="123"/>
  <c r="LC474" i="123"/>
  <c r="LL474" i="123"/>
  <c r="LU474" i="123"/>
  <c r="MC474" i="123"/>
  <c r="ML474" i="123"/>
  <c r="MT474" i="123"/>
  <c r="NC474" i="123"/>
  <c r="NL474" i="123"/>
  <c r="NT474" i="123"/>
  <c r="OC474" i="123"/>
  <c r="AF474" i="123"/>
  <c r="AO474" i="123"/>
  <c r="AW474" i="123"/>
  <c r="BF474" i="123"/>
  <c r="BO474" i="123"/>
  <c r="BW474" i="123"/>
  <c r="CF474" i="123"/>
  <c r="CN474" i="123"/>
  <c r="CW474" i="123"/>
  <c r="DF474" i="123"/>
  <c r="DN474" i="123"/>
  <c r="DW474" i="123"/>
  <c r="EE474" i="123"/>
  <c r="EN474" i="123"/>
  <c r="EW474" i="123"/>
  <c r="FE474" i="123"/>
  <c r="FN474" i="123"/>
  <c r="FW474" i="123"/>
  <c r="GE474" i="123"/>
  <c r="GN474" i="123"/>
  <c r="GV474" i="123"/>
  <c r="HE474" i="123"/>
  <c r="HN474" i="123"/>
  <c r="HV474" i="123"/>
  <c r="IE474" i="123"/>
  <c r="IM474" i="123"/>
  <c r="IV474" i="123"/>
  <c r="JE474" i="123"/>
  <c r="JM474" i="123"/>
  <c r="JV474" i="123"/>
  <c r="KE474" i="123"/>
  <c r="KM474" i="123"/>
  <c r="KV474" i="123"/>
  <c r="LD474" i="123"/>
  <c r="LM474" i="123"/>
  <c r="LV474" i="123"/>
  <c r="MD474" i="123"/>
  <c r="MM474" i="123"/>
  <c r="MU474" i="123"/>
  <c r="ND474" i="123"/>
  <c r="NM474" i="123"/>
  <c r="MS472" i="123"/>
  <c r="NP472" i="123"/>
  <c r="Y471" i="123"/>
  <c r="AG471" i="123"/>
  <c r="AO471" i="123"/>
  <c r="AW471" i="123"/>
  <c r="BE471" i="123"/>
  <c r="BM471" i="123"/>
  <c r="CR471" i="123"/>
  <c r="DW471" i="123"/>
  <c r="EZ471" i="123"/>
  <c r="FR471" i="123"/>
  <c r="FZ471" i="123"/>
  <c r="GH471" i="123"/>
  <c r="GP471" i="123"/>
  <c r="GX471" i="123"/>
  <c r="HK471" i="123"/>
  <c r="HS471" i="123"/>
  <c r="IA471" i="123"/>
  <c r="II471" i="123"/>
  <c r="IQ471" i="123"/>
  <c r="IY471" i="123"/>
  <c r="JG471" i="123"/>
  <c r="LL471" i="123"/>
  <c r="MW471" i="123"/>
  <c r="NE471" i="123"/>
  <c r="NM471" i="123"/>
  <c r="Z471" i="123"/>
  <c r="AH471" i="123"/>
  <c r="AP471" i="123"/>
  <c r="AX471" i="123"/>
  <c r="BF471" i="123"/>
  <c r="BN471" i="123"/>
  <c r="CV471" i="123"/>
  <c r="DX471" i="123"/>
  <c r="FH471" i="123"/>
  <c r="FS471" i="123"/>
  <c r="GA471" i="123"/>
  <c r="GI471" i="123"/>
  <c r="GQ471" i="123"/>
  <c r="GY471" i="123"/>
  <c r="HL471" i="123"/>
  <c r="HT471" i="123"/>
  <c r="IB471" i="123"/>
  <c r="IJ471" i="123"/>
  <c r="IR471" i="123"/>
  <c r="IZ471" i="123"/>
  <c r="JH471" i="123"/>
  <c r="MP471" i="123"/>
  <c r="MX471" i="123"/>
  <c r="NF471" i="123"/>
  <c r="NN471" i="123"/>
  <c r="AA471" i="123"/>
  <c r="AI471" i="123"/>
  <c r="AQ471" i="123"/>
  <c r="AY471" i="123"/>
  <c r="BG471" i="123"/>
  <c r="BP471" i="123"/>
  <c r="CZ471" i="123"/>
  <c r="EB471" i="123"/>
  <c r="FK471" i="123"/>
  <c r="FT471" i="123"/>
  <c r="GB471" i="123"/>
  <c r="GJ471" i="123"/>
  <c r="GR471" i="123"/>
  <c r="GZ471" i="123"/>
  <c r="HM471" i="123"/>
  <c r="HU471" i="123"/>
  <c r="IC471" i="123"/>
  <c r="IK471" i="123"/>
  <c r="IS471" i="123"/>
  <c r="JA471" i="123"/>
  <c r="JI471" i="123"/>
  <c r="MQ471" i="123"/>
  <c r="MY471" i="123"/>
  <c r="NG471" i="123"/>
  <c r="NT471" i="123"/>
  <c r="AB471" i="123"/>
  <c r="AJ471" i="123"/>
  <c r="AR471" i="123"/>
  <c r="AZ471" i="123"/>
  <c r="BH471" i="123"/>
  <c r="BX471" i="123"/>
  <c r="DB471" i="123"/>
  <c r="EE471" i="123"/>
  <c r="FM471" i="123"/>
  <c r="FU471" i="123"/>
  <c r="GC471" i="123"/>
  <c r="GK471" i="123"/>
  <c r="GS471" i="123"/>
  <c r="HA471" i="123"/>
  <c r="HN471" i="123"/>
  <c r="HV471" i="123"/>
  <c r="ID471" i="123"/>
  <c r="IL471" i="123"/>
  <c r="IT471" i="123"/>
  <c r="JB471" i="123"/>
  <c r="JJ471" i="123"/>
  <c r="MR471" i="123"/>
  <c r="MZ471" i="123"/>
  <c r="NH471" i="123"/>
  <c r="NU471" i="123"/>
  <c r="AC471" i="123"/>
  <c r="AK471" i="123"/>
  <c r="AS471" i="123"/>
  <c r="BA471" i="123"/>
  <c r="BI471" i="123"/>
  <c r="CB471" i="123"/>
  <c r="DD471" i="123"/>
  <c r="EF471" i="123"/>
  <c r="FN471" i="123"/>
  <c r="FV471" i="123"/>
  <c r="GD471" i="123"/>
  <c r="GL471" i="123"/>
  <c r="GT471" i="123"/>
  <c r="HB471" i="123"/>
  <c r="HO471" i="123"/>
  <c r="HW471" i="123"/>
  <c r="IE471" i="123"/>
  <c r="IM471" i="123"/>
  <c r="IU471" i="123"/>
  <c r="JC471" i="123"/>
  <c r="JK471" i="123"/>
  <c r="MS471" i="123"/>
  <c r="NA471" i="123"/>
  <c r="NI471" i="123"/>
  <c r="NV471" i="123"/>
  <c r="AD471" i="123"/>
  <c r="AL471" i="123"/>
  <c r="AT471" i="123"/>
  <c r="BB471" i="123"/>
  <c r="BJ471" i="123"/>
  <c r="CG471" i="123"/>
  <c r="DE471" i="123"/>
  <c r="EP471" i="123"/>
  <c r="FO471" i="123"/>
  <c r="FW471" i="123"/>
  <c r="GE471" i="123"/>
  <c r="GM471" i="123"/>
  <c r="GU471" i="123"/>
  <c r="HC471" i="123"/>
  <c r="HP471" i="123"/>
  <c r="HX471" i="123"/>
  <c r="IF471" i="123"/>
  <c r="IN471" i="123"/>
  <c r="IV471" i="123"/>
  <c r="JD471" i="123"/>
  <c r="JL471" i="123"/>
  <c r="MT471" i="123"/>
  <c r="NB471" i="123"/>
  <c r="NJ471" i="123"/>
  <c r="AK472" i="123"/>
  <c r="BQ472" i="123"/>
  <c r="CX472" i="123"/>
  <c r="EB472" i="123"/>
  <c r="FG472" i="123"/>
  <c r="GT472" i="123"/>
  <c r="IK472" i="123"/>
  <c r="MZ472" i="123"/>
  <c r="AL472" i="123"/>
  <c r="BX472" i="123"/>
  <c r="CZ472" i="123"/>
  <c r="EE472" i="123"/>
  <c r="FJ472" i="123"/>
  <c r="FR472" i="123"/>
  <c r="GV472" i="123"/>
  <c r="IL472" i="123"/>
  <c r="ND472" i="123"/>
  <c r="IM472" i="123"/>
  <c r="AW472" i="123"/>
  <c r="BZ472" i="123"/>
  <c r="DC472" i="123"/>
  <c r="EJ472" i="123"/>
  <c r="FL472" i="123"/>
  <c r="GD472" i="123"/>
  <c r="IP472" i="123"/>
  <c r="NG472" i="123"/>
  <c r="BY472" i="123"/>
  <c r="FK472" i="123"/>
  <c r="NF472" i="123"/>
  <c r="Z472" i="123"/>
  <c r="AZ472" i="123"/>
  <c r="CB472" i="123"/>
  <c r="DD472" i="123"/>
  <c r="EN472" i="123"/>
  <c r="GG472" i="123"/>
  <c r="IQ472" i="123"/>
  <c r="NI472" i="123"/>
  <c r="EI472" i="123"/>
  <c r="GW472" i="123"/>
  <c r="AH472" i="123"/>
  <c r="BH472" i="123"/>
  <c r="CD472" i="123"/>
  <c r="DO472" i="123"/>
  <c r="EP472" i="123"/>
  <c r="GH472" i="123"/>
  <c r="HP472" i="123"/>
  <c r="JA472" i="123"/>
  <c r="NL472" i="123"/>
  <c r="AO472" i="123"/>
  <c r="DA472" i="123"/>
  <c r="FY472" i="123"/>
  <c r="AI472" i="123"/>
  <c r="BL472" i="123"/>
  <c r="CR472" i="123"/>
  <c r="DP472" i="123"/>
  <c r="ER472" i="123"/>
  <c r="GL472" i="123"/>
  <c r="ID472" i="123"/>
  <c r="JB472" i="123"/>
  <c r="O1326" i="123"/>
  <c r="L1326" i="123" s="1"/>
  <c r="O1325" i="123"/>
  <c r="L1325" i="123" s="1"/>
  <c r="O1324" i="123"/>
  <c r="L1324" i="123" s="1"/>
  <c r="O1323" i="123"/>
  <c r="L1323" i="123" s="1"/>
  <c r="O1322" i="123"/>
  <c r="L1322" i="123" s="1"/>
  <c r="L1318" i="123"/>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L716" i="123"/>
  <c r="N716" i="123" s="1"/>
  <c r="MU503" i="123"/>
  <c r="CS485" i="123"/>
  <c r="KI480" i="123"/>
  <c r="I691" i="123"/>
  <c r="L722" i="123"/>
  <c r="N722" i="123" s="1"/>
  <c r="LA509" i="123"/>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507" i="123" s="1"/>
  <c r="M507" i="123" s="1"/>
  <c r="L497" i="123"/>
  <c r="M497" i="123" s="1"/>
  <c r="L505" i="123"/>
  <c r="M505" i="123" s="1"/>
  <c r="L498" i="123"/>
  <c r="M498" i="123" s="1"/>
  <c r="L491" i="123"/>
  <c r="M491" i="123" s="1"/>
  <c r="L484" i="123"/>
  <c r="M484" i="123" s="1"/>
  <c r="C1667" i="123"/>
  <c r="D1667" i="123" s="1"/>
  <c r="C1670" i="123"/>
  <c r="D1670" i="123" s="1"/>
  <c r="C1671" i="123"/>
  <c r="D1671" i="123" s="1"/>
  <c r="I1671" i="123" s="1"/>
  <c r="Q1338" i="123"/>
  <c r="J1265" i="123"/>
  <c r="Q1402" i="123"/>
  <c r="O1295" i="123"/>
  <c r="L1250" i="123"/>
  <c r="J1444" i="123"/>
  <c r="L1339" i="123"/>
  <c r="J1443" i="123"/>
  <c r="J1445" i="123" s="1"/>
  <c r="O1433" i="123" s="1"/>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G142"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J250"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F711" i="123"/>
  <c r="H711" i="123" s="1"/>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F702" i="123"/>
  <c r="H702" i="123" s="1"/>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706" i="123"/>
  <c r="N706" i="123" s="1"/>
  <c r="LG501" i="123"/>
  <c r="MO501" i="123"/>
  <c r="ND501" i="123"/>
  <c r="JV507" i="123"/>
  <c r="KJ507" i="123"/>
  <c r="KX507" i="123"/>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O1401" i="123"/>
  <c r="F722" i="123"/>
  <c r="H722" i="123" s="1"/>
  <c r="N702"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G217" i="123"/>
  <c r="AD236" i="123"/>
  <c r="A227" i="123"/>
  <c r="U233" i="123"/>
  <c r="J274" i="123"/>
  <c r="J278" i="123" s="1"/>
  <c r="J1660" i="123"/>
  <c r="K1660" i="123" s="1"/>
  <c r="M241" i="123"/>
  <c r="A186" i="123"/>
  <c r="P274" i="123"/>
  <c r="P278" i="123" s="1"/>
  <c r="I1669" i="123"/>
  <c r="A249" i="123"/>
  <c r="U130" i="123"/>
  <c r="U199" i="123"/>
  <c r="S132" i="123"/>
  <c r="J297" i="123"/>
  <c r="J1654" i="123"/>
  <c r="K1654" i="123" s="1"/>
  <c r="J1645" i="123"/>
  <c r="K1645" i="123" s="1"/>
  <c r="J142" i="123"/>
  <c r="A216" i="123"/>
  <c r="AD239" i="123"/>
  <c r="K1445" i="123"/>
  <c r="P1433" i="123" s="1"/>
  <c r="J1655" i="123"/>
  <c r="K1655" i="123" s="1"/>
  <c r="J1647" i="123"/>
  <c r="K1647" i="123" s="1"/>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J1644" i="123"/>
  <c r="K1644" i="123" s="1"/>
  <c r="M132" i="123"/>
  <c r="J241" i="123"/>
  <c r="S259" i="123"/>
  <c r="G138" i="123"/>
  <c r="L444" i="123"/>
  <c r="V261" i="123"/>
  <c r="D752" i="123"/>
  <c r="J1629" i="123"/>
  <c r="B1673" i="123"/>
  <c r="M155" i="123"/>
  <c r="M250" i="123"/>
  <c r="D1668" i="123"/>
  <c r="I1668" i="123" s="1"/>
  <c r="P250" i="123"/>
  <c r="M444" i="123"/>
  <c r="A1204" i="123"/>
  <c r="G150" i="123"/>
  <c r="S155" i="123"/>
  <c r="G241" i="123"/>
  <c r="S138" i="123"/>
  <c r="U185" i="123"/>
  <c r="J424" i="123"/>
  <c r="M206" i="123"/>
  <c r="AD237" i="123"/>
  <c r="AD238" i="123" s="1"/>
  <c r="I1670" i="123"/>
  <c r="S206" i="123"/>
  <c r="P241" i="123"/>
  <c r="J132" i="123"/>
  <c r="J155" i="123"/>
  <c r="S200" i="123"/>
  <c r="P206" i="123"/>
  <c r="A131" i="123"/>
  <c r="P132" i="123"/>
  <c r="S217" i="123"/>
  <c r="U226" i="123"/>
  <c r="F239" i="123"/>
  <c r="G259" i="123"/>
  <c r="K424" i="123"/>
  <c r="I1672" i="123"/>
  <c r="K444" i="123"/>
  <c r="J444" i="123"/>
  <c r="I444" i="123"/>
  <c r="M424" i="123"/>
  <c r="I424" i="123"/>
  <c r="L424" i="123"/>
  <c r="A226" i="123"/>
  <c r="M200" i="123"/>
  <c r="P200" i="123"/>
  <c r="A199" i="123"/>
  <c r="P187" i="123"/>
  <c r="S187" i="123"/>
  <c r="G187" i="123"/>
  <c r="A185" i="123"/>
  <c r="J150" i="123"/>
  <c r="M150" i="123"/>
  <c r="P150" i="123"/>
  <c r="S150" i="123"/>
  <c r="J187" i="123"/>
  <c r="M187" i="123"/>
  <c r="J200" i="123"/>
  <c r="G200" i="123"/>
  <c r="J206" i="123"/>
  <c r="G206" i="123"/>
  <c r="F151" i="123"/>
  <c r="G132" i="123"/>
  <c r="F236" i="123"/>
  <c r="F240"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J838" i="123"/>
  <c r="R855" i="123"/>
  <c r="S855" i="123" s="1"/>
  <c r="B868" i="123"/>
  <c r="D155" i="123"/>
  <c r="AD240" i="123"/>
  <c r="F55" i="89"/>
  <c r="C62" i="100"/>
  <c r="C61" i="100"/>
  <c r="K62" i="100" s="1"/>
  <c r="KX511" i="123" l="1"/>
  <c r="L615" i="123" s="1"/>
  <c r="L625" i="123" s="1"/>
  <c r="DB511" i="123"/>
  <c r="M571" i="123" s="1"/>
  <c r="IO511" i="123"/>
  <c r="IU511" i="123"/>
  <c r="L590" i="123" s="1"/>
  <c r="KD511" i="123"/>
  <c r="L619" i="123" s="1"/>
  <c r="MS511" i="123"/>
  <c r="LT511" i="123"/>
  <c r="N607" i="123" s="1"/>
  <c r="CX511" i="123"/>
  <c r="N572" i="123" s="1"/>
  <c r="P715" i="123"/>
  <c r="AF511" i="123"/>
  <c r="N519" i="123" s="1"/>
  <c r="JR511" i="123"/>
  <c r="O612" i="123" s="1"/>
  <c r="ID511" i="123"/>
  <c r="GO511" i="123"/>
  <c r="N636" i="123" s="1"/>
  <c r="KU511" i="123"/>
  <c r="N614" i="123" s="1"/>
  <c r="N624" i="123" s="1"/>
  <c r="BL511" i="123"/>
  <c r="K561" i="123" s="1"/>
  <c r="AR511" i="123"/>
  <c r="K522" i="123" s="1"/>
  <c r="GR511" i="123"/>
  <c r="L637" i="123" s="1"/>
  <c r="NF511" i="123"/>
  <c r="MJ511" i="123"/>
  <c r="O609" i="123" s="1"/>
  <c r="LN511" i="123"/>
  <c r="M605" i="123" s="1"/>
  <c r="MO511" i="123"/>
  <c r="O611" i="123" s="1"/>
  <c r="KJ511" i="123"/>
  <c r="M616" i="123" s="1"/>
  <c r="MX511" i="123"/>
  <c r="EF511" i="123"/>
  <c r="M575" i="123" s="1"/>
  <c r="IE511" i="123"/>
  <c r="K587" i="123" s="1"/>
  <c r="IT511" i="123"/>
  <c r="K590" i="123" s="1"/>
  <c r="BU511" i="123"/>
  <c r="O560" i="123" s="1"/>
  <c r="JQ511" i="123"/>
  <c r="N612" i="123" s="1"/>
  <c r="E153" i="123"/>
  <c r="CD511" i="123"/>
  <c r="N558" i="123" s="1"/>
  <c r="GM511" i="123"/>
  <c r="L636" i="123" s="1"/>
  <c r="CV511" i="123"/>
  <c r="L572" i="123" s="1"/>
  <c r="NN511" i="123"/>
  <c r="LI511" i="123"/>
  <c r="M606" i="123" s="1"/>
  <c r="IV511" i="123"/>
  <c r="M590" i="123" s="1"/>
  <c r="DU511" i="123"/>
  <c r="L567" i="123" s="1"/>
  <c r="JF511" i="123"/>
  <c r="AZ511" i="123"/>
  <c r="N523" i="123" s="1"/>
  <c r="EO511" i="123"/>
  <c r="L577" i="123" s="1"/>
  <c r="MG511" i="123"/>
  <c r="L609" i="123" s="1"/>
  <c r="NU511" i="123"/>
  <c r="IH511" i="123"/>
  <c r="N587" i="123" s="1"/>
  <c r="BR511" i="123"/>
  <c r="L560" i="123" s="1"/>
  <c r="EQ511" i="123"/>
  <c r="N577" i="123" s="1"/>
  <c r="FQ511" i="123"/>
  <c r="O528" i="123" s="1"/>
  <c r="DN511" i="123"/>
  <c r="O569" i="123" s="1"/>
  <c r="CI511" i="123"/>
  <c r="N557" i="123" s="1"/>
  <c r="LG511" i="123"/>
  <c r="K606" i="123" s="1"/>
  <c r="LA511" i="123"/>
  <c r="O615" i="123" s="1"/>
  <c r="O625" i="123" s="1"/>
  <c r="LO511" i="123"/>
  <c r="N605" i="123" s="1"/>
  <c r="AS511" i="123"/>
  <c r="L522" i="123" s="1"/>
  <c r="HK511" i="123"/>
  <c r="K642" i="123" s="1"/>
  <c r="HN511" i="123"/>
  <c r="N642" i="123" s="1"/>
  <c r="KW511" i="123"/>
  <c r="K615" i="123" s="1"/>
  <c r="DJ511" i="123"/>
  <c r="K569" i="123" s="1"/>
  <c r="HJ511" i="123"/>
  <c r="Y511" i="123"/>
  <c r="L518" i="123" s="1"/>
  <c r="AO511" i="123"/>
  <c r="M521" i="123" s="1"/>
  <c r="AP511" i="123"/>
  <c r="N521" i="123" s="1"/>
  <c r="FN511" i="123"/>
  <c r="L528" i="123" s="1"/>
  <c r="FJ511" i="123"/>
  <c r="M581" i="123" s="1"/>
  <c r="HP511" i="123"/>
  <c r="K584" i="123" s="1"/>
  <c r="IF511" i="123"/>
  <c r="L587" i="123" s="1"/>
  <c r="JO511" i="123"/>
  <c r="L612" i="123" s="1"/>
  <c r="BM511" i="123"/>
  <c r="L561" i="123" s="1"/>
  <c r="LB511" i="123"/>
  <c r="K604" i="123" s="1"/>
  <c r="LK511" i="123"/>
  <c r="O606" i="123" s="1"/>
  <c r="HO511" i="123"/>
  <c r="O642" i="123" s="1"/>
  <c r="AL511" i="123"/>
  <c r="O520" i="123" s="1"/>
  <c r="BI511" i="123"/>
  <c r="M526" i="123" s="1"/>
  <c r="FU511" i="123"/>
  <c r="N632" i="123" s="1"/>
  <c r="LF511" i="123"/>
  <c r="O604" i="123" s="1"/>
  <c r="BK511" i="123"/>
  <c r="O526" i="123" s="1"/>
  <c r="BD511" i="123"/>
  <c r="M524" i="123" s="1"/>
  <c r="BS511" i="123"/>
  <c r="M560" i="123" s="1"/>
  <c r="BE511" i="123"/>
  <c r="N524" i="123" s="1"/>
  <c r="IY511" i="123"/>
  <c r="K591" i="123" s="1"/>
  <c r="Z511" i="123"/>
  <c r="M518" i="123" s="1"/>
  <c r="KP511" i="123"/>
  <c r="N617" i="123" s="1"/>
  <c r="AH511" i="123"/>
  <c r="K520" i="123" s="1"/>
  <c r="HV511" i="123"/>
  <c r="L585" i="123" s="1"/>
  <c r="KA511" i="123"/>
  <c r="N618" i="123" s="1"/>
  <c r="IP511" i="123"/>
  <c r="IC511" i="123"/>
  <c r="GK511" i="123"/>
  <c r="O635" i="123" s="1"/>
  <c r="DS511" i="123"/>
  <c r="O568" i="123" s="1"/>
  <c r="KC511" i="123"/>
  <c r="K619" i="123" s="1"/>
  <c r="FZ511" i="123"/>
  <c r="N633" i="123" s="1"/>
  <c r="BH511" i="123"/>
  <c r="L526" i="123" s="1"/>
  <c r="JY511" i="123"/>
  <c r="L618" i="123" s="1"/>
  <c r="NJ511" i="123"/>
  <c r="HB511" i="123"/>
  <c r="L640" i="123" s="1"/>
  <c r="KK511" i="123"/>
  <c r="N616" i="123" s="1"/>
  <c r="IW511" i="123"/>
  <c r="N590" i="123" s="1"/>
  <c r="AT511" i="123"/>
  <c r="M522" i="123" s="1"/>
  <c r="FV511" i="123"/>
  <c r="O632" i="123" s="1"/>
  <c r="AW511" i="123"/>
  <c r="K523" i="123" s="1"/>
  <c r="IK511" i="123"/>
  <c r="L588" i="123" s="1"/>
  <c r="JW511" i="123"/>
  <c r="O613" i="123" s="1"/>
  <c r="KF511" i="123"/>
  <c r="N619" i="123" s="1"/>
  <c r="KL511" i="123"/>
  <c r="O616" i="123" s="1"/>
  <c r="GJ511" i="123"/>
  <c r="N635" i="123" s="1"/>
  <c r="FR511" i="123"/>
  <c r="K632" i="123" s="1"/>
  <c r="JI511" i="123"/>
  <c r="JD511" i="123"/>
  <c r="JS511" i="123"/>
  <c r="K613" i="123" s="1"/>
  <c r="CT511" i="123"/>
  <c r="O555" i="123" s="1"/>
  <c r="DA511" i="123"/>
  <c r="L571" i="123" s="1"/>
  <c r="HA511" i="123"/>
  <c r="K640" i="123" s="1"/>
  <c r="HZ511" i="123"/>
  <c r="EV511" i="123"/>
  <c r="N578" i="123" s="1"/>
  <c r="JT511" i="123"/>
  <c r="L613" i="123" s="1"/>
  <c r="CF511" i="123"/>
  <c r="K557" i="123" s="1"/>
  <c r="MF511" i="123"/>
  <c r="K609" i="123" s="1"/>
  <c r="HF511" i="123"/>
  <c r="ME511" i="123"/>
  <c r="O610" i="123" s="1"/>
  <c r="CQ511" i="123"/>
  <c r="L555" i="123" s="1"/>
  <c r="KE511" i="123"/>
  <c r="M619" i="123" s="1"/>
  <c r="DF511" i="123"/>
  <c r="L570" i="123" s="1"/>
  <c r="KT511" i="123"/>
  <c r="M614" i="123" s="1"/>
  <c r="M624" i="123" s="1"/>
  <c r="DV511" i="123"/>
  <c r="M567" i="123" s="1"/>
  <c r="CY511" i="123"/>
  <c r="O572" i="123" s="1"/>
  <c r="DR511" i="123"/>
  <c r="N568" i="123" s="1"/>
  <c r="DG511" i="123"/>
  <c r="M570" i="123" s="1"/>
  <c r="MN511" i="123"/>
  <c r="N611" i="123" s="1"/>
  <c r="LV511" i="123"/>
  <c r="K608" i="123" s="1"/>
  <c r="K626" i="123" s="1"/>
  <c r="HR511" i="123"/>
  <c r="M584" i="123" s="1"/>
  <c r="JH511" i="123"/>
  <c r="FC511" i="123"/>
  <c r="K580" i="123" s="1"/>
  <c r="KH511" i="123"/>
  <c r="K616" i="123" s="1"/>
  <c r="LX511" i="123"/>
  <c r="M608" i="123" s="1"/>
  <c r="CA511" i="123"/>
  <c r="K558" i="123" s="1"/>
  <c r="BW511" i="123"/>
  <c r="L559" i="123" s="1"/>
  <c r="CS511" i="123"/>
  <c r="N555" i="123" s="1"/>
  <c r="FH511" i="123"/>
  <c r="K581" i="123" s="1"/>
  <c r="GP511" i="123"/>
  <c r="O636" i="123" s="1"/>
  <c r="NP511" i="123"/>
  <c r="HM511" i="123"/>
  <c r="M642" i="123" s="1"/>
  <c r="IB511" i="123"/>
  <c r="IN511" i="123"/>
  <c r="O588" i="123" s="1"/>
  <c r="FD511" i="123"/>
  <c r="L580" i="123" s="1"/>
  <c r="GH511" i="123"/>
  <c r="L635" i="123" s="1"/>
  <c r="NV511" i="123"/>
  <c r="CN511" i="123"/>
  <c r="N556" i="123" s="1"/>
  <c r="KB511" i="123"/>
  <c r="O618" i="123" s="1"/>
  <c r="EU511" i="123"/>
  <c r="M578" i="123" s="1"/>
  <c r="KN511" i="123"/>
  <c r="L617" i="123" s="1"/>
  <c r="EC511" i="123"/>
  <c r="O566" i="123" s="1"/>
  <c r="LU511" i="123"/>
  <c r="O607" i="123" s="1"/>
  <c r="ER511" i="123"/>
  <c r="O577" i="123" s="1"/>
  <c r="MK511" i="123"/>
  <c r="K611" i="123" s="1"/>
  <c r="DP511" i="123"/>
  <c r="L568" i="123" s="1"/>
  <c r="EN511" i="123"/>
  <c r="K577" i="123" s="1"/>
  <c r="DY511" i="123"/>
  <c r="K566" i="123" s="1"/>
  <c r="MU511" i="123"/>
  <c r="IR511" i="123"/>
  <c r="EI511" i="123"/>
  <c r="K576" i="123" s="1"/>
  <c r="AD511" i="123"/>
  <c r="L519" i="123" s="1"/>
  <c r="KI511" i="123"/>
  <c r="L616" i="123" s="1"/>
  <c r="GA511" i="123"/>
  <c r="O633" i="123" s="1"/>
  <c r="BV511" i="123"/>
  <c r="K559" i="123" s="1"/>
  <c r="LJ511" i="123"/>
  <c r="N606" i="123" s="1"/>
  <c r="FS511" i="123"/>
  <c r="L632" i="123" s="1"/>
  <c r="AG511" i="123"/>
  <c r="O519" i="123" s="1"/>
  <c r="HU511" i="123"/>
  <c r="K585" i="123" s="1"/>
  <c r="BJ511" i="123"/>
  <c r="N526" i="123" s="1"/>
  <c r="IX511" i="123"/>
  <c r="O590" i="123" s="1"/>
  <c r="BQ511" i="123"/>
  <c r="K560" i="123" s="1"/>
  <c r="FG511" i="123"/>
  <c r="O580" i="123" s="1"/>
  <c r="CZ511" i="123"/>
  <c r="K571" i="123" s="1"/>
  <c r="CW511" i="123"/>
  <c r="M572" i="123" s="1"/>
  <c r="ED511" i="123"/>
  <c r="K575" i="123" s="1"/>
  <c r="NY511" i="123"/>
  <c r="LP511" i="123"/>
  <c r="O605" i="123" s="1"/>
  <c r="IZ511" i="123"/>
  <c r="L591" i="123" s="1"/>
  <c r="GC511" i="123"/>
  <c r="L634" i="123" s="1"/>
  <c r="X511" i="123"/>
  <c r="K518" i="123" s="1"/>
  <c r="LM511" i="123"/>
  <c r="L605" i="123" s="1"/>
  <c r="JX511" i="123"/>
  <c r="K618" i="123" s="1"/>
  <c r="IJ511" i="123"/>
  <c r="K588" i="123" s="1"/>
  <c r="IG511" i="123"/>
  <c r="M587" i="123" s="1"/>
  <c r="HE511" i="123"/>
  <c r="O640" i="123" s="1"/>
  <c r="BG511" i="123"/>
  <c r="K526" i="123" s="1"/>
  <c r="KM511" i="123"/>
  <c r="K617" i="123" s="1"/>
  <c r="FP511" i="123"/>
  <c r="N528" i="123" s="1"/>
  <c r="BB511" i="123"/>
  <c r="K524" i="123" s="1"/>
  <c r="AE511" i="123"/>
  <c r="M519" i="123" s="1"/>
  <c r="EX511" i="123"/>
  <c r="K579" i="123" s="1"/>
  <c r="GZ511" i="123"/>
  <c r="O638" i="123" s="1"/>
  <c r="AI511" i="123"/>
  <c r="L520" i="123" s="1"/>
  <c r="IL511" i="123"/>
  <c r="M588" i="123" s="1"/>
  <c r="CR511" i="123"/>
  <c r="M555" i="123" s="1"/>
  <c r="NG511" i="123"/>
  <c r="DL511" i="123"/>
  <c r="M569" i="123" s="1"/>
  <c r="KZ511" i="123"/>
  <c r="N615" i="123" s="1"/>
  <c r="N625" i="123" s="1"/>
  <c r="GT511" i="123"/>
  <c r="N637" i="123" s="1"/>
  <c r="GY511" i="123"/>
  <c r="N638" i="123" s="1"/>
  <c r="EY511" i="123"/>
  <c r="L579" i="123" s="1"/>
  <c r="GG511" i="123"/>
  <c r="K635" i="123" s="1"/>
  <c r="DT511" i="123"/>
  <c r="K567" i="123" s="1"/>
  <c r="EH511" i="123"/>
  <c r="O575" i="123" s="1"/>
  <c r="CO511" i="123"/>
  <c r="O556" i="123" s="1"/>
  <c r="DD511" i="123"/>
  <c r="O571" i="123" s="1"/>
  <c r="EE511" i="123"/>
  <c r="L575" i="123" s="1"/>
  <c r="HW511" i="123"/>
  <c r="M585" i="123" s="1"/>
  <c r="KS511" i="123"/>
  <c r="L614" i="123" s="1"/>
  <c r="L624" i="123" s="1"/>
  <c r="ES511" i="123"/>
  <c r="K578" i="123" s="1"/>
  <c r="EB511" i="123"/>
  <c r="N566" i="123" s="1"/>
  <c r="KG511" i="123"/>
  <c r="O619" i="123" s="1"/>
  <c r="CL511" i="123"/>
  <c r="L556" i="123" s="1"/>
  <c r="NO511" i="123"/>
  <c r="NQ511" i="123"/>
  <c r="EJ511" i="123"/>
  <c r="L576" i="123" s="1"/>
  <c r="FX511" i="123"/>
  <c r="L633" i="123" s="1"/>
  <c r="ML511" i="123"/>
  <c r="L611" i="123" s="1"/>
  <c r="DI511" i="123"/>
  <c r="O570" i="123" s="1"/>
  <c r="BC511" i="123"/>
  <c r="L524" i="123" s="1"/>
  <c r="HG511" i="123"/>
  <c r="CK511" i="123"/>
  <c r="K556" i="123" s="1"/>
  <c r="HH511" i="123"/>
  <c r="GV511" i="123"/>
  <c r="K638" i="123" s="1"/>
  <c r="BX511" i="123"/>
  <c r="M559" i="123" s="1"/>
  <c r="FI511" i="123"/>
  <c r="L581" i="123" s="1"/>
  <c r="ND511" i="123"/>
  <c r="LC511" i="123"/>
  <c r="L604" i="123" s="1"/>
  <c r="FF511" i="123"/>
  <c r="N580" i="123" s="1"/>
  <c r="MZ511" i="123"/>
  <c r="EL511" i="123"/>
  <c r="N576" i="123" s="1"/>
  <c r="EG511" i="123"/>
  <c r="N575" i="123" s="1"/>
  <c r="DH511" i="123"/>
  <c r="N570" i="123" s="1"/>
  <c r="NM511" i="123"/>
  <c r="JJ511" i="123"/>
  <c r="AX511" i="123"/>
  <c r="L523" i="123" s="1"/>
  <c r="GU511" i="123"/>
  <c r="O637" i="123" s="1"/>
  <c r="CP511" i="123"/>
  <c r="K555" i="123" s="1"/>
  <c r="MA511" i="123"/>
  <c r="K610" i="123" s="1"/>
  <c r="GI511" i="123"/>
  <c r="M635" i="123" s="1"/>
  <c r="AU511" i="123"/>
  <c r="N522" i="123" s="1"/>
  <c r="II511" i="123"/>
  <c r="O587" i="123" s="1"/>
  <c r="JL511" i="123"/>
  <c r="CB511" i="123"/>
  <c r="L558" i="123" s="1"/>
  <c r="CM511" i="123"/>
  <c r="M556" i="123" s="1"/>
  <c r="BY511" i="123"/>
  <c r="N559" i="123" s="1"/>
  <c r="DK511" i="123"/>
  <c r="L569" i="123" s="1"/>
  <c r="AA511" i="123"/>
  <c r="N518" i="123" s="1"/>
  <c r="JZ511" i="123"/>
  <c r="M618" i="123" s="1"/>
  <c r="HQ511" i="123"/>
  <c r="L584" i="123" s="1"/>
  <c r="KQ511" i="123"/>
  <c r="O617" i="123" s="1"/>
  <c r="AV511" i="123"/>
  <c r="O522" i="123" s="1"/>
  <c r="IQ511" i="123"/>
  <c r="HT511" i="123"/>
  <c r="O584" i="123" s="1"/>
  <c r="NL511" i="123"/>
  <c r="MH511" i="123"/>
  <c r="M609" i="123" s="1"/>
  <c r="MC511" i="123"/>
  <c r="M610" i="123" s="1"/>
  <c r="KV511" i="123"/>
  <c r="O614" i="123" s="1"/>
  <c r="O624" i="123" s="1"/>
  <c r="FB511" i="123"/>
  <c r="O579" i="123" s="1"/>
  <c r="DO511" i="123"/>
  <c r="K568" i="123" s="1"/>
  <c r="GF511" i="123"/>
  <c r="O634" i="123" s="1"/>
  <c r="FK511" i="123"/>
  <c r="N581" i="123" s="1"/>
  <c r="NB511" i="123"/>
  <c r="GL511" i="123"/>
  <c r="K636" i="123" s="1"/>
  <c r="KO511" i="123"/>
  <c r="M617" i="123" s="1"/>
  <c r="DC511" i="123"/>
  <c r="N571" i="123" s="1"/>
  <c r="JB511" i="123"/>
  <c r="N591" i="123" s="1"/>
  <c r="MB511" i="123"/>
  <c r="L610" i="123" s="1"/>
  <c r="BA511" i="123"/>
  <c r="O523" i="123" s="1"/>
  <c r="MW511" i="123"/>
  <c r="CH511" i="123"/>
  <c r="M557" i="123" s="1"/>
  <c r="GW511" i="123"/>
  <c r="L638" i="123" s="1"/>
  <c r="LE511" i="123"/>
  <c r="N604" i="123" s="1"/>
  <c r="LH511" i="123"/>
  <c r="L606" i="123" s="1"/>
  <c r="CJ511" i="123"/>
  <c r="O557" i="123" s="1"/>
  <c r="CG511" i="123"/>
  <c r="L557" i="123" s="1"/>
  <c r="HD511" i="123"/>
  <c r="N640" i="123" s="1"/>
  <c r="BZ511" i="123"/>
  <c r="O559" i="123" s="1"/>
  <c r="JN511" i="123"/>
  <c r="K612" i="123" s="1"/>
  <c r="EP511" i="123"/>
  <c r="M577" i="123" s="1"/>
  <c r="FT511" i="123"/>
  <c r="M632" i="123" s="1"/>
  <c r="NH511" i="123"/>
  <c r="AM511" i="123"/>
  <c r="K521" i="123" s="1"/>
  <c r="IA511" i="123"/>
  <c r="GD511" i="123"/>
  <c r="M634" i="123" s="1"/>
  <c r="NZ511" i="123"/>
  <c r="HI511" i="123"/>
  <c r="AJ511" i="123"/>
  <c r="M520" i="123" s="1"/>
  <c r="HX511" i="123"/>
  <c r="N585" i="123" s="1"/>
  <c r="LL511" i="123"/>
  <c r="K605" i="123" s="1"/>
  <c r="K627" i="123" s="1"/>
  <c r="CU511" i="123"/>
  <c r="K572" i="123" s="1"/>
  <c r="DQ511" i="123"/>
  <c r="M568" i="123" s="1"/>
  <c r="DE511" i="123"/>
  <c r="K570" i="123" s="1"/>
  <c r="OB511" i="123"/>
  <c r="GX511" i="123"/>
  <c r="M638" i="123" s="1"/>
  <c r="NA511" i="123"/>
  <c r="IS511" i="123"/>
  <c r="FY511" i="123"/>
  <c r="M633" i="123" s="1"/>
  <c r="AQ511" i="123"/>
  <c r="O521" i="123" s="1"/>
  <c r="JM511" i="123"/>
  <c r="DM511" i="123"/>
  <c r="N569" i="123" s="1"/>
  <c r="MD511" i="123"/>
  <c r="N610" i="123" s="1"/>
  <c r="CC511" i="123"/>
  <c r="M558" i="123" s="1"/>
  <c r="BN511" i="123"/>
  <c r="M561" i="123" s="1"/>
  <c r="FL511" i="123"/>
  <c r="O581" i="123" s="1"/>
  <c r="HL511" i="123"/>
  <c r="L642" i="123" s="1"/>
  <c r="GB511" i="123"/>
  <c r="K634" i="123" s="1"/>
  <c r="EK511" i="123"/>
  <c r="M576" i="123" s="1"/>
  <c r="AB511" i="123"/>
  <c r="O518" i="123" s="1"/>
  <c r="CE511" i="123"/>
  <c r="O558" i="123" s="1"/>
  <c r="ET511" i="123"/>
  <c r="L578" i="123" s="1"/>
  <c r="BO511" i="123"/>
  <c r="N561" i="123" s="1"/>
  <c r="NR511" i="123"/>
  <c r="FO511" i="123"/>
  <c r="M528" i="123" s="1"/>
  <c r="GN511" i="123"/>
  <c r="M636" i="123" s="1"/>
  <c r="NC511" i="123"/>
  <c r="JG511" i="123"/>
  <c r="MR511" i="123"/>
  <c r="LD511" i="123"/>
  <c r="M604" i="123" s="1"/>
  <c r="BT511" i="123"/>
  <c r="N560" i="123" s="1"/>
  <c r="DX511" i="123"/>
  <c r="O567" i="123" s="1"/>
  <c r="DZ511" i="123"/>
  <c r="L566" i="123" s="1"/>
  <c r="LZ511" i="123"/>
  <c r="O608" i="123" s="1"/>
  <c r="O626" i="123" s="1"/>
  <c r="AY511" i="123"/>
  <c r="M523" i="123" s="1"/>
  <c r="MT511" i="123"/>
  <c r="FA511" i="123"/>
  <c r="N579" i="123" s="1"/>
  <c r="EZ511" i="123"/>
  <c r="M579" i="123" s="1"/>
  <c r="AN511" i="123"/>
  <c r="L521" i="123" s="1"/>
  <c r="KR511" i="123"/>
  <c r="K614" i="123" s="1"/>
  <c r="K624" i="123" s="1"/>
  <c r="HS511" i="123"/>
  <c r="N584" i="123" s="1"/>
  <c r="LR511" i="123"/>
  <c r="L607" i="123" s="1"/>
  <c r="JE511" i="123"/>
  <c r="OA511" i="123"/>
  <c r="FW511" i="123"/>
  <c r="K633" i="123" s="1"/>
  <c r="LW511" i="123"/>
  <c r="L608" i="123" s="1"/>
  <c r="L626" i="123" s="1"/>
  <c r="GQ511" i="123"/>
  <c r="K637" i="123" s="1"/>
  <c r="MQ511" i="123"/>
  <c r="JV511" i="123"/>
  <c r="N613" i="123" s="1"/>
  <c r="MP511" i="123"/>
  <c r="GE511" i="123"/>
  <c r="N634" i="123" s="1"/>
  <c r="MM511" i="123"/>
  <c r="M611" i="123" s="1"/>
  <c r="MI511" i="123"/>
  <c r="N609" i="123" s="1"/>
  <c r="N627" i="123" s="1"/>
  <c r="JP511" i="123"/>
  <c r="M612" i="123" s="1"/>
  <c r="BF511" i="123"/>
  <c r="O524" i="123" s="1"/>
  <c r="EW511" i="123"/>
  <c r="O578" i="123" s="1"/>
  <c r="GS511" i="123"/>
  <c r="M637" i="123" s="1"/>
  <c r="LS511" i="123"/>
  <c r="M607" i="123" s="1"/>
  <c r="FE511" i="123"/>
  <c r="M580" i="123" s="1"/>
  <c r="LQ511" i="123"/>
  <c r="K607" i="123" s="1"/>
  <c r="MY511" i="123"/>
  <c r="DW511" i="123"/>
  <c r="N567" i="123" s="1"/>
  <c r="NI511" i="123"/>
  <c r="LY511" i="123"/>
  <c r="N608" i="123" s="1"/>
  <c r="OC511" i="123"/>
  <c r="EA511" i="123"/>
  <c r="M566" i="123" s="1"/>
  <c r="FM511" i="123"/>
  <c r="K528" i="123" s="1"/>
  <c r="EM511" i="123"/>
  <c r="O576" i="123" s="1"/>
  <c r="HC511" i="123"/>
  <c r="M640" i="123" s="1"/>
  <c r="JK511" i="123"/>
  <c r="KY511" i="123"/>
  <c r="M615" i="123" s="1"/>
  <c r="M625" i="123" s="1"/>
  <c r="AC511" i="123"/>
  <c r="K519" i="123" s="1"/>
  <c r="AK511" i="123"/>
  <c r="N520" i="123" s="1"/>
  <c r="JU511" i="123"/>
  <c r="M613" i="123" s="1"/>
  <c r="BP511" i="123"/>
  <c r="O561" i="123" s="1"/>
  <c r="MV511" i="123"/>
  <c r="NK511" i="123"/>
  <c r="JA511" i="123"/>
  <c r="M591" i="123" s="1"/>
  <c r="NT511" i="123"/>
  <c r="IM511" i="123"/>
  <c r="N588" i="123" s="1"/>
  <c r="NX511" i="123"/>
  <c r="NW511" i="123"/>
  <c r="NE511" i="123"/>
  <c r="NS511" i="123"/>
  <c r="JC511" i="123"/>
  <c r="O591" i="123" s="1"/>
  <c r="HY511" i="123"/>
  <c r="O585" i="123" s="1"/>
  <c r="D1673" i="123"/>
  <c r="E152" i="123"/>
  <c r="K1673" i="123"/>
  <c r="K1678" i="123" s="1"/>
  <c r="E154" i="123"/>
  <c r="AD241" i="123"/>
  <c r="L1575" i="123"/>
  <c r="N622" i="123"/>
  <c r="E752" i="123"/>
  <c r="Q715" i="123"/>
  <c r="M261" i="123"/>
  <c r="M277" i="123" s="1"/>
  <c r="M279" i="123" s="1"/>
  <c r="M281" i="123" s="1"/>
  <c r="J261" i="123"/>
  <c r="J277" i="123" s="1"/>
  <c r="J279" i="123" s="1"/>
  <c r="J281" i="123" s="1"/>
  <c r="K1661" i="123"/>
  <c r="K1663" i="123" s="1"/>
  <c r="K1677" i="123" s="1"/>
  <c r="K1679" i="123" s="1"/>
  <c r="K1575" i="123"/>
  <c r="P654" i="123"/>
  <c r="Q716" i="123"/>
  <c r="P716" i="123"/>
  <c r="Q714" i="123"/>
  <c r="P714" i="123"/>
  <c r="G62" i="100"/>
  <c r="I62" i="100"/>
  <c r="E62" i="100"/>
  <c r="L622" i="123" l="1"/>
  <c r="L623" i="123"/>
  <c r="O627" i="123"/>
  <c r="O628" i="123"/>
  <c r="L629" i="123"/>
  <c r="K629" i="123"/>
  <c r="K628" i="123"/>
  <c r="K586" i="123"/>
  <c r="N628" i="123"/>
  <c r="L628" i="123"/>
  <c r="L596" i="123"/>
  <c r="L627" i="123"/>
  <c r="O623" i="123"/>
  <c r="P612" i="123"/>
  <c r="M627" i="123"/>
  <c r="O629" i="123"/>
  <c r="M626" i="123"/>
  <c r="P613" i="123"/>
  <c r="M629" i="123"/>
  <c r="K622" i="123"/>
  <c r="P528" i="123"/>
  <c r="Q642" i="123" s="1"/>
  <c r="O622" i="123"/>
  <c r="P611" i="123"/>
  <c r="P642" i="123"/>
  <c r="P616" i="123"/>
  <c r="P606" i="123"/>
  <c r="P624" i="123"/>
  <c r="P608" i="123"/>
  <c r="L603" i="123"/>
  <c r="M623" i="123"/>
  <c r="P610" i="123"/>
  <c r="M622" i="123"/>
  <c r="K623" i="123"/>
  <c r="N623" i="123"/>
  <c r="P607" i="123"/>
  <c r="N626" i="123"/>
  <c r="P615" i="123"/>
  <c r="P619" i="123"/>
  <c r="K625" i="123"/>
  <c r="P625" i="123" s="1"/>
  <c r="N596" i="123"/>
  <c r="P614" i="123"/>
  <c r="K596" i="123"/>
  <c r="O596" i="123"/>
  <c r="P617" i="123"/>
  <c r="P605" i="123"/>
  <c r="O603" i="123"/>
  <c r="N629" i="123"/>
  <c r="K603" i="123"/>
  <c r="P618" i="123"/>
  <c r="M628" i="123"/>
  <c r="M603" i="123"/>
  <c r="N603" i="123"/>
  <c r="M596" i="123"/>
  <c r="P609" i="123"/>
  <c r="P604" i="123"/>
  <c r="P569" i="123"/>
  <c r="P638" i="123"/>
  <c r="P523" i="123"/>
  <c r="M586" i="123"/>
  <c r="L639" i="123"/>
  <c r="L641" i="123" s="1"/>
  <c r="L643" i="123" s="1"/>
  <c r="P579" i="123"/>
  <c r="N582" i="123"/>
  <c r="P632" i="123"/>
  <c r="P637" i="123"/>
  <c r="P584" i="123"/>
  <c r="P519" i="123"/>
  <c r="Q633" i="123" s="1"/>
  <c r="L562" i="123"/>
  <c r="P636" i="123"/>
  <c r="O562" i="123"/>
  <c r="P591" i="123"/>
  <c r="N573" i="123"/>
  <c r="P567" i="123"/>
  <c r="P555" i="123"/>
  <c r="O639" i="123"/>
  <c r="O641" i="123" s="1"/>
  <c r="O643" i="123" s="1"/>
  <c r="L573" i="123"/>
  <c r="N562" i="123"/>
  <c r="P635" i="123"/>
  <c r="P640" i="123"/>
  <c r="M639" i="123"/>
  <c r="M641" i="123" s="1"/>
  <c r="M643" i="123" s="1"/>
  <c r="P520" i="123"/>
  <c r="N639" i="123"/>
  <c r="N641" i="123" s="1"/>
  <c r="N643" i="123" s="1"/>
  <c r="M573" i="123"/>
  <c r="P558" i="123"/>
  <c r="P524" i="123"/>
  <c r="Q638" i="123" s="1"/>
  <c r="O582" i="123"/>
  <c r="K525" i="123"/>
  <c r="K527" i="123" s="1"/>
  <c r="P559" i="123"/>
  <c r="P577" i="123"/>
  <c r="P588" i="123"/>
  <c r="M525" i="123"/>
  <c r="M527" i="123" s="1"/>
  <c r="M529" i="123" s="1"/>
  <c r="M544" i="123" s="1"/>
  <c r="N589" i="123"/>
  <c r="M592" i="123"/>
  <c r="O525" i="123"/>
  <c r="O527" i="123" s="1"/>
  <c r="O529" i="123" s="1"/>
  <c r="O645" i="123" s="1"/>
  <c r="P580" i="123"/>
  <c r="P561" i="123"/>
  <c r="L525" i="123"/>
  <c r="L527" i="123" s="1"/>
  <c r="L529" i="123" s="1"/>
  <c r="L547" i="123" s="1"/>
  <c r="N525" i="123"/>
  <c r="N527" i="123" s="1"/>
  <c r="N529" i="123" s="1"/>
  <c r="N538" i="123" s="1"/>
  <c r="L582" i="123"/>
  <c r="K573" i="123"/>
  <c r="P566" i="123"/>
  <c r="P571" i="123"/>
  <c r="M582" i="123"/>
  <c r="P634" i="123"/>
  <c r="P581" i="123"/>
  <c r="P570" i="123"/>
  <c r="P578" i="123"/>
  <c r="K639" i="123"/>
  <c r="K641" i="123" s="1"/>
  <c r="P522" i="123"/>
  <c r="Q636" i="123" s="1"/>
  <c r="K582" i="123"/>
  <c r="P521" i="123"/>
  <c r="P557" i="123"/>
  <c r="P568" i="123"/>
  <c r="P633" i="123"/>
  <c r="M562" i="123"/>
  <c r="O586" i="123"/>
  <c r="P572" i="123"/>
  <c r="O573" i="123"/>
  <c r="P560" i="123"/>
  <c r="P526" i="123"/>
  <c r="Q640" i="123" s="1"/>
  <c r="P556" i="123"/>
  <c r="K592" i="123"/>
  <c r="P576" i="123"/>
  <c r="K562" i="123"/>
  <c r="N586" i="123"/>
  <c r="O589" i="123"/>
  <c r="O592" i="123"/>
  <c r="L586" i="123"/>
  <c r="P585" i="123"/>
  <c r="L589" i="123"/>
  <c r="M589" i="123"/>
  <c r="N592" i="123"/>
  <c r="P518" i="123"/>
  <c r="J511" i="123" s="1"/>
  <c r="K589" i="123"/>
  <c r="P590" i="123"/>
  <c r="P575" i="123"/>
  <c r="P587" i="123"/>
  <c r="L592" i="123"/>
  <c r="E155" i="123"/>
  <c r="L1505" i="123"/>
  <c r="F752" i="123"/>
  <c r="O130" i="112"/>
  <c r="O131" i="112"/>
  <c r="O132" i="112"/>
  <c r="O129" i="112"/>
  <c r="O128" i="112"/>
  <c r="O125" i="112"/>
  <c r="O126" i="112"/>
  <c r="O124" i="112"/>
  <c r="J374" i="112"/>
  <c r="P627" i="123" l="1"/>
  <c r="P628" i="123"/>
  <c r="P626" i="123"/>
  <c r="O541" i="123"/>
  <c r="Q637" i="123"/>
  <c r="P622" i="123"/>
  <c r="P629" i="123"/>
  <c r="Q634" i="123"/>
  <c r="Q635" i="123"/>
  <c r="P623" i="123"/>
  <c r="P596" i="123"/>
  <c r="P718" i="123" s="1"/>
  <c r="P603" i="123"/>
  <c r="O544" i="123"/>
  <c r="P525" i="123"/>
  <c r="O550" i="123"/>
  <c r="O532" i="123"/>
  <c r="M547" i="123"/>
  <c r="N535" i="123"/>
  <c r="P562" i="123"/>
  <c r="P573" i="123"/>
  <c r="P582" i="123"/>
  <c r="P589" i="123"/>
  <c r="O538" i="123"/>
  <c r="O535" i="123"/>
  <c r="O547" i="123"/>
  <c r="P592" i="123"/>
  <c r="L532" i="123"/>
  <c r="M550" i="123"/>
  <c r="L535" i="123"/>
  <c r="M541" i="123"/>
  <c r="M532" i="123"/>
  <c r="M535" i="123"/>
  <c r="M538" i="123"/>
  <c r="M645" i="123"/>
  <c r="L541" i="123"/>
  <c r="N550" i="123"/>
  <c r="P639" i="123"/>
  <c r="J512" i="123"/>
  <c r="L550" i="123"/>
  <c r="L538" i="123"/>
  <c r="N532" i="123"/>
  <c r="P586" i="123"/>
  <c r="N544" i="123"/>
  <c r="L544" i="123"/>
  <c r="N645" i="123"/>
  <c r="Q632" i="123"/>
  <c r="N541" i="123"/>
  <c r="L645" i="123"/>
  <c r="N547" i="123"/>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Q717" i="123" l="1"/>
  <c r="Q718" i="123" s="1"/>
  <c r="P717" i="123"/>
  <c r="H752" i="123"/>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0" i="123"/>
  <c r="K714" i="123"/>
  <c r="K711" i="123"/>
  <c r="K715" i="123"/>
  <c r="K713" i="123"/>
  <c r="K712"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6" i="89"/>
  <c r="F40" i="89"/>
  <c r="F31" i="89"/>
  <c r="E28" i="89"/>
  <c r="E17" i="89"/>
  <c r="J5" i="87"/>
  <c r="G5" i="87"/>
  <c r="D5" i="87"/>
  <c r="A5" i="87"/>
  <c r="H54" i="86"/>
  <c r="G54" i="86"/>
  <c r="F54" i="86"/>
  <c r="E54" i="86"/>
  <c r="D54" i="86"/>
  <c r="H49" i="86"/>
  <c r="G49" i="86"/>
  <c r="F49" i="86"/>
  <c r="E49" i="86"/>
  <c r="D49" i="86"/>
  <c r="H4" i="86"/>
  <c r="E4" i="86"/>
  <c r="B38" i="82"/>
  <c r="B32" i="82"/>
  <c r="B24"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D46" i="95"/>
  <c r="C46" i="95"/>
  <c r="B46" i="95"/>
  <c r="A46" i="95"/>
  <c r="D45" i="95"/>
  <c r="C45" i="95"/>
  <c r="B45" i="95"/>
  <c r="A45" i="95"/>
  <c r="D44" i="95"/>
  <c r="C44" i="95"/>
  <c r="B44" i="95"/>
  <c r="A44" i="95"/>
  <c r="D43" i="95"/>
  <c r="C43" i="95"/>
  <c r="B43" i="95"/>
  <c r="A43" i="95"/>
  <c r="D42" i="95"/>
  <c r="C42" i="95"/>
  <c r="B42" i="95"/>
  <c r="A42" i="95"/>
  <c r="D41" i="95"/>
  <c r="C41" i="95"/>
  <c r="B41" i="95"/>
  <c r="A41" i="95"/>
  <c r="D40" i="95"/>
  <c r="C40" i="95"/>
  <c r="B40" i="95"/>
  <c r="A40" i="95"/>
  <c r="D39" i="95"/>
  <c r="C39" i="95"/>
  <c r="B39" i="95"/>
  <c r="A39" i="95"/>
  <c r="C160" i="90"/>
  <c r="Q67" i="85"/>
  <c r="N67" i="85"/>
  <c r="C33" i="100"/>
  <c r="B33" i="100"/>
  <c r="C32" i="100"/>
  <c r="B32" i="100"/>
  <c r="C31" i="100"/>
  <c r="B31" i="100"/>
  <c r="C25" i="100"/>
  <c r="B25" i="100"/>
  <c r="E97" i="90"/>
  <c r="E93" i="90"/>
  <c r="H15" i="10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40" i="112"/>
  <c r="F136" i="111"/>
  <c r="E136" i="111"/>
  <c r="D136" i="111"/>
  <c r="C136" i="111"/>
  <c r="B136" i="111"/>
  <c r="F135" i="111"/>
  <c r="E135" i="111"/>
  <c r="D135" i="111"/>
  <c r="C135" i="111"/>
  <c r="B135" i="111"/>
  <c r="K106" i="111"/>
  <c r="J106" i="111"/>
  <c r="I106" i="111"/>
  <c r="H106" i="111"/>
  <c r="G106" i="111"/>
  <c r="F106" i="111"/>
  <c r="E106" i="111"/>
  <c r="D106" i="111"/>
  <c r="C106" i="111"/>
  <c r="B106" i="111"/>
  <c r="K105" i="111"/>
  <c r="J105" i="111"/>
  <c r="I105" i="111"/>
  <c r="H105" i="111"/>
  <c r="G105" i="111"/>
  <c r="F105" i="111"/>
  <c r="E105" i="111"/>
  <c r="D105" i="111"/>
  <c r="C105" i="111"/>
  <c r="B105"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43" i="111"/>
  <c r="J43" i="111"/>
  <c r="I43" i="111"/>
  <c r="H43" i="111"/>
  <c r="G43" i="111"/>
  <c r="F43" i="111"/>
  <c r="E43" i="111"/>
  <c r="D43" i="111"/>
  <c r="C43" i="111"/>
  <c r="B43" i="111"/>
  <c r="K42" i="111"/>
  <c r="J42" i="111"/>
  <c r="I42" i="111"/>
  <c r="H42" i="111"/>
  <c r="G42" i="111"/>
  <c r="F42" i="111"/>
  <c r="E42" i="111"/>
  <c r="D42" i="111"/>
  <c r="C42" i="111"/>
  <c r="B42"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F26" i="107"/>
  <c r="F20"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H22" i="110" s="1"/>
  <c r="J45" i="120"/>
  <c r="H18" i="110" s="1"/>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P265" i="112"/>
  <c r="P1459" i="123" s="1"/>
  <c r="O265" i="112"/>
  <c r="O1459" i="123" s="1"/>
  <c r="L1459" i="123" s="1"/>
  <c r="K250" i="112"/>
  <c r="J250" i="112"/>
  <c r="K249" i="112"/>
  <c r="J249" i="112"/>
  <c r="V238" i="112"/>
  <c r="P238" i="112"/>
  <c r="O238" i="112"/>
  <c r="P229" i="112"/>
  <c r="O229" i="112"/>
  <c r="L226" i="112"/>
  <c r="L225" i="112"/>
  <c r="P224" i="112"/>
  <c r="O224" i="112"/>
  <c r="P222" i="112"/>
  <c r="L221" i="112"/>
  <c r="L220" i="112"/>
  <c r="P216" i="112"/>
  <c r="O216" i="112"/>
  <c r="Q214" i="112"/>
  <c r="L214"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O169" i="112"/>
  <c r="O136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O1274" i="123" s="1"/>
  <c r="L1274" i="123" s="1"/>
  <c r="L79" i="112"/>
  <c r="O75" i="112"/>
  <c r="M71" i="112"/>
  <c r="M75" i="112" s="1"/>
  <c r="J71" i="112"/>
  <c r="J75" i="112" s="1"/>
  <c r="J1269" i="123" s="1"/>
  <c r="Q56" i="112"/>
  <c r="L56" i="112"/>
  <c r="P46" i="112"/>
  <c r="O46" i="112"/>
  <c r="O1240" i="123" s="1"/>
  <c r="Q1240" i="123" s="1"/>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69" i="110"/>
  <c r="N269" i="110" s="1"/>
  <c r="F269" i="110"/>
  <c r="L263" i="110"/>
  <c r="F258" i="110"/>
  <c r="H258" i="110" s="1"/>
  <c r="L253" i="110"/>
  <c r="N253" i="110" s="1"/>
  <c r="F249"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P136" i="107"/>
  <c r="M136" i="107"/>
  <c r="J136" i="107"/>
  <c r="U135" i="107"/>
  <c r="A135" i="107"/>
  <c r="W128" i="107"/>
  <c r="O128" i="107"/>
  <c r="V127" i="107"/>
  <c r="S127" i="107"/>
  <c r="P127" i="107"/>
  <c r="M127" i="107"/>
  <c r="J127" i="107"/>
  <c r="G127"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M41" i="107"/>
  <c r="J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S39" i="106"/>
  <c r="S21" i="106"/>
  <c r="S4" i="106"/>
  <c r="K29" i="105"/>
  <c r="K28" i="123" s="1"/>
  <c r="C31" i="111" l="1"/>
  <c r="C769" i="123" s="1"/>
  <c r="B769" i="123"/>
  <c r="J19" i="110"/>
  <c r="J20" i="110"/>
  <c r="J21" i="110"/>
  <c r="J23" i="110"/>
  <c r="J24" i="110"/>
  <c r="J25" i="110"/>
  <c r="F125" i="107"/>
  <c r="D47" i="106"/>
  <c r="D91" i="123" s="1"/>
  <c r="F126" i="107"/>
  <c r="M147" i="107"/>
  <c r="M163" i="107" s="1"/>
  <c r="M165" i="107" s="1"/>
  <c r="M167" i="107" s="1"/>
  <c r="L1231" i="123"/>
  <c r="Q1238" i="123"/>
  <c r="Q1219" i="123"/>
  <c r="L1219" i="123"/>
  <c r="H8" i="100"/>
  <c r="J26" i="123"/>
  <c r="A1" i="123" s="1"/>
  <c r="A315" i="123"/>
  <c r="A2" i="106"/>
  <c r="S2" i="106" s="1"/>
  <c r="A46" i="123"/>
  <c r="D12" i="112"/>
  <c r="P89" i="112"/>
  <c r="P1283" i="123" s="1"/>
  <c r="P1286" i="123"/>
  <c r="O1286" i="123"/>
  <c r="O1283" i="123"/>
  <c r="H784" i="123"/>
  <c r="L29" i="110"/>
  <c r="M29" i="110" s="1"/>
  <c r="F123" i="111"/>
  <c r="F130" i="111" s="1"/>
  <c r="C93" i="111"/>
  <c r="C100" i="111" s="1"/>
  <c r="AD126" i="107"/>
  <c r="V147" i="107"/>
  <c r="C135" i="90"/>
  <c r="E38" i="107"/>
  <c r="J147" i="107"/>
  <c r="J163" i="107" s="1"/>
  <c r="F122" i="107"/>
  <c r="E40" i="107"/>
  <c r="C29" i="111"/>
  <c r="C37" i="111" s="1"/>
  <c r="E29" i="111"/>
  <c r="E37" i="111" s="1"/>
  <c r="D64" i="111"/>
  <c r="C64" i="111"/>
  <c r="E64" i="111"/>
  <c r="I27" i="111"/>
  <c r="D29" i="111"/>
  <c r="D37" i="111" s="1"/>
  <c r="G32" i="111"/>
  <c r="H32" i="111"/>
  <c r="D59" i="111"/>
  <c r="I32" i="111"/>
  <c r="H60" i="111"/>
  <c r="H68" i="111" s="1"/>
  <c r="G91" i="111"/>
  <c r="J32" i="111"/>
  <c r="I60" i="111"/>
  <c r="I68" i="111" s="1"/>
  <c r="K92" i="111"/>
  <c r="K99" i="111" s="1"/>
  <c r="B64" i="111"/>
  <c r="B93" i="111"/>
  <c r="B100" i="111" s="1"/>
  <c r="B121" i="111"/>
  <c r="E58" i="111"/>
  <c r="I59" i="111"/>
  <c r="B92" i="111"/>
  <c r="B99" i="111" s="1"/>
  <c r="B122" i="111"/>
  <c r="B129" i="111" s="1"/>
  <c r="K26" i="111"/>
  <c r="E28" i="111"/>
  <c r="E36" i="111" s="1"/>
  <c r="I29" i="111"/>
  <c r="F58" i="111"/>
  <c r="J59" i="111"/>
  <c r="D61" i="111"/>
  <c r="D69" i="111" s="1"/>
  <c r="I90" i="111"/>
  <c r="C92" i="111"/>
  <c r="G93" i="111"/>
  <c r="K35" i="87" s="1"/>
  <c r="C122" i="111"/>
  <c r="C129" i="111" s="1"/>
  <c r="J26" i="111"/>
  <c r="D28" i="111"/>
  <c r="D36" i="111" s="1"/>
  <c r="H29" i="111"/>
  <c r="K16" i="87" s="1"/>
  <c r="C61" i="111"/>
  <c r="C69" i="111" s="1"/>
  <c r="F93" i="111"/>
  <c r="F100" i="111" s="1"/>
  <c r="B27" i="111"/>
  <c r="B41" i="111" s="1"/>
  <c r="B779" i="123" s="1"/>
  <c r="F28" i="111"/>
  <c r="F36" i="111" s="1"/>
  <c r="J29" i="111"/>
  <c r="J37" i="111" s="1"/>
  <c r="G58" i="111"/>
  <c r="K59" i="111"/>
  <c r="E61" i="111"/>
  <c r="E69" i="111" s="1"/>
  <c r="J90" i="111"/>
  <c r="D92" i="111"/>
  <c r="D99" i="111" s="1"/>
  <c r="H93" i="111"/>
  <c r="D122" i="111"/>
  <c r="D129" i="111" s="1"/>
  <c r="E26" i="111"/>
  <c r="C90" i="111"/>
  <c r="F26" i="111"/>
  <c r="J27" i="111"/>
  <c r="E59" i="111"/>
  <c r="D90" i="111"/>
  <c r="H91" i="111"/>
  <c r="C121" i="111"/>
  <c r="G26" i="111"/>
  <c r="K27" i="111"/>
  <c r="B58" i="111"/>
  <c r="F59" i="111"/>
  <c r="J60" i="111"/>
  <c r="J68" i="111" s="1"/>
  <c r="E90" i="111"/>
  <c r="I91" i="111"/>
  <c r="D121" i="111"/>
  <c r="H26" i="111"/>
  <c r="B28" i="111"/>
  <c r="B36" i="111" s="1"/>
  <c r="F29" i="111"/>
  <c r="F37" i="111" s="1"/>
  <c r="C58" i="111"/>
  <c r="G59" i="111"/>
  <c r="K60" i="111"/>
  <c r="K68" i="111" s="1"/>
  <c r="F90" i="111"/>
  <c r="J91" i="111"/>
  <c r="D93" i="111"/>
  <c r="E121" i="111"/>
  <c r="C28" i="111"/>
  <c r="C36" i="111" s="1"/>
  <c r="K32" i="111"/>
  <c r="D58" i="111"/>
  <c r="H59" i="111"/>
  <c r="B61" i="111"/>
  <c r="B69" i="111" s="1"/>
  <c r="F64" i="111"/>
  <c r="G90" i="111"/>
  <c r="K91" i="111"/>
  <c r="E93" i="111"/>
  <c r="E100" i="111" s="1"/>
  <c r="F121" i="111"/>
  <c r="H90" i="111"/>
  <c r="C27" i="111"/>
  <c r="G28" i="111"/>
  <c r="G36" i="111" s="1"/>
  <c r="K29" i="111"/>
  <c r="K37" i="111" s="1"/>
  <c r="H58" i="111"/>
  <c r="B60" i="111"/>
  <c r="B68" i="111" s="1"/>
  <c r="F61" i="111"/>
  <c r="K90" i="111"/>
  <c r="E92" i="111"/>
  <c r="E99" i="111" s="1"/>
  <c r="I93" i="111"/>
  <c r="K37" i="87" s="1"/>
  <c r="E122" i="111"/>
  <c r="E129" i="111" s="1"/>
  <c r="D27" i="111"/>
  <c r="H28" i="111"/>
  <c r="H36" i="111" s="1"/>
  <c r="B44" i="111"/>
  <c r="B782" i="123" s="1"/>
  <c r="I58" i="111"/>
  <c r="C60" i="111"/>
  <c r="C68" i="111" s="1"/>
  <c r="G61" i="111"/>
  <c r="K25" i="87" s="1"/>
  <c r="B91" i="111"/>
  <c r="F92" i="111"/>
  <c r="F99" i="111" s="1"/>
  <c r="J93" i="111"/>
  <c r="J100" i="111" s="1"/>
  <c r="B120" i="111"/>
  <c r="F122" i="111"/>
  <c r="F129" i="111" s="1"/>
  <c r="E27" i="111"/>
  <c r="I28" i="111"/>
  <c r="I36" i="111" s="1"/>
  <c r="J58" i="111"/>
  <c r="D60" i="111"/>
  <c r="D68" i="111" s="1"/>
  <c r="H61" i="111"/>
  <c r="H69" i="111" s="1"/>
  <c r="C91" i="111"/>
  <c r="G92" i="111"/>
  <c r="G99" i="111" s="1"/>
  <c r="K93" i="111"/>
  <c r="K39" i="87" s="1"/>
  <c r="C120" i="111"/>
  <c r="B123" i="111"/>
  <c r="B130" i="111" s="1"/>
  <c r="G29" i="111"/>
  <c r="B26" i="111"/>
  <c r="F27" i="111"/>
  <c r="J28" i="111"/>
  <c r="J36" i="111" s="1"/>
  <c r="K58" i="111"/>
  <c r="E60" i="111"/>
  <c r="I61" i="111"/>
  <c r="I69" i="111" s="1"/>
  <c r="D91" i="111"/>
  <c r="H92" i="111"/>
  <c r="H99" i="111" s="1"/>
  <c r="D120" i="111"/>
  <c r="C123" i="111"/>
  <c r="C130" i="111" s="1"/>
  <c r="C26" i="111"/>
  <c r="G27" i="111"/>
  <c r="K28" i="111"/>
  <c r="K36" i="111" s="1"/>
  <c r="B59" i="111"/>
  <c r="F60" i="111"/>
  <c r="F68" i="111" s="1"/>
  <c r="J61" i="111"/>
  <c r="J69" i="111" s="1"/>
  <c r="E91" i="111"/>
  <c r="I92" i="111"/>
  <c r="I99" i="111" s="1"/>
  <c r="E120" i="111"/>
  <c r="D123" i="111"/>
  <c r="D130" i="111" s="1"/>
  <c r="I26" i="111"/>
  <c r="D26" i="111"/>
  <c r="H27" i="111"/>
  <c r="B29" i="111"/>
  <c r="B37" i="111" s="1"/>
  <c r="F32" i="111"/>
  <c r="C59" i="111"/>
  <c r="G60" i="111"/>
  <c r="G68" i="111" s="1"/>
  <c r="K61" i="111"/>
  <c r="K69" i="111" s="1"/>
  <c r="B90" i="111"/>
  <c r="F91" i="111"/>
  <c r="J92" i="111"/>
  <c r="J99" i="111" s="1"/>
  <c r="F120" i="111"/>
  <c r="E123" i="111"/>
  <c r="E130" i="111" s="1"/>
  <c r="N263" i="110"/>
  <c r="C60" i="100"/>
  <c r="H269" i="110"/>
  <c r="C59" i="100"/>
  <c r="C58" i="100"/>
  <c r="H249" i="110"/>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M26" i="110" s="1"/>
  <c r="L45" i="110"/>
  <c r="M45" i="110" s="1"/>
  <c r="L33" i="110"/>
  <c r="M33" i="110" s="1"/>
  <c r="L32" i="110"/>
  <c r="M32" i="110" s="1"/>
  <c r="L34" i="110"/>
  <c r="M34" i="110" s="1"/>
  <c r="K251" i="112"/>
  <c r="L36" i="110"/>
  <c r="M36" i="110" s="1"/>
  <c r="L39" i="110"/>
  <c r="M39" i="110" s="1"/>
  <c r="L37" i="110"/>
  <c r="M37" i="110" s="1"/>
  <c r="L41" i="110"/>
  <c r="M41" i="110" s="1"/>
  <c r="L43" i="110"/>
  <c r="M43" i="110" s="1"/>
  <c r="L42" i="110"/>
  <c r="M42" i="110" s="1"/>
  <c r="L44" i="110"/>
  <c r="M44" i="110" s="1"/>
  <c r="L31" i="110"/>
  <c r="M31" i="110" s="1"/>
  <c r="L27" i="110"/>
  <c r="M27" i="110" s="1"/>
  <c r="L46" i="110"/>
  <c r="M46" i="110" s="1"/>
  <c r="L28" i="110"/>
  <c r="M28" i="110" s="1"/>
  <c r="L57" i="110"/>
  <c r="M57" i="110" s="1"/>
  <c r="L47" i="110"/>
  <c r="M47" i="110" s="1"/>
  <c r="L30" i="110"/>
  <c r="M30" i="110" s="1"/>
  <c r="L35" i="110"/>
  <c r="M35" i="110" s="1"/>
  <c r="D31" i="111"/>
  <c r="D769" i="123" s="1"/>
  <c r="C53" i="82"/>
  <c r="E12" i="86"/>
  <c r="D52" i="86"/>
  <c r="E52" i="86"/>
  <c r="G12" i="86"/>
  <c r="F52" i="86"/>
  <c r="C11" i="86"/>
  <c r="H12" i="86"/>
  <c r="G52" i="86"/>
  <c r="F12" i="86"/>
  <c r="I12" i="86"/>
  <c r="H52" i="86"/>
  <c r="D32" i="86"/>
  <c r="E32" i="86"/>
  <c r="F32" i="86"/>
  <c r="G32" i="86"/>
  <c r="H32" i="86"/>
  <c r="I32" i="86"/>
  <c r="C32" i="86"/>
  <c r="E28" i="87"/>
  <c r="B53" i="82"/>
  <c r="D12" i="86"/>
  <c r="C12" i="86"/>
  <c r="C52" i="86"/>
  <c r="K44" i="87"/>
  <c r="O117" i="112"/>
  <c r="O1311" i="123" s="1"/>
  <c r="AV437" i="112"/>
  <c r="AZ438" i="112"/>
  <c r="K144" i="112"/>
  <c r="O27" i="112"/>
  <c r="O1221" i="123" s="1"/>
  <c r="Q1221" i="123" s="1"/>
  <c r="AW434" i="112"/>
  <c r="I60" i="115"/>
  <c r="I63" i="115"/>
  <c r="I62" i="115"/>
  <c r="J251" i="112"/>
  <c r="J308" i="112" s="1"/>
  <c r="O143" i="112"/>
  <c r="O1337" i="123" s="1"/>
  <c r="R160" i="112"/>
  <c r="R169" i="112"/>
  <c r="P37" i="112"/>
  <c r="K378" i="112"/>
  <c r="L37" i="112"/>
  <c r="Q44" i="112"/>
  <c r="L378" i="112"/>
  <c r="N228" i="112"/>
  <c r="AW433" i="112"/>
  <c r="AZ434" i="112"/>
  <c r="AW437"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A1" i="114"/>
  <c r="A2" i="110"/>
  <c r="T2" i="110" s="1"/>
  <c r="N29" i="105"/>
  <c r="A1" i="120"/>
  <c r="A1" i="113"/>
  <c r="A1" i="112"/>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J304" i="112"/>
  <c r="AV436" i="112"/>
  <c r="O100" i="112"/>
  <c r="O1294" i="123" s="1"/>
  <c r="AX432" i="112"/>
  <c r="AW432" i="112"/>
  <c r="AV432" i="112"/>
  <c r="BA436" i="112"/>
  <c r="AZ436" i="112"/>
  <c r="AJ457" i="112"/>
  <c r="L265" i="112"/>
  <c r="AW438" i="112"/>
  <c r="AV438" i="112"/>
  <c r="P351" i="112"/>
  <c r="P1545" i="123" s="1"/>
  <c r="O340" i="112"/>
  <c r="P332" i="112"/>
  <c r="P1526" i="123" s="1"/>
  <c r="S190" i="112"/>
  <c r="E12" i="112"/>
  <c r="G274" i="112"/>
  <c r="G1468" i="123" s="1"/>
  <c r="O351" i="112"/>
  <c r="O1545" i="123" s="1"/>
  <c r="O332" i="112"/>
  <c r="O1526" i="123" s="1"/>
  <c r="R1526" i="123" s="1"/>
  <c r="K286" i="112"/>
  <c r="R141" i="112"/>
  <c r="O78" i="112"/>
  <c r="O1272" i="123" s="1"/>
  <c r="P100" i="112"/>
  <c r="P143" i="112"/>
  <c r="P1337" i="123" s="1"/>
  <c r="BB432" i="112"/>
  <c r="BA432" i="112"/>
  <c r="AZ432" i="112"/>
  <c r="AJ458" i="112"/>
  <c r="AZ437" i="112"/>
  <c r="BA437" i="112"/>
  <c r="AI457" i="112"/>
  <c r="AJ450" i="112"/>
  <c r="AY432" i="112"/>
  <c r="AI459" i="112"/>
  <c r="L238" i="112"/>
  <c r="K379" i="112"/>
  <c r="K1573" i="123" s="1"/>
  <c r="AV434" i="112"/>
  <c r="AI458" i="112"/>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E39" i="107"/>
  <c r="F40" i="107"/>
  <c r="F124" i="107"/>
  <c r="H770" i="123" l="1"/>
  <c r="I770" i="123"/>
  <c r="F802" i="123"/>
  <c r="D770" i="123"/>
  <c r="J770" i="123"/>
  <c r="E770" i="123"/>
  <c r="C44" i="111"/>
  <c r="C782" i="123" s="1"/>
  <c r="K770" i="123"/>
  <c r="P154" i="123"/>
  <c r="G154" i="123"/>
  <c r="G152" i="123"/>
  <c r="G41" i="107"/>
  <c r="F38" i="107"/>
  <c r="P153" i="123"/>
  <c r="H14" i="86"/>
  <c r="G770" i="123"/>
  <c r="I34" i="86"/>
  <c r="E802" i="123"/>
  <c r="G34" i="86"/>
  <c r="C802" i="123"/>
  <c r="H34" i="86"/>
  <c r="D802" i="123"/>
  <c r="D14" i="86"/>
  <c r="C770" i="123"/>
  <c r="R21" i="111"/>
  <c r="B770" i="123"/>
  <c r="G14" i="86"/>
  <c r="F770" i="123"/>
  <c r="F34" i="86"/>
  <c r="B802" i="123"/>
  <c r="J478" i="123"/>
  <c r="H25" i="110"/>
  <c r="J477" i="123"/>
  <c r="J476" i="123"/>
  <c r="J475" i="123"/>
  <c r="J474" i="123"/>
  <c r="H21" i="110"/>
  <c r="J471" i="123"/>
  <c r="J473" i="123"/>
  <c r="J472" i="123"/>
  <c r="J51" i="115"/>
  <c r="K51" i="115" s="1"/>
  <c r="J50" i="115"/>
  <c r="K50" i="115" s="1"/>
  <c r="J49" i="115"/>
  <c r="K49" i="115" s="1"/>
  <c r="J47" i="115"/>
  <c r="K47" i="115" s="1"/>
  <c r="K48" i="115"/>
  <c r="F765" i="123"/>
  <c r="J829" i="123"/>
  <c r="H829" i="123"/>
  <c r="C41" i="111"/>
  <c r="C797" i="123"/>
  <c r="D765" i="123"/>
  <c r="E829" i="123"/>
  <c r="C829" i="123"/>
  <c r="K829" i="123"/>
  <c r="E859" i="123"/>
  <c r="E19" i="87"/>
  <c r="K765" i="123"/>
  <c r="D797" i="123"/>
  <c r="C859" i="123"/>
  <c r="F829" i="123"/>
  <c r="B797" i="123"/>
  <c r="E32" i="87"/>
  <c r="D829" i="123"/>
  <c r="B829" i="123"/>
  <c r="I829" i="123"/>
  <c r="B765" i="123"/>
  <c r="E11" i="87"/>
  <c r="C765" i="123"/>
  <c r="E26" i="87"/>
  <c r="H797" i="123"/>
  <c r="I765" i="123"/>
  <c r="D859" i="123"/>
  <c r="G797" i="123"/>
  <c r="E797" i="123"/>
  <c r="E27" i="87"/>
  <c r="I797" i="123"/>
  <c r="G829" i="123"/>
  <c r="H765" i="123"/>
  <c r="G765" i="123"/>
  <c r="E765" i="123"/>
  <c r="F859" i="123"/>
  <c r="F797" i="123"/>
  <c r="J765" i="123"/>
  <c r="J797" i="123"/>
  <c r="K797" i="123"/>
  <c r="B859" i="123"/>
  <c r="E828" i="123"/>
  <c r="B858" i="123"/>
  <c r="C828" i="123"/>
  <c r="G796" i="123"/>
  <c r="J764" i="123"/>
  <c r="J828" i="123"/>
  <c r="F858" i="123"/>
  <c r="D858" i="123"/>
  <c r="H796" i="123"/>
  <c r="G828" i="123"/>
  <c r="H764" i="123"/>
  <c r="G764" i="123"/>
  <c r="E764" i="123"/>
  <c r="I828" i="123"/>
  <c r="C858" i="123"/>
  <c r="B10" i="87"/>
  <c r="B764" i="123"/>
  <c r="B40" i="111"/>
  <c r="C40" i="111" s="1"/>
  <c r="K764" i="123"/>
  <c r="I764" i="123"/>
  <c r="D828" i="123"/>
  <c r="H828" i="123"/>
  <c r="B22" i="87"/>
  <c r="D796" i="123"/>
  <c r="B12" i="87"/>
  <c r="D764" i="123"/>
  <c r="J796" i="123"/>
  <c r="F828" i="123"/>
  <c r="E858" i="123"/>
  <c r="B29" i="87"/>
  <c r="K796" i="123"/>
  <c r="I796" i="123"/>
  <c r="K828" i="123"/>
  <c r="C796" i="123"/>
  <c r="E796" i="123"/>
  <c r="B30" i="87"/>
  <c r="B828" i="123"/>
  <c r="C764" i="123"/>
  <c r="B796" i="123"/>
  <c r="F764" i="123"/>
  <c r="F796" i="123"/>
  <c r="P457" i="123"/>
  <c r="O28" i="123"/>
  <c r="Q705" i="123"/>
  <c r="N28" i="123"/>
  <c r="P1579" i="123"/>
  <c r="P369" i="112"/>
  <c r="BB447" i="112" s="1"/>
  <c r="O1579" i="123"/>
  <c r="K1579" i="123" s="1"/>
  <c r="K1572" i="123"/>
  <c r="O376" i="112"/>
  <c r="O1570" i="123" s="1"/>
  <c r="K1570" i="123" s="1"/>
  <c r="A594" i="123"/>
  <c r="O1534" i="123"/>
  <c r="R1534" i="123" s="1"/>
  <c r="I784" i="123"/>
  <c r="K31" i="87"/>
  <c r="K13" i="87"/>
  <c r="E41" i="107"/>
  <c r="AD124" i="107"/>
  <c r="H39" i="87"/>
  <c r="E17" i="87"/>
  <c r="K11" i="87"/>
  <c r="B37" i="87"/>
  <c r="E29" i="87"/>
  <c r="K26" i="87"/>
  <c r="B36" i="87"/>
  <c r="H37" i="87"/>
  <c r="B34" i="87"/>
  <c r="C14" i="86"/>
  <c r="B15" i="87"/>
  <c r="E39" i="87"/>
  <c r="C99" i="111"/>
  <c r="H31" i="87"/>
  <c r="G69" i="111"/>
  <c r="E33" i="87"/>
  <c r="E24" i="87"/>
  <c r="B25" i="87"/>
  <c r="R22" i="111"/>
  <c r="K19" i="87"/>
  <c r="K100" i="111"/>
  <c r="E40" i="87"/>
  <c r="K27" i="87"/>
  <c r="H100" i="111"/>
  <c r="H28" i="87"/>
  <c r="G100" i="111"/>
  <c r="B18" i="87"/>
  <c r="J46" i="115"/>
  <c r="K46" i="115" s="1"/>
  <c r="J45" i="115"/>
  <c r="K45" i="115" s="1"/>
  <c r="J165" i="107"/>
  <c r="J167" i="107" s="1"/>
  <c r="J43" i="115"/>
  <c r="K43" i="115" s="1"/>
  <c r="J44" i="115"/>
  <c r="K44" i="115" s="1"/>
  <c r="J42" i="115"/>
  <c r="K42" i="115" s="1"/>
  <c r="J41" i="115"/>
  <c r="K41" i="115" s="1"/>
  <c r="J40" i="115"/>
  <c r="K40" i="115" s="1"/>
  <c r="J38" i="115"/>
  <c r="K38" i="115" s="1"/>
  <c r="J39" i="115"/>
  <c r="K39" i="115" s="1"/>
  <c r="J37" i="115"/>
  <c r="K37" i="115" s="1"/>
  <c r="J36" i="115"/>
  <c r="K36" i="115" s="1"/>
  <c r="J35" i="115"/>
  <c r="K35" i="115" s="1"/>
  <c r="J34" i="115"/>
  <c r="K34" i="115" s="1"/>
  <c r="J33" i="115"/>
  <c r="K33" i="115" s="1"/>
  <c r="K52" i="115" s="1"/>
  <c r="K54" i="115" s="1"/>
  <c r="K68" i="115" s="1"/>
  <c r="K70" i="115" s="1"/>
  <c r="H26" i="87"/>
  <c r="H42" i="87"/>
  <c r="H30" i="87"/>
  <c r="K30" i="87"/>
  <c r="E23" i="87"/>
  <c r="B33" i="87"/>
  <c r="I14" i="86"/>
  <c r="K12" i="87"/>
  <c r="B24" i="87"/>
  <c r="H37" i="111"/>
  <c r="H34" i="87"/>
  <c r="R38" i="111"/>
  <c r="H32" i="87"/>
  <c r="K23" i="87"/>
  <c r="K41" i="87"/>
  <c r="H36" i="87"/>
  <c r="B38" i="87"/>
  <c r="B23" i="87"/>
  <c r="B17" i="87"/>
  <c r="H11" i="87"/>
  <c r="E31" i="87"/>
  <c r="R37" i="111"/>
  <c r="K34" i="87"/>
  <c r="E16" i="87"/>
  <c r="E14" i="86"/>
  <c r="B20" i="87"/>
  <c r="K42" i="87"/>
  <c r="B35" i="87"/>
  <c r="E43" i="87"/>
  <c r="H17" i="87"/>
  <c r="E38" i="87"/>
  <c r="K21" i="87"/>
  <c r="R27" i="111"/>
  <c r="R25" i="111"/>
  <c r="B43" i="87"/>
  <c r="R24" i="111"/>
  <c r="B39" i="87"/>
  <c r="E37" i="87"/>
  <c r="R34" i="111"/>
  <c r="E22" i="87"/>
  <c r="B19" i="87"/>
  <c r="K14" i="87"/>
  <c r="R28" i="111"/>
  <c r="E20" i="87"/>
  <c r="K40" i="87"/>
  <c r="K15" i="87"/>
  <c r="K29" i="87"/>
  <c r="F14" i="86"/>
  <c r="R35" i="111"/>
  <c r="I49" i="106" s="1"/>
  <c r="I93" i="123" s="1"/>
  <c r="R32" i="111"/>
  <c r="H13" i="87"/>
  <c r="H40" i="87"/>
  <c r="F69" i="111"/>
  <c r="K45" i="82"/>
  <c r="H65" i="82"/>
  <c r="I65" i="82"/>
  <c r="H33" i="87"/>
  <c r="H45" i="82"/>
  <c r="E14" i="87"/>
  <c r="B13" i="87"/>
  <c r="B16" i="87"/>
  <c r="H44" i="87"/>
  <c r="E45" i="82"/>
  <c r="B11" i="87"/>
  <c r="R26" i="111"/>
  <c r="F65" i="82"/>
  <c r="C76" i="100"/>
  <c r="K10" i="87"/>
  <c r="C45" i="82"/>
  <c r="H12" i="87"/>
  <c r="H24" i="87"/>
  <c r="H10" i="87"/>
  <c r="R39" i="111"/>
  <c r="B41" i="87"/>
  <c r="I37" i="111"/>
  <c r="E13" i="87"/>
  <c r="E30" i="87"/>
  <c r="C54" i="86"/>
  <c r="E18" i="87"/>
  <c r="K36" i="87"/>
  <c r="K20" i="87"/>
  <c r="B21" i="87"/>
  <c r="H18" i="87"/>
  <c r="E35" i="87"/>
  <c r="J45" i="82"/>
  <c r="K33" i="87"/>
  <c r="E25" i="87"/>
  <c r="F45" i="82"/>
  <c r="H27" i="87"/>
  <c r="R31" i="111"/>
  <c r="H23" i="87"/>
  <c r="E68" i="111"/>
  <c r="B14" i="87"/>
  <c r="B44" i="87"/>
  <c r="K65" i="82"/>
  <c r="K24" i="87"/>
  <c r="E21" i="87"/>
  <c r="E36" i="87"/>
  <c r="E65" i="82"/>
  <c r="B45" i="82"/>
  <c r="B40" i="87"/>
  <c r="R36" i="111"/>
  <c r="R30" i="111"/>
  <c r="I100" i="111"/>
  <c r="H19" i="87"/>
  <c r="H38" i="87"/>
  <c r="K18" i="87"/>
  <c r="H20" i="87"/>
  <c r="B31" i="87"/>
  <c r="B28" i="87"/>
  <c r="K38" i="87"/>
  <c r="H43" i="87"/>
  <c r="E10" i="87"/>
  <c r="B32" i="87"/>
  <c r="E12" i="87"/>
  <c r="G37" i="111"/>
  <c r="R40" i="111"/>
  <c r="D45" i="82"/>
  <c r="R23" i="111"/>
  <c r="E34" i="87"/>
  <c r="H14" i="87"/>
  <c r="R29" i="111"/>
  <c r="K28" i="87"/>
  <c r="E15" i="87"/>
  <c r="J65" i="82"/>
  <c r="B26" i="87"/>
  <c r="D100" i="111"/>
  <c r="C34" i="86"/>
  <c r="E34" i="86"/>
  <c r="D34" i="86"/>
  <c r="K17" i="87"/>
  <c r="K22" i="87"/>
  <c r="E42" i="87"/>
  <c r="G65" i="82"/>
  <c r="C65" i="82"/>
  <c r="B65" i="82"/>
  <c r="B27" i="87"/>
  <c r="D65" i="82"/>
  <c r="I45" i="82"/>
  <c r="H21" i="87"/>
  <c r="B42" i="87"/>
  <c r="H35" i="87"/>
  <c r="E41" i="87"/>
  <c r="K43" i="87"/>
  <c r="H15" i="87"/>
  <c r="H41" i="87"/>
  <c r="G45" i="82"/>
  <c r="H29" i="87"/>
  <c r="K32" i="87"/>
  <c r="H25" i="87"/>
  <c r="H22" i="87"/>
  <c r="E44" i="87"/>
  <c r="R117" i="111"/>
  <c r="S117" i="111" s="1"/>
  <c r="R33" i="111"/>
  <c r="H16" i="87"/>
  <c r="P4" i="110"/>
  <c r="K64" i="115"/>
  <c r="K69" i="115" s="1"/>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74" i="110"/>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A10"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L169" i="110"/>
  <c r="P108" i="110"/>
  <c r="O120" i="110"/>
  <c r="P118" i="110"/>
  <c r="M109" i="110"/>
  <c r="I28" i="95"/>
  <c r="B334" i="91"/>
  <c r="B555" i="91"/>
  <c r="H25" i="95"/>
  <c r="P107" i="110"/>
  <c r="G25" i="95"/>
  <c r="B538" i="91"/>
  <c r="G31" i="95"/>
  <c r="B63" i="91"/>
  <c r="H26" i="95"/>
  <c r="B476" i="91"/>
  <c r="I30" i="95"/>
  <c r="B176" i="91"/>
  <c r="H27" i="95"/>
  <c r="B397" i="91"/>
  <c r="AH450" i="112"/>
  <c r="AV443" i="112"/>
  <c r="R332" i="112"/>
  <c r="AX429" i="112"/>
  <c r="AW429" i="112"/>
  <c r="AV429" i="112"/>
  <c r="AY429" i="112"/>
  <c r="BB429" i="112"/>
  <c r="AZ429" i="112"/>
  <c r="BA429" i="112"/>
  <c r="BC429" i="112"/>
  <c r="O274" i="112"/>
  <c r="O1468" i="123" s="1"/>
  <c r="E1468" i="123" s="1"/>
  <c r="P274" i="112"/>
  <c r="P1468" i="123" s="1"/>
  <c r="AV444" i="112"/>
  <c r="R340" i="112"/>
  <c r="AV445" i="112"/>
  <c r="AX445" i="112"/>
  <c r="AI450"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D44" i="111" l="1"/>
  <c r="G37" i="107"/>
  <c r="G153" i="123"/>
  <c r="G155" i="123" s="1"/>
  <c r="F39" i="107"/>
  <c r="F37" i="107" s="1"/>
  <c r="G43" i="107"/>
  <c r="C49" i="107"/>
  <c r="P152" i="123"/>
  <c r="P155" i="123" s="1"/>
  <c r="P41" i="107"/>
  <c r="R769" i="123"/>
  <c r="R763" i="123"/>
  <c r="R768" i="123"/>
  <c r="R765" i="123"/>
  <c r="R774" i="123"/>
  <c r="R778" i="123"/>
  <c r="R764" i="123"/>
  <c r="R766" i="123"/>
  <c r="R771" i="123"/>
  <c r="R776" i="123"/>
  <c r="R775" i="123"/>
  <c r="R770" i="123"/>
  <c r="R762" i="123"/>
  <c r="R760" i="123"/>
  <c r="R761" i="123"/>
  <c r="R777" i="123"/>
  <c r="R772" i="123"/>
  <c r="R759" i="123"/>
  <c r="R767" i="123"/>
  <c r="R773" i="123"/>
  <c r="H472" i="123"/>
  <c r="A472" i="123" s="1"/>
  <c r="E40" i="95"/>
  <c r="A19" i="110"/>
  <c r="L19" i="110"/>
  <c r="M19" i="110" s="1"/>
  <c r="H475" i="123"/>
  <c r="A475" i="123" s="1"/>
  <c r="E43" i="95"/>
  <c r="A22" i="110"/>
  <c r="L22" i="110"/>
  <c r="M22" i="110" s="1"/>
  <c r="H473" i="123"/>
  <c r="A473" i="123" s="1"/>
  <c r="A20" i="110"/>
  <c r="E41" i="95"/>
  <c r="L20" i="110"/>
  <c r="M20" i="110" s="1"/>
  <c r="H476" i="123"/>
  <c r="E44" i="95"/>
  <c r="A23" i="110"/>
  <c r="L23" i="110"/>
  <c r="M23" i="110" s="1"/>
  <c r="L473" i="123"/>
  <c r="M473" i="123" s="1"/>
  <c r="H471" i="123"/>
  <c r="E39" i="95"/>
  <c r="A18" i="110"/>
  <c r="L18" i="110"/>
  <c r="M18" i="110" s="1"/>
  <c r="H477" i="123"/>
  <c r="E45" i="95"/>
  <c r="A24" i="110"/>
  <c r="L24" i="110"/>
  <c r="M24" i="110" s="1"/>
  <c r="H474" i="123"/>
  <c r="E42" i="95"/>
  <c r="A21" i="110"/>
  <c r="L21" i="110"/>
  <c r="M21" i="110" s="1"/>
  <c r="H478" i="123"/>
  <c r="E46" i="95"/>
  <c r="A25" i="110"/>
  <c r="L25" i="110"/>
  <c r="M25" i="110" s="1"/>
  <c r="AD224" i="123"/>
  <c r="AF224" i="123" s="1"/>
  <c r="C779" i="123"/>
  <c r="D11" i="86"/>
  <c r="D41" i="111"/>
  <c r="C778" i="123"/>
  <c r="D40" i="111"/>
  <c r="B778" i="123"/>
  <c r="C10" i="86"/>
  <c r="D10" i="86"/>
  <c r="O369" i="112"/>
  <c r="O1563" i="123" s="1"/>
  <c r="I1563" i="123" s="1"/>
  <c r="P1563" i="123"/>
  <c r="BC447" i="112"/>
  <c r="BA431" i="112"/>
  <c r="P1335" i="123"/>
  <c r="AY431" i="112"/>
  <c r="O1335" i="123"/>
  <c r="J307" i="112"/>
  <c r="J1501" i="123" s="1"/>
  <c r="O207" i="112"/>
  <c r="AD228" i="123"/>
  <c r="AF228" i="123" s="1"/>
  <c r="J784" i="123"/>
  <c r="AD223" i="123"/>
  <c r="AF223" i="123" s="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Q183" i="110"/>
  <c r="AD108" i="107"/>
  <c r="AF108" i="107" s="1"/>
  <c r="P170" i="110"/>
  <c r="Q179" i="110"/>
  <c r="F31" i="111"/>
  <c r="F769" i="123" s="1"/>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H14" i="111"/>
  <c r="Q185" i="110"/>
  <c r="P175" i="110"/>
  <c r="K74" i="110"/>
  <c r="P72" i="110"/>
  <c r="Q182" i="110"/>
  <c r="K188" i="110"/>
  <c r="P186" i="110"/>
  <c r="Q181" i="110"/>
  <c r="P143" i="110"/>
  <c r="P150" i="110"/>
  <c r="AD227" i="123" s="1"/>
  <c r="AF227" i="123" s="1"/>
  <c r="P173" i="110"/>
  <c r="P120" i="110"/>
  <c r="P176" i="110"/>
  <c r="D782" i="123" l="1"/>
  <c r="E44" i="111"/>
  <c r="L472" i="123"/>
  <c r="M472" i="123" s="1"/>
  <c r="G157" i="123"/>
  <c r="C163" i="123"/>
  <c r="G151" i="123"/>
  <c r="H18" i="100"/>
  <c r="M58" i="110"/>
  <c r="M59" i="110" s="1"/>
  <c r="B15" i="111" s="1"/>
  <c r="B753" i="123" s="1"/>
  <c r="A478" i="123"/>
  <c r="L478" i="123"/>
  <c r="M478" i="123" s="1"/>
  <c r="L477" i="123"/>
  <c r="M477" i="123" s="1"/>
  <c r="A477" i="123"/>
  <c r="A476" i="123"/>
  <c r="L476" i="123"/>
  <c r="M476" i="123" s="1"/>
  <c r="A58" i="110"/>
  <c r="A6" i="110" s="1"/>
  <c r="L474" i="123"/>
  <c r="M474" i="123" s="1"/>
  <c r="A474" i="123"/>
  <c r="A471" i="123"/>
  <c r="L471" i="123"/>
  <c r="M471" i="123" s="1"/>
  <c r="L475" i="123"/>
  <c r="M475" i="123" s="1"/>
  <c r="AF225" i="123"/>
  <c r="D779" i="123"/>
  <c r="E41" i="111"/>
  <c r="E11" i="86"/>
  <c r="D778" i="123"/>
  <c r="E40" i="111"/>
  <c r="F10" i="86" s="1"/>
  <c r="E10" i="86"/>
  <c r="I369" i="112"/>
  <c r="AX447" i="112"/>
  <c r="AX450" i="112" s="1"/>
  <c r="AY447" i="112"/>
  <c r="AY450" i="112" s="1"/>
  <c r="AD225" i="123"/>
  <c r="K784" i="123"/>
  <c r="AD229" i="123"/>
  <c r="AF229" i="123"/>
  <c r="P311" i="112"/>
  <c r="O311" i="112"/>
  <c r="BB450" i="112"/>
  <c r="P408" i="112" s="1"/>
  <c r="P1602" i="123" s="1"/>
  <c r="P1200" i="123" s="1"/>
  <c r="BC450" i="112"/>
  <c r="BA450" i="112"/>
  <c r="AZ440" i="112"/>
  <c r="K382" i="112"/>
  <c r="J311" i="112"/>
  <c r="AW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K190" i="110"/>
  <c r="P190" i="110" s="1"/>
  <c r="P188" i="110"/>
  <c r="P265" i="110"/>
  <c r="K76" i="110"/>
  <c r="P74" i="110"/>
  <c r="E782" i="123" l="1"/>
  <c r="F44" i="111"/>
  <c r="C15" i="111"/>
  <c r="C753" i="123" s="1"/>
  <c r="E15" i="111"/>
  <c r="E753" i="123" s="1"/>
  <c r="H15" i="111"/>
  <c r="H753" i="123" s="1"/>
  <c r="G15" i="111"/>
  <c r="G753" i="123" s="1"/>
  <c r="D15" i="111"/>
  <c r="D753" i="123" s="1"/>
  <c r="F15" i="111"/>
  <c r="F753" i="123" s="1"/>
  <c r="C52" i="100"/>
  <c r="E223" i="123"/>
  <c r="I223" i="123" s="1"/>
  <c r="H201" i="110"/>
  <c r="M511" i="123"/>
  <c r="M512" i="123" s="1"/>
  <c r="A511" i="123"/>
  <c r="A459" i="123" s="1"/>
  <c r="Q710" i="123"/>
  <c r="R710" i="123"/>
  <c r="E779" i="123"/>
  <c r="F41" i="111"/>
  <c r="F11" i="86"/>
  <c r="E778" i="123"/>
  <c r="F40" i="111"/>
  <c r="G10" i="86" s="1"/>
  <c r="O408" i="112"/>
  <c r="O6" i="112" s="1"/>
  <c r="P282" i="123"/>
  <c r="M282" i="123"/>
  <c r="M283" i="123" s="1"/>
  <c r="M285" i="123" s="1"/>
  <c r="J282" i="123"/>
  <c r="J283" i="123" s="1"/>
  <c r="J285" i="123" s="1"/>
  <c r="B816" i="123"/>
  <c r="K1341" i="123"/>
  <c r="F162" i="123"/>
  <c r="F163" i="123"/>
  <c r="K197" i="110"/>
  <c r="J163" i="123"/>
  <c r="P6" i="112"/>
  <c r="P304" i="112"/>
  <c r="P1498" i="123" s="1"/>
  <c r="O304" i="112"/>
  <c r="O1498" i="123" s="1"/>
  <c r="K1498" i="123" s="1"/>
  <c r="L311" i="112"/>
  <c r="K381" i="112"/>
  <c r="H31" i="111"/>
  <c r="H769" i="123" s="1"/>
  <c r="G53" i="82"/>
  <c r="M168" i="107"/>
  <c r="M169" i="107" s="1"/>
  <c r="M171" i="107" s="1"/>
  <c r="E174" i="90"/>
  <c r="F49" i="107"/>
  <c r="J49" i="107"/>
  <c r="AF113" i="107"/>
  <c r="AF115" i="107" s="1"/>
  <c r="E109" i="107" s="1"/>
  <c r="I109" i="107" s="1"/>
  <c r="AD115" i="107"/>
  <c r="P168" i="107"/>
  <c r="F48" i="107"/>
  <c r="K147" i="112"/>
  <c r="J168" i="107"/>
  <c r="J169" i="107" s="1"/>
  <c r="B23" i="111"/>
  <c r="B761" i="123" s="1"/>
  <c r="J14" i="111"/>
  <c r="I15" i="111"/>
  <c r="Q257" i="110"/>
  <c r="R257" i="110"/>
  <c r="P76" i="110"/>
  <c r="K192" i="110"/>
  <c r="K94" i="110"/>
  <c r="K82" i="110"/>
  <c r="K91" i="110"/>
  <c r="K79" i="110"/>
  <c r="K85" i="110"/>
  <c r="K88" i="110"/>
  <c r="K97" i="110"/>
  <c r="G44" i="111" l="1"/>
  <c r="F782" i="123"/>
  <c r="I753" i="123"/>
  <c r="H654" i="123"/>
  <c r="B16" i="111"/>
  <c r="P201" i="110"/>
  <c r="J139" i="110"/>
  <c r="J136" i="110"/>
  <c r="J133" i="110"/>
  <c r="Q252" i="110"/>
  <c r="F779" i="123"/>
  <c r="G41" i="111"/>
  <c r="H11" i="86" s="1"/>
  <c r="G11" i="86"/>
  <c r="F778" i="123"/>
  <c r="G40" i="111"/>
  <c r="H10" i="86" s="1"/>
  <c r="O1602" i="123"/>
  <c r="O1200" i="123" s="1"/>
  <c r="C816" i="123"/>
  <c r="AD220" i="123"/>
  <c r="E169" i="123"/>
  <c r="J1267" i="123"/>
  <c r="AE236" i="123"/>
  <c r="F248" i="123"/>
  <c r="AE237" i="123"/>
  <c r="H1527" i="123"/>
  <c r="AE239" i="123"/>
  <c r="AE240" i="123"/>
  <c r="AE241" i="123"/>
  <c r="E201" i="123"/>
  <c r="AE238" i="123"/>
  <c r="J162" i="123"/>
  <c r="P162" i="123"/>
  <c r="AV441" i="112"/>
  <c r="AV450" i="112" s="1"/>
  <c r="K304" i="112"/>
  <c r="AI460" i="112"/>
  <c r="K238" i="112"/>
  <c r="J265" i="112"/>
  <c r="AZ441" i="112"/>
  <c r="AZ450" i="112" s="1"/>
  <c r="AJ460" i="112"/>
  <c r="C13" i="86"/>
  <c r="I31" i="111"/>
  <c r="I769" i="123" s="1"/>
  <c r="H53" i="82"/>
  <c r="J105" i="112"/>
  <c r="J1299" i="123" s="1"/>
  <c r="J171" i="107"/>
  <c r="G15" i="82"/>
  <c r="K13" i="100"/>
  <c r="P48" i="107"/>
  <c r="H333" i="112"/>
  <c r="J73" i="112"/>
  <c r="L181" i="113"/>
  <c r="L1063" i="123" s="1"/>
  <c r="AE125" i="107"/>
  <c r="AE123" i="107"/>
  <c r="E87" i="107"/>
  <c r="L183" i="113"/>
  <c r="F134" i="107"/>
  <c r="AD106" i="107"/>
  <c r="J48" i="107"/>
  <c r="C13" i="100"/>
  <c r="E55" i="107"/>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15" i="111"/>
  <c r="K261" i="110"/>
  <c r="K262" i="110"/>
  <c r="K260" i="110"/>
  <c r="K259" i="110"/>
  <c r="K257" i="110"/>
  <c r="K258" i="110"/>
  <c r="J59" i="110"/>
  <c r="J58" i="110"/>
  <c r="P79" i="110"/>
  <c r="P82" i="110"/>
  <c r="P94" i="110"/>
  <c r="P91" i="110"/>
  <c r="P88" i="110"/>
  <c r="P97" i="110"/>
  <c r="P85" i="110"/>
  <c r="D33" i="90"/>
  <c r="D35" i="90"/>
  <c r="D34" i="90" s="1"/>
  <c r="H16" i="85"/>
  <c r="H44" i="111" l="1"/>
  <c r="G782" i="123"/>
  <c r="G54" i="107"/>
  <c r="J16" i="111"/>
  <c r="J754" i="123" s="1"/>
  <c r="J753" i="123"/>
  <c r="B754" i="123"/>
  <c r="B17" i="111"/>
  <c r="B22" i="111" s="1"/>
  <c r="I16" i="111"/>
  <c r="D16" i="111"/>
  <c r="C53" i="100"/>
  <c r="G16" i="111"/>
  <c r="H16" i="111"/>
  <c r="F16" i="111"/>
  <c r="C16" i="111"/>
  <c r="E16" i="111"/>
  <c r="G779" i="123"/>
  <c r="H41" i="111"/>
  <c r="G778" i="123"/>
  <c r="H40" i="111"/>
  <c r="I10" i="86" s="1"/>
  <c r="R183" i="113"/>
  <c r="L1065" i="123"/>
  <c r="D816" i="123"/>
  <c r="M1268" i="123"/>
  <c r="J1268" i="123"/>
  <c r="AF236" i="123"/>
  <c r="AF239" i="123"/>
  <c r="AH239" i="123" s="1"/>
  <c r="L182" i="113"/>
  <c r="R181" i="113"/>
  <c r="D33" i="86"/>
  <c r="C33" i="86"/>
  <c r="J31" i="111"/>
  <c r="J769" i="123" s="1"/>
  <c r="I53" i="82"/>
  <c r="AF122" i="107"/>
  <c r="AH122" i="107" s="1"/>
  <c r="G13" i="86"/>
  <c r="H13" i="86"/>
  <c r="D13" i="86"/>
  <c r="F13" i="86"/>
  <c r="I13" i="86"/>
  <c r="E13" i="86"/>
  <c r="AF125" i="107"/>
  <c r="AH125" i="107" s="1"/>
  <c r="M74" i="112"/>
  <c r="M76" i="112" s="1"/>
  <c r="O76" i="112"/>
  <c r="J74" i="112"/>
  <c r="J76" i="112" s="1"/>
  <c r="J1270" i="123" s="1"/>
  <c r="B46" i="111"/>
  <c r="K15"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H782" i="123" l="1"/>
  <c r="I44" i="111"/>
  <c r="J17" i="111"/>
  <c r="J755" i="123" s="1"/>
  <c r="G169" i="123"/>
  <c r="F55" i="107"/>
  <c r="B58" i="107"/>
  <c r="Q695" i="123"/>
  <c r="B760" i="123"/>
  <c r="Q242" i="110"/>
  <c r="K753" i="123"/>
  <c r="J22" i="111"/>
  <c r="H754" i="123"/>
  <c r="H17" i="111"/>
  <c r="H755" i="123" s="1"/>
  <c r="G754" i="123"/>
  <c r="G17" i="111"/>
  <c r="G755" i="123" s="1"/>
  <c r="D17" i="111"/>
  <c r="D755" i="123" s="1"/>
  <c r="D754" i="123"/>
  <c r="F754" i="123"/>
  <c r="F17" i="111"/>
  <c r="F755" i="123" s="1"/>
  <c r="I754" i="123"/>
  <c r="I17" i="111"/>
  <c r="I22" i="111" s="1"/>
  <c r="C54" i="100"/>
  <c r="B20" i="111"/>
  <c r="L4" i="95"/>
  <c r="J4" i="91"/>
  <c r="K6" i="111"/>
  <c r="B755" i="123"/>
  <c r="K8" i="111"/>
  <c r="E754" i="123"/>
  <c r="E17" i="111"/>
  <c r="E22" i="111" s="1"/>
  <c r="C754" i="123"/>
  <c r="C17" i="111"/>
  <c r="C22" i="111" s="1"/>
  <c r="H779" i="123"/>
  <c r="I41" i="111"/>
  <c r="C31" i="86" s="1"/>
  <c r="I11" i="86"/>
  <c r="H778" i="123"/>
  <c r="I40" i="111"/>
  <c r="R182" i="113"/>
  <c r="L1064" i="123"/>
  <c r="E816" i="123"/>
  <c r="AH236" i="123"/>
  <c r="E241" i="123"/>
  <c r="A241" i="123" s="1"/>
  <c r="E33" i="86"/>
  <c r="J20" i="111"/>
  <c r="J758" i="123" s="1"/>
  <c r="K31" i="111"/>
  <c r="K769" i="123" s="1"/>
  <c r="J53" i="82"/>
  <c r="E127" i="107"/>
  <c r="A127" i="107" s="1"/>
  <c r="C46" i="111"/>
  <c r="B55" i="111"/>
  <c r="B793" i="123" s="1"/>
  <c r="B47" i="111"/>
  <c r="B48" i="111"/>
  <c r="B786" i="123" s="1"/>
  <c r="K17" i="111"/>
  <c r="K755" i="123" s="1"/>
  <c r="I782" i="123" l="1"/>
  <c r="J44" i="111"/>
  <c r="G22" i="111"/>
  <c r="G760" i="123" s="1"/>
  <c r="F169" i="123"/>
  <c r="B172" i="123"/>
  <c r="G168" i="123"/>
  <c r="P169" i="123"/>
  <c r="P261" i="123" s="1"/>
  <c r="P277" i="123" s="1"/>
  <c r="P279" i="123" s="1"/>
  <c r="P281" i="123" s="1"/>
  <c r="P283" i="123" s="1"/>
  <c r="P285" i="123" s="1"/>
  <c r="J286" i="123" s="1"/>
  <c r="P147" i="107"/>
  <c r="P163" i="107" s="1"/>
  <c r="J58" i="107"/>
  <c r="F58" i="107"/>
  <c r="F57" i="107"/>
  <c r="J57" i="107"/>
  <c r="P57" i="107"/>
  <c r="D22" i="111"/>
  <c r="D760" i="123" s="1"/>
  <c r="D20" i="111"/>
  <c r="D758" i="123" s="1"/>
  <c r="E760" i="123"/>
  <c r="I760" i="123"/>
  <c r="H22" i="111"/>
  <c r="B785" i="123"/>
  <c r="K22" i="111"/>
  <c r="C760" i="123"/>
  <c r="Q250" i="110"/>
  <c r="O244" i="110"/>
  <c r="O243" i="110"/>
  <c r="Q703" i="123"/>
  <c r="O697" i="123"/>
  <c r="O696" i="123"/>
  <c r="J760" i="123"/>
  <c r="F22" i="111"/>
  <c r="H20" i="111"/>
  <c r="E20" i="111"/>
  <c r="E755" i="123"/>
  <c r="B758" i="123"/>
  <c r="I755" i="123"/>
  <c r="I20" i="111"/>
  <c r="G20" i="111"/>
  <c r="C755" i="123"/>
  <c r="C20" i="111"/>
  <c r="F20" i="111"/>
  <c r="I779" i="123"/>
  <c r="J41" i="111"/>
  <c r="I778" i="123"/>
  <c r="J40" i="111"/>
  <c r="C30" i="86"/>
  <c r="F816" i="123"/>
  <c r="K20" i="111"/>
  <c r="K758" i="123" s="1"/>
  <c r="F33" i="86"/>
  <c r="B63" i="111"/>
  <c r="B801" i="123" s="1"/>
  <c r="K53" i="82"/>
  <c r="B49" i="111"/>
  <c r="B787" i="123" s="1"/>
  <c r="D46" i="111"/>
  <c r="C47" i="111"/>
  <c r="C55" i="111"/>
  <c r="C793" i="123" s="1"/>
  <c r="C48" i="111"/>
  <c r="C786" i="123" s="1"/>
  <c r="K44" i="111" l="1"/>
  <c r="J782" i="123"/>
  <c r="P165" i="107"/>
  <c r="P167" i="107" s="1"/>
  <c r="P169" i="107" s="1"/>
  <c r="P171" i="107" s="1"/>
  <c r="J172" i="107" s="1"/>
  <c r="E3" i="86"/>
  <c r="J172" i="123"/>
  <c r="F171" i="123"/>
  <c r="F172" i="123"/>
  <c r="P171" i="123"/>
  <c r="J171" i="123"/>
  <c r="H760" i="123"/>
  <c r="F130" i="107"/>
  <c r="B21" i="111"/>
  <c r="D53" i="111" s="1"/>
  <c r="F245" i="123"/>
  <c r="F244" i="123"/>
  <c r="F131" i="107"/>
  <c r="Q269" i="110"/>
  <c r="P251" i="110"/>
  <c r="P704" i="123"/>
  <c r="Q722" i="123"/>
  <c r="K760" i="123"/>
  <c r="C785" i="123"/>
  <c r="F760" i="123"/>
  <c r="B54" i="111"/>
  <c r="H758" i="123"/>
  <c r="I758" i="123"/>
  <c r="F758" i="123"/>
  <c r="C758" i="123"/>
  <c r="G758" i="123"/>
  <c r="E758" i="123"/>
  <c r="J779" i="123"/>
  <c r="K41" i="111"/>
  <c r="E31" i="86" s="1"/>
  <c r="D31" i="86"/>
  <c r="J778" i="123"/>
  <c r="K40" i="111"/>
  <c r="D30" i="86"/>
  <c r="G816" i="123"/>
  <c r="B52" i="111"/>
  <c r="B790" i="123" s="1"/>
  <c r="G33" i="86"/>
  <c r="C63" i="111"/>
  <c r="C801" i="123" s="1"/>
  <c r="B73" i="82"/>
  <c r="C49" i="111"/>
  <c r="C787" i="123" s="1"/>
  <c r="E46" i="111"/>
  <c r="D47" i="111"/>
  <c r="D55" i="111"/>
  <c r="D793" i="123" s="1"/>
  <c r="D48" i="111"/>
  <c r="D786" i="123" s="1"/>
  <c r="B76" i="111" l="1"/>
  <c r="K782" i="123"/>
  <c r="S244" i="123"/>
  <c r="G244" i="123"/>
  <c r="J244" i="123" s="1"/>
  <c r="F78" i="89"/>
  <c r="J130" i="107"/>
  <c r="G245" i="123"/>
  <c r="F74" i="89"/>
  <c r="G136" i="107"/>
  <c r="J131" i="107"/>
  <c r="J15" i="115"/>
  <c r="J1624" i="123" s="1"/>
  <c r="C54" i="111"/>
  <c r="C792" i="123" s="1"/>
  <c r="D785" i="123"/>
  <c r="B792" i="123"/>
  <c r="B39" i="111"/>
  <c r="D21" i="111"/>
  <c r="G21" i="111"/>
  <c r="E21" i="111"/>
  <c r="B759" i="123"/>
  <c r="C21" i="111"/>
  <c r="H21" i="111"/>
  <c r="F21" i="111"/>
  <c r="I21" i="111"/>
  <c r="J21" i="111"/>
  <c r="K21" i="111"/>
  <c r="B53" i="111"/>
  <c r="B791" i="123" s="1"/>
  <c r="B25" i="111"/>
  <c r="B35" i="111" s="1"/>
  <c r="C53" i="111"/>
  <c r="C791" i="123" s="1"/>
  <c r="D791" i="123"/>
  <c r="K779" i="123"/>
  <c r="B73" i="111"/>
  <c r="F31" i="86" s="1"/>
  <c r="K778" i="123"/>
  <c r="B72" i="111"/>
  <c r="F30" i="86" s="1"/>
  <c r="E30" i="86"/>
  <c r="H816" i="123"/>
  <c r="H33" i="86"/>
  <c r="C52" i="111"/>
  <c r="C790" i="123" s="1"/>
  <c r="D63" i="111"/>
  <c r="D801" i="123" s="1"/>
  <c r="C73" i="82"/>
  <c r="D49" i="111"/>
  <c r="D787" i="123" s="1"/>
  <c r="F46" i="111"/>
  <c r="E47" i="111"/>
  <c r="E55" i="111"/>
  <c r="E793" i="123" s="1"/>
  <c r="E53" i="111"/>
  <c r="E48" i="111"/>
  <c r="E786" i="123" s="1"/>
  <c r="C76" i="111" l="1"/>
  <c r="B814" i="123"/>
  <c r="B57" i="111"/>
  <c r="B67" i="111" s="1"/>
  <c r="J245" i="123"/>
  <c r="G250" i="123"/>
  <c r="S245" i="123"/>
  <c r="S250" i="123" s="1"/>
  <c r="S136" i="107"/>
  <c r="C795" i="123"/>
  <c r="C803" i="123" s="1"/>
  <c r="C809" i="123"/>
  <c r="H759" i="123"/>
  <c r="H39" i="111"/>
  <c r="H25" i="111"/>
  <c r="H35" i="111" s="1"/>
  <c r="C759" i="123"/>
  <c r="C39" i="111"/>
  <c r="C25" i="111"/>
  <c r="C35" i="111" s="1"/>
  <c r="B33" i="111"/>
  <c r="B34" i="111"/>
  <c r="B44" i="82"/>
  <c r="B38" i="111"/>
  <c r="B777" i="123"/>
  <c r="B763" i="123"/>
  <c r="B773" i="123" s="1"/>
  <c r="B809" i="123"/>
  <c r="E759" i="123"/>
  <c r="E39" i="111"/>
  <c r="E25" i="111"/>
  <c r="E35" i="111" s="1"/>
  <c r="C71" i="111"/>
  <c r="E785" i="123"/>
  <c r="K759" i="123"/>
  <c r="K25" i="111"/>
  <c r="K35" i="111" s="1"/>
  <c r="K39" i="111"/>
  <c r="G759" i="123"/>
  <c r="G39" i="111"/>
  <c r="G25" i="111"/>
  <c r="G35" i="111" s="1"/>
  <c r="J759" i="123"/>
  <c r="J25" i="111"/>
  <c r="J35" i="111" s="1"/>
  <c r="J39" i="111"/>
  <c r="D759" i="123"/>
  <c r="D25" i="111"/>
  <c r="D35" i="111" s="1"/>
  <c r="D39" i="111"/>
  <c r="B795" i="123"/>
  <c r="B805" i="123" s="1"/>
  <c r="I759" i="123"/>
  <c r="I39" i="111"/>
  <c r="I25" i="111"/>
  <c r="I35" i="111" s="1"/>
  <c r="F759" i="123"/>
  <c r="F39" i="111"/>
  <c r="F25" i="111"/>
  <c r="F35" i="111" s="1"/>
  <c r="B71" i="111"/>
  <c r="D54" i="111"/>
  <c r="E791" i="123"/>
  <c r="B811" i="123"/>
  <c r="C73" i="111"/>
  <c r="G31" i="86" s="1"/>
  <c r="B810" i="123"/>
  <c r="C72" i="111"/>
  <c r="G30" i="86" s="1"/>
  <c r="I816" i="123"/>
  <c r="D52" i="111"/>
  <c r="D790" i="123" s="1"/>
  <c r="I33" i="86"/>
  <c r="C57" i="111"/>
  <c r="C67" i="111" s="1"/>
  <c r="E63" i="111"/>
  <c r="E801" i="123" s="1"/>
  <c r="D73" i="82"/>
  <c r="G46" i="111"/>
  <c r="F55" i="111"/>
  <c r="F793" i="123" s="1"/>
  <c r="F47" i="111"/>
  <c r="F53" i="111"/>
  <c r="F48" i="111"/>
  <c r="F786" i="123" s="1"/>
  <c r="E49" i="111"/>
  <c r="E787" i="123" s="1"/>
  <c r="V176" i="72"/>
  <c r="V177" i="72"/>
  <c r="C814" i="123" l="1"/>
  <c r="D76" i="111"/>
  <c r="B70" i="111"/>
  <c r="B65" i="111"/>
  <c r="F29" i="86" s="1"/>
  <c r="C804" i="123"/>
  <c r="C805" i="123"/>
  <c r="B64" i="82"/>
  <c r="B66" i="111"/>
  <c r="C808" i="123"/>
  <c r="E34" i="111"/>
  <c r="E44" i="82"/>
  <c r="E38" i="111"/>
  <c r="E33" i="111"/>
  <c r="F9" i="86" s="1"/>
  <c r="F33" i="111"/>
  <c r="G9" i="86" s="1"/>
  <c r="F34" i="111"/>
  <c r="F38" i="111"/>
  <c r="F44" i="82"/>
  <c r="G777" i="123"/>
  <c r="G763" i="123"/>
  <c r="G773" i="123" s="1"/>
  <c r="C9" i="86"/>
  <c r="S21" i="111"/>
  <c r="D38" i="111"/>
  <c r="D34" i="111"/>
  <c r="D44" i="82"/>
  <c r="D33" i="111"/>
  <c r="E9" i="86" s="1"/>
  <c r="E777" i="123"/>
  <c r="E763" i="123"/>
  <c r="E773" i="123" s="1"/>
  <c r="C44" i="82"/>
  <c r="C38" i="111"/>
  <c r="C33" i="111"/>
  <c r="C34" i="111"/>
  <c r="D792" i="123"/>
  <c r="D809" i="123" s="1"/>
  <c r="D71" i="111"/>
  <c r="G34" i="111"/>
  <c r="G33" i="111"/>
  <c r="H9" i="86" s="1"/>
  <c r="G44" i="82"/>
  <c r="G38" i="111"/>
  <c r="B803" i="123"/>
  <c r="B808" i="123"/>
  <c r="B804" i="123"/>
  <c r="F777" i="123"/>
  <c r="F763" i="123"/>
  <c r="F773" i="123" s="1"/>
  <c r="D777" i="123"/>
  <c r="D763" i="123"/>
  <c r="D773" i="123" s="1"/>
  <c r="K34" i="111"/>
  <c r="K38" i="111"/>
  <c r="K33" i="111"/>
  <c r="E29" i="86" s="1"/>
  <c r="K44" i="82"/>
  <c r="I44" i="82"/>
  <c r="I34" i="111"/>
  <c r="I33" i="111"/>
  <c r="C29" i="86" s="1"/>
  <c r="I38" i="111"/>
  <c r="K777" i="123"/>
  <c r="K763" i="123"/>
  <c r="K773" i="123" s="1"/>
  <c r="B771" i="123"/>
  <c r="B772" i="123"/>
  <c r="B776" i="123"/>
  <c r="C777" i="123"/>
  <c r="C763" i="123"/>
  <c r="C773" i="123" s="1"/>
  <c r="J33" i="111"/>
  <c r="D29" i="86" s="1"/>
  <c r="J44" i="82"/>
  <c r="J38" i="111"/>
  <c r="J34" i="111"/>
  <c r="E54" i="111"/>
  <c r="H33" i="111"/>
  <c r="I9" i="86" s="1"/>
  <c r="H44" i="82"/>
  <c r="H38" i="111"/>
  <c r="H34" i="111"/>
  <c r="F785" i="123"/>
  <c r="I777" i="123"/>
  <c r="I763" i="123"/>
  <c r="I773" i="123" s="1"/>
  <c r="J777" i="123"/>
  <c r="J763" i="123"/>
  <c r="J773" i="123" s="1"/>
  <c r="H777" i="123"/>
  <c r="H763" i="123"/>
  <c r="H773" i="123" s="1"/>
  <c r="F791" i="123"/>
  <c r="C70" i="111"/>
  <c r="C66" i="111"/>
  <c r="C811" i="123"/>
  <c r="D73" i="111"/>
  <c r="H31" i="86" s="1"/>
  <c r="C810" i="123"/>
  <c r="D72" i="111"/>
  <c r="H30" i="86" s="1"/>
  <c r="J816" i="123"/>
  <c r="C65" i="111"/>
  <c r="C64" i="82"/>
  <c r="C53" i="86"/>
  <c r="E52" i="111"/>
  <c r="E790" i="123" s="1"/>
  <c r="D57" i="111"/>
  <c r="D67" i="111" s="1"/>
  <c r="F63" i="111"/>
  <c r="F801" i="123" s="1"/>
  <c r="E73" i="82"/>
  <c r="H46" i="111"/>
  <c r="G47" i="111"/>
  <c r="G53" i="111"/>
  <c r="G55" i="111"/>
  <c r="G793" i="123" s="1"/>
  <c r="G48" i="111"/>
  <c r="G786" i="123" s="1"/>
  <c r="F49" i="111"/>
  <c r="F787" i="123" s="1"/>
  <c r="D814" i="123" l="1"/>
  <c r="E76" i="111"/>
  <c r="F54" i="111"/>
  <c r="F792" i="123" s="1"/>
  <c r="F809" i="123" s="1"/>
  <c r="D795" i="123"/>
  <c r="D805" i="123" s="1"/>
  <c r="G785" i="123"/>
  <c r="J771" i="123"/>
  <c r="J772" i="123"/>
  <c r="J776" i="123"/>
  <c r="S22" i="111"/>
  <c r="S23" i="111"/>
  <c r="S28" i="111"/>
  <c r="D9" i="86"/>
  <c r="S27" i="111"/>
  <c r="S29" i="111"/>
  <c r="S24" i="111"/>
  <c r="S32" i="111"/>
  <c r="S26" i="111"/>
  <c r="I771" i="123"/>
  <c r="I772" i="123"/>
  <c r="I776" i="123"/>
  <c r="C771" i="123"/>
  <c r="C776" i="123"/>
  <c r="C772" i="123"/>
  <c r="D771" i="123"/>
  <c r="D776" i="123"/>
  <c r="D772" i="123"/>
  <c r="K772" i="123"/>
  <c r="K771" i="123"/>
  <c r="K776" i="123"/>
  <c r="E771" i="123"/>
  <c r="E772" i="123"/>
  <c r="E776" i="123"/>
  <c r="E792" i="123"/>
  <c r="E809" i="123" s="1"/>
  <c r="E71" i="111"/>
  <c r="F772" i="123"/>
  <c r="F776" i="123"/>
  <c r="F771" i="123"/>
  <c r="S30" i="111"/>
  <c r="S25" i="111"/>
  <c r="G776" i="123"/>
  <c r="G771" i="123"/>
  <c r="G772" i="123"/>
  <c r="H772" i="123"/>
  <c r="H771" i="123"/>
  <c r="H776" i="123"/>
  <c r="S759" i="123"/>
  <c r="S31" i="111"/>
  <c r="G791" i="123"/>
  <c r="D66" i="111"/>
  <c r="D70" i="111"/>
  <c r="D811" i="123"/>
  <c r="E73" i="111"/>
  <c r="I31" i="86" s="1"/>
  <c r="D810" i="123"/>
  <c r="E72" i="111"/>
  <c r="I30" i="86" s="1"/>
  <c r="K816" i="123"/>
  <c r="D65" i="111"/>
  <c r="D64" i="82"/>
  <c r="D53" i="86"/>
  <c r="G29" i="86"/>
  <c r="F52" i="111"/>
  <c r="F790" i="123" s="1"/>
  <c r="E57" i="111"/>
  <c r="E67" i="111" s="1"/>
  <c r="G63" i="111"/>
  <c r="G801" i="123" s="1"/>
  <c r="F73" i="82"/>
  <c r="I46" i="111"/>
  <c r="H55" i="111"/>
  <c r="H793" i="123" s="1"/>
  <c r="H47" i="111"/>
  <c r="H53" i="111"/>
  <c r="H48" i="111"/>
  <c r="H786" i="123" s="1"/>
  <c r="G49" i="111"/>
  <c r="G787" i="123" s="1"/>
  <c r="E814" i="123" l="1"/>
  <c r="F76" i="111"/>
  <c r="F71" i="111"/>
  <c r="F795" i="123"/>
  <c r="F805" i="123" s="1"/>
  <c r="E795" i="123"/>
  <c r="S763" i="123"/>
  <c r="D803" i="123"/>
  <c r="S771" i="123" s="1"/>
  <c r="D804" i="123"/>
  <c r="D808" i="123"/>
  <c r="S760" i="123"/>
  <c r="S765" i="123"/>
  <c r="S764" i="123"/>
  <c r="S768" i="123"/>
  <c r="S767" i="123"/>
  <c r="G54" i="111"/>
  <c r="S769" i="123"/>
  <c r="S761" i="123"/>
  <c r="S766" i="123"/>
  <c r="H785" i="123"/>
  <c r="S762" i="123"/>
  <c r="S770" i="123"/>
  <c r="H791" i="123"/>
  <c r="F803" i="123"/>
  <c r="F808" i="123"/>
  <c r="F804" i="123"/>
  <c r="E66" i="111"/>
  <c r="E70" i="111"/>
  <c r="E811" i="123"/>
  <c r="F73" i="111"/>
  <c r="E810" i="123"/>
  <c r="F72" i="111"/>
  <c r="C50" i="86" s="1"/>
  <c r="B846" i="123"/>
  <c r="E65" i="111"/>
  <c r="E64" i="82"/>
  <c r="G52" i="111"/>
  <c r="G790" i="123" s="1"/>
  <c r="E53" i="86"/>
  <c r="F57" i="111"/>
  <c r="F67" i="111" s="1"/>
  <c r="H29" i="86"/>
  <c r="S33" i="111"/>
  <c r="H63" i="111"/>
  <c r="H801" i="123" s="1"/>
  <c r="G73" i="82"/>
  <c r="J46" i="111"/>
  <c r="I47" i="111"/>
  <c r="I53" i="111"/>
  <c r="I55" i="111"/>
  <c r="I793" i="123" s="1"/>
  <c r="I48" i="111"/>
  <c r="I786" i="123" s="1"/>
  <c r="H49" i="111"/>
  <c r="H787" i="123" s="1"/>
  <c r="F814" i="123" l="1"/>
  <c r="G76" i="111"/>
  <c r="G814" i="123" s="1"/>
  <c r="E808" i="123"/>
  <c r="E805" i="123"/>
  <c r="E804" i="123"/>
  <c r="E803" i="123"/>
  <c r="S772" i="123" s="1"/>
  <c r="G792" i="123"/>
  <c r="G809" i="123" s="1"/>
  <c r="G71" i="111"/>
  <c r="I785" i="123"/>
  <c r="H54" i="111"/>
  <c r="I791" i="123"/>
  <c r="F70" i="111"/>
  <c r="F66" i="111"/>
  <c r="F811" i="123"/>
  <c r="G73" i="111"/>
  <c r="D51" i="86" s="1"/>
  <c r="C51" i="86"/>
  <c r="F810" i="123"/>
  <c r="G72" i="111"/>
  <c r="D50" i="86" s="1"/>
  <c r="C846" i="123"/>
  <c r="H52" i="111"/>
  <c r="H790" i="123" s="1"/>
  <c r="F53" i="86"/>
  <c r="G57" i="111"/>
  <c r="G67" i="111" s="1"/>
  <c r="F65" i="111"/>
  <c r="F64" i="82"/>
  <c r="S34" i="111"/>
  <c r="I29" i="86"/>
  <c r="I63" i="111"/>
  <c r="I801" i="123" s="1"/>
  <c r="H73" i="82"/>
  <c r="K46" i="111"/>
  <c r="J55" i="111"/>
  <c r="J793" i="123" s="1"/>
  <c r="J53" i="111"/>
  <c r="J47" i="111"/>
  <c r="J48" i="111"/>
  <c r="J786" i="123" s="1"/>
  <c r="I49" i="111"/>
  <c r="I787" i="123" s="1"/>
  <c r="S773" i="123" l="1"/>
  <c r="G795" i="123"/>
  <c r="G805" i="123" s="1"/>
  <c r="H792" i="123"/>
  <c r="H809" i="123" s="1"/>
  <c r="H71" i="111"/>
  <c r="I54" i="111"/>
  <c r="J785" i="123"/>
  <c r="J791" i="123"/>
  <c r="G70" i="111"/>
  <c r="G66" i="111"/>
  <c r="G811" i="123"/>
  <c r="H73" i="111"/>
  <c r="G810" i="123"/>
  <c r="H72" i="111"/>
  <c r="E50" i="86" s="1"/>
  <c r="D846" i="123"/>
  <c r="C49" i="86"/>
  <c r="I52" i="111"/>
  <c r="I790" i="123" s="1"/>
  <c r="H57" i="111"/>
  <c r="H67" i="111" s="1"/>
  <c r="G53" i="86"/>
  <c r="G65" i="111"/>
  <c r="G64" i="82"/>
  <c r="S35" i="111"/>
  <c r="J63" i="111"/>
  <c r="J801" i="123" s="1"/>
  <c r="I73" i="82"/>
  <c r="J49" i="111"/>
  <c r="J787" i="123" s="1"/>
  <c r="B78" i="111"/>
  <c r="K53" i="111"/>
  <c r="K55" i="111"/>
  <c r="K793" i="123" s="1"/>
  <c r="K47" i="111"/>
  <c r="K48" i="111"/>
  <c r="K786" i="123" s="1"/>
  <c r="I133" i="73"/>
  <c r="O138" i="72"/>
  <c r="G803" i="123" l="1"/>
  <c r="S774" i="123" s="1"/>
  <c r="G804" i="123"/>
  <c r="J54" i="111"/>
  <c r="J792" i="123" s="1"/>
  <c r="J809" i="123" s="1"/>
  <c r="G808" i="123"/>
  <c r="I792" i="123"/>
  <c r="I809" i="123" s="1"/>
  <c r="I71" i="111"/>
  <c r="H795" i="123"/>
  <c r="H805" i="123" s="1"/>
  <c r="K785" i="123"/>
  <c r="K791" i="123"/>
  <c r="H66" i="111"/>
  <c r="H70" i="111"/>
  <c r="H811" i="123"/>
  <c r="I73" i="111"/>
  <c r="E51" i="86"/>
  <c r="H810" i="123"/>
  <c r="I72" i="111"/>
  <c r="F50" i="86" s="1"/>
  <c r="E846" i="123"/>
  <c r="F49" i="106"/>
  <c r="S36" i="111"/>
  <c r="H53" i="86"/>
  <c r="J52" i="111"/>
  <c r="J790" i="123" s="1"/>
  <c r="H64" i="82"/>
  <c r="H65" i="111"/>
  <c r="I57" i="111"/>
  <c r="I67" i="111" s="1"/>
  <c r="K63" i="111"/>
  <c r="K801" i="123" s="1"/>
  <c r="J73" i="82"/>
  <c r="K49" i="111"/>
  <c r="K787" i="123" s="1"/>
  <c r="C78" i="111"/>
  <c r="B85" i="111"/>
  <c r="B87" i="111"/>
  <c r="B825" i="123" s="1"/>
  <c r="B79" i="111"/>
  <c r="B80" i="111"/>
  <c r="B818" i="123" s="1"/>
  <c r="P47" i="72"/>
  <c r="P46" i="72"/>
  <c r="P45" i="72"/>
  <c r="J795" i="123" l="1"/>
  <c r="J805" i="123" s="1"/>
  <c r="J71" i="111"/>
  <c r="K54" i="111"/>
  <c r="B817" i="123"/>
  <c r="H803" i="123"/>
  <c r="S775" i="123" s="1"/>
  <c r="H808" i="123"/>
  <c r="H804" i="123"/>
  <c r="I795" i="123"/>
  <c r="I805" i="123" s="1"/>
  <c r="B823" i="123"/>
  <c r="I70" i="111"/>
  <c r="I66" i="111"/>
  <c r="I811" i="123"/>
  <c r="J73" i="111"/>
  <c r="F51" i="86"/>
  <c r="I810" i="123"/>
  <c r="J72" i="111"/>
  <c r="G50" i="86" s="1"/>
  <c r="F846" i="123"/>
  <c r="L49" i="106"/>
  <c r="L93" i="123" s="1"/>
  <c r="F93" i="123"/>
  <c r="S37" i="111"/>
  <c r="I65" i="111"/>
  <c r="I64" i="82"/>
  <c r="K52" i="111"/>
  <c r="K790" i="123" s="1"/>
  <c r="J57" i="111"/>
  <c r="J67" i="111" s="1"/>
  <c r="B95" i="111"/>
  <c r="B833" i="123" s="1"/>
  <c r="K73" i="82"/>
  <c r="B81" i="111"/>
  <c r="B819" i="123" s="1"/>
  <c r="D78" i="111"/>
  <c r="C79" i="111"/>
  <c r="C87" i="111"/>
  <c r="C825" i="123" s="1"/>
  <c r="C85" i="111"/>
  <c r="C80" i="111"/>
  <c r="C818" i="123" s="1"/>
  <c r="AB57" i="72"/>
  <c r="AB58" i="72"/>
  <c r="AB59" i="72"/>
  <c r="AB60" i="72"/>
  <c r="AB61" i="72"/>
  <c r="Z56" i="72"/>
  <c r="AI35" i="72"/>
  <c r="AH35" i="72"/>
  <c r="AG35" i="72"/>
  <c r="AF35" i="72"/>
  <c r="AE35" i="72"/>
  <c r="AD35" i="72"/>
  <c r="J804" i="123" l="1"/>
  <c r="J803" i="123"/>
  <c r="J808" i="123"/>
  <c r="C817" i="123"/>
  <c r="I803" i="123"/>
  <c r="S776" i="123" s="1"/>
  <c r="I808" i="123"/>
  <c r="I804" i="123"/>
  <c r="K792" i="123"/>
  <c r="K809" i="123" s="1"/>
  <c r="K71" i="111"/>
  <c r="B86" i="111"/>
  <c r="C823" i="123"/>
  <c r="J66" i="111"/>
  <c r="J70" i="111"/>
  <c r="J811" i="123"/>
  <c r="K73" i="111"/>
  <c r="G51" i="86"/>
  <c r="J810" i="123"/>
  <c r="K72" i="111"/>
  <c r="H50" i="86" s="1"/>
  <c r="J65" i="111"/>
  <c r="J64" i="82"/>
  <c r="K57" i="111"/>
  <c r="K67" i="111" s="1"/>
  <c r="S38" i="111"/>
  <c r="B84" i="111"/>
  <c r="B822" i="123" s="1"/>
  <c r="C95" i="111"/>
  <c r="C833" i="123" s="1"/>
  <c r="E78" i="111"/>
  <c r="D79" i="111"/>
  <c r="D85" i="111"/>
  <c r="D87" i="111"/>
  <c r="D825" i="123" s="1"/>
  <c r="D80" i="111"/>
  <c r="D818" i="123" s="1"/>
  <c r="C81" i="111"/>
  <c r="C819" i="123" s="1"/>
  <c r="R344" i="72"/>
  <c r="D4" i="93"/>
  <c r="S777" i="123" l="1"/>
  <c r="K795" i="123"/>
  <c r="K803" i="123" s="1"/>
  <c r="S778" i="123" s="1"/>
  <c r="C86" i="111"/>
  <c r="C824" i="123" s="1"/>
  <c r="C840" i="123" s="1"/>
  <c r="B824" i="123"/>
  <c r="B840" i="123" s="1"/>
  <c r="B102" i="111"/>
  <c r="D817" i="123"/>
  <c r="D823" i="123"/>
  <c r="K66" i="111"/>
  <c r="K70" i="111"/>
  <c r="K811" i="123"/>
  <c r="B104" i="111"/>
  <c r="H51" i="86"/>
  <c r="K810" i="123"/>
  <c r="L100" i="85"/>
  <c r="L70" i="85"/>
  <c r="B103" i="111"/>
  <c r="S39" i="111"/>
  <c r="B89" i="111"/>
  <c r="B98" i="111" s="1"/>
  <c r="C84" i="111"/>
  <c r="C822" i="123" s="1"/>
  <c r="K65" i="111"/>
  <c r="K64" i="82"/>
  <c r="D95" i="111"/>
  <c r="D833" i="123" s="1"/>
  <c r="F78" i="111"/>
  <c r="E79" i="111"/>
  <c r="E85" i="111"/>
  <c r="E87" i="111"/>
  <c r="E825" i="123" s="1"/>
  <c r="E80" i="111"/>
  <c r="E818" i="123" s="1"/>
  <c r="D81" i="111"/>
  <c r="D819" i="123" s="1"/>
  <c r="D14" i="100"/>
  <c r="C148" i="90"/>
  <c r="C146" i="90"/>
  <c r="G132" i="90"/>
  <c r="D132" i="90"/>
  <c r="C132" i="90"/>
  <c r="E58" i="90"/>
  <c r="C58" i="90"/>
  <c r="C56" i="90"/>
  <c r="C8" i="90"/>
  <c r="E68" i="89"/>
  <c r="E29" i="89"/>
  <c r="E5" i="89"/>
  <c r="O6" i="86"/>
  <c r="F15" i="85"/>
  <c r="D16" i="83"/>
  <c r="K808" i="123" l="1"/>
  <c r="K805" i="123"/>
  <c r="K804" i="123"/>
  <c r="C102" i="111"/>
  <c r="C827" i="123"/>
  <c r="C836" i="123" s="1"/>
  <c r="B827" i="123"/>
  <c r="B836" i="123" s="1"/>
  <c r="D86" i="111"/>
  <c r="E817" i="123"/>
  <c r="E823" i="123"/>
  <c r="B97" i="111"/>
  <c r="B101" i="111"/>
  <c r="B842" i="123"/>
  <c r="C104" i="111"/>
  <c r="B841" i="123"/>
  <c r="C103" i="111"/>
  <c r="B96" i="111"/>
  <c r="B834" i="123" s="1"/>
  <c r="S40" i="111"/>
  <c r="D84" i="111"/>
  <c r="D822" i="123" s="1"/>
  <c r="C89" i="111"/>
  <c r="C98" i="111" s="1"/>
  <c r="E95" i="111"/>
  <c r="E833" i="123" s="1"/>
  <c r="E81" i="111"/>
  <c r="E819" i="123" s="1"/>
  <c r="G78" i="111"/>
  <c r="F85" i="111"/>
  <c r="F87" i="111"/>
  <c r="F825" i="123" s="1"/>
  <c r="F79" i="111"/>
  <c r="F80" i="111"/>
  <c r="F818" i="123" s="1"/>
  <c r="E16" i="100"/>
  <c r="F19" i="85" s="1"/>
  <c r="C16" i="100"/>
  <c r="C14" i="100"/>
  <c r="F17" i="85" s="1"/>
  <c r="C78" i="100"/>
  <c r="C82" i="100" s="1"/>
  <c r="I76" i="100"/>
  <c r="I78" i="100" s="1"/>
  <c r="G76" i="100"/>
  <c r="G78" i="100" s="1"/>
  <c r="E76" i="100"/>
  <c r="E78" i="100" s="1"/>
  <c r="K76" i="100"/>
  <c r="K78" i="100" s="1"/>
  <c r="I69" i="100"/>
  <c r="G69" i="100"/>
  <c r="E69" i="100"/>
  <c r="K69" i="100"/>
  <c r="I67" i="100"/>
  <c r="G67" i="100"/>
  <c r="E67" i="100"/>
  <c r="I61" i="100"/>
  <c r="G61" i="100"/>
  <c r="E61" i="100"/>
  <c r="K61" i="100"/>
  <c r="I60" i="100"/>
  <c r="G60" i="100"/>
  <c r="E60" i="100"/>
  <c r="I59" i="100"/>
  <c r="G59" i="100"/>
  <c r="I58" i="100"/>
  <c r="C34" i="100"/>
  <c r="C29" i="100"/>
  <c r="K33" i="100" s="1"/>
  <c r="C839" i="123" l="1"/>
  <c r="C835" i="123"/>
  <c r="D824" i="123"/>
  <c r="D840" i="123" s="1"/>
  <c r="D102" i="111"/>
  <c r="B835" i="123"/>
  <c r="B839" i="123"/>
  <c r="E86" i="111"/>
  <c r="F817" i="123"/>
  <c r="F823" i="123"/>
  <c r="C97" i="111"/>
  <c r="C101" i="111"/>
  <c r="C842" i="123"/>
  <c r="D104" i="111"/>
  <c r="C841" i="123"/>
  <c r="D103" i="111"/>
  <c r="C96" i="111"/>
  <c r="C834" i="123" s="1"/>
  <c r="E84" i="111"/>
  <c r="E822" i="123" s="1"/>
  <c r="D89" i="111"/>
  <c r="D98" i="111" s="1"/>
  <c r="F95" i="111"/>
  <c r="F833" i="123" s="1"/>
  <c r="F81" i="111"/>
  <c r="F819" i="123" s="1"/>
  <c r="H78" i="111"/>
  <c r="G79" i="111"/>
  <c r="G87" i="111"/>
  <c r="G825" i="123" s="1"/>
  <c r="G85" i="111"/>
  <c r="G80" i="111"/>
  <c r="G818" i="123" s="1"/>
  <c r="A2" i="100"/>
  <c r="H1" i="95"/>
  <c r="A1" i="87"/>
  <c r="A2" i="83"/>
  <c r="E15" i="89"/>
  <c r="C1" i="86"/>
  <c r="F12" i="85"/>
  <c r="H1" i="91"/>
  <c r="C28" i="90"/>
  <c r="A47" i="100"/>
  <c r="H2" i="95"/>
  <c r="H2" i="91"/>
  <c r="A2" i="90"/>
  <c r="F13" i="85"/>
  <c r="A1" i="89"/>
  <c r="I63" i="100"/>
  <c r="K26" i="100"/>
  <c r="K58" i="100"/>
  <c r="C63" i="100"/>
  <c r="J18" i="100"/>
  <c r="C36" i="100"/>
  <c r="E58" i="100"/>
  <c r="K59" i="100"/>
  <c r="K29" i="100"/>
  <c r="G58" i="100"/>
  <c r="G63" i="100" s="1"/>
  <c r="E59" i="100"/>
  <c r="K60" i="100"/>
  <c r="K67" i="100"/>
  <c r="C81" i="100"/>
  <c r="F86" i="111" l="1"/>
  <c r="F824" i="123" s="1"/>
  <c r="F840" i="123" s="1"/>
  <c r="D827" i="123"/>
  <c r="E824" i="123"/>
  <c r="E840" i="123" s="1"/>
  <c r="E102" i="111"/>
  <c r="G817" i="123"/>
  <c r="G823" i="123"/>
  <c r="D97" i="111"/>
  <c r="D101" i="111"/>
  <c r="D842" i="123"/>
  <c r="E104" i="111"/>
  <c r="D841" i="123"/>
  <c r="E103" i="111"/>
  <c r="F84" i="111"/>
  <c r="F822" i="123" s="1"/>
  <c r="D96" i="111"/>
  <c r="D834" i="123" s="1"/>
  <c r="E89" i="111"/>
  <c r="E98" i="111" s="1"/>
  <c r="G95" i="111"/>
  <c r="G833" i="123" s="1"/>
  <c r="G81" i="111"/>
  <c r="G819" i="123" s="1"/>
  <c r="I78" i="111"/>
  <c r="H79" i="111"/>
  <c r="H85" i="111"/>
  <c r="H87" i="111"/>
  <c r="H825" i="123" s="1"/>
  <c r="H80" i="111"/>
  <c r="H818" i="123" s="1"/>
  <c r="E63" i="100"/>
  <c r="K37" i="100"/>
  <c r="C40" i="100"/>
  <c r="K35" i="100"/>
  <c r="K63" i="100"/>
  <c r="F827" i="123" l="1"/>
  <c r="F836" i="123" s="1"/>
  <c r="F102" i="111"/>
  <c r="D835" i="123"/>
  <c r="D836" i="123"/>
  <c r="D839" i="123"/>
  <c r="G86" i="111"/>
  <c r="H817" i="123"/>
  <c r="E827" i="123"/>
  <c r="E836" i="123" s="1"/>
  <c r="H823" i="123"/>
  <c r="E101" i="111"/>
  <c r="E97" i="111"/>
  <c r="E842" i="123"/>
  <c r="F104" i="111"/>
  <c r="E841" i="123"/>
  <c r="F103" i="111"/>
  <c r="G84" i="111"/>
  <c r="G822" i="123" s="1"/>
  <c r="E96" i="111"/>
  <c r="E834" i="123" s="1"/>
  <c r="F89" i="111"/>
  <c r="F98" i="111" s="1"/>
  <c r="H95" i="111"/>
  <c r="H833" i="123" s="1"/>
  <c r="J78" i="111"/>
  <c r="I79" i="111"/>
  <c r="I85"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839" i="123" l="1"/>
  <c r="F835" i="123"/>
  <c r="G824" i="123"/>
  <c r="G840" i="123" s="1"/>
  <c r="G102" i="111"/>
  <c r="I817" i="123"/>
  <c r="E835" i="123"/>
  <c r="E839" i="123"/>
  <c r="H86" i="111"/>
  <c r="I823" i="123"/>
  <c r="F101" i="111"/>
  <c r="F97" i="111"/>
  <c r="F842" i="123"/>
  <c r="G104" i="111"/>
  <c r="F841" i="123"/>
  <c r="G103" i="111"/>
  <c r="H84" i="111"/>
  <c r="H822" i="123" s="1"/>
  <c r="F96" i="111"/>
  <c r="F834" i="123" s="1"/>
  <c r="G89" i="111"/>
  <c r="G98" i="111" s="1"/>
  <c r="I95" i="111"/>
  <c r="I833" i="123" s="1"/>
  <c r="I81" i="111"/>
  <c r="I819" i="123" s="1"/>
  <c r="K78" i="111"/>
  <c r="J87" i="111"/>
  <c r="J825" i="123" s="1"/>
  <c r="J85" i="111"/>
  <c r="J79" i="111"/>
  <c r="J80" i="111"/>
  <c r="J818" i="123" s="1"/>
  <c r="H824" i="123" l="1"/>
  <c r="H840" i="123" s="1"/>
  <c r="H102" i="111"/>
  <c r="I86" i="111"/>
  <c r="G827" i="123"/>
  <c r="G836" i="123" s="1"/>
  <c r="J817" i="123"/>
  <c r="J823" i="123"/>
  <c r="G101" i="111"/>
  <c r="G97" i="111"/>
  <c r="G842" i="123"/>
  <c r="H104" i="111"/>
  <c r="G841" i="123"/>
  <c r="H103" i="111"/>
  <c r="G96" i="111"/>
  <c r="G834" i="123" s="1"/>
  <c r="I84" i="111"/>
  <c r="I822" i="123" s="1"/>
  <c r="H89" i="111"/>
  <c r="H98" i="111" s="1"/>
  <c r="J95" i="111"/>
  <c r="J833" i="123" s="1"/>
  <c r="J81" i="111"/>
  <c r="J819" i="123" s="1"/>
  <c r="B108" i="111"/>
  <c r="K85" i="111"/>
  <c r="K87" i="111"/>
  <c r="K825" i="123" s="1"/>
  <c r="K79" i="111"/>
  <c r="K80" i="111"/>
  <c r="K818" i="123" s="1"/>
  <c r="F18" i="85"/>
  <c r="J86" i="111" l="1"/>
  <c r="G839" i="123"/>
  <c r="G835" i="123"/>
  <c r="H827" i="123"/>
  <c r="H836" i="123" s="1"/>
  <c r="K817" i="123"/>
  <c r="I824" i="123"/>
  <c r="I840" i="123" s="1"/>
  <c r="I102" i="111"/>
  <c r="K823" i="123"/>
  <c r="H97" i="111"/>
  <c r="H101" i="111"/>
  <c r="H842" i="123"/>
  <c r="I104" i="111"/>
  <c r="H841" i="123"/>
  <c r="I103" i="111"/>
  <c r="J84" i="111"/>
  <c r="J822" i="123" s="1"/>
  <c r="H96" i="111"/>
  <c r="H834" i="123" s="1"/>
  <c r="I89" i="111"/>
  <c r="I98" i="111" s="1"/>
  <c r="K95" i="111"/>
  <c r="K833" i="123" s="1"/>
  <c r="C108" i="111"/>
  <c r="B109" i="111"/>
  <c r="B117" i="111"/>
  <c r="B855" i="123" s="1"/>
  <c r="B115" i="111"/>
  <c r="B110" i="111"/>
  <c r="B848" i="123" s="1"/>
  <c r="K81" i="111"/>
  <c r="K819" i="123" s="1"/>
  <c r="E242" i="72"/>
  <c r="K86" i="111" l="1"/>
  <c r="K824" i="123" s="1"/>
  <c r="K840" i="123" s="1"/>
  <c r="I827" i="123"/>
  <c r="I836" i="123" s="1"/>
  <c r="H835" i="123"/>
  <c r="H839" i="123"/>
  <c r="B847" i="123"/>
  <c r="J824" i="123"/>
  <c r="J840" i="123" s="1"/>
  <c r="J102" i="111"/>
  <c r="B853" i="123"/>
  <c r="I101" i="111"/>
  <c r="I97" i="111"/>
  <c r="I842" i="123"/>
  <c r="J104" i="111"/>
  <c r="I841" i="123"/>
  <c r="J103" i="111"/>
  <c r="K84" i="111"/>
  <c r="K822" i="123" s="1"/>
  <c r="I96" i="111"/>
  <c r="I834" i="123" s="1"/>
  <c r="J89" i="111"/>
  <c r="J98" i="111" s="1"/>
  <c r="B125" i="111"/>
  <c r="B863" i="123" s="1"/>
  <c r="B111" i="111"/>
  <c r="B849" i="123" s="1"/>
  <c r="D108" i="111"/>
  <c r="C109" i="111"/>
  <c r="C117" i="111"/>
  <c r="C855" i="123" s="1"/>
  <c r="C115" i="111"/>
  <c r="C110" i="111"/>
  <c r="C848" i="123" s="1"/>
  <c r="Q295" i="72"/>
  <c r="Q298" i="72"/>
  <c r="Q94" i="72"/>
  <c r="Q312" i="72"/>
  <c r="Q311" i="72"/>
  <c r="K102" i="111" l="1"/>
  <c r="K827" i="123"/>
  <c r="K836" i="123" s="1"/>
  <c r="I839" i="123"/>
  <c r="I835" i="123"/>
  <c r="B116" i="111"/>
  <c r="J827" i="123"/>
  <c r="J836" i="123" s="1"/>
  <c r="C847" i="123"/>
  <c r="C853" i="123"/>
  <c r="J101" i="111"/>
  <c r="J97" i="111"/>
  <c r="J842" i="123"/>
  <c r="K104" i="111"/>
  <c r="J841" i="123"/>
  <c r="K103" i="111"/>
  <c r="B114" i="111"/>
  <c r="B852" i="123" s="1"/>
  <c r="J96" i="111"/>
  <c r="J834" i="123" s="1"/>
  <c r="K89" i="111"/>
  <c r="K98" i="111" s="1"/>
  <c r="C125" i="111"/>
  <c r="C863" i="123" s="1"/>
  <c r="E108" i="111"/>
  <c r="D115" i="111"/>
  <c r="D109" i="111"/>
  <c r="D117" i="111"/>
  <c r="D855" i="123" s="1"/>
  <c r="D110" i="111"/>
  <c r="D848" i="123" s="1"/>
  <c r="C111" i="111"/>
  <c r="C849" i="123" s="1"/>
  <c r="I91" i="72"/>
  <c r="K839" i="123" l="1"/>
  <c r="K835" i="123"/>
  <c r="D847" i="123"/>
  <c r="C116" i="111"/>
  <c r="B854" i="123"/>
  <c r="B870" i="123" s="1"/>
  <c r="B132" i="111"/>
  <c r="J835" i="123"/>
  <c r="J839" i="123"/>
  <c r="D853" i="123"/>
  <c r="K101" i="111"/>
  <c r="K97" i="111"/>
  <c r="K842" i="123"/>
  <c r="B134" i="111"/>
  <c r="K841" i="123"/>
  <c r="B133" i="111"/>
  <c r="C114" i="111"/>
  <c r="C852" i="123" s="1"/>
  <c r="K96" i="111"/>
  <c r="K834" i="123" s="1"/>
  <c r="B119" i="111"/>
  <c r="B128" i="111" s="1"/>
  <c r="D125" i="111"/>
  <c r="D863" i="123" s="1"/>
  <c r="D111" i="111"/>
  <c r="D849" i="123" s="1"/>
  <c r="F108" i="111"/>
  <c r="E109" i="111"/>
  <c r="E115" i="111"/>
  <c r="E117" i="111"/>
  <c r="E855" i="123" s="1"/>
  <c r="E110" i="111"/>
  <c r="E848" i="123" s="1"/>
  <c r="L285" i="72"/>
  <c r="B857" i="123" l="1"/>
  <c r="B866" i="123" s="1"/>
  <c r="C854" i="123"/>
  <c r="C870" i="123" s="1"/>
  <c r="C132" i="111"/>
  <c r="D116" i="111"/>
  <c r="E847" i="123"/>
  <c r="E853" i="123"/>
  <c r="B127" i="111"/>
  <c r="B131" i="111"/>
  <c r="B872" i="123"/>
  <c r="C134" i="111"/>
  <c r="B871" i="123"/>
  <c r="C133" i="111"/>
  <c r="B126" i="111"/>
  <c r="B864" i="123" s="1"/>
  <c r="D114" i="111"/>
  <c r="D852" i="123" s="1"/>
  <c r="C119" i="111"/>
  <c r="C128" i="111" s="1"/>
  <c r="E125" i="111"/>
  <c r="E863" i="123" s="1"/>
  <c r="F109" i="111"/>
  <c r="F117" i="111"/>
  <c r="F855" i="123" s="1"/>
  <c r="F115" i="111"/>
  <c r="F110" i="111"/>
  <c r="F848" i="123" s="1"/>
  <c r="E111" i="111"/>
  <c r="E849" i="123" s="1"/>
  <c r="Q339" i="73"/>
  <c r="H152" i="72"/>
  <c r="B869" i="123" l="1"/>
  <c r="B865" i="123"/>
  <c r="C857" i="123"/>
  <c r="C866" i="123" s="1"/>
  <c r="F847" i="123"/>
  <c r="E116" i="111"/>
  <c r="D854" i="123"/>
  <c r="D870" i="123" s="1"/>
  <c r="D132" i="111"/>
  <c r="F853" i="123"/>
  <c r="C131" i="111"/>
  <c r="C127" i="111"/>
  <c r="C872" i="123"/>
  <c r="D134" i="111"/>
  <c r="C871" i="123"/>
  <c r="D133" i="111"/>
  <c r="E114" i="111"/>
  <c r="E852" i="123" s="1"/>
  <c r="C126" i="111"/>
  <c r="C864" i="123" s="1"/>
  <c r="D119" i="111"/>
  <c r="D128" i="111" s="1"/>
  <c r="F125" i="111"/>
  <c r="F863" i="123" s="1"/>
  <c r="F111" i="111"/>
  <c r="F849" i="123" s="1"/>
  <c r="L184" i="72"/>
  <c r="C869" i="123" l="1"/>
  <c r="C865" i="123"/>
  <c r="D857" i="123"/>
  <c r="D866" i="123" s="1"/>
  <c r="E854" i="123"/>
  <c r="E870" i="123" s="1"/>
  <c r="E132" i="111"/>
  <c r="F116" i="111"/>
  <c r="D127" i="111"/>
  <c r="D131" i="111"/>
  <c r="D872" i="123"/>
  <c r="E134" i="111"/>
  <c r="D871" i="123"/>
  <c r="E133" i="111"/>
  <c r="F114" i="111"/>
  <c r="F852" i="123" s="1"/>
  <c r="D126" i="111"/>
  <c r="D864" i="123" s="1"/>
  <c r="E119" i="111"/>
  <c r="E128" i="111" s="1"/>
  <c r="L242" i="72"/>
  <c r="P225" i="72"/>
  <c r="R225" i="72"/>
  <c r="Q18" i="72"/>
  <c r="E857" i="123" l="1"/>
  <c r="D865" i="123"/>
  <c r="D869" i="123"/>
  <c r="F854" i="123"/>
  <c r="F870" i="123" s="1"/>
  <c r="F132" i="111"/>
  <c r="E131" i="111"/>
  <c r="E127" i="111"/>
  <c r="E872" i="123"/>
  <c r="F134" i="111"/>
  <c r="F872" i="123" s="1"/>
  <c r="E871" i="123"/>
  <c r="F133" i="111"/>
  <c r="F871" i="123" s="1"/>
  <c r="E126" i="111"/>
  <c r="E864" i="123" s="1"/>
  <c r="F119" i="111"/>
  <c r="F128" i="111" s="1"/>
  <c r="F31" i="72"/>
  <c r="F30" i="72"/>
  <c r="E30" i="72"/>
  <c r="F29" i="72"/>
  <c r="E29" i="72"/>
  <c r="F28" i="72"/>
  <c r="F27" i="72"/>
  <c r="F26" i="72"/>
  <c r="N210" i="73"/>
  <c r="J274" i="72"/>
  <c r="K226" i="72"/>
  <c r="J113" i="72"/>
  <c r="M56" i="73"/>
  <c r="F24" i="72"/>
  <c r="F23" i="72"/>
  <c r="F22" i="72"/>
  <c r="P310" i="72"/>
  <c r="E24" i="72"/>
  <c r="F857" i="123" l="1"/>
  <c r="F865" i="123" s="1"/>
  <c r="F866" i="123"/>
  <c r="E865" i="123"/>
  <c r="E866" i="123"/>
  <c r="E869" i="123"/>
  <c r="F127" i="111"/>
  <c r="F131" i="111"/>
  <c r="F126" i="111"/>
  <c r="F864" i="123"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F869" i="123" l="1"/>
  <c r="O113" i="72"/>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L65" i="85"/>
  <c r="E172" i="90"/>
  <c r="G56" i="86"/>
  <c r="F56" i="86"/>
  <c r="E56" i="86"/>
  <c r="H5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5" i="100" s="1"/>
  <c r="C71" i="100" s="1"/>
  <c r="I53" i="100"/>
  <c r="I54" i="100" s="1"/>
  <c r="E53" i="100"/>
  <c r="E54" i="100" s="1"/>
  <c r="G53" i="100"/>
  <c r="G54" i="100" s="1"/>
  <c r="K53" i="100"/>
  <c r="K54" i="100" s="1"/>
  <c r="M366" i="72"/>
  <c r="M367" i="72" s="1"/>
  <c r="P97" i="72"/>
  <c r="E56" i="100" l="1"/>
  <c r="E65" i="100" s="1"/>
  <c r="E71" i="100" s="1"/>
  <c r="K56" i="100"/>
  <c r="K65" i="100" s="1"/>
  <c r="K71" i="100" s="1"/>
  <c r="I56" i="100"/>
  <c r="I65" i="100" s="1"/>
  <c r="I71" i="100" s="1"/>
  <c r="C77" i="100"/>
  <c r="C74" i="100" s="1"/>
  <c r="C73" i="100"/>
  <c r="G56" i="100"/>
  <c r="G65" i="100" s="1"/>
  <c r="G71" i="100" s="1"/>
  <c r="P89" i="72"/>
  <c r="O89" i="72"/>
  <c r="G51" i="82" l="1"/>
  <c r="B51" i="82"/>
  <c r="I73" i="100"/>
  <c r="I77" i="100"/>
  <c r="I74" i="100" s="1"/>
  <c r="G73" i="100"/>
  <c r="G77" i="100"/>
  <c r="G74" i="100" s="1"/>
  <c r="K73" i="100"/>
  <c r="K77" i="100"/>
  <c r="K74" i="100" s="1"/>
  <c r="E73" i="100"/>
  <c r="E77" i="100"/>
  <c r="E74"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K58" i="82" l="1"/>
  <c r="B78" i="82" s="1"/>
  <c r="J58" i="82"/>
  <c r="C58" i="82"/>
  <c r="F58" i="82"/>
  <c r="I58" i="82"/>
  <c r="B58" i="82"/>
  <c r="E58" i="82"/>
  <c r="H58" i="82"/>
  <c r="D58" i="82"/>
  <c r="G58" i="82"/>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E55" i="82"/>
  <c r="E56" i="82" s="1"/>
  <c r="D57" i="86" l="1"/>
  <c r="D58" i="86" s="1"/>
  <c r="D60" i="86" s="1"/>
  <c r="D64" i="86" s="1"/>
  <c r="K21" i="86" s="1"/>
  <c r="E71" i="82"/>
  <c r="E74" i="82" s="1"/>
  <c r="B76" i="82"/>
  <c r="D71" i="82"/>
  <c r="D74" i="82" s="1"/>
  <c r="D66" i="82"/>
  <c r="B29" i="82"/>
  <c r="E57" i="86" l="1"/>
  <c r="E58" i="86" s="1"/>
  <c r="E60" i="86" s="1"/>
  <c r="E64" i="86" s="1"/>
  <c r="K22" i="86" s="1"/>
  <c r="E66" i="82"/>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I97" i="123"/>
  <c r="L67" i="85"/>
  <c r="L74" i="123" l="1"/>
  <c r="E6" i="86"/>
  <c r="K5" i="86" s="1"/>
  <c r="G11" i="91"/>
  <c r="L11" i="95"/>
  <c r="I98" i="123"/>
  <c r="I106" i="123"/>
  <c r="L75" i="123"/>
  <c r="I62" i="106"/>
  <c r="J178" i="107" s="1"/>
  <c r="C30" i="100"/>
  <c r="O67" i="85"/>
  <c r="L79" i="123" l="1"/>
  <c r="J292" i="123"/>
  <c r="L35" i="106"/>
  <c r="E5" i="86"/>
  <c r="C16" i="86"/>
  <c r="C17" i="86" s="1"/>
  <c r="C18" i="86" s="1"/>
  <c r="C20" i="86" s="1"/>
  <c r="C24" i="86" s="1"/>
  <c r="K6" i="86" s="1"/>
  <c r="G66" i="86" s="1"/>
  <c r="N92" i="85" s="1"/>
  <c r="D16" i="86"/>
  <c r="D17" i="86" s="1"/>
  <c r="D18" i="86" s="1"/>
  <c r="D20" i="86" s="1"/>
  <c r="D24" i="86" s="1"/>
  <c r="K7" i="86" s="1"/>
  <c r="E16" i="86"/>
  <c r="E17" i="86" s="1"/>
  <c r="E18" i="86" s="1"/>
  <c r="E20" i="86" s="1"/>
  <c r="E24" i="86" s="1"/>
  <c r="K8" i="86" s="1"/>
  <c r="F16" i="86"/>
  <c r="G16" i="86"/>
  <c r="H16" i="86"/>
  <c r="H17" i="86" s="1"/>
  <c r="H18" i="86" s="1"/>
  <c r="H20" i="86" s="1"/>
  <c r="H24" i="86" s="1"/>
  <c r="K11" i="86" s="1"/>
  <c r="I16" i="86"/>
  <c r="I17" i="86" s="1"/>
  <c r="I18" i="86" s="1"/>
  <c r="I20" i="86" s="1"/>
  <c r="I24" i="86" s="1"/>
  <c r="K12" i="86" s="1"/>
  <c r="F17" i="86"/>
  <c r="F18" i="86" s="1"/>
  <c r="F20" i="86" s="1"/>
  <c r="F24" i="86" s="1"/>
  <c r="K9" i="86" s="1"/>
  <c r="G17" i="86"/>
  <c r="G18" i="86" s="1"/>
  <c r="G20" i="86" s="1"/>
  <c r="G24" i="86" s="1"/>
  <c r="K10" i="86" s="1"/>
  <c r="C36" i="86"/>
  <c r="D36" i="86"/>
  <c r="D37" i="86" s="1"/>
  <c r="D38" i="86" s="1"/>
  <c r="D40" i="86" s="1"/>
  <c r="D44" i="86" s="1"/>
  <c r="K14" i="86" s="1"/>
  <c r="E36" i="86"/>
  <c r="E37" i="86" s="1"/>
  <c r="E38" i="86" s="1"/>
  <c r="E40" i="86" s="1"/>
  <c r="E44" i="86" s="1"/>
  <c r="K15" i="86" s="1"/>
  <c r="F36" i="86"/>
  <c r="F37" i="86" s="1"/>
  <c r="F38" i="86" s="1"/>
  <c r="F40" i="86" s="1"/>
  <c r="F44" i="86" s="1"/>
  <c r="K16" i="86" s="1"/>
  <c r="G36" i="86"/>
  <c r="G37" i="86" s="1"/>
  <c r="G38" i="86" s="1"/>
  <c r="G40" i="86" s="1"/>
  <c r="G44" i="86" s="1"/>
  <c r="K17" i="86" s="1"/>
  <c r="H36" i="86"/>
  <c r="I36" i="86"/>
  <c r="I37" i="86" s="1"/>
  <c r="I38" i="86" s="1"/>
  <c r="I40" i="86" s="1"/>
  <c r="I44" i="86" s="1"/>
  <c r="K19" i="86" s="1"/>
  <c r="C37" i="86"/>
  <c r="C38" i="86" s="1"/>
  <c r="C40" i="86" s="1"/>
  <c r="C44" i="86" s="1"/>
  <c r="K13" i="86" s="1"/>
  <c r="H37" i="86"/>
  <c r="H38" i="86" s="1"/>
  <c r="H40" i="86" s="1"/>
  <c r="H44" i="86" s="1"/>
  <c r="K18" i="86" s="1"/>
  <c r="C56" i="86"/>
  <c r="C57" i="86"/>
  <c r="C58" i="86" s="1"/>
  <c r="C60" i="86" s="1"/>
  <c r="C64" i="86" s="1"/>
  <c r="K20" i="86" s="1"/>
  <c r="G222" i="123"/>
  <c r="S222" i="123"/>
  <c r="S228" i="123" s="1"/>
  <c r="S261" i="123" s="1"/>
  <c r="G228" i="123"/>
  <c r="G261" i="123"/>
  <c r="D263" i="123" s="1"/>
  <c r="G114" i="107"/>
  <c r="S114" i="107"/>
  <c r="S147" i="107" s="1"/>
  <c r="G147" i="107"/>
  <c r="I107" i="123" s="1"/>
  <c r="C18" i="100" l="1"/>
  <c r="K40" i="100" s="1"/>
  <c r="I63" i="106"/>
  <c r="P54" i="106" s="1"/>
  <c r="G149" i="107"/>
  <c r="I108" i="123"/>
  <c r="P97" i="123"/>
  <c r="P98" i="123"/>
  <c r="L36" i="106"/>
  <c r="J177" i="107"/>
  <c r="J179" i="107" s="1"/>
  <c r="J181" i="107" s="1"/>
  <c r="D149" i="107"/>
  <c r="J291" i="123"/>
  <c r="J293" i="123" s="1"/>
  <c r="J295" i="123" s="1"/>
  <c r="J298" i="123" s="1"/>
  <c r="G263" i="123"/>
  <c r="B4" i="82"/>
  <c r="C20" i="100" l="1"/>
  <c r="D18" i="100"/>
  <c r="C38" i="100"/>
  <c r="C19" i="100"/>
  <c r="P53" i="106"/>
  <c r="P55" i="106" s="1"/>
  <c r="I64" i="106"/>
  <c r="P49" i="106" s="1"/>
  <c r="P93" i="123" s="1"/>
  <c r="B15" i="82"/>
  <c r="J184" i="107"/>
  <c r="L37" i="106"/>
  <c r="L80" i="123"/>
  <c r="L81" i="123" s="1"/>
  <c r="P99" i="123"/>
  <c r="B6" i="82"/>
  <c r="B7" i="82" s="1"/>
  <c r="B10" i="82"/>
  <c r="B11" i="82" s="1"/>
  <c r="J302" i="123" l="1"/>
  <c r="M190" i="107"/>
  <c r="J304" i="123" l="1"/>
  <c r="J306" i="123" s="1"/>
  <c r="E222" i="123" s="1"/>
  <c r="J222" i="123" s="1"/>
  <c r="J192" i="107"/>
  <c r="M304" i="123" l="1"/>
  <c r="L97" i="123"/>
  <c r="N97" i="123" s="1"/>
  <c r="L53" i="106"/>
  <c r="M67" i="85"/>
  <c r="I10" i="105"/>
  <c r="I9" i="123"/>
  <c r="E108" i="107"/>
  <c r="J108" i="107" s="1"/>
  <c r="L98" i="123"/>
  <c r="N98" i="123" s="1"/>
  <c r="L54" i="106"/>
  <c r="N54" i="106" s="1"/>
  <c r="C21" i="86"/>
  <c r="D21" i="86" l="1"/>
  <c r="C41" i="86"/>
  <c r="D41" i="86" s="1"/>
  <c r="E41" i="86" s="1"/>
  <c r="C22" i="86"/>
  <c r="C42" i="86" s="1"/>
  <c r="D42" i="86" s="1"/>
  <c r="E42" i="86" s="1"/>
  <c r="A67" i="85"/>
  <c r="A21" i="83" s="1"/>
  <c r="P67" i="85"/>
  <c r="B14" i="82"/>
  <c r="N53" i="106"/>
  <c r="E21" i="86" l="1"/>
  <c r="D22" i="86"/>
  <c r="B20" i="82"/>
  <c r="B21" i="82" s="1"/>
  <c r="G20" i="82"/>
  <c r="G21" i="82" s="1"/>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<sst xmlns="http://schemas.openxmlformats.org/spreadsheetml/2006/main" count="14539" uniqueCount="5258">
  <si>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</si>
  <si>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</si>
  <si>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</si>
  <si>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</si>
  <si>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</si>
  <si>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</si>
  <si>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</si>
  <si>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</si>
  <si>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</si>
  <si>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</si>
  <si>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</si>
  <si>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</si>
  <si>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</si>
  <si>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</si>
  <si>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</si>
  <si>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</si>
  <si>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</si>
  <si>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</si>
  <si>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</si>
  <si>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</si>
  <si>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</si>
  <si>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</si>
  <si>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</si>
  <si>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</si>
  <si>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</si>
  <si>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</si>
  <si>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</si>
  <si>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</si>
  <si>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</si>
  <si>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</si>
  <si>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</si>
  <si>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</si>
  <si>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</si>
  <si>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</si>
  <si>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</si>
  <si>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</si>
  <si>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</si>
  <si>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</si>
  <si>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</si>
  <si>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</si>
  <si>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</si>
  <si>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</si>
  <si>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</si>
  <si>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</si>
  <si>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</si>
  <si>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</si>
  <si>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</si>
  <si>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</si>
  <si>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</si>
  <si>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</si>
  <si>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</si>
  <si>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</si>
  <si>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</si>
  <si>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</si>
  <si>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</si>
  <si>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</si>
  <si>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</si>
  <si>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</si>
  <si>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</si>
  <si>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</si>
  <si>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</si>
  <si>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</si>
  <si>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</si>
  <si>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</si>
  <si>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</si>
  <si>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</si>
  <si>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</si>
  <si>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</si>
  <si>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</si>
  <si>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</si>
  <si>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</si>
  <si>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</si>
  <si>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</si>
  <si>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</si>
  <si>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</si>
  <si>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</si>
  <si>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</si>
  <si>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</si>
  <si>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</si>
  <si>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</si>
  <si>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</si>
  <si>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</si>
  <si>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</si>
  <si>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</si>
  <si>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</si>
  <si>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</si>
  <si>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</si>
  <si>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</si>
  <si>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</si>
  <si>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</si>
  <si>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</si>
  <si>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</si>
  <si>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</si>
  <si>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</si>
  <si>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</si>
  <si>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</si>
  <si>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</si>
  <si>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</si>
  <si>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</si>
  <si>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</si>
  <si>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</si>
  <si>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</si>
  <si>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</si>
  <si>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</si>
  <si>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</si>
  <si>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</si>
  <si>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</si>
  <si>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</si>
  <si>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</si>
  <si>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</si>
  <si>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</si>
  <si>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</si>
  <si>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</si>
  <si>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</si>
  <si>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</si>
  <si>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</si>
  <si>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</si>
  <si>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</si>
  <si>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</si>
  <si>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</si>
  <si>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</si>
  <si>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</si>
  <si>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</si>
  <si>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</si>
  <si>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</si>
  <si>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</si>
  <si>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</si>
  <si>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</si>
  <si>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</si>
  <si>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</si>
  <si>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</si>
  <si>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</si>
  <si>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</si>
  <si>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</si>
  <si>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</si>
  <si>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</si>
  <si>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</si>
  <si>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</si>
  <si>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</si>
  <si>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</si>
  <si>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</si>
  <si>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</si>
  <si>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</si>
  <si>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</si>
  <si>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</si>
  <si>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</si>
  <si>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</si>
  <si>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</si>
  <si>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</si>
  <si>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</si>
  <si>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</si>
  <si>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</si>
  <si>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</si>
  <si>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</si>
  <si>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</si>
  <si>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</si>
  <si>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</si>
  <si>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</si>
  <si>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</si>
  <si>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</si>
  <si>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</si>
  <si>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</si>
  <si>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</si>
  <si>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</si>
  <si>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</si>
  <si>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</si>
  <si>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</si>
  <si>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</si>
  <si>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</si>
  <si>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</si>
  <si>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</si>
  <si>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</si>
  <si>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</si>
  <si>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</si>
  <si>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</si>
  <si>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</si>
  <si>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</si>
  <si>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</si>
  <si>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</si>
  <si>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</si>
  <si>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</si>
  <si>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</si>
  <si>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</si>
  <si>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</si>
  <si>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</si>
  <si>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</si>
  <si>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</si>
  <si>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</si>
  <si>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</si>
  <si>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</si>
  <si>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</si>
  <si>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</si>
  <si>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</si>
  <si>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</si>
  <si>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</si>
  <si>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</si>
  <si>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</si>
  <si>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</si>
  <si>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</si>
  <si>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</si>
  <si>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</si>
  <si>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</si>
  <si>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</si>
  <si>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</si>
  <si>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</si>
  <si>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</si>
  <si>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</si>
  <si>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</si>
  <si>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</si>
  <si>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</si>
  <si>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</si>
  <si>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</si>
  <si>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</si>
  <si>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</si>
  <si>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</si>
  <si>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</si>
  <si>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</si>
  <si>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</si>
  <si>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</si>
  <si>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</si>
  <si>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</si>
  <si>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</si>
  <si>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</si>
  <si>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</si>
  <si>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</si>
  <si>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</si>
  <si>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</si>
  <si>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</si>
  <si>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</si>
  <si>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</si>
  <si>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</si>
  <si>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</si>
  <si>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</si>
  <si>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</si>
  <si>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</si>
  <si>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</si>
  <si>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</si>
  <si>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</si>
  <si>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</si>
  <si>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</si>
  <si>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</si>
  <si>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</si>
  <si>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</si>
  <si>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</si>
  <si>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</si>
  <si>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</si>
  <si>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</si>
  <si>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</si>
  <si>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</si>
  <si>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</si>
  <si>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</si>
  <si>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</si>
  <si>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</si>
  <si>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</si>
  <si>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</si>
  <si>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</si>
  <si>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</si>
  <si>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</si>
  <si>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</si>
  <si>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</si>
  <si>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</si>
  <si>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</si>
  <si>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</si>
  <si>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</si>
  <si>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</si>
  <si>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</si>
  <si>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</si>
  <si>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</si>
  <si>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</si>
  <si>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</si>
  <si>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</si>
  <si>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</si>
  <si>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</si>
  <si>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</si>
  <si>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</si>
  <si>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</si>
  <si>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</si>
  <si>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</si>
  <si>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</si>
  <si>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</si>
  <si>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</si>
  <si>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</si>
  <si>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</si>
  <si>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</si>
  <si>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</si>
  <si>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</si>
  <si>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</si>
  <si>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</si>
  <si>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</si>
  <si>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</si>
  <si>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</si>
  <si>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</si>
  <si>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</si>
  <si>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</si>
  <si>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</si>
  <si>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</si>
  <si>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</si>
  <si>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</si>
  <si>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</si>
  <si>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</si>
  <si>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</si>
  <si>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</si>
  <si>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</si>
  <si>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</si>
  <si>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</si>
  <si>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</si>
  <si>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</si>
  <si>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</si>
  <si>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</si>
  <si>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</si>
  <si>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</si>
  <si>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</si>
  <si>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</si>
  <si>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</si>
  <si>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</si>
  <si>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</si>
  <si>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</si>
  <si>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</si>
  <si>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</si>
  <si>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</si>
  <si>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</si>
  <si>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</si>
  <si>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</si>
  <si>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</si>
  <si>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</si>
  <si>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</si>
  <si>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</si>
  <si>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</si>
  <si>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</si>
  <si>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</si>
  <si>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</si>
  <si>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</si>
  <si>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</si>
  <si>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</si>
  <si>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</si>
  <si>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</si>
  <si>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</si>
  <si>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</si>
  <si>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</si>
  <si>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</si>
  <si>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</si>
  <si>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</si>
  <si>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</si>
  <si>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</si>
  <si>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</si>
  <si>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</si>
  <si>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</si>
  <si>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</si>
  <si>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</si>
  <si>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</si>
  <si>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</si>
  <si>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</si>
  <si>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</si>
  <si>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</si>
  <si>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</si>
  <si>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</si>
  <si>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</si>
  <si>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</si>
  <si>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</si>
  <si>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</si>
  <si>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</si>
  <si>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</si>
  <si>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</si>
  <si>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</si>
  <si>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</si>
  <si>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</si>
  <si>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</si>
  <si>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</si>
  <si>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</si>
  <si>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</si>
  <si>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</si>
  <si>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</si>
  <si>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</si>
  <si>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</si>
  <si>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</si>
  <si>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</si>
  <si>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</si>
  <si>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</si>
  <si>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</si>
  <si>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</si>
  <si>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</si>
  <si>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</si>
  <si>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</si>
  <si>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</si>
  <si>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</si>
  <si>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</si>
  <si>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</si>
  <si>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</si>
  <si>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</si>
  <si>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</si>
  <si>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</si>
  <si>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</si>
  <si>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</si>
  <si>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</si>
  <si>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</si>
  <si>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</si>
  <si>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</si>
  <si>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</si>
  <si>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</si>
  <si>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</si>
  <si>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</si>
  <si>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</si>
  <si>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</si>
  <si>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</si>
  <si>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</si>
  <si>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</si>
  <si>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</si>
  <si>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</si>
  <si>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</si>
  <si>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</si>
  <si>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</si>
  <si>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</si>
  <si>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</si>
  <si>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</si>
  <si>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</si>
  <si>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</si>
  <si>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</si>
  <si>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</si>
  <si>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</si>
  <si>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</si>
  <si>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</si>
  <si>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</si>
  <si>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</si>
  <si>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</si>
  <si>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</si>
  <si>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</si>
  <si>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</si>
  <si>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</si>
  <si>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</si>
  <si>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</si>
  <si>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</si>
  <si>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</si>
  <si>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</si>
  <si>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</si>
  <si>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</si>
  <si>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</si>
  <si>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</si>
  <si>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</si>
  <si>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</si>
  <si>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</si>
  <si>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</si>
  <si>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</si>
  <si>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</si>
  <si>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</si>
  <si>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</si>
  <si>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</si>
  <si>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</si>
  <si>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</si>
  <si>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</si>
  <si>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</si>
  <si>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</si>
  <si>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</si>
  <si>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</si>
  <si>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</si>
  <si>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</si>
  <si>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</si>
  <si>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</si>
  <si>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</si>
  <si>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</si>
  <si>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</si>
  <si>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</si>
  <si>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</si>
  <si>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</si>
  <si>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</si>
  <si>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</si>
  <si>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</si>
  <si>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</si>
  <si>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</si>
  <si>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</si>
  <si>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</si>
  <si>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</si>
  <si>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</si>
  <si>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</si>
  <si>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</si>
  <si>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</si>
  <si>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</si>
  <si>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</si>
  <si>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</si>
  <si>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</si>
  <si>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</si>
  <si>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</si>
  <si>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</si>
  <si>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</si>
  <si>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</si>
  <si>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</si>
  <si>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</si>
  <si>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</si>
  <si>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</si>
  <si>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</si>
  <si>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</si>
  <si>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</si>
  <si>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</si>
  <si>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</si>
  <si>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</si>
  <si>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</si>
  <si>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</si>
  <si>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</si>
  <si>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</si>
  <si>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</si>
  <si>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</si>
  <si>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</si>
  <si>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</si>
  <si>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</si>
  <si>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</si>
  <si>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</si>
  <si>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</si>
  <si>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</si>
  <si>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</si>
  <si>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</si>
  <si>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</si>
  <si>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</si>
  <si>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</si>
  <si>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</si>
  <si>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</si>
  <si>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</si>
  <si>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</si>
  <si>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</si>
  <si>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</si>
  <si>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</si>
  <si>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</si>
  <si>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</si>
  <si>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</si>
  <si>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</si>
  <si>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</si>
  <si>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</si>
  <si>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</si>
  <si>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</si>
  <si>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</si>
  <si>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</si>
  <si>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</si>
  <si>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</si>
  <si>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</si>
  <si>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</si>
  <si>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</si>
  <si>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</si>
  <si>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</si>
  <si>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</si>
  <si>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</si>
  <si>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</si>
  <si>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</si>
  <si>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</si>
  <si>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</si>
  <si>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</si>
  <si>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</si>
  <si>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</si>
  <si>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</si>
  <si>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</si>
  <si>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</si>
  <si>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</si>
  <si>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</si>
  <si>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</si>
  <si>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</si>
  <si>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</si>
  <si>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</si>
  <si>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</si>
  <si>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</si>
  <si>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</si>
  <si>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</si>
  <si>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</si>
  <si>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</si>
  <si>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</si>
  <si>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</si>
  <si>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</si>
  <si>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</si>
  <si>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</si>
  <si>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</si>
  <si>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</si>
  <si>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</si>
  <si>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</si>
  <si>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</si>
  <si>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</si>
  <si>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</si>
  <si>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</si>
  <si>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</si>
  <si>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</si>
  <si>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</si>
  <si>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</si>
  <si>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</si>
  <si>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</si>
  <si>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</si>
  <si>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</si>
  <si>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</si>
  <si>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</si>
  <si>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</si>
  <si>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</si>
  <si>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</si>
  <si>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</si>
  <si>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</si>
  <si>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</si>
  <si>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</si>
  <si>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</si>
  <si>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</si>
  <si>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</si>
  <si>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</si>
  <si>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</si>
  <si>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</si>
  <si>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</si>
  <si>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</si>
  <si>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</si>
  <si>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</si>
  <si>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</si>
  <si>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</si>
  <si>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</si>
  <si>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</si>
  <si>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</si>
  <si>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</si>
  <si>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</si>
  <si>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</si>
  <si>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</si>
  <si>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</si>
  <si>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</si>
  <si>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</si>
  <si>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</si>
  <si>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</si>
  <si>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</si>
  <si>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</si>
  <si>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</si>
  <si>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</si>
  <si>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</si>
  <si>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</si>
  <si>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</si>
  <si>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</si>
  <si>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</si>
  <si>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</si>
  <si>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</si>
  <si>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</si>
  <si>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</si>
  <si>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</si>
  <si>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</si>
  <si>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</si>
  <si>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</si>
  <si>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</si>
  <si>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</si>
  <si>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</si>
  <si>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</si>
  <si>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</si>
  <si>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</si>
  <si>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</si>
  <si>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</si>
  <si>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</si>
  <si>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</si>
  <si>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</si>
  <si>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</si>
  <si>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</si>
  <si>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</si>
  <si>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</si>
  <si>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</si>
  <si>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</si>
  <si>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</si>
  <si>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</si>
  <si>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</si>
  <si>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</si>
  <si>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</si>
  <si>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</si>
  <si>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</si>
  <si>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</si>
  <si>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</si>
  <si>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</si>
  <si>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</si>
  <si>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</si>
  <si>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</si>
  <si>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</si>
  <si>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</si>
  <si>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</si>
  <si>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</si>
  <si>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</si>
  <si>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</si>
  <si>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</si>
  <si>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</si>
  <si>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</si>
  <si>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</si>
  <si>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</si>
  <si>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</si>
  <si>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</si>
  <si>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</si>
  <si>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</si>
  <si>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</si>
  <si>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</si>
  <si>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</si>
  <si>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</si>
  <si>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</si>
  <si>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</si>
  <si>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</si>
  <si>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</si>
  <si>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</si>
  <si>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</si>
  <si>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</si>
  <si>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</si>
  <si>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</si>
  <si>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</si>
  <si>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</si>
  <si>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</si>
  <si>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</si>
  <si>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</si>
  <si>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</si>
  <si>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</si>
  <si>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</si>
  <si>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</si>
  <si>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</si>
  <si>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</si>
  <si>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</si>
  <si>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</si>
  <si>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</si>
  <si>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</si>
  <si>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</si>
  <si>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</si>
  <si>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</si>
  <si>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</si>
  <si>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</si>
  <si>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</si>
  <si>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</si>
  <si>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</si>
  <si>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</si>
  <si>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</si>
  <si>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</si>
  <si>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</si>
  <si>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</si>
  <si>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</si>
  <si>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</si>
  <si>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</si>
  <si>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</si>
  <si>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</si>
  <si>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</si>
  <si>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</si>
  <si>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</si>
  <si>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</si>
  <si>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</si>
  <si>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</si>
  <si>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</si>
  <si>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</si>
  <si>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</si>
  <si>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</si>
  <si>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</si>
  <si>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</si>
  <si>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</si>
  <si>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</si>
  <si>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</si>
  <si>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</si>
  <si>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</si>
  <si>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</si>
  <si>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</si>
  <si>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</si>
  <si>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</si>
  <si>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</si>
  <si>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</si>
  <si>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</si>
  <si>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</si>
  <si>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</si>
  <si>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</si>
  <si>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</si>
  <si>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</si>
  <si>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</si>
  <si>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</si>
  <si>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</si>
  <si>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</si>
  <si>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</si>
  <si>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</si>
  <si>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</si>
  <si>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</si>
  <si>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</si>
  <si>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</si>
  <si>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</si>
  <si>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</si>
  <si>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</si>
  <si>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</si>
  <si>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</si>
  <si>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</si>
  <si>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</si>
  <si>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</si>
  <si>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</si>
  <si>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</si>
  <si>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</si>
  <si>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</si>
  <si>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</si>
  <si>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</si>
  <si>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</si>
  <si>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</si>
  <si>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</si>
  <si>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</si>
  <si>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</si>
  <si>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</si>
  <si>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</si>
  <si>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</si>
  <si>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</si>
  <si>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</si>
  <si>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</si>
  <si>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</si>
  <si>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</si>
  <si>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</si>
  <si>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</si>
  <si>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</si>
  <si>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</si>
  <si>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</si>
  <si>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</si>
  <si>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</si>
  <si>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</si>
  <si>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</si>
  <si>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</si>
  <si>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</si>
  <si>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</si>
  <si>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</si>
  <si>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</si>
  <si>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</si>
  <si>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</si>
  <si>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</si>
  <si>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</si>
  <si>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</si>
  <si>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</si>
  <si>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</si>
  <si>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</si>
  <si>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</si>
  <si>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</si>
  <si>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</si>
  <si>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</si>
  <si>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</si>
  <si>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</si>
  <si>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</si>
  <si>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</si>
  <si>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</si>
  <si>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</si>
  <si>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</si>
  <si>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</si>
  <si>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</si>
  <si>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</si>
  <si>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</si>
  <si>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</si>
  <si>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</si>
  <si>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</si>
  <si>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</si>
  <si>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</si>
  <si>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</si>
  <si>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</si>
  <si>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</si>
  <si>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</si>
  <si>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</si>
  <si>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</si>
  <si>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</si>
  <si>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</si>
  <si>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</si>
  <si>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</si>
  <si>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</si>
  <si>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</si>
  <si>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</si>
  <si>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</si>
  <si>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</si>
  <si>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</si>
  <si>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</si>
  <si>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</si>
  <si>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</si>
  <si>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</si>
  <si>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</si>
  <si>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</si>
  <si>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</si>
  <si>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</si>
  <si>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</si>
  <si>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</si>
  <si>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</si>
  <si>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</si>
  <si>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</si>
  <si>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</si>
  <si>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</si>
  <si>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</si>
  <si>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</si>
  <si>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</si>
  <si>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</si>
  <si>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</si>
  <si>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</si>
  <si>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</si>
  <si>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</si>
  <si>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</si>
  <si>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</si>
  <si>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</si>
  <si>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</si>
  <si>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</si>
  <si>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</si>
  <si>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</si>
  <si>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</si>
  <si>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</si>
  <si>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</si>
  <si>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</si>
  <si>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</si>
  <si>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</si>
  <si>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</si>
  <si>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</si>
  <si>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</si>
  <si>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</si>
  <si>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</si>
  <si>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</si>
  <si>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</si>
  <si>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</si>
  <si>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</si>
  <si>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</si>
  <si>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</si>
  <si>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</si>
  <si>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</si>
  <si>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</si>
  <si>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</si>
  <si>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</si>
  <si>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</si>
  <si>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</si>
  <si>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</si>
  <si>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</si>
  <si>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</si>
  <si>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</si>
  <si>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</si>
  <si>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</si>
  <si>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</si>
  <si>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</si>
  <si>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</si>
  <si>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</si>
  <si>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</si>
  <si>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</si>
  <si>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</si>
  <si>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</si>
  <si>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</si>
  <si>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</si>
  <si>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</si>
  <si>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</si>
  <si>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</si>
  <si>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</si>
  <si>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</si>
  <si>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</si>
  <si>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</si>
  <si>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</si>
  <si>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</si>
  <si>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</si>
  <si>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</si>
  <si>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</si>
  <si>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</si>
  <si>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</si>
  <si>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</si>
  <si>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</si>
  <si>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</si>
  <si>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</si>
  <si>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</si>
  <si>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</si>
  <si>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</si>
  <si>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</si>
  <si>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</si>
  <si>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</si>
  <si>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</si>
  <si>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</si>
  <si>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</si>
  <si>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</si>
  <si>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</si>
  <si>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</si>
  <si>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</si>
  <si>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</si>
  <si>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</si>
  <si>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</si>
  <si>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</si>
  <si>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</si>
  <si>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</si>
  <si>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</si>
  <si>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</si>
  <si>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</si>
  <si>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</si>
  <si>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</si>
  <si>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</si>
  <si>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</si>
  <si>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</si>
  <si>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</si>
  <si>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</si>
  <si>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</si>
  <si>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</si>
  <si>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</si>
  <si>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</si>
  <si>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</si>
  <si>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</si>
  <si>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</si>
  <si>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</si>
  <si>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</si>
  <si>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</si>
  <si>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</si>
  <si>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</si>
  <si>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</si>
  <si>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</si>
  <si>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</si>
  <si>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</si>
  <si>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</si>
  <si>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</si>
  <si>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</si>
  <si>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</si>
  <si>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</si>
  <si>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</si>
  <si>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</si>
  <si>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</si>
  <si>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</si>
  <si>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</si>
  <si>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</si>
  <si>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</si>
  <si>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</si>
  <si>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</si>
  <si>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</si>
  <si>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</si>
  <si>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</si>
  <si>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</si>
  <si>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</si>
  <si>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</si>
  <si>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</si>
  <si>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</si>
  <si>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</si>
  <si>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</si>
  <si>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</si>
  <si>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</si>
  <si>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</si>
  <si>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</si>
  <si>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</si>
  <si>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</si>
  <si>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</si>
  <si>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</si>
  <si>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</si>
  <si>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</si>
  <si>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</si>
  <si>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</si>
  <si>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</si>
  <si>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</si>
  <si>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</si>
  <si>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</si>
  <si>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</si>
  <si>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</si>
  <si>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</si>
  <si>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</si>
  <si>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</si>
  <si>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</si>
  <si>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</si>
  <si>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</si>
  <si>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</si>
  <si>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</si>
  <si>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</si>
  <si>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</si>
  <si>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</si>
  <si>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</si>
  <si>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</si>
  <si>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</si>
  <si>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</si>
  <si>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</si>
  <si>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</si>
  <si>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</si>
  <si>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</si>
  <si>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</si>
  <si>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</si>
  <si>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</si>
  <si>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</si>
  <si>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</si>
  <si>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</si>
  <si>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</si>
  <si>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</si>
  <si>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</si>
  <si>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</si>
  <si>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</si>
  <si>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</si>
  <si>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</si>
  <si>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</si>
  <si>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</si>
  <si>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</si>
  <si>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</si>
  <si>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</si>
  <si>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</si>
  <si>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</si>
  <si>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</si>
  <si>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</si>
  <si>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</si>
  <si>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</si>
  <si>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</si>
  <si>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</si>
  <si>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</si>
  <si>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</si>
  <si>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</si>
  <si>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</si>
  <si>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</si>
  <si>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</si>
  <si>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</si>
  <si>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</si>
  <si>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</si>
  <si>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</si>
  <si>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</si>
  <si>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</si>
  <si>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</si>
  <si>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</si>
  <si>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</si>
  <si>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</si>
  <si>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</si>
  <si>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</si>
  <si>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</si>
  <si>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</si>
  <si>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</si>
  <si>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</si>
  <si>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</si>
  <si>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</si>
  <si>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</si>
  <si>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</si>
  <si>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</si>
  <si>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</si>
  <si>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</si>
  <si>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</si>
  <si>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</si>
  <si>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</si>
  <si>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</si>
  <si>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</si>
  <si>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</si>
  <si>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</si>
  <si>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</si>
  <si>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</si>
  <si>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</si>
  <si>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</si>
  <si>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</si>
  <si>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</si>
  <si>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</si>
  <si>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</si>
  <si>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</si>
  <si>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</si>
  <si>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</si>
  <si>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</si>
  <si>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</si>
  <si>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</si>
  <si>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</si>
  <si>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</si>
  <si>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</si>
  <si>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</si>
  <si>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</si>
  <si>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</si>
  <si>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</si>
  <si>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</si>
  <si>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</si>
  <si>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</si>
  <si>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</si>
  <si>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</si>
  <si>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</si>
  <si>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</si>
  <si>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</si>
  <si>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</si>
  <si>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</si>
  <si>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</si>
  <si>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</si>
  <si>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</si>
  <si>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</si>
  <si>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</si>
  <si>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</si>
  <si>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</si>
  <si>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</si>
  <si>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</si>
  <si>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</si>
  <si>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</si>
  <si>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</si>
  <si>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</si>
  <si>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</si>
  <si>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</si>
  <si>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</si>
  <si>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</si>
  <si>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</si>
  <si>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</si>
  <si>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</si>
  <si>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</si>
  <si>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</si>
  <si>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</si>
  <si>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</si>
  <si>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</si>
  <si>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</si>
  <si>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</si>
  <si>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</si>
  <si>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</si>
  <si>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</si>
  <si>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</si>
  <si>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</si>
  <si>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</si>
  <si>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</si>
  <si>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</si>
  <si>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</si>
  <si>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</si>
  <si>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</si>
  <si>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</si>
  <si>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</si>
  <si>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</si>
  <si>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</si>
  <si>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</si>
  <si>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</si>
  <si>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</si>
  <si>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</si>
  <si>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</si>
  <si>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</si>
  <si>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</si>
  <si>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</si>
  <si>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</si>
  <si>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</si>
  <si>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</si>
  <si>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</si>
  <si>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</si>
  <si>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</si>
  <si>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</si>
  <si>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</si>
  <si>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</si>
  <si>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</si>
  <si>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</si>
  <si>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</si>
  <si>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</si>
  <si>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</si>
  <si>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</si>
  <si>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</si>
  <si>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</si>
  <si>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</si>
  <si>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</si>
  <si>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</si>
  <si>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</si>
  <si>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</si>
  <si>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</si>
  <si>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</si>
  <si>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</si>
  <si>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</si>
  <si>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</si>
  <si>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</si>
  <si>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</si>
  <si>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</si>
  <si>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</si>
  <si>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</si>
  <si>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</si>
  <si>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</si>
  <si>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</si>
  <si>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</si>
  <si>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</si>
  <si>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</si>
  <si>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</si>
  <si>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</si>
  <si>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</si>
  <si>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</si>
  <si>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</si>
  <si>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</si>
  <si>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</si>
  <si>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</si>
  <si>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</si>
  <si>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</si>
  <si>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</si>
  <si>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</si>
  <si>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</si>
  <si>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</si>
  <si>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</si>
  <si>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</si>
  <si>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</si>
  <si>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</si>
  <si>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</si>
  <si>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</si>
  <si>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</si>
  <si>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</si>
  <si>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</si>
  <si>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</si>
  <si>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</si>
  <si>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</si>
  <si>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</si>
  <si>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</si>
  <si>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</si>
  <si>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</si>
  <si>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</si>
  <si>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</si>
  <si>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</si>
  <si>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</si>
  <si>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</si>
  <si>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</si>
  <si>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</si>
  <si>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</si>
  <si>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</si>
  <si>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</si>
  <si>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</si>
  <si>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</si>
  <si>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</si>
  <si>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</si>
  <si>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</si>
  <si>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</si>
  <si>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</si>
  <si>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</si>
  <si>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</si>
  <si>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</si>
  <si>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</si>
  <si>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</si>
  <si>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</si>
  <si>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</si>
  <si>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</si>
  <si>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</si>
  <si>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</si>
  <si>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</si>
  <si>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</si>
  <si>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</si>
  <si>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</si>
  <si>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</si>
  <si>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</si>
  <si>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</si>
  <si>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</si>
  <si>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</si>
  <si>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</si>
  <si>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</si>
  <si>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</si>
  <si>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</si>
  <si>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</si>
  <si>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</si>
  <si>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</si>
  <si>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</si>
  <si>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</si>
  <si>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</si>
  <si>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</si>
  <si>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</si>
  <si>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</si>
  <si>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</si>
  <si>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</si>
  <si>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</si>
  <si>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</si>
  <si>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</si>
  <si>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</si>
  <si>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</si>
  <si>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</si>
  <si>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</si>
  <si>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</si>
  <si>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</si>
  <si>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</si>
  <si>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</si>
  <si>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</si>
  <si>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</si>
  <si>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</si>
  <si>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</si>
  <si>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</si>
  <si>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</si>
  <si>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</si>
  <si>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</si>
  <si>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</si>
  <si>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</si>
  <si>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</si>
  <si>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</si>
  <si>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</si>
  <si>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</si>
  <si>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</si>
  <si>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</si>
  <si>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</si>
  <si>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</si>
  <si>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</si>
  <si>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</si>
  <si>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</si>
  <si>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</si>
  <si>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</si>
  <si>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</si>
  <si>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</si>
  <si>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</si>
  <si>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</si>
  <si>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</si>
  <si>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</si>
  <si>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</si>
  <si>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</si>
  <si>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</si>
  <si>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</si>
  <si>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</si>
  <si>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</si>
  <si>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</si>
  <si>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</si>
  <si>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</si>
  <si>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</si>
  <si>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</si>
  <si>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</si>
  <si>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</si>
  <si>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</si>
  <si>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</si>
  <si>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</si>
  <si>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</si>
  <si>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</si>
  <si>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</si>
  <si>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</si>
  <si>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</si>
  <si>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</si>
  <si>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</si>
  <si>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</si>
  <si>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</si>
  <si>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</si>
  <si>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</si>
  <si>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</si>
  <si>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</si>
  <si>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</si>
  <si>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</si>
  <si>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</si>
  <si>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</si>
  <si>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</si>
  <si>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</si>
  <si>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</si>
  <si>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</si>
  <si>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</si>
  <si>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</si>
  <si>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</si>
  <si>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</si>
  <si>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</si>
  <si>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</si>
  <si>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</si>
  <si>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</si>
  <si>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</si>
  <si>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</si>
  <si>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</si>
  <si>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</si>
  <si>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</si>
  <si>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</si>
  <si>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</si>
  <si>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</si>
  <si>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</si>
  <si>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</si>
  <si>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</si>
  <si>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</si>
  <si>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</si>
  <si>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</si>
  <si>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</si>
  <si>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</si>
  <si>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</si>
  <si>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</si>
  <si>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</si>
  <si>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</si>
  <si>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</si>
  <si>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</si>
  <si>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</si>
  <si>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</si>
  <si>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</si>
  <si>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</si>
  <si>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</si>
  <si>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</si>
  <si>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</si>
  <si>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</si>
  <si>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</si>
  <si>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</si>
  <si>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</si>
  <si>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</si>
  <si>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</si>
  <si>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</si>
  <si>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</si>
  <si>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</si>
  <si>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</si>
  <si>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</si>
  <si>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</si>
  <si>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</si>
  <si>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</si>
  <si>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</si>
  <si>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</si>
  <si>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</si>
  <si>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</si>
  <si>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</si>
  <si>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</si>
  <si>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</si>
  <si>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</si>
  <si>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</si>
  <si>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</si>
  <si>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</si>
  <si>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</si>
  <si>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</si>
  <si>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</si>
  <si>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</si>
  <si>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</si>
  <si>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</si>
  <si>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</si>
  <si>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</si>
  <si>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</si>
  <si>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</si>
  <si>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</si>
  <si>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</si>
  <si>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</si>
  <si>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</si>
  <si>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</si>
  <si>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</si>
  <si>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</si>
  <si>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</si>
  <si>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</si>
  <si>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</si>
  <si>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</si>
  <si>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</si>
  <si>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</si>
  <si>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</si>
  <si>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</si>
  <si>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</si>
  <si>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</si>
  <si>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</si>
  <si>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</si>
  <si>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</si>
  <si>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</si>
  <si>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</si>
  <si>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</si>
  <si>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</si>
  <si>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</si>
  <si>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</si>
  <si>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</si>
  <si>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</si>
  <si>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</si>
  <si>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</si>
  <si>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</si>
  <si>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</si>
  <si>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</si>
  <si>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</si>
  <si>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</si>
  <si>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</si>
  <si>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</si>
  <si>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</si>
  <si>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</si>
  <si>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</si>
  <si>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</si>
  <si>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</si>
  <si>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</si>
  <si>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</si>
  <si>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</si>
  <si>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</si>
  <si>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</si>
  <si>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</si>
  <si>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</si>
  <si>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</si>
  <si>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</si>
  <si>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</si>
  <si>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</si>
  <si>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</si>
  <si>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</si>
  <si>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</si>
  <si>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</si>
  <si>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</si>
  <si>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</si>
  <si>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</si>
  <si>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</si>
  <si>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</si>
  <si>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</si>
  <si>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</si>
  <si>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</si>
  <si>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</si>
  <si>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</si>
  <si>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</si>
  <si>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</si>
  <si>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</si>
  <si>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</si>
  <si>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</si>
  <si>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</si>
  <si>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</si>
  <si>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</si>
  <si>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</si>
  <si>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</si>
  <si>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</si>
  <si>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</si>
  <si>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</si>
  <si>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</si>
  <si>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</si>
  <si>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</si>
  <si>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</si>
  <si>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</si>
  <si>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</si>
  <si>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</si>
  <si>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</si>
  <si>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</si>
  <si>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</si>
  <si>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</si>
  <si>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</si>
  <si>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</si>
  <si>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</si>
  <si>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</si>
  <si>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</si>
  <si>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</si>
  <si>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</si>
  <si>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</si>
  <si>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</si>
  <si>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</si>
  <si>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</si>
  <si>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</si>
  <si>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</si>
  <si>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</si>
  <si>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</si>
  <si>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</si>
  <si>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</si>
  <si>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</si>
  <si>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</si>
  <si>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</si>
  <si>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</si>
  <si>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</si>
  <si>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</si>
  <si>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</si>
  <si>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</si>
  <si>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</si>
  <si>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</si>
  <si>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</si>
  <si>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</si>
  <si>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</si>
  <si>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</si>
  <si>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</si>
  <si>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</si>
  <si>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</si>
  <si>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</si>
  <si>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</si>
  <si>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</si>
  <si>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</si>
  <si>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</si>
  <si>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</si>
  <si>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</si>
  <si>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</si>
  <si>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</si>
  <si>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</si>
  <si>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</si>
  <si>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</si>
  <si>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</si>
  <si>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</si>
  <si>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</si>
  <si>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</si>
  <si>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</si>
  <si>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</si>
  <si>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</si>
  <si>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</si>
  <si>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</si>
  <si>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</si>
  <si>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</si>
  <si>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</si>
  <si>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</si>
  <si>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</si>
  <si>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</si>
  <si>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</si>
  <si>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</si>
  <si>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</si>
  <si>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</si>
  <si>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</si>
  <si>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</si>
  <si>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</si>
  <si>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</si>
  <si>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</si>
  <si>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</si>
  <si>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</si>
  <si>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</si>
  <si>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</si>
  <si>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</si>
  <si>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</si>
  <si>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</si>
  <si>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</si>
  <si>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</si>
  <si>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</si>
  <si>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</si>
  <si>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</si>
  <si>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</si>
  <si>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</si>
  <si>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</si>
  <si>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</si>
  <si>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</si>
  <si>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</si>
  <si>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</si>
  <si>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</si>
  <si>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</si>
  <si>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</si>
  <si>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</si>
  <si>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</si>
  <si>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</si>
  <si>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</si>
  <si>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</si>
  <si>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</si>
  <si>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</si>
  <si>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</si>
  <si>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</si>
  <si>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</si>
  <si>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</si>
  <si>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</si>
  <si>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</si>
  <si>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</si>
  <si>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</si>
  <si>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</si>
  <si>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</si>
  <si>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</si>
  <si>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</si>
  <si>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</si>
  <si>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</si>
  <si>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</si>
  <si>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</si>
  <si>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</si>
  <si>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</si>
  <si>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</si>
  <si>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</si>
  <si>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</si>
  <si>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</si>
  <si>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</si>
  <si>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</si>
  <si>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</si>
  <si>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</si>
  <si>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</si>
  <si>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</si>
  <si>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</si>
  <si>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</si>
  <si>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</si>
  <si>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</si>
  <si>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</si>
  <si>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</si>
  <si>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</si>
  <si>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</si>
  <si>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</si>
  <si>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</si>
  <si>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</si>
  <si>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</si>
  <si>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</si>
  <si>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</si>
  <si>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</si>
  <si>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</si>
  <si>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</si>
  <si>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</si>
  <si>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</si>
  <si>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</si>
  <si>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</si>
  <si>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</si>
  <si>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</si>
  <si>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</si>
  <si>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</si>
  <si>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</si>
  <si>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</si>
  <si>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</si>
  <si>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</si>
  <si>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</si>
  <si>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</si>
  <si>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</si>
  <si>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</si>
  <si>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</si>
  <si>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</si>
  <si>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</si>
  <si>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</si>
  <si>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</si>
  <si>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</si>
  <si>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</si>
  <si>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</si>
  <si>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</si>
  <si>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</si>
  <si>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</si>
  <si>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</si>
  <si>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</si>
  <si>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</si>
  <si>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</si>
  <si>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</si>
  <si>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</si>
  <si>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</si>
  <si>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</si>
  <si>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</si>
  <si>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</si>
  <si>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</si>
  <si>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</si>
  <si>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</si>
  <si>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</si>
  <si>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</si>
  <si>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</si>
  <si>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</si>
  <si>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</si>
  <si>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</si>
  <si>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</si>
  <si>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</si>
  <si>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</si>
  <si>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</si>
  <si>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</si>
  <si>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</si>
  <si>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</si>
  <si>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</si>
  <si>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</si>
  <si>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</si>
  <si>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</si>
  <si>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</si>
  <si>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</si>
  <si>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</si>
  <si>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</si>
  <si>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</si>
  <si>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</si>
  <si>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</si>
  <si>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</si>
  <si>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</si>
  <si>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</si>
  <si>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</si>
  <si>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</si>
  <si>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</si>
  <si>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</si>
  <si>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</si>
  <si>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</si>
  <si>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</si>
  <si>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</si>
  <si>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</si>
  <si>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</si>
  <si>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</si>
  <si>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</si>
  <si>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</si>
  <si>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</si>
  <si>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</si>
  <si>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</si>
  <si>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</si>
  <si>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</si>
  <si>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</si>
  <si>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</si>
  <si>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</si>
  <si>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</si>
  <si>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</si>
  <si>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</si>
  <si>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</si>
  <si>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</si>
  <si>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</si>
  <si>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</si>
  <si>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</si>
  <si>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</si>
  <si>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</si>
  <si>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</si>
  <si>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</si>
  <si>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</si>
  <si>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</si>
  <si>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</si>
  <si>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</si>
  <si>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</si>
  <si>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</si>
  <si>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</si>
  <si>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</si>
  <si>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</si>
  <si>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</si>
  <si>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</si>
  <si>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</si>
  <si>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</si>
  <si>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</si>
  <si>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</si>
  <si>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</si>
  <si>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</si>
  <si>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</si>
  <si>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</si>
  <si>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</si>
  <si>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</si>
  <si>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</si>
  <si>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</si>
  <si>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</si>
  <si>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</si>
  <si>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</si>
  <si>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</si>
  <si>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</si>
  <si>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</si>
  <si>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</si>
  <si>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</si>
  <si>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</si>
  <si>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</si>
  <si>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</si>
  <si>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</si>
  <si>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</si>
  <si>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</si>
  <si>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</si>
  <si>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</si>
  <si>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</si>
  <si>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</si>
  <si>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</si>
  <si>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</si>
  <si>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</si>
  <si>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</si>
  <si>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</si>
  <si>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</si>
  <si>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</si>
  <si>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</si>
  <si>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</si>
  <si>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</si>
  <si>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</si>
  <si>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</si>
  <si>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</si>
  <si>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</si>
  <si>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</si>
  <si>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</si>
  <si>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</si>
  <si>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</si>
  <si>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</si>
  <si>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</si>
  <si>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</si>
  <si>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</si>
  <si>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</si>
  <si>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</si>
  <si>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</si>
  <si>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</si>
  <si>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</si>
  <si>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</si>
  <si>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</si>
  <si>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</si>
  <si>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</si>
  <si>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</si>
  <si>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</si>
  <si>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</si>
  <si>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</si>
  <si>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</si>
  <si>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</si>
  <si>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</si>
  <si>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</si>
  <si>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</si>
  <si>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</si>
  <si>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</si>
  <si>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</si>
  <si>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</si>
  <si>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</si>
  <si>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</si>
  <si>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</si>
  <si>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</si>
  <si>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</si>
  <si>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</si>
  <si>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</si>
  <si>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</si>
  <si>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</si>
  <si>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</si>
  <si>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</si>
  <si>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</si>
  <si>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</si>
  <si>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</si>
  <si>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</si>
  <si>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</si>
  <si>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</si>
  <si>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</si>
  <si>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</si>
  <si>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</si>
  <si>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</si>
  <si>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</si>
  <si>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</si>
  <si>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</si>
  <si>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</si>
  <si>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</si>
  <si>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</si>
  <si>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</si>
  <si>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</si>
  <si>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</si>
  <si>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</si>
  <si>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</si>
  <si>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</si>
  <si>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</si>
  <si>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</si>
  <si>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</si>
  <si>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</si>
  <si>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</si>
  <si>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</si>
  <si>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</si>
  <si>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</si>
  <si>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</si>
  <si>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</si>
  <si>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</si>
  <si>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</si>
  <si>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</si>
  <si>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</si>
  <si>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</si>
  <si>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</si>
  <si>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</si>
  <si>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</si>
  <si>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</si>
  <si>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</si>
  <si>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</si>
  <si>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</si>
  <si>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</si>
  <si>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</si>
  <si>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</si>
  <si>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</si>
  <si>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</si>
  <si>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</si>
  <si>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</si>
  <si>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</si>
  <si>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</si>
  <si>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</si>
  <si>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</si>
  <si>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</si>
  <si>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</si>
  <si>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</si>
  <si>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</si>
  <si>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</si>
  <si>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</si>
  <si>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</si>
  <si>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</si>
  <si>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</si>
  <si>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</si>
  <si>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</si>
  <si>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</si>
  <si>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</si>
  <si>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</si>
  <si>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</si>
  <si>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</si>
  <si>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</si>
  <si>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</si>
  <si>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</si>
  <si>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</si>
  <si>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</si>
  <si>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</si>
  <si>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</si>
  <si>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</si>
  <si>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</si>
  <si>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</si>
  <si>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</si>
  <si>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</si>
  <si>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</si>
  <si>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</si>
  <si>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</si>
  <si>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</si>
  <si>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</si>
  <si>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</si>
  <si>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</si>
  <si>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</si>
  <si>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</si>
  <si>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</si>
  <si>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</si>
  <si>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</si>
  <si>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</si>
  <si>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</si>
  <si>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</si>
  <si>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</si>
  <si>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</si>
  <si>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</si>
  <si>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</si>
  <si>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</si>
  <si>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</si>
  <si>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</si>
  <si>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</si>
  <si>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</si>
  <si>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</si>
  <si>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</si>
  <si>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</si>
  <si>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</si>
  <si>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</si>
  <si>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</si>
  <si>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</si>
  <si>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</si>
  <si>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</si>
  <si>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</si>
  <si>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</si>
  <si>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</si>
  <si>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</si>
  <si>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</si>
  <si>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</si>
  <si>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</si>
  <si>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</si>
  <si>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</si>
  <si>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</si>
  <si>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</si>
  <si>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</si>
  <si>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</si>
  <si>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</si>
  <si>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</si>
  <si>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</si>
  <si>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</si>
  <si>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</si>
  <si>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</si>
  <si>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</si>
  <si>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</si>
  <si>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</si>
  <si>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</si>
  <si>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</si>
  <si>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</si>
  <si>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</si>
  <si>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</si>
  <si>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</si>
  <si>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</si>
  <si>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</si>
  <si>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</si>
  <si>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</si>
  <si>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</si>
  <si>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</si>
  <si>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</si>
  <si>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</si>
  <si>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</si>
  <si>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</si>
  <si>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</si>
  <si>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</si>
  <si>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</si>
  <si>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</si>
  <si>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</si>
  <si>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</si>
  <si>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</si>
  <si>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</si>
  <si>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</si>
  <si>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</si>
  <si>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</si>
  <si>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</si>
  <si>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</si>
  <si>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</si>
  <si>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</si>
  <si>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</si>
  <si>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</si>
  <si>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</si>
  <si>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</si>
  <si>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</si>
  <si>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</si>
  <si>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</si>
  <si>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</si>
  <si>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</si>
  <si>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</si>
  <si>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</si>
  <si>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</si>
  <si>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</si>
  <si>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</si>
  <si>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</si>
  <si>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</si>
  <si>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</si>
  <si>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</si>
  <si>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</si>
  <si>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</si>
  <si>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</si>
  <si>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</si>
  <si>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</si>
  <si>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</si>
  <si>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</si>
  <si>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</si>
  <si>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</si>
  <si>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</si>
  <si>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</si>
  <si>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</si>
  <si>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</si>
  <si>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</si>
  <si>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</si>
  <si>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</si>
  <si>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</si>
  <si>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</si>
  <si>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</si>
  <si>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</si>
  <si>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</si>
  <si>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</si>
  <si>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</si>
  <si>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</si>
  <si>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</si>
  <si>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</si>
  <si>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</si>
  <si>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</si>
  <si>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</si>
  <si>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</si>
  <si>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</si>
  <si>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</si>
  <si>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</si>
  <si>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</si>
  <si>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</si>
  <si>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</si>
  <si>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</si>
  <si>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</si>
  <si>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</si>
  <si>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</si>
  <si>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</si>
  <si>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</si>
  <si>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</si>
  <si>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</si>
  <si>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</si>
  <si>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</si>
  <si>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</si>
  <si>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</si>
  <si>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</si>
  <si>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</si>
  <si>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</si>
  <si>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</si>
  <si>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</si>
  <si>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</si>
  <si>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</si>
  <si>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</si>
  <si>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</si>
  <si>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</si>
  <si>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</si>
  <si>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</si>
  <si>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</si>
  <si>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</si>
  <si>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</si>
  <si>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</si>
  <si>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</si>
  <si>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</si>
  <si>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</si>
  <si>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</si>
  <si>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</si>
  <si>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</si>
  <si>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</si>
  <si>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</si>
  <si>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</si>
  <si>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</si>
  <si>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</si>
  <si>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</si>
  <si>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</si>
  <si>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</si>
  <si>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</si>
  <si>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</si>
  <si>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</si>
  <si>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</si>
  <si>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</si>
  <si>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</si>
  <si>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</si>
  <si>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</si>
  <si>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</si>
  <si>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</si>
  <si>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</si>
  <si>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</si>
  <si>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</si>
  <si>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</si>
  <si>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</si>
  <si>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</si>
  <si>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</si>
  <si>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</si>
  <si>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</si>
  <si>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</si>
  <si>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</si>
  <si>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</si>
  <si>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</si>
  <si>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</si>
  <si>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</si>
  <si>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</si>
  <si>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</si>
  <si>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</si>
  <si>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</si>
  <si>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</si>
  <si>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</si>
  <si>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</si>
  <si>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</si>
  <si>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</si>
  <si>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</si>
  <si>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</si>
  <si>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</si>
  <si>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</si>
  <si>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</si>
  <si>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</si>
  <si>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</si>
  <si>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</si>
  <si>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</si>
  <si>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</si>
  <si>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</si>
  <si>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</si>
  <si>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</si>
  <si>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</si>
  <si>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</si>
  <si>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</si>
  <si>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</si>
  <si>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</si>
  <si>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</si>
  <si>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</si>
  <si>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</si>
  <si>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</si>
  <si>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</si>
  <si>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</si>
  <si>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</si>
  <si>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</si>
  <si>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</si>
  <si>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</si>
  <si>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</si>
  <si>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</si>
  <si>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</si>
  <si>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</si>
  <si>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</si>
  <si>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</si>
  <si>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</si>
  <si>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</si>
  <si>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</si>
  <si>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</si>
  <si>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</si>
  <si>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</si>
  <si>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</si>
  <si>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</si>
  <si>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</si>
  <si>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</si>
  <si>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</si>
  <si>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</si>
  <si>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</si>
  <si>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</si>
  <si>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</si>
  <si>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</si>
  <si>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</si>
  <si>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</si>
  <si>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</si>
  <si>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</si>
  <si>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</si>
  <si>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</si>
  <si>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</si>
  <si>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</si>
  <si>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</si>
  <si>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</si>
  <si>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</si>
  <si>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</si>
  <si>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</si>
  <si>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</si>
  <si>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</si>
  <si>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</si>
  <si>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</si>
  <si>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</si>
  <si>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</si>
  <si>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</si>
  <si>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</si>
  <si>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</si>
  <si>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</si>
  <si>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</si>
  <si>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</si>
  <si>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</si>
  <si>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</si>
  <si>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</si>
  <si>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</si>
  <si>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</si>
  <si>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</si>
  <si>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</si>
  <si>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</si>
  <si>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</si>
  <si>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</si>
  <si>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</si>
  <si>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</si>
  <si>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</si>
  <si>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</si>
  <si>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</si>
  <si>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</si>
  <si>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</si>
  <si>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</si>
  <si>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</si>
  <si>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</si>
  <si>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</si>
  <si>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</si>
  <si>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</si>
  <si>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</si>
  <si>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</si>
  <si>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</si>
  <si>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</si>
  <si>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</si>
  <si>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</si>
  <si>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</si>
  <si>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</si>
  <si>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</si>
  <si>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</si>
  <si>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</si>
  <si>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</si>
  <si>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</si>
  <si>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</si>
  <si>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</si>
  <si>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</si>
  <si>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</si>
  <si>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</si>
  <si>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</si>
  <si>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</si>
  <si>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</si>
  <si>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</si>
  <si>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</si>
  <si>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</si>
  <si>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</si>
  <si>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</si>
  <si>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</si>
  <si>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</si>
  <si>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</si>
  <si>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</si>
  <si>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</si>
  <si>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</si>
  <si>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</si>
  <si>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</si>
  <si>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</si>
  <si>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</si>
  <si>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</si>
  <si>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</si>
  <si>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</si>
  <si>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</si>
  <si>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</si>
  <si>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</si>
  <si>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</si>
  <si>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</si>
  <si>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</si>
  <si>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</si>
  <si>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</si>
  <si>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</si>
  <si>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</si>
  <si>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</si>
  <si>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</si>
  <si>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</si>
  <si>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</si>
  <si>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</si>
  <si>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</si>
  <si>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</si>
  <si>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</si>
  <si>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</si>
  <si>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</si>
  <si>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</si>
  <si>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</si>
  <si>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</si>
  <si>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</si>
  <si>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</si>
  <si>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</si>
  <si>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</si>
  <si>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</si>
  <si>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</si>
  <si>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</si>
  <si>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</si>
  <si>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</si>
  <si>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</si>
  <si>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</si>
  <si>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</si>
  <si>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</si>
  <si>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</si>
  <si>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</si>
  <si>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</si>
  <si>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</si>
  <si>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</si>
  <si>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</si>
  <si>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</si>
  <si>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</si>
  <si>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</si>
  <si>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</si>
  <si>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</si>
  <si>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</si>
  <si>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</si>
  <si>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</si>
  <si>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</si>
  <si>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</si>
  <si>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</si>
  <si>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</si>
  <si>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</si>
  <si>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</si>
  <si>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</si>
  <si>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</si>
  <si>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</si>
  <si>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</si>
  <si>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</si>
  <si>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</si>
  <si>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</si>
  <si>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</si>
  <si>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</si>
  <si>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</si>
  <si>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</si>
  <si>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</si>
  <si>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</si>
  <si>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</si>
  <si>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</si>
  <si>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</si>
  <si>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</si>
  <si>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</si>
  <si>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</si>
  <si>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</si>
  <si>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</si>
  <si>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</si>
  <si>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</si>
  <si>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</si>
  <si>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</si>
  <si>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</si>
  <si>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</si>
  <si>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</si>
  <si>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</si>
  <si>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</si>
  <si>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</si>
  <si>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</si>
  <si>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</si>
  <si>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</si>
  <si>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</si>
  <si>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</si>
  <si>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</si>
  <si>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</si>
  <si>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</si>
  <si>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</si>
  <si>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</si>
  <si>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</si>
  <si>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</si>
  <si>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</si>
  <si>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</si>
  <si>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</si>
  <si>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</si>
  <si>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</si>
  <si>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</si>
  <si>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</si>
  <si>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</si>
  <si>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</si>
  <si>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</si>
  <si>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</si>
  <si>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</si>
  <si>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</si>
  <si>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</si>
  <si>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</si>
  <si>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</si>
  <si>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</si>
  <si>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</si>
  <si>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</si>
  <si>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</si>
  <si>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</si>
  <si>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</si>
  <si>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</si>
  <si>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</si>
  <si>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</si>
  <si>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</si>
  <si>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</si>
  <si>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</si>
  <si>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</si>
  <si>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</si>
  <si>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</si>
  <si>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</si>
  <si>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</si>
  <si>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</si>
  <si>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</si>
  <si>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</si>
  <si>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</si>
  <si>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</si>
  <si>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</si>
  <si>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</si>
  <si>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</si>
  <si>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</si>
  <si>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</si>
  <si>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</si>
  <si>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</si>
  <si>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</si>
  <si>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</si>
  <si>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</si>
  <si>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</si>
  <si>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</si>
  <si>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</si>
  <si>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</si>
  <si>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</si>
  <si>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</si>
  <si>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</si>
  <si>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</si>
  <si>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</si>
  <si>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</si>
  <si>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</si>
  <si>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</si>
  <si>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</si>
  <si>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</si>
  <si>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</si>
  <si>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</si>
  <si>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</si>
  <si>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</si>
  <si>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</si>
  <si>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</si>
  <si>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</si>
  <si>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</si>
  <si>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</si>
  <si>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</si>
  <si>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</si>
  <si>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</si>
  <si>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</si>
  <si>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</si>
  <si>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</si>
  <si>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</si>
  <si>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</si>
  <si>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</si>
  <si>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</si>
  <si>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</si>
  <si>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</si>
  <si>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</si>
  <si>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</si>
  <si>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</si>
  <si>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</si>
  <si>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</si>
  <si>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</si>
  <si>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</si>
  <si>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</si>
  <si>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</si>
  <si>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</si>
  <si>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</si>
  <si>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</si>
  <si>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</si>
  <si>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</si>
  <si>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</si>
  <si>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</si>
  <si>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</si>
  <si>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</si>
  <si>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</si>
  <si>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</si>
  <si>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</si>
  <si>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</si>
  <si>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</si>
  <si>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</si>
  <si>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</si>
  <si>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</si>
  <si>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</si>
  <si>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</si>
  <si>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</si>
  <si>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</si>
  <si>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</si>
  <si>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</si>
  <si>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</si>
  <si>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</si>
  <si>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</si>
  <si>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</si>
  <si>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</si>
  <si>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</si>
  <si>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</si>
  <si>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</si>
  <si>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</si>
  <si>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</si>
  <si>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</si>
  <si>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</si>
  <si>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</si>
  <si>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</si>
  <si>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</si>
  <si>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</si>
  <si>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</si>
  <si>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</si>
  <si>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</si>
  <si>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</si>
  <si>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</si>
  <si>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</si>
  <si>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</si>
  <si>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</si>
  <si>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</si>
  <si>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</si>
  <si>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</si>
  <si>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</si>
  <si>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</si>
  <si>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</si>
  <si>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</si>
  <si>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</si>
  <si>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</si>
  <si>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</si>
  <si>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</si>
  <si>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</si>
  <si>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</si>
  <si>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</si>
  <si>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</si>
  <si>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</si>
  <si>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</si>
  <si>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</si>
  <si>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</si>
  <si>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</si>
  <si>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</si>
  <si>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</si>
  <si>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</si>
  <si>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</si>
  <si>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</si>
  <si>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</si>
  <si>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</si>
  <si>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</si>
  <si>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</si>
  <si>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</si>
  <si>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</si>
  <si>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</si>
  <si>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</si>
  <si>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</si>
  <si>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</si>
  <si>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</si>
  <si>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</si>
  <si>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</si>
  <si>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</si>
  <si>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</si>
  <si>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</si>
  <si>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</si>
  <si>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</si>
  <si>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</si>
  <si>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</si>
  <si>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</si>
  <si>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</si>
  <si>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</si>
  <si>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</si>
  <si>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</si>
  <si>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</si>
  <si>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</si>
  <si>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</si>
  <si>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</si>
  <si>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</si>
  <si>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</si>
  <si>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</si>
  <si>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</si>
  <si>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</si>
  <si>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</si>
  <si>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</si>
  <si>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</si>
  <si>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</si>
  <si>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</si>
  <si>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</si>
  <si>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</si>
  <si>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</si>
  <si>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</si>
  <si>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</si>
  <si>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</si>
  <si>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</si>
  <si>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</si>
  <si>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</si>
  <si>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</si>
  <si>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</si>
  <si>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</si>
  <si>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</si>
  <si>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</si>
  <si>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</si>
  <si>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</si>
  <si>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</si>
  <si>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</si>
  <si>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</si>
  <si>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</si>
  <si>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</si>
  <si>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</si>
  <si>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</si>
  <si>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</si>
  <si>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</si>
  <si>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</si>
  <si>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</si>
  <si>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</si>
  <si>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</si>
  <si>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</si>
  <si>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</si>
  <si>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</si>
  <si>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</si>
  <si>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</si>
  <si>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</si>
  <si>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</si>
  <si>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</si>
  <si>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</si>
  <si>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</si>
  <si>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</si>
  <si>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</si>
  <si>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</si>
  <si>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</si>
  <si>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</si>
  <si>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</si>
  <si>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</si>
  <si>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</si>
  <si>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</si>
  <si>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</si>
  <si>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</si>
  <si>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</si>
  <si>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</si>
  <si>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</si>
  <si>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</si>
  <si>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</si>
  <si>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</si>
  <si>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</si>
  <si>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</si>
  <si>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</si>
  <si>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</si>
  <si>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</si>
  <si>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</si>
  <si>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</si>
  <si>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</si>
  <si>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</si>
  <si>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</si>
  <si>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</si>
  <si>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</si>
  <si>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</si>
  <si>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</si>
  <si>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</si>
  <si>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</si>
  <si>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</si>
  <si>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</si>
  <si>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</si>
  <si>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</si>
  <si>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</si>
  <si>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</si>
  <si>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</si>
  <si>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</si>
  <si>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</si>
  <si>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</si>
  <si>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</si>
  <si>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</si>
  <si>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</si>
  <si>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</si>
  <si>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</si>
  <si>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</si>
  <si>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</si>
  <si>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</si>
  <si>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</si>
  <si>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</si>
  <si>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</si>
  <si>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</si>
  <si>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</si>
  <si>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</si>
  <si>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</si>
  <si>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</si>
  <si>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</si>
  <si>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</si>
  <si>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</si>
  <si>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</si>
  <si>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</si>
  <si>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</si>
  <si>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</si>
  <si>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</si>
  <si>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</si>
  <si>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</si>
  <si>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</si>
  <si>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</si>
  <si>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</si>
  <si>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</si>
  <si>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</si>
  <si>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</si>
  <si>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</si>
  <si>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</si>
  <si>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</si>
  <si>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</si>
  <si>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</si>
  <si>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</si>
  <si>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</si>
  <si>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</si>
  <si>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</si>
  <si>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</si>
  <si>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</si>
  <si>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</si>
  <si>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</si>
  <si>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</si>
  <si>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</si>
  <si>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</si>
  <si>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</si>
  <si>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</si>
  <si>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</si>
  <si>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</si>
  <si>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</si>
  <si>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</si>
  <si>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</si>
  <si>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</si>
  <si>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</si>
  <si>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</si>
  <si>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</si>
  <si>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</si>
  <si>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</si>
  <si>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</si>
  <si>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</si>
  <si>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</si>
  <si>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</si>
  <si>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</si>
  <si>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</si>
  <si>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</si>
  <si>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</si>
  <si>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</si>
  <si>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</si>
  <si>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</si>
  <si>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</si>
  <si>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</si>
  <si>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</si>
  <si>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</si>
  <si>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</si>
  <si>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</si>
  <si>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</si>
  <si>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</si>
  <si>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</si>
  <si>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</si>
  <si>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</si>
  <si>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</si>
  <si>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</si>
  <si>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</si>
  <si>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</si>
  <si>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</si>
  <si>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</si>
  <si>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</si>
  <si>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</si>
  <si>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</si>
  <si>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</si>
  <si>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</si>
  <si>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</si>
  <si>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</si>
  <si>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</si>
  <si>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</si>
  <si>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</si>
  <si>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</si>
  <si>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</si>
  <si>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</si>
  <si>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</si>
  <si>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</si>
  <si>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</si>
  <si>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</si>
  <si>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</si>
  <si>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</si>
  <si>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</si>
  <si>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</si>
  <si>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</si>
  <si>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</si>
  <si>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</si>
  <si>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</si>
  <si>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</si>
  <si>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</si>
  <si>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</si>
  <si>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</si>
  <si>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</si>
  <si>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</si>
  <si>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</si>
  <si>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</si>
  <si>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</si>
  <si>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</si>
  <si>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</si>
  <si>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</si>
  <si>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</si>
  <si>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</si>
  <si>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</si>
  <si>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</si>
  <si>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</si>
  <si>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</si>
  <si>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</si>
  <si>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</si>
  <si>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</si>
  <si>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</si>
  <si>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</si>
  <si>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</si>
  <si>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</si>
  <si>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</si>
  <si>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</si>
  <si>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</si>
  <si>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</si>
  <si>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</si>
  <si>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</si>
  <si>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</si>
  <si>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</si>
  <si>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</si>
  <si>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</si>
  <si>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</si>
  <si>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</si>
  <si>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</si>
  <si>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</si>
  <si>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</si>
  <si>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</si>
  <si>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</si>
  <si>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</si>
  <si>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</si>
  <si>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</si>
  <si>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</si>
  <si>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</si>
  <si>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</si>
  <si>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</si>
  <si>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</si>
  <si>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</si>
  <si>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</si>
  <si>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</si>
  <si>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</si>
  <si>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</si>
  <si>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</si>
  <si>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</si>
  <si>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</si>
  <si>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</si>
  <si>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</si>
  <si>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</si>
  <si>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</si>
  <si>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</si>
  <si>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</si>
  <si>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</si>
  <si>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</si>
  <si>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</si>
  <si>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</si>
  <si>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</si>
  <si>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</si>
  <si>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</si>
  <si>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</si>
  <si>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</si>
  <si>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</si>
  <si>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</si>
  <si>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</si>
  <si>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</si>
  <si>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</si>
  <si>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</si>
  <si>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</si>
  <si>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</si>
  <si>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</si>
  <si>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</si>
  <si>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</si>
  <si>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</si>
  <si>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</si>
  <si>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</si>
  <si>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</si>
  <si>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</si>
  <si>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</si>
  <si>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</si>
  <si>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</si>
  <si>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</si>
  <si>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</si>
  <si>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</si>
  <si>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</si>
  <si>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</si>
  <si>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</si>
  <si>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</si>
  <si>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</si>
  <si>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</si>
  <si>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</si>
  <si>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</si>
  <si>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</si>
  <si>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</si>
  <si>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</si>
  <si>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</si>
  <si>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</si>
  <si>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</si>
  <si>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</si>
  <si>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</si>
  <si>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</si>
  <si>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</si>
  <si>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</si>
  <si>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</si>
  <si>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</si>
  <si>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</si>
  <si>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</si>
  <si>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</si>
  <si>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</si>
  <si>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</si>
  <si>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</si>
  <si>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</si>
  <si>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</si>
  <si>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</si>
  <si>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</si>
  <si>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</si>
  <si>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</si>
  <si>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</si>
  <si>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</si>
  <si>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</si>
  <si>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</si>
  <si>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</si>
  <si>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</si>
  <si>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</si>
  <si>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</si>
  <si>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</si>
  <si>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</si>
  <si>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</si>
  <si>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</si>
  <si>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</si>
  <si>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</si>
  <si>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</si>
  <si>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</si>
  <si>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</si>
  <si>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</si>
  <si>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</si>
  <si>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</si>
  <si>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</si>
  <si>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</si>
  <si>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</si>
  <si>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</si>
  <si>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</si>
  <si>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</si>
  <si>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</si>
  <si>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</si>
  <si>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</si>
  <si>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</si>
  <si>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</si>
  <si>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</si>
  <si>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</si>
  <si>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</si>
  <si>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</si>
  <si>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</si>
  <si>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</si>
  <si>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</si>
  <si>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</si>
  <si>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</si>
  <si>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</si>
  <si>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</si>
  <si>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</si>
  <si>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</si>
  <si>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</si>
  <si>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</si>
  <si>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</si>
  <si>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</si>
  <si>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</si>
  <si>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</si>
  <si>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</si>
  <si>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</si>
  <si>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</si>
  <si>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</si>
  <si>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</si>
  <si>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</si>
  <si>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</si>
  <si>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</si>
  <si>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</si>
  <si>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</si>
  <si>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</si>
  <si>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</si>
  <si>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</si>
  <si>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</si>
  <si>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</si>
  <si>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</si>
  <si>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</si>
  <si>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</si>
  <si>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</si>
  <si>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</si>
  <si>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</si>
  <si>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</si>
  <si>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</si>
  <si>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</si>
  <si>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</si>
  <si>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</si>
  <si>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</si>
  <si>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</si>
  <si>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</si>
  <si>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</si>
  <si>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</si>
  <si>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</si>
  <si>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</si>
  <si>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</si>
  <si>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</si>
  <si>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</si>
  <si>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</si>
  <si>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</si>
  <si>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</si>
  <si>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</si>
  <si>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</si>
  <si>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</si>
  <si>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</si>
  <si>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</si>
  <si>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</si>
  <si>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</si>
  <si>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</si>
  <si>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</si>
  <si>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</si>
  <si>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</si>
  <si>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</si>
  <si>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</si>
  <si>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</si>
  <si>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</si>
  <si>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</si>
  <si>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</si>
  <si>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</si>
  <si>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</si>
  <si>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</si>
  <si>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</si>
  <si>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</si>
  <si>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</si>
  <si>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</si>
  <si>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</si>
  <si>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</si>
  <si>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</si>
  <si>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</si>
  <si>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</si>
  <si>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</si>
  <si>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</si>
  <si>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</si>
  <si>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</si>
  <si>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</si>
  <si>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</si>
  <si>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</si>
  <si>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</si>
  <si>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</si>
  <si>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</si>
  <si>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</si>
  <si>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</si>
  <si>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</si>
  <si>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</si>
  <si>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</si>
  <si>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</si>
  <si>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</si>
  <si>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</si>
  <si>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</si>
  <si>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</si>
  <si>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</si>
  <si>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</si>
  <si>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</si>
  <si>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</si>
  <si>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</si>
  <si>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</si>
  <si>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</si>
  <si>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</si>
  <si>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</si>
  <si>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</si>
  <si>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</si>
  <si>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</si>
  <si>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</si>
  <si>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</si>
  <si>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</si>
  <si>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</si>
  <si>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</si>
  <si>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</si>
  <si>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</si>
  <si>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</si>
  <si>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</si>
  <si>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</si>
  <si>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</si>
  <si>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</si>
  <si>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</si>
  <si>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</si>
  <si>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</si>
  <si>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</si>
  <si>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</si>
  <si>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</si>
  <si>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</si>
  <si>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</si>
  <si>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</si>
  <si>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</si>
  <si>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</si>
  <si>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</si>
  <si>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</si>
  <si>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</si>
  <si>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</si>
  <si>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</si>
  <si>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</si>
  <si>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</si>
  <si>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</si>
  <si>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</si>
  <si>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</si>
  <si>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</si>
  <si>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</si>
  <si>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</si>
  <si>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</si>
  <si>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</si>
  <si>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</si>
  <si>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</si>
  <si>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</si>
  <si>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</si>
  <si>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</si>
  <si>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</si>
  <si>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</si>
  <si>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</si>
  <si>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</si>
  <si>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</si>
  <si>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</si>
  <si>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</si>
  <si>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</si>
  <si>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</si>
  <si>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</si>
  <si>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</si>
  <si>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</si>
  <si>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</si>
  <si>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</si>
  <si>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</si>
  <si>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</si>
  <si>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</si>
  <si>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</si>
  <si>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</si>
  <si>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</si>
  <si>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</si>
  <si>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</si>
  <si>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</si>
  <si>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</si>
  <si>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</si>
  <si>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</si>
  <si>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</si>
  <si>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</si>
  <si>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</si>
  <si>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</si>
  <si>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</si>
  <si>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</si>
  <si>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</si>
  <si>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</si>
  <si>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</si>
  <si>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</si>
  <si>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</si>
  <si>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</si>
  <si>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</si>
  <si>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</si>
  <si>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</si>
  <si>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</si>
  <si>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</si>
  <si>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</si>
  <si>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</si>
  <si>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</si>
  <si>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</si>
  <si>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</si>
  <si>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</si>
  <si>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</si>
  <si>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</si>
  <si>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</si>
  <si>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</si>
  <si>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</si>
  <si>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</si>
  <si>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</si>
  <si>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</si>
  <si>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</si>
  <si>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</si>
  <si>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</si>
  <si>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</si>
  <si>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</si>
  <si>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</si>
  <si>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</si>
  <si>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</si>
  <si>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</si>
  <si>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</si>
  <si>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</si>
  <si>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</si>
  <si>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</si>
  <si>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</si>
  <si>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</si>
  <si>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</si>
  <si>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</si>
  <si>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</si>
  <si>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</si>
  <si>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</si>
  <si>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</si>
  <si>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</si>
  <si>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</si>
  <si>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</si>
  <si>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</si>
  <si>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</si>
  <si>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</si>
  <si>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</si>
  <si>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</si>
  <si>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</si>
  <si>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</si>
  <si>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</si>
  <si>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</si>
  <si>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</si>
  <si>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</si>
  <si>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</si>
  <si>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</si>
  <si>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</si>
  <si>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</si>
  <si>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</si>
  <si>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</si>
  <si>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</si>
  <si>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</si>
  <si>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</si>
  <si>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</si>
  <si>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</si>
  <si>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</si>
  <si>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</si>
  <si>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</si>
  <si>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</si>
  <si>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</si>
  <si>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</si>
  <si>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</si>
  <si>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</si>
  <si>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</si>
  <si>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</si>
  <si>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</si>
  <si>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</si>
  <si>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</si>
  <si>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</si>
  <si>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</si>
  <si>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</si>
  <si>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</si>
  <si>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</si>
  <si>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</si>
  <si>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</si>
  <si>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</si>
  <si>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</si>
  <si>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</si>
  <si>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</si>
  <si>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</si>
  <si>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</si>
  <si>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</si>
  <si>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</si>
  <si>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</si>
  <si>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</si>
  <si>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</si>
  <si>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</si>
  <si>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</si>
  <si>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</si>
  <si>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</si>
  <si>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</si>
  <si>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</si>
  <si>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</si>
  <si>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</si>
  <si>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</si>
  <si>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</si>
  <si>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</si>
  <si>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</si>
  <si>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</si>
  <si>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</si>
  <si>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</si>
  <si>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</si>
  <si>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</si>
  <si>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</si>
  <si>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</si>
  <si>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</si>
  <si>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</si>
  <si>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</si>
  <si>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</si>
  <si>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</si>
  <si>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</si>
  <si>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</si>
  <si>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</si>
  <si>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</si>
  <si>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</si>
  <si>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</si>
  <si>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</si>
  <si>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</si>
  <si>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</si>
  <si>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</si>
  <si>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</si>
  <si>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</si>
  <si>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</si>
  <si>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</si>
  <si>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</si>
  <si>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</si>
  <si>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</si>
  <si>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</si>
  <si>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</si>
  <si>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</si>
  <si>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</si>
  <si>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</si>
  <si>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</si>
  <si>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</si>
  <si>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</si>
  <si>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</si>
  <si>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</si>
  <si>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</si>
  <si>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</si>
  <si>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</si>
  <si>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</si>
  <si>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</si>
  <si>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</si>
  <si>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</si>
  <si>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</si>
  <si>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</si>
  <si>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</si>
  <si>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</si>
  <si>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</si>
  <si>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</si>
  <si>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</si>
  <si>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</si>
  <si>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</si>
  <si>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</si>
  <si>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</si>
  <si>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</si>
  <si>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</si>
  <si>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</si>
  <si>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</si>
  <si>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</si>
  <si>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</si>
  <si>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</si>
  <si>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</si>
  <si>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</si>
  <si>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</si>
  <si>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</si>
  <si>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</si>
  <si>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</si>
  <si>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</si>
  <si>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</si>
  <si>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</si>
  <si>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</si>
  <si>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</si>
  <si>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</si>
  <si>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</si>
  <si>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</si>
  <si>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</si>
  <si>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</si>
  <si>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</si>
  <si>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</si>
  <si>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</si>
  <si>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</si>
  <si>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</si>
  <si>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</si>
  <si>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</si>
  <si>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</si>
  <si>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</si>
  <si>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</si>
  <si>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</si>
  <si>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</si>
  <si>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</si>
  <si>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</si>
  <si>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</si>
  <si>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</si>
  <si>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</si>
  <si>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</si>
  <si>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</si>
  <si>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</si>
  <si>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</si>
  <si>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</si>
  <si>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</si>
  <si>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</si>
  <si>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</si>
  <si>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</si>
  <si>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</si>
  <si>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</si>
  <si>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</si>
  <si>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</si>
  <si>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</si>
  <si>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</si>
  <si>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</si>
  <si>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</si>
  <si>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</si>
  <si>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</si>
  <si>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</si>
  <si>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</si>
  <si>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</si>
  <si>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</si>
  <si>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</si>
  <si>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</si>
  <si>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</si>
  <si>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</si>
  <si>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</si>
  <si>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</si>
  <si>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</si>
  <si>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</si>
  <si>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</si>
  <si>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</si>
  <si>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</si>
  <si>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</si>
  <si>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</si>
  <si>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</si>
  <si>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</si>
  <si>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</si>
  <si>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</si>
  <si>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</si>
  <si>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</si>
  <si>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</si>
  <si>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</si>
  <si>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</si>
  <si>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</si>
  <si>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</si>
  <si>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</si>
  <si>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</si>
  <si>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</si>
  <si>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</si>
  <si>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</si>
  <si>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</si>
  <si>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</si>
  <si>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</si>
  <si>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</si>
  <si>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</si>
  <si>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</si>
  <si>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</si>
  <si>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</si>
  <si>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</si>
  <si>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</si>
  <si>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</si>
  <si>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</si>
  <si>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</si>
  <si>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</si>
  <si>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</si>
  <si>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</si>
  <si>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</si>
  <si>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</si>
  <si>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</si>
  <si>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</si>
  <si>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</si>
  <si>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</si>
  <si>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</si>
  <si>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</si>
  <si>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</si>
  <si>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</si>
  <si>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</si>
  <si>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</si>
  <si>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</si>
  <si>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</si>
  <si>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</si>
  <si>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</si>
  <si>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</si>
  <si>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</si>
  <si>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</si>
  <si>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</si>
  <si>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</si>
  <si>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</si>
  <si>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</si>
  <si>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</si>
  <si>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</si>
  <si>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</si>
  <si>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</si>
  <si>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</si>
  <si>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</si>
  <si>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</si>
  <si>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</si>
  <si>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</si>
  <si>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</si>
  <si>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</si>
  <si>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</si>
  <si>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</si>
  <si>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</si>
  <si>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</si>
  <si>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</si>
  <si>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</si>
  <si>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</si>
  <si>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</si>
  <si>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</si>
  <si>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</si>
  <si>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</si>
  <si>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</si>
  <si>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</si>
  <si>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</si>
  <si>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</si>
  <si>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</si>
  <si>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</si>
  <si>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</si>
  <si>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</si>
  <si>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</si>
  <si>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</si>
  <si>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</si>
  <si>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</si>
  <si>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</si>
  <si>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</si>
  <si>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</si>
  <si>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</si>
  <si>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</si>
  <si>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</si>
  <si>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</si>
  <si>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</si>
  <si>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</si>
  <si>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</si>
  <si>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</si>
  <si>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</si>
  <si>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</si>
  <si>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</si>
  <si>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</si>
  <si>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</si>
  <si>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</si>
  <si>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</si>
  <si>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</si>
  <si>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</si>
  <si>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</si>
  <si>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</si>
  <si>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</si>
  <si>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</si>
  <si>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</si>
  <si>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</si>
  <si>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</si>
  <si>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</si>
  <si>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</si>
  <si>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</si>
  <si>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</si>
  <si>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</si>
  <si>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</si>
  <si>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</si>
  <si>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</si>
  <si>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</si>
  <si>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</si>
  <si>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</si>
  <si>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</si>
  <si>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</si>
  <si>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</si>
  <si>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</si>
  <si>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</si>
  <si>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</si>
  <si>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</si>
  <si>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</si>
  <si>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</si>
  <si>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</si>
  <si>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</si>
  <si>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</si>
  <si>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</si>
  <si>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</si>
  <si>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</si>
  <si>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</si>
  <si>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</si>
  <si>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</si>
  <si>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</si>
  <si>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</si>
  <si>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</si>
  <si>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</si>
  <si>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</si>
  <si>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</si>
  <si>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</si>
  <si>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</si>
  <si>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</si>
  <si>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</si>
  <si>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</si>
  <si>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</si>
  <si>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</si>
  <si>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</si>
  <si>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</si>
  <si>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</si>
  <si>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</si>
  <si>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</si>
  <si>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</si>
  <si>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</si>
  <si>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</si>
  <si>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</si>
  <si>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</si>
  <si>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</si>
  <si>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</si>
  <si>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</si>
  <si>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</si>
  <si>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</si>
  <si>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</si>
  <si>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</si>
  <si>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</si>
  <si>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</si>
  <si>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</si>
  <si>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</si>
  <si>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</si>
  <si>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</si>
  <si>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</si>
  <si>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</si>
  <si>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</si>
  <si>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</si>
  <si>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</si>
  <si>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</si>
  <si>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</si>
  <si>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</si>
  <si>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</si>
  <si>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</si>
  <si>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</si>
  <si>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</si>
  <si>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</si>
  <si>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</si>
  <si>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</si>
  <si>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</si>
  <si>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</si>
  <si>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</si>
  <si>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</si>
  <si>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</si>
  <si>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</si>
  <si>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</si>
  <si>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</si>
  <si>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</si>
  <si>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</si>
  <si>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</si>
  <si>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</si>
  <si>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</si>
  <si>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</si>
  <si>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</si>
  <si>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</si>
  <si>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</si>
  <si>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</si>
  <si>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</si>
  <si>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</si>
  <si>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</si>
  <si>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</si>
  <si>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</si>
  <si>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</si>
  <si>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</si>
  <si>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</si>
  <si>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</si>
  <si>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</si>
  <si>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</si>
  <si>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</si>
  <si>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</si>
  <si>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</si>
  <si>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</si>
  <si>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</si>
  <si>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</si>
  <si>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</si>
  <si>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</si>
  <si>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</si>
  <si>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</si>
  <si>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</si>
  <si>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</si>
  <si>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</si>
  <si>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</si>
  <si>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</si>
  <si>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</si>
  <si>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</si>
  <si>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</si>
  <si>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</si>
  <si>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</si>
  <si>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</si>
  <si>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</si>
  <si>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</si>
  <si>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</si>
  <si>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</si>
  <si>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</si>
  <si>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</si>
  <si>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</si>
  <si>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</si>
  <si>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</si>
  <si>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</si>
  <si>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</si>
  <si>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</si>
  <si>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</si>
  <si>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</si>
  <si>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</si>
  <si>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</si>
  <si>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</si>
  <si>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</si>
  <si>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</si>
  <si>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</si>
  <si>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</si>
  <si>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</si>
  <si>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</si>
  <si>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</si>
  <si>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</si>
  <si>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</si>
  <si>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</si>
  <si>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</si>
  <si>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</si>
  <si>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</si>
  <si>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</si>
  <si>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</si>
  <si>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</si>
  <si>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</si>
  <si>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</si>
  <si>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</si>
  <si>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</si>
  <si>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</si>
  <si>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</si>
  <si>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</si>
  <si>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</si>
  <si>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</si>
  <si>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</si>
  <si>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</si>
  <si>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</si>
  <si>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</si>
  <si>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</si>
  <si>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</si>
  <si>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</si>
  <si>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</si>
  <si>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</si>
  <si>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</si>
  <si>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</si>
  <si>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</si>
  <si>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</si>
  <si>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</si>
  <si>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</si>
  <si>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</si>
  <si>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</si>
  <si>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</si>
  <si>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</si>
  <si>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</si>
  <si>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</si>
  <si>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</si>
  <si>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</si>
  <si>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</si>
  <si>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</si>
  <si>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</si>
  <si>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</si>
  <si>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</si>
  <si>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</si>
  <si>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</si>
  <si>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</si>
  <si>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</si>
  <si>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</si>
  <si>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</si>
  <si>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</si>
  <si>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</si>
  <si>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</si>
  <si>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</si>
  <si>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</si>
  <si>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</si>
  <si>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</si>
  <si>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</si>
  <si>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</si>
  <si>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</si>
  <si>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</si>
  <si>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</si>
  <si>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</si>
  <si>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</si>
  <si>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</si>
  <si>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</si>
  <si>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</si>
  <si>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</si>
  <si>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</si>
  <si>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</si>
  <si>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</si>
  <si>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</si>
  <si>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</si>
  <si>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</si>
  <si>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</si>
  <si>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</si>
  <si>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</si>
  <si>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</si>
  <si>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</si>
  <si>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</si>
  <si>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</si>
  <si>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</si>
  <si>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</si>
  <si>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</si>
  <si>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</si>
  <si>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</si>
  <si>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</si>
  <si>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</si>
  <si>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</si>
  <si>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</si>
  <si>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</si>
  <si>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</si>
  <si>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</si>
  <si>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</si>
  <si>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</si>
  <si>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</si>
  <si>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</si>
  <si>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</si>
  <si>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</si>
  <si>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</si>
  <si>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</si>
  <si>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</si>
  <si>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</si>
  <si>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</si>
  <si>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</si>
  <si>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</si>
  <si>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</si>
  <si>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</si>
  <si>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</si>
  <si>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</si>
  <si>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</si>
  <si>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</si>
  <si>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</si>
  <si>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</si>
  <si>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</si>
  <si>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</si>
  <si>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</si>
  <si>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</si>
  <si>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</si>
  <si>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</si>
  <si>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</si>
  <si>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</si>
  <si>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</si>
  <si>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</si>
  <si>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</si>
  <si>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</si>
  <si>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</si>
  <si>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</si>
  <si>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</si>
  <si>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</si>
  <si>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</si>
  <si>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</si>
  <si>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</si>
  <si>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</si>
  <si>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</si>
  <si>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</si>
  <si>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</si>
  <si>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</si>
  <si>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</si>
  <si>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</si>
  <si>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</si>
  <si>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</si>
  <si>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</si>
  <si>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</si>
  <si>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</si>
  <si>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</si>
  <si>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</si>
  <si>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</si>
  <si>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</si>
  <si>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</si>
  <si>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</si>
  <si>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</si>
  <si>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</si>
  <si>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</si>
  <si>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</si>
  <si>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</si>
  <si>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</si>
  <si>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</si>
  <si>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</si>
  <si>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</si>
  <si>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</si>
  <si>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</si>
  <si>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</si>
  <si>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</si>
  <si>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</si>
  <si>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</si>
  <si>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</si>
  <si>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</si>
  <si>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</si>
  <si>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</si>
  <si>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</si>
  <si>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</si>
  <si>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</si>
  <si>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</si>
  <si>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</si>
  <si>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</si>
  <si>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</si>
  <si>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</si>
  <si>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</si>
  <si>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</si>
  <si>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</si>
  <si>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</si>
  <si>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</si>
  <si>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</si>
  <si>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</si>
  <si>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</si>
  <si>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</si>
  <si>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</si>
  <si>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</si>
  <si>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</si>
  <si>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</si>
  <si>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</si>
  <si>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</si>
  <si>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</si>
  <si>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</si>
  <si>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</si>
  <si>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</si>
  <si>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</si>
  <si>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</si>
  <si>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</si>
  <si>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</si>
  <si>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</si>
  <si>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</si>
  <si>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</si>
  <si>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</si>
  <si>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</si>
  <si>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</si>
  <si>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</si>
  <si>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</si>
  <si>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</si>
  <si>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</si>
  <si>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</si>
  <si>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</si>
  <si>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</si>
  <si>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</si>
  <si>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</si>
  <si>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</si>
  <si>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</si>
  <si>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</si>
  <si>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</si>
  <si>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</si>
  <si>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</si>
  <si>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</si>
  <si>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</si>
  <si>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</si>
  <si>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</si>
  <si>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</si>
  <si>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</si>
  <si>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</si>
  <si>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</si>
  <si>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</si>
  <si>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</si>
  <si>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</si>
  <si>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</si>
  <si>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</si>
  <si>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</si>
  <si>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</si>
  <si>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</si>
  <si>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</si>
  <si>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</si>
  <si>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</si>
  <si>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</si>
  <si>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</si>
  <si>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</si>
  <si>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</si>
  <si>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</si>
  <si>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</si>
  <si>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</si>
  <si>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</si>
  <si>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</si>
  <si>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</si>
  <si>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</si>
  <si>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</si>
  <si>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</si>
  <si>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</si>
  <si>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</si>
  <si>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</si>
  <si>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</si>
  <si>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</si>
  <si>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</si>
  <si>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</si>
  <si>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</si>
  <si>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</si>
  <si>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</si>
  <si>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</si>
  <si>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</si>
  <si>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</si>
  <si>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</si>
  <si>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</si>
  <si>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</si>
  <si>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</si>
  <si>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</si>
  <si>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</si>
  <si>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</si>
  <si>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</si>
  <si>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</si>
  <si>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</si>
  <si>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</si>
  <si>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</si>
  <si>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</si>
  <si>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</si>
  <si>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</si>
  <si>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</si>
  <si>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</si>
  <si>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</si>
  <si>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</si>
  <si>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</si>
  <si>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</si>
  <si>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</si>
  <si>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</si>
  <si>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</si>
  <si>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</si>
  <si>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</si>
  <si>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</si>
  <si>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</si>
  <si>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</si>
  <si>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</si>
  <si>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</si>
  <si>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</si>
  <si>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</si>
  <si>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</si>
  <si>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</si>
  <si>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</si>
  <si>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</si>
  <si>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</si>
  <si>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</si>
  <si>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</si>
  <si>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</si>
  <si>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</si>
  <si>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</si>
  <si>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</si>
  <si>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</si>
  <si>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</si>
  <si>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</si>
  <si>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</si>
  <si>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</si>
  <si>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</si>
  <si>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</si>
  <si>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</si>
  <si>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</si>
  <si>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</si>
  <si>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</si>
  <si>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</si>
  <si>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</si>
  <si>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</si>
  <si>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</si>
  <si>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</si>
  <si>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</si>
  <si>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</si>
  <si>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</si>
  <si>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</si>
  <si>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</si>
  <si>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</si>
  <si>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</si>
  <si>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</si>
  <si>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</si>
  <si>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</si>
  <si>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</si>
  <si>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</si>
  <si>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</si>
  <si>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</si>
  <si>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</si>
  <si>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</si>
  <si>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</si>
  <si>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</si>
  <si>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</si>
  <si>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</si>
  <si>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</si>
  <si>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</si>
  <si>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</si>
  <si>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</si>
  <si>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</si>
  <si>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</si>
  <si>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</si>
  <si>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</si>
  <si>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</si>
  <si>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</si>
  <si>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</si>
  <si>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</si>
  <si>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</si>
  <si>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</si>
  <si>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</si>
  <si>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</si>
  <si>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</si>
  <si>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</si>
  <si>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</si>
  <si>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</si>
  <si>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</si>
  <si>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</si>
  <si>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</si>
  <si>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</si>
  <si>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</si>
  <si>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</si>
  <si>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</si>
  <si>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</si>
  <si>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</si>
  <si>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</si>
  <si>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</si>
  <si>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</si>
  <si>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</si>
  <si>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</si>
  <si>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</si>
  <si>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</si>
  <si>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</si>
  <si>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</si>
  <si>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</si>
  <si>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</si>
  <si>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</si>
  <si>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</si>
  <si>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</si>
  <si>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</si>
  <si>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</si>
  <si>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</si>
  <si>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</si>
  <si>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</si>
  <si>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</si>
  <si>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</si>
  <si>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</si>
  <si>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</si>
  <si>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</si>
  <si>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</si>
  <si>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</si>
  <si>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</si>
  <si>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</si>
  <si>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</si>
  <si>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</si>
  <si>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</si>
  <si>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</si>
  <si>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</si>
  <si>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</si>
  <si>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</si>
  <si>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</si>
  <si>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</si>
  <si>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</si>
  <si>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</si>
  <si>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</si>
  <si>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</si>
  <si>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</si>
  <si>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</si>
  <si>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</si>
  <si>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</si>
  <si>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</si>
  <si>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</si>
  <si>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</si>
  <si>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</si>
  <si>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</si>
  <si>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</si>
  <si>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</si>
  <si>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</si>
  <si>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</si>
  <si>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</si>
  <si>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</si>
  <si>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</si>
  <si>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</si>
  <si>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</si>
  <si>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</si>
  <si>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</si>
  <si>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</si>
  <si>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</si>
  <si>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</si>
  <si>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</si>
  <si>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</si>
  <si>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</si>
  <si>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</si>
  <si>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</si>
  <si>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</si>
  <si>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</si>
  <si>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</si>
  <si>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</si>
  <si>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</si>
  <si>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</si>
  <si>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</si>
  <si>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</si>
  <si>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</si>
  <si>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</si>
  <si>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</si>
  <si>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</si>
  <si>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</si>
  <si>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</si>
  <si>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</si>
  <si>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</si>
  <si>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</si>
  <si>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</si>
  <si>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</si>
  <si>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</si>
  <si>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</si>
  <si>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</si>
  <si>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</si>
  <si>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</si>
  <si>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</si>
  <si>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</si>
  <si>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</si>
  <si>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</si>
  <si>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</si>
  <si>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</si>
  <si>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</si>
  <si>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</si>
  <si>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</si>
  <si>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</si>
  <si>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</si>
  <si>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</si>
  <si>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</si>
  <si>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</si>
  <si>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</si>
  <si>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</si>
  <si>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</si>
  <si>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</si>
  <si>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</si>
  <si>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</si>
  <si>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</si>
  <si>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</si>
  <si>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</si>
  <si>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</si>
  <si>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</si>
  <si>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</si>
  <si>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</si>
  <si>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</si>
  <si>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</si>
  <si>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</si>
  <si>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</si>
  <si>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</si>
  <si>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</si>
  <si>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</si>
  <si>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</si>
  <si>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</si>
  <si>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</si>
  <si>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</si>
  <si>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</si>
  <si>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</si>
  <si>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</si>
  <si>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</si>
  <si>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</si>
  <si>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</si>
  <si>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</si>
  <si>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</si>
  <si>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</si>
  <si>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</si>
  <si>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</si>
  <si>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</si>
  <si>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</si>
  <si>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</si>
  <si>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</si>
  <si>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</si>
  <si>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</si>
  <si>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</si>
  <si>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</si>
  <si>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</si>
  <si>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</si>
  <si>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</si>
  <si>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</si>
  <si>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</si>
  <si>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</si>
  <si>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</si>
  <si>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</si>
  <si>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</si>
  <si>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</si>
  <si>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</si>
  <si>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</si>
  <si>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</si>
  <si>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</si>
  <si>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</si>
  <si>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</si>
  <si>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</si>
  <si>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</si>
  <si>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</si>
  <si>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</si>
  <si>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</si>
  <si>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</si>
  <si>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</si>
  <si>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</si>
  <si>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</si>
  <si>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</si>
  <si>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</si>
  <si>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</si>
  <si>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</si>
  <si>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</si>
  <si>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</si>
  <si>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</si>
  <si>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</si>
  <si>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</si>
  <si>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</si>
  <si>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</si>
  <si>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</si>
  <si>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</si>
  <si>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</si>
  <si>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</si>
  <si>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</si>
  <si>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</si>
  <si>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</si>
  <si>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</si>
  <si>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</si>
  <si>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</si>
  <si>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</si>
  <si>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</si>
  <si>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</si>
  <si>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</si>
  <si>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</si>
  <si>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</si>
  <si>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</si>
  <si>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</si>
  <si>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</si>
  <si>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</si>
  <si>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</si>
  <si>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</si>
  <si>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</si>
  <si>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</si>
  <si>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</si>
  <si>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</si>
  <si>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</si>
  <si>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</si>
  <si>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</si>
  <si>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</si>
  <si>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</si>
  <si>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</si>
  <si>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</si>
  <si>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</si>
  <si>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</si>
  <si>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</si>
  <si>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</si>
  <si>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</si>
  <si>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</si>
  <si>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</si>
  <si>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</si>
  <si>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</si>
  <si>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</si>
  <si>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</si>
  <si>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</si>
  <si>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</si>
  <si>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</si>
  <si>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</si>
  <si>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</si>
  <si>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</si>
  <si>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</si>
  <si>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</si>
  <si>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</si>
  <si>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</si>
  <si>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</si>
  <si>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</si>
  <si>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</si>
  <si>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</si>
  <si>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</si>
  <si>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</si>
  <si>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</si>
  <si>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</si>
  <si>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</si>
  <si>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</si>
  <si>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</si>
  <si>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</si>
  <si>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</si>
  <si>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</si>
  <si>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</si>
  <si>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</si>
  <si>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</si>
  <si>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</si>
  <si>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</si>
  <si>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</si>
  <si>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</si>
  <si>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</si>
  <si>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</si>
  <si>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</si>
  <si>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</si>
  <si>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</si>
  <si>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</si>
  <si>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</si>
  <si>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</si>
  <si>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</si>
  <si>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</si>
  <si>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</si>
  <si>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</si>
  <si>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</si>
  <si>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</si>
  <si>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</si>
  <si>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</si>
  <si>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</si>
  <si>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</si>
  <si>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</si>
  <si>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</si>
  <si>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</si>
  <si>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</si>
  <si>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</si>
  <si>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</si>
  <si>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</si>
  <si>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</si>
  <si>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</si>
  <si>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</si>
  <si>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</si>
  <si>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</si>
  <si>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</si>
  <si>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</si>
  <si>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</si>
  <si>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</si>
  <si>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</si>
  <si>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</si>
  <si>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</si>
  <si>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</si>
  <si>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</si>
  <si>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</si>
  <si>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</si>
  <si>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</si>
  <si>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</si>
  <si>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</si>
  <si>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</si>
  <si>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</si>
  <si>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</si>
  <si>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</si>
  <si>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</si>
  <si>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</si>
  <si>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</si>
  <si>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</si>
  <si>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</si>
  <si>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</si>
  <si>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</si>
  <si>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</si>
  <si>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</si>
  <si>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</si>
  <si>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</si>
  <si>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</si>
  <si>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</si>
  <si>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</si>
  <si>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</si>
  <si>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</si>
  <si>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</si>
  <si>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</si>
  <si>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</si>
  <si>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</si>
  <si>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</si>
  <si>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</si>
  <si>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</si>
  <si>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</si>
  <si>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</si>
  <si>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</si>
  <si>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</si>
  <si>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</si>
  <si>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</si>
  <si>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</si>
  <si>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</si>
  <si>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</si>
  <si>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</si>
  <si>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</si>
  <si>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</si>
  <si>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</si>
  <si>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</si>
  <si>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</si>
  <si>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</si>
  <si>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</si>
  <si>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</si>
  <si>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</si>
  <si>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</si>
  <si>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</si>
  <si>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</si>
  <si>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</si>
  <si>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</si>
  <si>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</si>
  <si>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</si>
  <si>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</si>
  <si>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</si>
  <si>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</si>
  <si>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</si>
  <si>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</si>
  <si>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</si>
  <si>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</si>
  <si>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</si>
  <si>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</si>
  <si>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</si>
  <si>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</si>
  <si>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</si>
  <si>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</si>
  <si>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</si>
  <si>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</si>
  <si>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</si>
  <si>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</si>
  <si>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</si>
  <si>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</si>
  <si>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</si>
  <si>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</si>
  <si>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</si>
  <si>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</si>
  <si>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</si>
  <si>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</si>
  <si>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</si>
  <si>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</si>
  <si>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</si>
  <si>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</si>
  <si>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</si>
  <si>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</si>
  <si>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</si>
  <si>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</si>
  <si>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</si>
  <si>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</si>
  <si>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</si>
  <si>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</si>
  <si>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</si>
  <si>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</si>
  <si>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</si>
  <si>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</si>
  <si>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</si>
  <si>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</si>
  <si>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</si>
  <si>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</si>
  <si>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</si>
  <si>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</si>
  <si>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</si>
  <si>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</si>
  <si>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</si>
  <si>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</si>
  <si>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</si>
  <si>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</si>
  <si>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</si>
  <si>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</si>
  <si>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</si>
  <si>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</si>
  <si>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</si>
  <si>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</si>
  <si>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</si>
  <si>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</si>
  <si>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</si>
  <si>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</si>
  <si>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</si>
  <si>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</si>
  <si>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</si>
  <si>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</si>
  <si>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</si>
  <si>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</si>
  <si>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</si>
  <si>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</si>
  <si>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</si>
  <si>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</si>
  <si>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</si>
  <si>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</si>
  <si>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</si>
  <si>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</si>
  <si>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</si>
  <si>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</si>
  <si>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</si>
  <si>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</si>
  <si>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</si>
  <si>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</si>
  <si>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</si>
  <si>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</si>
  <si>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</si>
  <si>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</si>
  <si>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</si>
  <si>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</si>
  <si>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</si>
  <si>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</si>
  <si>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</si>
  <si>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</si>
  <si>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</si>
  <si>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</si>
  <si>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</si>
  <si>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</si>
  <si>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</si>
  <si>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</si>
  <si>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</si>
  <si>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</si>
  <si>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</si>
  <si>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</si>
  <si>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</si>
  <si>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</si>
  <si>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</si>
  <si>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</si>
  <si>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</si>
  <si>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</si>
  <si>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</si>
  <si>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</si>
  <si>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</si>
  <si>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</si>
  <si>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</si>
  <si>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</si>
  <si>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</si>
  <si>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</si>
  <si>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</si>
  <si>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</si>
  <si>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</si>
  <si>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</si>
  <si>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</si>
  <si>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</si>
  <si>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</si>
  <si>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</si>
  <si>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</si>
  <si>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</si>
  <si>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</si>
  <si>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</si>
  <si>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</si>
  <si>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</si>
  <si>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</si>
  <si>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</si>
  <si>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</si>
  <si>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</si>
  <si>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</si>
  <si>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</si>
  <si>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</si>
  <si>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</si>
  <si>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</si>
  <si>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</si>
  <si>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</si>
  <si>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</si>
  <si>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</si>
  <si>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</si>
  <si>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</si>
  <si>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</si>
  <si>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</si>
  <si>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</si>
  <si>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</si>
  <si>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</si>
  <si>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</si>
  <si>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</si>
  <si>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</si>
  <si>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</si>
  <si>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</si>
  <si>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</si>
  <si>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</si>
  <si>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</si>
  <si>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</si>
  <si>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</si>
  <si>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</si>
  <si>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</si>
  <si>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</si>
  <si>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</si>
  <si>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</si>
  <si>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</si>
  <si>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</si>
  <si>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</si>
  <si>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</si>
  <si>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</si>
  <si>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</si>
  <si>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</si>
  <si>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</si>
  <si>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</si>
  <si>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</si>
  <si>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</si>
  <si>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</si>
  <si>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</si>
  <si>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</si>
  <si>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</si>
  <si>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</si>
  <si>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</si>
  <si>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</si>
  <si>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</si>
  <si>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</si>
  <si>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</si>
  <si>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</si>
  <si>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</si>
  <si>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</si>
  <si>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</si>
  <si>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</si>
  <si>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</si>
  <si>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</si>
  <si>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</si>
  <si>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</si>
  <si>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</si>
  <si>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</si>
  <si>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</si>
  <si>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</si>
  <si>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</si>
  <si>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</si>
  <si>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</si>
  <si>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</si>
  <si>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</si>
  <si>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</si>
  <si>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</si>
  <si>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</si>
  <si>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</si>
  <si>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</si>
  <si>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</si>
  <si>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</si>
  <si>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</si>
  <si>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</si>
  <si>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</si>
  <si>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</si>
  <si>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</si>
  <si>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</si>
  <si>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</si>
  <si>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</si>
  <si>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</si>
  <si>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</si>
  <si>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Tax Credit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</si>
  <si>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</si>
  <si>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</si>
  <si>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</si>
  <si>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</si>
  <si>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</si>
  <si>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</si>
  <si>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</si>
  <si>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</si>
  <si>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</si>
  <si>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</si>
  <si>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</si>
  <si>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</si>
  <si>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</si>
  <si>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</si>
  <si>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</si>
  <si>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</si>
  <si>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</si>
  <si>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</si>
  <si>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</si>
  <si>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</si>
  <si>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</si>
  <si>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</si>
  <si>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</si>
  <si>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</si>
  <si>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</si>
  <si>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</si>
  <si>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</si>
  <si>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</si>
  <si>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</si>
  <si>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</si>
  <si>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</si>
  <si>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</si>
  <si>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</si>
  <si>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</si>
  <si>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</si>
  <si>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</si>
  <si>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</si>
  <si>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</si>
  <si>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</si>
  <si>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</si>
  <si>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</si>
  <si>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</si>
  <si>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</si>
  <si>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</si>
  <si>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</si>
  <si>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</si>
  <si>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</si>
  <si>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</si>
  <si>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</si>
  <si>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</si>
  <si>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</si>
  <si>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</si>
  <si>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</si>
  <si>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</si>
  <si>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</si>
  <si>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</si>
  <si>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</si>
  <si>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</si>
  <si>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</si>
  <si>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</si>
  <si>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</si>
  <si>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</si>
  <si>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</si>
  <si>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</si>
  <si>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</si>
  <si>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</si>
  <si>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</si>
  <si>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</si>
  <si>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</si>
  <si>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</si>
  <si>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</si>
  <si>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</si>
  <si>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</si>
  <si>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</si>
  <si>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</si>
  <si>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</si>
  <si>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</si>
  <si>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</si>
  <si>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</si>
  <si>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</si>
  <si>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</si>
  <si>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</si>
  <si>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</si>
  <si>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</si>
  <si>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</si>
  <si>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</si>
  <si>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</si>
  <si>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</si>
  <si>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</si>
  <si>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</si>
  <si>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</si>
  <si>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</si>
  <si>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</si>
  <si>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</si>
  <si>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</si>
  <si>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</si>
  <si>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</si>
  <si>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</si>
  <si>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</si>
  <si>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</si>
  <si>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</si>
  <si>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</si>
  <si>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</si>
  <si>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</si>
  <si>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</si>
  <si>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</si>
  <si>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</si>
  <si>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</si>
  <si>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</si>
  <si>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</si>
  <si>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</si>
  <si>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</si>
  <si>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</si>
  <si>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</si>
  <si>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</si>
  <si>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</si>
  <si>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</si>
  <si>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</si>
  <si>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</si>
  <si>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</si>
  <si>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</si>
  <si>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</si>
  <si>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</si>
  <si>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</si>
  <si>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</si>
  <si>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</si>
  <si>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</si>
  <si>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</si>
  <si>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</si>
  <si>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If an identity of interest exists between the buyer and seller, did seller purchase this property within the past five (5) years?</t>
  </si>
  <si>
    <t>Mobility and Sensory Impairments</t>
  </si>
  <si>
    <t>of Total Units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</si>
  <si>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</si>
  <si>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</si>
  <si>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</si>
  <si>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</si>
  <si>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</si>
  <si>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</si>
  <si>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</si>
  <si>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</si>
  <si>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</si>
  <si>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</si>
  <si>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</si>
  <si>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</si>
  <si>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</si>
  <si>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</si>
  <si>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</si>
  <si>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</si>
  <si>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</si>
  <si>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</si>
  <si>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</si>
  <si>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</si>
  <si>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</si>
  <si>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</si>
  <si>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</si>
  <si>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</si>
  <si>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</si>
  <si>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</si>
  <si>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</si>
  <si>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</si>
  <si>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</si>
  <si>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</si>
  <si>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</si>
  <si>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</si>
  <si>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</si>
  <si>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</si>
  <si>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</si>
  <si>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</si>
  <si>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</si>
  <si>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</si>
  <si>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</si>
  <si>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</si>
  <si>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</si>
  <si>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</si>
  <si>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</si>
  <si>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</si>
  <si>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</si>
  <si>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</si>
  <si>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</si>
  <si>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</si>
  <si>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</si>
  <si>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</si>
  <si>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</si>
  <si>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</si>
  <si>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</si>
  <si>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</si>
  <si>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</si>
  <si>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</si>
  <si>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</si>
  <si>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</si>
  <si>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</si>
  <si>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</si>
  <si>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</si>
  <si>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</si>
  <si>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</si>
  <si>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</si>
  <si>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</si>
  <si>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</si>
  <si>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</si>
  <si>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</si>
  <si>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</si>
  <si>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</si>
  <si>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</si>
  <si>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</si>
  <si>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</si>
  <si>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</si>
  <si>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</si>
  <si>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</si>
  <si>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</si>
  <si>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</si>
  <si>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</si>
  <si>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</si>
  <si>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</si>
  <si>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</si>
  <si>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</si>
  <si>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</si>
  <si>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</si>
  <si>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</si>
  <si>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</si>
  <si>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</si>
  <si>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</si>
  <si>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</si>
  <si>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</si>
  <si>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</si>
  <si>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</si>
  <si>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</si>
  <si>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</si>
  <si>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</si>
  <si>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</si>
  <si>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</si>
  <si>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</si>
  <si>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</si>
  <si>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</si>
  <si>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</si>
  <si>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</si>
  <si>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</si>
  <si>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</si>
  <si>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</si>
  <si>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</si>
  <si>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</si>
  <si>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</si>
  <si>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</si>
  <si>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</si>
  <si>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</si>
  <si>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</si>
  <si>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</si>
  <si>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</si>
  <si>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</si>
  <si>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</si>
  <si>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</si>
  <si>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</si>
  <si>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</si>
  <si>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</si>
  <si>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</si>
  <si>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</si>
  <si>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</si>
  <si>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</si>
  <si>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</si>
  <si>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</si>
  <si>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</si>
  <si>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</si>
  <si>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</si>
  <si>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</si>
  <si>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</si>
  <si>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</si>
  <si>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</si>
  <si>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</si>
  <si>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</si>
  <si>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</si>
  <si>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</si>
  <si>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</si>
  <si>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</si>
  <si>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</si>
  <si>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</si>
  <si>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</si>
  <si>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</si>
  <si>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</si>
  <si>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</si>
  <si>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</si>
  <si>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</si>
  <si>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</si>
  <si>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</si>
  <si>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</si>
  <si>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</si>
  <si>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</si>
  <si>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</si>
  <si>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</si>
  <si>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</si>
  <si>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</si>
  <si>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</si>
  <si>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</si>
  <si>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</si>
  <si>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</si>
  <si>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</si>
  <si>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</si>
  <si>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</si>
  <si>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</si>
  <si>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</si>
  <si>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</si>
  <si>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</si>
  <si>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</si>
  <si>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</si>
  <si>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Percentiles Per Metric</t>
  </si>
  <si>
    <t>Environmental Health Index</t>
  </si>
  <si>
    <t>Transit Access Index</t>
  </si>
  <si>
    <t>Jobs Proximity Index</t>
  </si>
  <si>
    <t>Above poverty level</t>
  </si>
  <si>
    <t>Nbr of awards within the Local Government Boundary (LGB) in the past 15 years</t>
  </si>
  <si>
    <t>Restricted units percentage of population</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</si>
  <si>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</si>
  <si>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</si>
  <si>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</si>
  <si>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</si>
  <si>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</si>
  <si>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</si>
  <si>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</si>
  <si>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</si>
  <si>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</si>
  <si>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</si>
  <si>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</si>
  <si>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</si>
  <si>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</si>
  <si>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</si>
  <si>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</si>
  <si>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</si>
  <si>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</si>
  <si>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Applicant certifies they will meet the requirements of the XXVI. DCA PBRA Agreement section.</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</si>
  <si>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</si>
  <si>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</si>
  <si>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</si>
  <si>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</si>
  <si>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</si>
  <si>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</si>
  <si>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</si>
  <si>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</si>
  <si>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</si>
  <si>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</si>
  <si>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</si>
  <si>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</si>
  <si>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Number of accessible and adaptable units committed to under Scoring VII. Integrated Supportive Housing, A. Supportive Housing Referrals.</t>
  </si>
  <si>
    <t>Total points earned toward Housing Needs Characteristics and Preservation Site Characteristics:</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</si>
  <si>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</si>
  <si>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</si>
  <si>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</si>
  <si>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</si>
  <si>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</si>
  <si>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</si>
  <si>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</si>
  <si>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</si>
  <si>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</si>
  <si>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</si>
  <si>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</si>
  <si>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t>Actual Nbr</t>
  </si>
  <si>
    <t>Site is within a one-mile radius of a transit hub as defined in Community Transportation Options.   CTO Sect A-2 points:</t>
  </si>
  <si>
    <t>Applicants may choose either C or D to claim points, but not both.</t>
  </si>
  <si>
    <t>Minimum Documentation missing (explain below)?</t>
  </si>
  <si>
    <t>2025-0</t>
  </si>
  <si>
    <r>
      <t>Determination Number</t>
    </r>
    <r>
      <rPr>
        <sz val="9"/>
        <color rgb="FFFF0000"/>
        <rFont val="Arial Narrow"/>
        <family val="2"/>
      </rPr>
      <t xml:space="preserve"> (if applies) - </t>
    </r>
    <r>
      <rPr>
        <b/>
        <u/>
        <sz val="9"/>
        <color rgb="FFFF0000"/>
        <rFont val="Arial Narrow"/>
        <family val="2"/>
      </rPr>
      <t>use format 2025PA-###</t>
    </r>
  </si>
  <si>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</si>
  <si>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</si>
  <si>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</si>
  <si>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</si>
  <si>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</si>
  <si>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</si>
  <si>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</si>
  <si>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</si>
  <si>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</si>
  <si>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</si>
  <si>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</si>
  <si>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</si>
  <si>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</si>
  <si>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</si>
  <si>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</si>
  <si>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</si>
  <si>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</si>
  <si>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</si>
  <si>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</si>
  <si>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</si>
  <si>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</si>
  <si>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</si>
  <si>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</si>
  <si>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</si>
  <si>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</si>
  <si>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</si>
  <si>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</si>
  <si>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</si>
  <si>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</si>
  <si>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</si>
  <si>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</si>
  <si>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</si>
  <si>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</si>
  <si>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</si>
  <si>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</si>
  <si>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</si>
  <si>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PBV</t>
  </si>
  <si>
    <r>
      <t>(</t>
    </r>
    <r>
      <rPr>
        <b/>
        <sz val="8"/>
        <rFont val="Arial"/>
        <family val="2"/>
      </rPr>
      <t>Ineligible</t>
    </r>
    <r>
      <rPr>
        <sz val="8"/>
        <rFont val="Arial"/>
        <family val="2"/>
      </rPr>
      <t>: 4% Credits/Bonds USDA Portfolio Set Aside Applications)</t>
    </r>
  </si>
  <si>
    <t>Enter GICH Community Name here</t>
  </si>
  <si>
    <t>If award within the LGB in the last 15 years, was the award received prior to January 1, 2019?</t>
  </si>
  <si>
    <t>Lookback Period (Number of years)</t>
  </si>
  <si>
    <r>
      <t xml:space="preserve">Indicators
</t>
    </r>
    <r>
      <rPr>
        <sz val="11"/>
        <rFont val="Arial"/>
        <family val="2"/>
      </rPr>
      <t xml:space="preserve">      </t>
    </r>
    <r>
      <rPr>
        <i/>
        <sz val="11"/>
        <rFont val="Arial"/>
        <family val="2"/>
      </rPr>
      <t>Metric</t>
    </r>
  </si>
  <si>
    <t>(Applies to 4% Credits/Bonds Applications only)</t>
  </si>
  <si>
    <t>Actual Nbr:</t>
  </si>
  <si>
    <r>
      <t xml:space="preserve">Applicant commits, </t>
    </r>
    <r>
      <rPr>
        <b/>
        <i/>
        <u/>
        <sz val="11"/>
        <rFont val="Arial"/>
        <family val="2"/>
      </rPr>
      <t>in addition</t>
    </r>
    <r>
      <rPr>
        <sz val="11"/>
        <rFont val="Arial"/>
        <family val="2"/>
      </rPr>
      <t xml:space="preserve"> to the commitment in (A), to (select one):</t>
    </r>
  </si>
  <si>
    <t>Applicant certifies they will meet the requirements of the 2024-2025 QAP, XII. Required Amenities section and the 2025 Architectural Manual.</t>
  </si>
  <si>
    <t>Applicant certifies that, at a minimum, all dwelling units will comply with the requirements of the 2024-2025 QAP, XV. Building Sustainability and the 2025 Architectural Manual.</t>
  </si>
  <si>
    <t>Applicant certifies that they will meet all requirements of the 2024-2025 QAP, XVI. Accessibility Standards section and the 2025 Accessibility Manual.</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</si>
  <si>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</si>
  <si>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Mobility Impaired units with curbless showers:</t>
  </si>
  <si>
    <t>Applicant certifies they will meet the standards and requirements of the 2024-2025 QAP, XVIII. Architectural Design &amp; Quality Standards section and the 2025 Architectural Manual.</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</si>
  <si>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</si>
  <si>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</si>
  <si>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</si>
  <si>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</si>
  <si>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</si>
  <si>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If selected, Applicant agrees to prepare and submit (prior to the start of lease-up) an AFFH Marketing plan that includes all of the items required under the 2024-2025 QAP, XXIII. Affirmatively Furthering Fair Housing.</t>
  </si>
  <si>
    <t>Has the Application received a waiver or approval of permanent displacement and/or temporary relocation during the 2025 Determination review?</t>
  </si>
  <si>
    <t>Applicant certifies they will meet the requirements of the 2024-2025 QAP, XXV. Tenant Selection section and the 2025 Compliance Manual.</t>
  </si>
  <si>
    <t>SLFRF</t>
  </si>
  <si>
    <t>ERA2</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</si>
  <si>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</si>
  <si>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New Affordability 
Scoring Track</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</si>
  <si>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</si>
  <si>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</si>
  <si>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Activity Type for 
Scoring Purposes</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</si>
  <si>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</si>
  <si>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r>
      <t xml:space="preserve">(if </t>
    </r>
    <r>
      <rPr>
        <b/>
        <sz val="11"/>
        <rFont val="Arial"/>
        <family val="2"/>
      </rPr>
      <t>NEAR</t>
    </r>
    <r>
      <rPr>
        <sz val="11"/>
        <rFont val="Arial"/>
        <family val="2"/>
      </rPr>
      <t>, enter near tract #)</t>
    </r>
  </si>
  <si>
    <t>Up to 20 points from the following will contribute to Application score:</t>
  </si>
  <si>
    <t>Is it periodic?</t>
  </si>
  <si>
    <t>15.)</t>
  </si>
  <si>
    <t>NOTE: This Application does not list all requirements of each Threshold section. 
It is the responsibility of the Applicant to review the QAP and ensure all applicable requirements are met.</t>
  </si>
  <si>
    <t>Resident Services Coordination Contractor Name, if known:</t>
  </si>
  <si>
    <t>If Yes, Years in period:</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</si>
  <si>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</si>
  <si>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</si>
  <si>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</si>
  <si>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</si>
  <si>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Grades Served</t>
  </si>
  <si>
    <t>Major Bldg Component Materials &amp; Upgrades (Select):</t>
  </si>
  <si>
    <t>Taxes</t>
  </si>
  <si>
    <t>Insurance</t>
  </si>
  <si>
    <t>Overall Capture Rate for:</t>
  </si>
  <si>
    <t>Market Rate units</t>
  </si>
  <si>
    <t>(If DCA Pre-Approved amenity not listed in Architectural Manual, describe here)</t>
  </si>
  <si>
    <t>https://www.hudexchange.info/resource/2315/home-per-unit-subsidy/</t>
  </si>
  <si>
    <t xml:space="preserve">https://www.federalregister.gov/documents/2024/02/13/2024-02870/annual-indexing-of-basic-statutory-mortgage-limits-for-multifamily-housing-programs
</t>
  </si>
  <si>
    <t>Commercial</t>
  </si>
  <si>
    <t>Non-commercial</t>
  </si>
  <si>
    <t>DCA HOME* - Amt $</t>
  </si>
  <si>
    <t>Other HOME* - Amt $</t>
  </si>
  <si>
    <t>Other HOME*- Source</t>
  </si>
  <si>
    <t>Other PBRA*- Source:</t>
  </si>
  <si>
    <t>Real Estate Tax and Insurance Reserve</t>
  </si>
  <si>
    <t>From Operating Budget</t>
  </si>
  <si>
    <t>;</t>
  </si>
  <si>
    <t>This Application is submitted in accordance with the 2025 Qualified Allocation Plan and the Housing Finance and Development Division Manuals.  In submitting this Application for funding consideration, the undersigned applicant hereby certifies:</t>
  </si>
  <si>
    <t>Mths of Year 1 T&amp;I Expense (out of 12)</t>
  </si>
  <si>
    <r>
      <t>Total Common Area Sq Ft</t>
    </r>
    <r>
      <rPr>
        <b/>
        <sz val="9"/>
        <rFont val="Arial"/>
        <family val="2"/>
      </rPr>
      <t xml:space="preserve">   </t>
    </r>
    <r>
      <rPr>
        <sz val="9"/>
        <rFont val="Arial Narrow"/>
        <family val="2"/>
      </rPr>
      <t>(from Nonresidential areas)</t>
    </r>
  </si>
  <si>
    <t>Monthly Gas BL Fee</t>
  </si>
  <si>
    <t>Monthly Electric BL Fee</t>
  </si>
  <si>
    <t>Other: Mthly Base Rate</t>
  </si>
  <si>
    <t>Mthly Gas Baseline Fee</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</si>
  <si>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</si>
  <si>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Tax Exempt Bond Allocation</t>
  </si>
  <si>
    <t>TE Bond Allocation - Amt $</t>
  </si>
  <si>
    <t>HOME-ARP* - Amt $</t>
  </si>
  <si>
    <t>TCAP thru CDFI</t>
  </si>
  <si>
    <t>Submetered*?</t>
  </si>
  <si>
    <t>*New Construction units MUST be sub-metered.</t>
  </si>
  <si>
    <t>Historic Adaptive Reuse</t>
  </si>
  <si>
    <t>May 31, 2025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</si>
  <si>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</si>
  <si>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</si>
  <si>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</si>
  <si>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</si>
  <si>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</si>
  <si>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</si>
  <si>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</si>
  <si>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</si>
  <si>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</si>
  <si>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</si>
  <si>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</si>
  <si>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</si>
  <si>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</si>
  <si>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</si>
  <si>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</si>
  <si>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</si>
  <si>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</si>
  <si>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</si>
  <si>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</si>
  <si>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</si>
  <si>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</si>
  <si>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</si>
  <si>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</si>
  <si>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</si>
  <si>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</si>
  <si>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</si>
  <si>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</si>
  <si>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</si>
  <si>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</si>
  <si>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</si>
  <si>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</si>
  <si>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</si>
  <si>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</si>
  <si>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</si>
  <si>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</si>
  <si>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</si>
  <si>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</si>
  <si>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</si>
  <si>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</si>
  <si>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</si>
  <si>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</si>
  <si>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</si>
  <si>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</si>
  <si>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</si>
  <si>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</si>
  <si>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</si>
  <si>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</si>
  <si>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</si>
  <si>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</si>
  <si>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</si>
  <si>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</si>
  <si>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</si>
  <si>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</si>
  <si>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</si>
  <si>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</si>
  <si>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</si>
  <si>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</si>
  <si>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</si>
  <si>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</si>
  <si>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</si>
  <si>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</si>
  <si>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</si>
  <si>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</si>
  <si>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</si>
  <si>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</si>
  <si>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</si>
  <si>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</si>
  <si>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</si>
  <si>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</si>
  <si>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</si>
  <si>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</si>
  <si>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</si>
  <si>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</si>
  <si>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</si>
  <si>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</si>
  <si>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</si>
  <si>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</si>
  <si>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</si>
  <si>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</si>
  <si>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</si>
  <si>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</si>
  <si>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</si>
  <si>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</si>
  <si>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One Street Development</t>
  </si>
  <si>
    <t>Brendan Barr</t>
  </si>
  <si>
    <t>brendan@onestreetres.com</t>
  </si>
  <si>
    <t>COO/Managing Partner</t>
  </si>
  <si>
    <t>CFO/Managing Partner</t>
  </si>
  <si>
    <t>Thurston Cooke</t>
  </si>
  <si>
    <t>thurston@onestreetres.com</t>
  </si>
  <si>
    <t>Room</t>
  </si>
  <si>
    <t>Submitted</t>
  </si>
  <si>
    <t>Snapfinger Elementary School</t>
  </si>
  <si>
    <t>Columbia Middle School</t>
  </si>
  <si>
    <t>Columbia High School</t>
  </si>
  <si>
    <t>Gazebo</t>
  </si>
  <si>
    <t>On-site laundry</t>
  </si>
  <si>
    <t>Retreat at Madison Place</t>
  </si>
  <si>
    <t>4% Credit/TE Bond</t>
  </si>
  <si>
    <t>The project team is a joint venture between the DeKalb County Housing Authority, OneStreet Residential, and Hunt Capitcal Partners. The full qualifications package for this partnership and the Qualification Determination letter is included in folder "06CompliancePerf".</t>
  </si>
  <si>
    <t>K - 5</t>
  </si>
  <si>
    <t>6 - 8</t>
  </si>
  <si>
    <t>9 - 12</t>
  </si>
  <si>
    <t xml:space="preserve">Columbia Middle School (2019 BTO) and Columbia High School (2024 BTO) received "Beating the Odds" designation. The total number of grades in the schools designated as "Beating the Odds" is seven (7) which qualifies the application for (1.5) points in this scoring section. </t>
  </si>
  <si>
    <t>For Profit</t>
  </si>
  <si>
    <t>Applicant commits to engage QBs in the development and/or operation of the proposed Retreat at Madison Place rehabilitation in amounts equal to approximately 10% of total construction hard costs as certified by an Independent Auditor Report in the Final Allocation Application. Supporting documentation is provided in folder "04MinorityWoman".</t>
  </si>
  <si>
    <t>Applicant commits to make on-going efforts to request that the PHA and HCV administrator make referrals to the proposed development, or request they include relevant information about the proposed development on any listing made available to persons on their waiting lists.</t>
  </si>
  <si>
    <t>This scoring section is Not Applicable to 4%/Bonds, Preservation applications.</t>
  </si>
  <si>
    <t>This scoring section is not applicable to 4%/Bonds, Preservation applications.</t>
  </si>
  <si>
    <t>This scoring section is Not Applicable, Preservation applications.</t>
  </si>
  <si>
    <t>N/a</t>
  </si>
  <si>
    <t>The Applicant is not claiming points in this scoring section.</t>
  </si>
  <si>
    <t>The Applicant is claiming 21 points. The application allows a maximum score of 20 points.  Supporting documentation is included in folder "11DesirUndes".</t>
  </si>
  <si>
    <t>MARTA</t>
  </si>
  <si>
    <t>https://itsmarta.com/</t>
  </si>
  <si>
    <t>schedinfo@itsmarta.com</t>
  </si>
  <si>
    <t>The subject site is 0.01 mile from a MARTA stop located at Redwing Circle @ Covington Highway which provides bus acess to Route 24.</t>
  </si>
  <si>
    <t>Bank OZK</t>
  </si>
  <si>
    <t>Hunt Capital Partners</t>
  </si>
  <si>
    <t>Grandbridge</t>
  </si>
  <si>
    <t>Amortizing</t>
  </si>
  <si>
    <t xml:space="preserve">Mercy Housing </t>
  </si>
  <si>
    <t>Mercy Housing</t>
  </si>
  <si>
    <t>DDA/QCT</t>
  </si>
  <si>
    <t>PHA PBRA</t>
  </si>
  <si>
    <t>Low-Rise Elevator</t>
  </si>
  <si>
    <t>Housing Authority of Dekalb County</t>
  </si>
  <si>
    <t>Electric Charge</t>
  </si>
  <si>
    <t>Novogradac Rent &amp; Income Calculator</t>
  </si>
  <si>
    <t>One Street Residential</t>
  </si>
  <si>
    <t>Since the Property is currently occupied, a Physical Needs Assessment is included in folder "08Readiness".</t>
  </si>
  <si>
    <t>This cost is associated with the rehabilitation of the Project, and therefore included as part of the Elgiible Basis.</t>
  </si>
  <si>
    <t>2025PA-138</t>
  </si>
  <si>
    <t>Unincorporated County</t>
  </si>
  <si>
    <t>The Applicant is requesting a bond allocation of $13,500,000 which is equal to the amount of the maximun supportable permanent debt which is greater than 30% of the aggregate basis. The bond inducement resolution has been included in the 52Addldoc folder. Favorable financing from Mercy Loan Funds is included in 05FavorFinan.</t>
  </si>
  <si>
    <t>Construction hard cost estimates were based on a contractor's experience renovating multiple communities with a similar tenancy, unit mix, and amenity package in similar areas in Georgia. 
The relocation cost is based upon a budget that is provided in the 52Addldoc folder.</t>
  </si>
  <si>
    <t xml:space="preserve">The rent schedule reflects the 16 unit PBRA commitment from the Housing Authority.
Tax &amp; Insurance costs are based upon similar communities in the OneStreet portfolio covered by the same carrier. 
</t>
  </si>
  <si>
    <t>Mercy loan is other federal funds number 12 - Capital Magnet Funds Program.</t>
  </si>
  <si>
    <t>Applicant commits to meeting these requirements and accepting referals through its PBRA contract with DeKalb County Housing Authority located in folder 07IntegSuppHsg.</t>
  </si>
  <si>
    <t>Site zoning and operating utilities documentation have been provided even though not required for preservation.</t>
  </si>
  <si>
    <t>The debt service coverage ratio meets DCA's requirement of not going below 1.25 during the 15 year compliance period for tax credit only properties.
The payment on the Favorable Financing "Mortgage B" reflects the must-pay debt service payment per the Mercy Loan Committment saved in 05FavorFinan folder.</t>
  </si>
  <si>
    <t>The Placed-In-Service date for Building #100 was 12.19.2006 and for Building #200 was 02.16.2007.</t>
  </si>
  <si>
    <t>OneStreet Residential (“OSR”) is pleased to present to the Georgia Department of Community Affairs (“DCA”) this Readiness to Proceed Narrative. The Retreat at Madison Place “Retreat” is a 160-unit Housing For Older Persons rental community located at 3907 Redwing Cir, Decatur, GA 30035. Originally awarded tax credits by DCA in 2004 (2004-520) with construction completed in 2007.  For Retreat, our advantage against our peers in Readiness to Proceed is our experience in the planning and executing of Acquisition / Rehabilitation projects, along with the familiarity among the Project Team members to do such. Retreat would represent the third opportunity for this Project Team to work together to fulfill its core mission of preserving affordable housing for Seniors or Older Persons in Georgia, by tenant in place renovations of communities originally financed with an allocation of low-income housing tax credits, with:
•	OneStreet Development as Developer,
•	OneStreet Residential Services as Property Manager and Resident Liaison,
•	Trident Construction Group as General Contractor.  
•	HousingToHome as Relocation Advisory Consultant 
This team’s synergy and experience together is the predominate reason that Retreat will proceed quicker than its peers. Another reason is that OSR has developed an efficient and effective prototype for the planning and executing of Acquisition / Rehabilitation projects.  Retreat will have a similar work scope and finish level of its predecessor, Norman Berry Village (2024-068), and because of this, we have a blueprint for expediting and leading Retreat through a successful renovation. 
 The following pages describe elements of OSR’s preparation in more detail. 
Project Execution Team
Jay Wicklund, President of Trident Construction Group (“TCG”), has completed over 75 multifamily renovation projects totaling over 7,000 units. TCG will begin renovations of Norman Berry Village (2024-068) in October 2025, the result of a successful pre-construction effort which produced a construction budget and schedule that aligned to the OSR’s original project requirements. 
Most notably, TCG and OSR have worked to develop a construction and relocation sequencing plan which minimizes the disruption of daily lives to our residents and management staff during the construction phase of the project. 
OneStreet Residential Services (“OSRS”) currently serves as the Property Manager for Retreat.
In addition, OSRS has assembled a specific team to perform property management of its Preservation business plan. This Property Manager, Relocation Specialist, and Recertification Specialist were all selected for their ability to support residents while communities are under renovation. Upon the completion of the Norman Berry Village renovation, they will be transferred to Retreat to provide the same leadership. 
HousingToHome (“HTH”) is a relocation firm with principals Katie Provencher and Hannagh Jacobsen. HTH has extensive expertise and experience providing relocation services for affordable housing developments and has successfully completed temporary, occupied/resident-in-place, permanent and consulting relocation jobs for Housing Authorities on a national scale as well as nonprofit and for-profit real estate developers. Although not required for the competitive application, OSR has worked with HTH to complete a relocation plan and prepare a relocation budget to support the application’s readiness to proceed. 
Financing Commitments
OneStreet has a nearly twenty (20) year history of working with long-term capital partners that understand our company, our communities and the strength of our operations.  As a result, we are able to secure debt and equity capital commitments, underwrite transactions and be ready to close in an efficient manner.  Those relationships are reflected in our Preliminary Financing Commitments from these partners in our application and we are confident it will allow us to be Ready to Proceed more quickly than other applications.
Additional Due Diligence Performed
The building and property have been examined by OSR, environmental scientists, and property needs assessors. The needs of the community are similar to those of Norman Berry Village which will allow OSR to implement a similar pre-construction process for Retreat. The Phase I Environmental Site Assessment indicated that a Phase II study was recommended. OSR has proceeded with the additional environmental work even though this scope is not required for the competitive scoring submission. The Phase II Environmental Site Assessment has been included in the competitive application and recommends no additional assessment or reporting. The completion of this study prior to the threshold submission means that Retreat will be able to proceed more quickly than other applications. 
Preservation of Affordable Housing
The current owner of Retreat at Madison Place has the right to request a qualified contract and remove the community from the Housing Tax Credit Program thereby reducing the number of affordable housing units available for seniors in DeKalb County and potentially displacing current residents of the community. The community is in desperate need of renovation, and the award of 4% Low Income Housing Tax Credits will create a path for the preservation and enhancement of affordable housing in DeKalb County.
In closing, OneStreet Residential has structured this application such that we are able to immediately take action should the application be selected for funding. Because of this, we are confident that Retreat at Madison Place will be Ready to Procced more quickly than other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</si>
</sst>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3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right style="thin">
        <color indexed="64"/>
      </right>
      <top style="thin">
        <color indexed="64"/>
      </top>
      <bottom style="medium">
        <color indexed="64"/>
      </bottom>
      <diagonal/>
    </border>
    <border>
      <left style="hair">
        <color indexed="64"/>
      </left>
      <right/>
      <top style="thin">
        <color auto="1"/>
      </top>
      <bottom style="hair">
        <color auto="1"/>
      </bottom>
      <diagonal/>
    </border>
    <border>
      <left style="hair">
        <color indexed="64"/>
      </left>
      <right/>
      <top style="medium">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8" fillId="0" borderId="0" applyNumberFormat="0" applyFill="0" applyBorder="0" applyAlignment="0" applyProtection="0"/>
    <xf numFmtId="43" fontId="119" fillId="0" borderId="0" applyFont="0" applyFill="0" applyBorder="0" applyAlignment="0" applyProtection="0"/>
    <xf numFmtId="44" fontId="31" fillId="0" borderId="0" applyFont="0" applyFill="0" applyBorder="0" applyAlignment="0" applyProtection="0"/>
    <xf numFmtId="15" fontId="120" fillId="0" borderId="91" applyFont="0" applyFill="0" applyBorder="0" applyProtection="0">
      <alignment horizontal="center"/>
      <protection locked="0"/>
    </xf>
    <xf numFmtId="178" fontId="121" fillId="0" borderId="0" applyFont="0" applyFill="0" applyBorder="0" applyAlignment="0" applyProtection="0"/>
    <xf numFmtId="38" fontId="120" fillId="0" borderId="0" applyFill="0" applyBorder="0" applyAlignment="0" applyProtection="0"/>
    <xf numFmtId="179" fontId="122" fillId="0" borderId="0" applyFill="0" applyBorder="0" applyAlignment="0" applyProtection="0">
      <alignment horizontal="right"/>
    </xf>
    <xf numFmtId="37" fontId="123" fillId="0" borderId="91" applyNumberFormat="0" applyFont="0" applyFill="0" applyAlignment="0" applyProtection="0">
      <alignment horizontal="center" vertical="center"/>
    </xf>
    <xf numFmtId="37" fontId="124" fillId="0" borderId="0"/>
    <xf numFmtId="0" fontId="4" fillId="0" borderId="0"/>
    <xf numFmtId="0" fontId="4"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9">
      <alignment horizontal="left" vertical="center"/>
    </xf>
    <xf numFmtId="10" fontId="5" fillId="3" borderId="83"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5"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967">
    <xf numFmtId="0" fontId="0" fillId="0" borderId="0" xfId="0"/>
    <xf numFmtId="0" fontId="13" fillId="0" borderId="0" xfId="0" applyFont="1" applyAlignment="1">
      <alignment vertical="center"/>
    </xf>
    <xf numFmtId="0" fontId="9" fillId="0" borderId="0" xfId="0" applyFont="1" applyAlignment="1">
      <alignment horizontal="lef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applyAlignment="1">
      <alignment horizontal="center" vertical="center"/>
    </xf>
    <xf numFmtId="0" fontId="13" fillId="0" borderId="0" xfId="0" applyFont="1"/>
    <xf numFmtId="38" fontId="13" fillId="0" borderId="0" xfId="0" applyNumberFormat="1" applyFont="1" applyAlignment="1">
      <alignment horizontal="center" vertical="center"/>
    </xf>
    <xf numFmtId="0" fontId="21" fillId="0" borderId="0" xfId="0" applyFont="1" applyAlignment="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164" fontId="13" fillId="0" borderId="0" xfId="1" applyNumberFormat="1" applyFont="1" applyFill="1" applyProtection="1"/>
    <xf numFmtId="0" fontId="13" fillId="0" borderId="4" xfId="0" applyFont="1" applyBorder="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Border="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Font="1" applyFill="1" applyBorder="1" applyProtection="1"/>
    <xf numFmtId="43" fontId="13" fillId="0" borderId="8" xfId="1" applyFont="1" applyFill="1" applyBorder="1" applyProtection="1"/>
    <xf numFmtId="0" fontId="13" fillId="0" borderId="9" xfId="0" applyFont="1" applyBorder="1"/>
    <xf numFmtId="0" fontId="9" fillId="0" borderId="0" xfId="0" applyFont="1" applyAlignment="1">
      <alignment horizontal="left"/>
    </xf>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44" fontId="13" fillId="0" borderId="0" xfId="0" applyNumberFormat="1" applyFont="1"/>
    <xf numFmtId="0" fontId="22"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horizontal="center"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2" fillId="0" borderId="0" xfId="0" applyFont="1" applyAlignment="1">
      <alignment vertical="center"/>
    </xf>
    <xf numFmtId="0" fontId="19" fillId="0" borderId="0" xfId="0" applyFont="1"/>
    <xf numFmtId="0" fontId="10" fillId="0" borderId="0" xfId="0" applyFont="1" applyAlignment="1">
      <alignment vertical="center"/>
    </xf>
    <xf numFmtId="0" fontId="25" fillId="0" borderId="0" xfId="0" applyFont="1" applyAlignment="1">
      <alignment vertical="center"/>
    </xf>
    <xf numFmtId="0" fontId="22" fillId="0" borderId="0" xfId="0" applyFont="1" applyAlignment="1">
      <alignment horizontal="center" vertical="center"/>
    </xf>
    <xf numFmtId="0" fontId="15" fillId="0" borderId="0" xfId="0" applyFont="1" applyAlignment="1">
      <alignment horizontal="right" vertical="center"/>
    </xf>
    <xf numFmtId="0" fontId="20" fillId="0" borderId="0" xfId="0" applyFont="1" applyAlignment="1">
      <alignmen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5" fillId="0" borderId="0" xfId="0" applyFont="1" applyAlignment="1">
      <alignment horizontal="left" vertical="center"/>
    </xf>
    <xf numFmtId="0" fontId="13" fillId="0" borderId="0" xfId="0" applyFont="1" applyAlignment="1">
      <alignment horizontal="center"/>
    </xf>
    <xf numFmtId="0" fontId="5" fillId="0" borderId="0" xfId="0" applyFont="1" applyAlignment="1">
      <alignment horizontal="right" vertical="center"/>
    </xf>
    <xf numFmtId="0" fontId="8"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32" fillId="0" borderId="0" xfId="0" applyFont="1" applyAlignment="1">
      <alignment horizontal="center" vertical="center"/>
    </xf>
    <xf numFmtId="0" fontId="13" fillId="0" borderId="0" xfId="0" applyFont="1" applyAlignment="1">
      <alignment horizontal="center" vertical="top" wrapText="1"/>
    </xf>
    <xf numFmtId="0" fontId="22" fillId="0" borderId="0" xfId="0" applyFont="1" applyAlignment="1">
      <alignment horizontal="center"/>
    </xf>
    <xf numFmtId="0" fontId="9" fillId="0" borderId="3" xfId="0" applyFont="1" applyBorder="1" applyAlignment="1">
      <alignment horizontal="center" vertical="center"/>
    </xf>
    <xf numFmtId="10" fontId="13" fillId="0" borderId="0" xfId="0" applyNumberFormat="1" applyFont="1" applyAlignment="1">
      <alignment horizontal="left"/>
    </xf>
    <xf numFmtId="164" fontId="13" fillId="5" borderId="3" xfId="1" applyNumberFormat="1" applyFont="1" applyFill="1" applyBorder="1" applyAlignment="1" applyProtection="1">
      <alignment horizontal="right"/>
      <protection locked="0"/>
    </xf>
    <xf numFmtId="0" fontId="0" fillId="0" borderId="0" xfId="0" applyAlignment="1">
      <alignment horizontal="center"/>
    </xf>
    <xf numFmtId="0" fontId="13" fillId="0" borderId="0" xfId="0" applyFont="1" applyAlignment="1">
      <alignment horizontal="right"/>
    </xf>
    <xf numFmtId="0" fontId="28"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8" fillId="0" borderId="0" xfId="0" applyFont="1" applyAlignment="1">
      <alignment vertical="center"/>
    </xf>
    <xf numFmtId="0" fontId="19" fillId="0" borderId="0" xfId="0" applyFont="1" applyAlignment="1">
      <alignment vertical="center"/>
    </xf>
    <xf numFmtId="0" fontId="13" fillId="0" borderId="0" xfId="0" applyFont="1" applyAlignment="1">
      <alignment horizontal="center" vertical="center" wrapText="1"/>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Alignment="1">
      <alignment horizontal="left"/>
    </xf>
    <xf numFmtId="0" fontId="17" fillId="0" borderId="13" xfId="0" applyFont="1" applyBorder="1" applyAlignment="1">
      <alignment vertical="center"/>
    </xf>
    <xf numFmtId="0" fontId="22"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10" fontId="13" fillId="0" borderId="0" xfId="0" applyNumberFormat="1" applyFont="1" applyAlignment="1">
      <alignment horizontal="center"/>
    </xf>
    <xf numFmtId="0" fontId="14" fillId="0" borderId="0" xfId="0" applyFont="1" applyAlignment="1">
      <alignment vertical="center"/>
    </xf>
    <xf numFmtId="0" fontId="0" fillId="0" borderId="0" xfId="0" applyAlignment="1">
      <alignment vertical="top" wrapText="1"/>
    </xf>
    <xf numFmtId="0" fontId="21" fillId="0" borderId="0" xfId="0" applyFont="1" applyAlignment="1">
      <alignment vertical="center"/>
    </xf>
    <xf numFmtId="0" fontId="31" fillId="0" borderId="0" xfId="0" applyFont="1" applyAlignment="1">
      <alignment horizontal="center" vertical="center"/>
    </xf>
    <xf numFmtId="0" fontId="14" fillId="0" borderId="0" xfId="0" applyFont="1" applyAlignment="1">
      <alignment horizontal="left" indent="2"/>
    </xf>
    <xf numFmtId="0" fontId="27" fillId="0" borderId="0" xfId="0" applyFont="1" applyAlignment="1">
      <alignment horizontal="center" vertical="center"/>
    </xf>
    <xf numFmtId="0" fontId="40" fillId="0" borderId="0" xfId="0" applyFont="1"/>
    <xf numFmtId="0" fontId="21" fillId="0" borderId="0" xfId="0" applyFont="1"/>
    <xf numFmtId="0" fontId="15" fillId="0" borderId="0" xfId="0" applyFont="1" applyAlignment="1">
      <alignment horizontal="left" vertical="center"/>
    </xf>
    <xf numFmtId="164" fontId="13" fillId="0" borderId="0" xfId="1" applyNumberFormat="1" applyFont="1" applyFill="1" applyBorder="1" applyAlignment="1" applyProtection="1">
      <alignment vertical="center"/>
    </xf>
    <xf numFmtId="0" fontId="26" fillId="0" borderId="0" xfId="0" applyFont="1" applyAlignment="1">
      <alignment horizontal="right"/>
    </xf>
    <xf numFmtId="0" fontId="4" fillId="0" borderId="0" xfId="0" applyFont="1" applyAlignment="1">
      <alignment horizontal="center"/>
    </xf>
    <xf numFmtId="0" fontId="27" fillId="0" borderId="0" xfId="0" applyFont="1" applyAlignment="1">
      <alignment vertical="center"/>
    </xf>
    <xf numFmtId="164" fontId="14" fillId="0" borderId="3" xfId="1" applyNumberFormat="1" applyFont="1" applyFill="1" applyBorder="1" applyAlignment="1" applyProtection="1">
      <alignment horizontal="center" vertical="center"/>
    </xf>
    <xf numFmtId="0" fontId="30" fillId="0" borderId="0" xfId="0" applyFont="1"/>
    <xf numFmtId="0" fontId="6" fillId="0" borderId="0" xfId="0" applyFont="1"/>
    <xf numFmtId="0" fontId="29"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2" fillId="0" borderId="0" xfId="0" applyFont="1" applyAlignment="1">
      <alignment vertical="top"/>
    </xf>
    <xf numFmtId="0" fontId="5" fillId="0" borderId="0" xfId="0" applyFont="1" applyAlignment="1">
      <alignment vertical="center" wrapText="1"/>
    </xf>
    <xf numFmtId="0" fontId="36"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8" fillId="0" borderId="0" xfId="0" applyFont="1" applyAlignment="1">
      <alignment vertical="top" wrapText="1"/>
    </xf>
    <xf numFmtId="0" fontId="11" fillId="0" borderId="0" xfId="0" applyFont="1" applyAlignment="1">
      <alignment horizontal="right" vertical="top"/>
    </xf>
    <xf numFmtId="0" fontId="8" fillId="0" borderId="0" xfId="0" applyFont="1" applyAlignment="1">
      <alignment horizontal="left" vertical="center"/>
    </xf>
    <xf numFmtId="0" fontId="13" fillId="0" borderId="0" xfId="0" applyFont="1" applyAlignment="1">
      <alignment horizontal="left" vertical="top" wrapText="1"/>
    </xf>
    <xf numFmtId="0" fontId="4" fillId="0" borderId="0" xfId="0" applyFont="1"/>
    <xf numFmtId="0" fontId="9" fillId="0" borderId="0" xfId="0" applyFont="1" applyAlignment="1">
      <alignment horizontal="left" vertical="top" wrapText="1"/>
    </xf>
    <xf numFmtId="0" fontId="8" fillId="0" borderId="0" xfId="0" applyFont="1" applyAlignment="1">
      <alignment horizontal="right" vertical="top"/>
    </xf>
    <xf numFmtId="0" fontId="0" fillId="0" borderId="0" xfId="0" applyAlignment="1">
      <alignment vertical="center" wrapText="1"/>
    </xf>
    <xf numFmtId="0" fontId="9" fillId="0" borderId="0" xfId="0" applyFont="1" applyAlignment="1">
      <alignment horizontal="center" vertical="center"/>
    </xf>
    <xf numFmtId="0" fontId="21" fillId="0" borderId="0" xfId="0" quotePrefix="1" applyFont="1" applyAlignment="1">
      <alignment vertical="center"/>
    </xf>
    <xf numFmtId="0" fontId="21" fillId="0" borderId="0" xfId="0" quotePrefix="1" applyFont="1" applyAlignment="1">
      <alignment horizontal="left" vertical="center"/>
    </xf>
    <xf numFmtId="0" fontId="26" fillId="0" borderId="0" xfId="0" applyFont="1" applyAlignment="1">
      <alignment vertical="center"/>
    </xf>
    <xf numFmtId="0" fontId="39" fillId="0" borderId="0" xfId="0" applyFont="1" applyAlignment="1">
      <alignment vertical="center"/>
    </xf>
    <xf numFmtId="38" fontId="39" fillId="0" borderId="0" xfId="0" applyNumberFormat="1" applyFont="1" applyAlignment="1">
      <alignment horizontal="center" vertical="center"/>
    </xf>
    <xf numFmtId="0" fontId="37"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Alignment="1">
      <alignment vertical="center"/>
    </xf>
    <xf numFmtId="0" fontId="13" fillId="0" borderId="0" xfId="0" quotePrefix="1" applyFont="1" applyAlignment="1">
      <alignment horizontal="left" vertical="center"/>
    </xf>
    <xf numFmtId="0" fontId="11" fillId="0" borderId="0" xfId="0" applyFont="1" applyAlignment="1">
      <alignment vertical="center"/>
    </xf>
    <xf numFmtId="0" fontId="42" fillId="0" borderId="0" xfId="0" applyFont="1"/>
    <xf numFmtId="0" fontId="44" fillId="0" borderId="0" xfId="0" applyFont="1" applyAlignment="1">
      <alignment horizontal="center"/>
    </xf>
    <xf numFmtId="0" fontId="46" fillId="0" borderId="0" xfId="0" applyFont="1" applyAlignment="1">
      <alignment vertical="center"/>
    </xf>
    <xf numFmtId="0" fontId="46" fillId="0" borderId="0" xfId="0" applyFont="1"/>
    <xf numFmtId="0" fontId="47" fillId="0" borderId="0" xfId="0" applyFont="1" applyAlignment="1">
      <alignment horizontal="center" vertical="center"/>
    </xf>
    <xf numFmtId="0" fontId="43" fillId="0" borderId="0" xfId="0" applyFont="1" applyAlignment="1">
      <alignment vertical="center"/>
    </xf>
    <xf numFmtId="0" fontId="48"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5" fillId="0" borderId="13" xfId="0" applyFont="1" applyBorder="1" applyAlignment="1">
      <alignment horizontal="left" vertical="center" wrapText="1"/>
    </xf>
    <xf numFmtId="176" fontId="13" fillId="0" borderId="0" xfId="0" applyNumberFormat="1" applyFont="1" applyAlignment="1">
      <alignment horizontal="center"/>
    </xf>
    <xf numFmtId="0" fontId="0" fillId="0" borderId="19" xfId="0" applyBorder="1" applyAlignment="1">
      <alignment horizontal="center"/>
    </xf>
    <xf numFmtId="176" fontId="13" fillId="0" borderId="19" xfId="0" applyNumberFormat="1" applyFont="1" applyBorder="1" applyAlignment="1">
      <alignment horizontal="center"/>
    </xf>
    <xf numFmtId="8" fontId="13" fillId="0" borderId="0" xfId="0" applyNumberFormat="1" applyFont="1" applyAlignment="1">
      <alignment horizontal="center"/>
    </xf>
    <xf numFmtId="0" fontId="0" fillId="0" borderId="20" xfId="0" applyBorder="1" applyAlignment="1">
      <alignment horizontal="center"/>
    </xf>
    <xf numFmtId="176" fontId="13" fillId="0" borderId="20" xfId="0" applyNumberFormat="1" applyFont="1" applyBorder="1" applyAlignment="1">
      <alignment horizontal="center"/>
    </xf>
    <xf numFmtId="8" fontId="0" fillId="0" borderId="0" xfId="0" applyNumberFormat="1"/>
    <xf numFmtId="0" fontId="6" fillId="0" borderId="0" xfId="0" applyFont="1" applyAlignment="1">
      <alignment horizontal="center"/>
    </xf>
    <xf numFmtId="0" fontId="53" fillId="0" borderId="0" xfId="0" applyFont="1" applyAlignment="1">
      <alignment horizontal="center"/>
    </xf>
    <xf numFmtId="0" fontId="53"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0" fontId="9" fillId="0" borderId="13" xfId="0" applyFont="1" applyBorder="1" applyAlignment="1">
      <alignment horizontal="center" vertical="center" wrapText="1"/>
    </xf>
    <xf numFmtId="8" fontId="13" fillId="0" borderId="20" xfId="0" applyNumberFormat="1" applyFont="1" applyBorder="1" applyAlignment="1">
      <alignment horizontal="center"/>
    </xf>
    <xf numFmtId="8" fontId="13" fillId="0" borderId="19" xfId="0" applyNumberFormat="1" applyFont="1" applyBorder="1" applyAlignment="1">
      <alignment horizont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lignment horizontal="center"/>
    </xf>
    <xf numFmtId="10" fontId="13" fillId="5" borderId="3" xfId="0" applyNumberFormat="1" applyFont="1" applyFill="1" applyBorder="1" applyAlignment="1" applyProtection="1">
      <alignment horizontal="left"/>
      <protection locked="0"/>
    </xf>
    <xf numFmtId="0" fontId="13" fillId="0" borderId="14" xfId="0" applyFont="1" applyBorder="1"/>
    <xf numFmtId="0" fontId="0" fillId="0" borderId="7" xfId="0" applyBorder="1" applyAlignment="1">
      <alignment horizontal="center"/>
    </xf>
    <xf numFmtId="0" fontId="26" fillId="0" borderId="0" xfId="0" applyFont="1"/>
    <xf numFmtId="166" fontId="0" fillId="0" borderId="0" xfId="0" applyNumberFormat="1" applyAlignment="1">
      <alignment horizontal="center"/>
    </xf>
    <xf numFmtId="0" fontId="27" fillId="0" borderId="0" xfId="0" applyFont="1" applyAlignment="1">
      <alignment vertical="center" wrapText="1"/>
    </xf>
    <xf numFmtId="8" fontId="13" fillId="0" borderId="0" xfId="0" applyNumberFormat="1" applyFont="1"/>
    <xf numFmtId="170" fontId="9" fillId="0" borderId="0" xfId="0" applyNumberFormat="1" applyFont="1" applyAlignment="1">
      <alignment horizontal="center"/>
    </xf>
    <xf numFmtId="170" fontId="9" fillId="0" borderId="7" xfId="0" applyNumberFormat="1" applyFont="1" applyBorder="1" applyAlignment="1">
      <alignment horizontal="center"/>
    </xf>
    <xf numFmtId="0" fontId="20" fillId="0" borderId="0" xfId="0" applyFont="1" applyAlignment="1">
      <alignment horizontal="center"/>
    </xf>
    <xf numFmtId="0" fontId="20" fillId="0" borderId="7" xfId="0" applyFont="1" applyBorder="1" applyAlignment="1">
      <alignment horizontal="center"/>
    </xf>
    <xf numFmtId="0" fontId="20" fillId="0" borderId="19" xfId="0" applyFont="1" applyBorder="1" applyAlignment="1">
      <alignment horizontal="center"/>
    </xf>
    <xf numFmtId="0" fontId="20" fillId="0" borderId="26" xfId="0" applyFont="1" applyBorder="1" applyAlignment="1">
      <alignment horizontal="center"/>
    </xf>
    <xf numFmtId="0" fontId="20" fillId="0" borderId="20" xfId="0" applyFont="1" applyBorder="1" applyAlignment="1">
      <alignment horizontal="center"/>
    </xf>
    <xf numFmtId="0" fontId="20" fillId="0" borderId="27" xfId="0" applyFont="1" applyBorder="1" applyAlignment="1">
      <alignment horizontal="center"/>
    </xf>
    <xf numFmtId="0" fontId="0" fillId="0" borderId="21" xfId="0" applyBorder="1"/>
    <xf numFmtId="0" fontId="9" fillId="0" borderId="13" xfId="0" applyFont="1" applyBorder="1" applyAlignment="1">
      <alignment horizontal="center"/>
    </xf>
    <xf numFmtId="0" fontId="13" fillId="0" borderId="22" xfId="0" applyFont="1" applyBorder="1"/>
    <xf numFmtId="0" fontId="13" fillId="0" borderId="32" xfId="0" applyFont="1" applyBorder="1"/>
    <xf numFmtId="0" fontId="0" fillId="0" borderId="33" xfId="0" applyBorder="1"/>
    <xf numFmtId="0" fontId="29"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8" fontId="20" fillId="0" borderId="0" xfId="0" applyNumberFormat="1" applyFont="1" applyAlignment="1">
      <alignment horizontal="center"/>
    </xf>
    <xf numFmtId="8" fontId="20" fillId="0" borderId="20" xfId="0" applyNumberFormat="1" applyFont="1" applyBorder="1" applyAlignment="1">
      <alignment horizontal="center"/>
    </xf>
    <xf numFmtId="8" fontId="20"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lignment vertical="center"/>
    </xf>
    <xf numFmtId="8" fontId="34"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left" vertical="center"/>
    </xf>
    <xf numFmtId="0" fontId="48" fillId="0" borderId="0" xfId="0" applyFont="1" applyAlignment="1">
      <alignment vertical="center"/>
    </xf>
    <xf numFmtId="0" fontId="48" fillId="0" borderId="0" xfId="0" applyFont="1" applyAlignment="1">
      <alignment horizontal="right" vertical="center"/>
    </xf>
    <xf numFmtId="0" fontId="48" fillId="0" borderId="0" xfId="0" applyFont="1" applyAlignment="1">
      <alignment horizontal="left" vertical="center"/>
    </xf>
    <xf numFmtId="0" fontId="48" fillId="0" borderId="0" xfId="0" applyFont="1"/>
    <xf numFmtId="0" fontId="49" fillId="0" borderId="0" xfId="0" applyFont="1" applyAlignment="1">
      <alignment vertical="center"/>
    </xf>
    <xf numFmtId="0" fontId="43" fillId="0" borderId="0" xfId="0" applyFont="1" applyAlignment="1">
      <alignment vertical="center" wrapText="1"/>
    </xf>
    <xf numFmtId="0" fontId="43" fillId="0" borderId="0" xfId="0" applyFont="1" applyAlignment="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Alignment="1">
      <alignment horizontal="center" vertical="center"/>
    </xf>
    <xf numFmtId="38" fontId="43" fillId="0" borderId="0" xfId="0" applyNumberFormat="1" applyFont="1" applyAlignment="1">
      <alignment horizontal="center" vertical="center"/>
    </xf>
    <xf numFmtId="0" fontId="43" fillId="0" borderId="3" xfId="0" applyFont="1" applyBorder="1" applyAlignment="1">
      <alignment horizontal="center" vertical="center"/>
    </xf>
    <xf numFmtId="0" fontId="43" fillId="0" borderId="0" xfId="0" applyFont="1"/>
    <xf numFmtId="0" fontId="51" fillId="0" borderId="0" xfId="0" applyFont="1" applyAlignment="1">
      <alignment vertical="center"/>
    </xf>
    <xf numFmtId="0" fontId="51" fillId="0" borderId="3" xfId="0" applyFont="1" applyBorder="1" applyAlignment="1">
      <alignment horizontal="center" vertical="top" wrapText="1"/>
    </xf>
    <xf numFmtId="0" fontId="51" fillId="0" borderId="0" xfId="0" applyFont="1" applyAlignment="1">
      <alignment vertical="top" wrapText="1"/>
    </xf>
    <xf numFmtId="3" fontId="30" fillId="0" borderId="0" xfId="0" applyNumberFormat="1" applyFont="1" applyAlignment="1">
      <alignment horizontal="center"/>
    </xf>
    <xf numFmtId="0" fontId="43" fillId="0" borderId="0" xfId="0" applyFont="1" applyAlignment="1">
      <alignment horizontal="left" vertical="center"/>
    </xf>
    <xf numFmtId="0" fontId="54" fillId="5" borderId="3" xfId="0" applyFont="1" applyFill="1" applyBorder="1" applyAlignment="1">
      <alignment horizontal="center" vertical="center"/>
    </xf>
    <xf numFmtId="0" fontId="54" fillId="0" borderId="0" xfId="0" applyFont="1" applyAlignment="1">
      <alignment vertical="center"/>
    </xf>
    <xf numFmtId="0" fontId="54" fillId="6" borderId="3" xfId="0" applyFont="1" applyFill="1" applyBorder="1" applyAlignment="1">
      <alignment horizontal="center" vertical="center"/>
    </xf>
    <xf numFmtId="0" fontId="46" fillId="0" borderId="0" xfId="0" applyFont="1" applyAlignment="1">
      <alignment horizontal="centerContinuous" vertical="center"/>
    </xf>
    <xf numFmtId="0" fontId="46" fillId="0" borderId="0" xfId="0" applyFont="1" applyAlignment="1">
      <alignment horizontal="left" vertical="center"/>
    </xf>
    <xf numFmtId="0" fontId="46" fillId="0" borderId="0" xfId="0" applyFont="1" applyAlignment="1">
      <alignment horizontal="right" vertical="center"/>
    </xf>
    <xf numFmtId="0" fontId="46" fillId="0" borderId="0" xfId="0" applyFont="1" applyAlignment="1">
      <alignment horizontal="center" vertical="center"/>
    </xf>
    <xf numFmtId="0" fontId="54" fillId="0" borderId="0" xfId="0" applyFont="1" applyAlignment="1">
      <alignment horizontal="right" vertical="center"/>
    </xf>
    <xf numFmtId="0" fontId="46" fillId="0" borderId="0" xfId="0" quotePrefix="1" applyFont="1" applyAlignment="1">
      <alignment horizontal="center" vertical="center"/>
    </xf>
    <xf numFmtId="0" fontId="54" fillId="0" borderId="0" xfId="0" applyFont="1" applyAlignment="1">
      <alignment horizontal="center"/>
    </xf>
    <xf numFmtId="0" fontId="46" fillId="0" borderId="0" xfId="0" applyFont="1" applyAlignment="1">
      <alignment horizontal="center"/>
    </xf>
    <xf numFmtId="0" fontId="54" fillId="0" borderId="0" xfId="0" applyFont="1"/>
    <xf numFmtId="0" fontId="46" fillId="0" borderId="0" xfId="0" applyFont="1" applyAlignment="1">
      <alignment horizontal="right"/>
    </xf>
    <xf numFmtId="0" fontId="46" fillId="5" borderId="37" xfId="0" applyFont="1" applyFill="1" applyBorder="1" applyAlignment="1" applyProtection="1">
      <alignment horizontal="center"/>
      <protection locked="0"/>
    </xf>
    <xf numFmtId="0" fontId="46" fillId="0" borderId="0" xfId="0" applyFont="1" applyAlignment="1">
      <alignment vertical="top"/>
    </xf>
    <xf numFmtId="0" fontId="46" fillId="0" borderId="0" xfId="0" quotePrefix="1" applyFont="1" applyAlignment="1">
      <alignment horizontal="left" vertical="center"/>
    </xf>
    <xf numFmtId="0" fontId="45" fillId="0" borderId="0" xfId="0" applyFont="1" applyAlignment="1">
      <alignment vertical="center"/>
    </xf>
    <xf numFmtId="0" fontId="46" fillId="0" borderId="0" xfId="0" applyFont="1" applyAlignment="1" applyProtection="1">
      <alignment horizontal="left" vertical="center"/>
      <protection locked="0"/>
    </xf>
    <xf numFmtId="0" fontId="54" fillId="0" borderId="0" xfId="0" quotePrefix="1" applyFont="1" applyAlignment="1">
      <alignment horizontal="center" vertical="center"/>
    </xf>
    <xf numFmtId="0" fontId="46" fillId="0" borderId="0" xfId="0" applyFont="1" applyAlignment="1" applyProtection="1">
      <alignment vertical="center"/>
      <protection locked="0"/>
    </xf>
    <xf numFmtId="0" fontId="46" fillId="0" borderId="0" xfId="0" applyFont="1" applyAlignment="1" applyProtection="1">
      <alignment horizontal="center" vertical="center"/>
      <protection locked="0"/>
    </xf>
    <xf numFmtId="167" fontId="46" fillId="0" borderId="0" xfId="0" applyNumberFormat="1" applyFont="1" applyAlignment="1" applyProtection="1">
      <alignment horizontal="center" vertical="center"/>
      <protection locked="0"/>
    </xf>
    <xf numFmtId="0" fontId="54" fillId="0" borderId="0" xfId="0" applyFont="1" applyAlignment="1" applyProtection="1">
      <alignment horizontal="left" vertical="center"/>
      <protection locked="0"/>
    </xf>
    <xf numFmtId="0" fontId="54" fillId="0" borderId="0" xfId="0" applyFont="1" applyAlignment="1">
      <alignment horizontal="right"/>
    </xf>
    <xf numFmtId="0" fontId="54" fillId="0" borderId="0" xfId="0" quotePrefix="1" applyFont="1"/>
    <xf numFmtId="167" fontId="46" fillId="0" borderId="13" xfId="0" applyNumberFormat="1" applyFont="1" applyBorder="1" applyAlignment="1" applyProtection="1">
      <alignment vertical="center"/>
      <protection locked="0"/>
    </xf>
    <xf numFmtId="0" fontId="46" fillId="0" borderId="13" xfId="0" applyFont="1" applyBorder="1" applyAlignment="1" applyProtection="1">
      <alignment horizontal="center" vertical="center"/>
      <protection locked="0"/>
    </xf>
    <xf numFmtId="167" fontId="46" fillId="0" borderId="0" xfId="0" applyNumberFormat="1" applyFont="1" applyAlignment="1" applyProtection="1">
      <alignment vertical="center"/>
      <protection locked="0"/>
    </xf>
    <xf numFmtId="167" fontId="46" fillId="0" borderId="2" xfId="0" applyNumberFormat="1" applyFont="1" applyBorder="1" applyAlignment="1" applyProtection="1">
      <alignment vertical="center"/>
      <protection locked="0"/>
    </xf>
    <xf numFmtId="0" fontId="46" fillId="0" borderId="0" xfId="0" applyFont="1" applyProtection="1">
      <protection locked="0"/>
    </xf>
    <xf numFmtId="0" fontId="54" fillId="0" borderId="0" xfId="0" quotePrefix="1" applyFont="1" applyAlignment="1">
      <alignment horizontal="right"/>
    </xf>
    <xf numFmtId="1" fontId="46" fillId="0" borderId="0" xfId="0" applyNumberFormat="1" applyFont="1" applyAlignment="1" applyProtection="1">
      <alignment horizontal="center" vertical="center"/>
      <protection locked="0"/>
    </xf>
    <xf numFmtId="0" fontId="61" fillId="0" borderId="0" xfId="0" applyFont="1" applyAlignment="1">
      <alignment vertical="center"/>
    </xf>
    <xf numFmtId="0" fontId="59" fillId="0" borderId="0" xfId="0" applyFont="1"/>
    <xf numFmtId="0" fontId="45" fillId="0" borderId="0" xfId="0" applyFont="1" applyAlignment="1">
      <alignment horizontal="center" vertical="center"/>
    </xf>
    <xf numFmtId="0" fontId="45" fillId="0" borderId="0" xfId="0" applyFont="1"/>
    <xf numFmtId="0" fontId="45" fillId="0" borderId="0" xfId="0" applyFont="1" applyAlignment="1">
      <alignment horizontal="left" vertical="center"/>
    </xf>
    <xf numFmtId="0" fontId="45" fillId="0" borderId="0" xfId="0" quotePrefix="1" applyFont="1" applyAlignment="1">
      <alignment horizontal="center" vertical="center"/>
    </xf>
    <xf numFmtId="164" fontId="46" fillId="0" borderId="0" xfId="1" applyNumberFormat="1" applyFont="1" applyFill="1" applyAlignment="1" applyProtection="1">
      <alignment vertical="center"/>
    </xf>
    <xf numFmtId="0" fontId="62" fillId="0" borderId="0" xfId="0" applyFont="1" applyAlignment="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Alignment="1">
      <alignment horizontal="center"/>
    </xf>
    <xf numFmtId="164" fontId="46" fillId="0" borderId="0" xfId="1" applyNumberFormat="1" applyFont="1" applyFill="1" applyAlignment="1" applyProtection="1">
      <alignment horizontal="center"/>
    </xf>
    <xf numFmtId="0" fontId="46" fillId="0" borderId="0" xfId="0" applyFont="1" applyAlignment="1">
      <alignment horizontal="left" vertical="top"/>
    </xf>
    <xf numFmtId="6" fontId="46" fillId="0" borderId="0" xfId="0" applyNumberFormat="1" applyFont="1" applyAlignment="1">
      <alignment horizontal="center" vertical="center"/>
    </xf>
    <xf numFmtId="0" fontId="63" fillId="0" borderId="0" xfId="0" applyFont="1" applyAlignment="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Alignment="1">
      <alignment horizontal="center" vertical="center"/>
    </xf>
    <xf numFmtId="38" fontId="54" fillId="0" borderId="0" xfId="0" applyNumberFormat="1" applyFont="1" applyAlignment="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Alignment="1">
      <alignment horizontal="right" vertical="center"/>
    </xf>
    <xf numFmtId="0" fontId="46" fillId="0" borderId="0" xfId="0" quotePrefix="1" applyFont="1" applyAlignment="1">
      <alignment horizontal="right" vertical="center"/>
    </xf>
    <xf numFmtId="38" fontId="54" fillId="0" borderId="0" xfId="0" applyNumberFormat="1" applyFont="1" applyAlignment="1">
      <alignment horizontal="center" vertical="center"/>
    </xf>
    <xf numFmtId="38" fontId="46"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6" fillId="0" borderId="3" xfId="0" applyNumberFormat="1" applyFont="1" applyBorder="1" applyAlignment="1">
      <alignment horizontal="center" vertical="center"/>
    </xf>
    <xf numFmtId="0" fontId="46" fillId="0" borderId="0" xfId="0" applyFont="1" applyAlignment="1">
      <alignment vertical="center" wrapText="1"/>
    </xf>
    <xf numFmtId="0" fontId="56" fillId="0" borderId="0" xfId="0" applyFont="1" applyAlignment="1">
      <alignment horizontal="left" vertical="center"/>
    </xf>
    <xf numFmtId="0" fontId="67" fillId="0" borderId="0" xfId="0" applyFont="1" applyAlignment="1">
      <alignment horizontal="center" vertical="center"/>
    </xf>
    <xf numFmtId="0" fontId="42" fillId="0" borderId="0" xfId="0" applyFont="1" applyAlignment="1" applyProtection="1">
      <alignment vertical="center"/>
      <protection locked="0"/>
    </xf>
    <xf numFmtId="0" fontId="27" fillId="0" borderId="0" xfId="0" applyFont="1" applyAlignment="1">
      <alignment horizontal="center"/>
    </xf>
    <xf numFmtId="0" fontId="15" fillId="0" borderId="0" xfId="0" quotePrefix="1" applyFont="1" applyAlignment="1">
      <alignment horizontal="center" vertical="center"/>
    </xf>
    <xf numFmtId="0" fontId="72" fillId="0" borderId="0" xfId="0" applyFont="1" applyAlignment="1">
      <alignment horizontal="center" vertical="center"/>
    </xf>
    <xf numFmtId="0" fontId="40" fillId="0" borderId="0" xfId="0" applyFont="1" applyAlignment="1">
      <alignment vertical="center"/>
    </xf>
    <xf numFmtId="0" fontId="43" fillId="0" borderId="0" xfId="9" applyFont="1"/>
    <xf numFmtId="0" fontId="43" fillId="0" borderId="0" xfId="9" applyFont="1" applyAlignment="1">
      <alignment horizontal="left"/>
    </xf>
    <xf numFmtId="0" fontId="73" fillId="0" borderId="0" xfId="9" applyFont="1" applyAlignment="1">
      <alignment horizontal="center"/>
    </xf>
    <xf numFmtId="0" fontId="74" fillId="0" borderId="0" xfId="0" applyFont="1" applyAlignment="1">
      <alignment horizontal="center"/>
    </xf>
    <xf numFmtId="0" fontId="74" fillId="0" borderId="0" xfId="0" applyFont="1" applyAlignment="1">
      <alignment horizontal="center" vertical="center"/>
    </xf>
    <xf numFmtId="9" fontId="43" fillId="0" borderId="0" xfId="10"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8" fillId="0" borderId="0" xfId="0" applyFont="1"/>
    <xf numFmtId="0" fontId="71" fillId="0" borderId="0" xfId="0" applyFont="1" applyAlignment="1">
      <alignment horizontal="center" vertical="center"/>
    </xf>
    <xf numFmtId="0" fontId="43" fillId="0" borderId="0" xfId="0" applyFont="1" applyAlignment="1">
      <alignment horizontal="center"/>
    </xf>
    <xf numFmtId="166" fontId="46" fillId="0" borderId="0" xfId="0" applyNumberFormat="1" applyFont="1" applyAlignment="1">
      <alignment horizontal="center" vertical="center"/>
    </xf>
    <xf numFmtId="9" fontId="42" fillId="0" borderId="0" xfId="0" applyNumberFormat="1" applyFont="1" applyAlignment="1">
      <alignment horizontal="center" vertical="center"/>
    </xf>
    <xf numFmtId="9" fontId="42" fillId="0" borderId="2" xfId="0" applyNumberFormat="1" applyFont="1" applyBorder="1" applyAlignment="1">
      <alignment horizontal="center" vertical="center"/>
    </xf>
    <xf numFmtId="3" fontId="13" fillId="0" borderId="15" xfId="0" applyNumberFormat="1" applyFont="1" applyBorder="1" applyAlignment="1">
      <alignment vertical="center"/>
    </xf>
    <xf numFmtId="3" fontId="13" fillId="0" borderId="15" xfId="1" applyNumberFormat="1" applyFont="1" applyFill="1" applyBorder="1" applyAlignment="1" applyProtection="1">
      <alignment vertical="center"/>
    </xf>
    <xf numFmtId="0" fontId="35" fillId="0" borderId="0" xfId="0" applyFont="1" applyAlignment="1">
      <alignment horizontal="center"/>
    </xf>
    <xf numFmtId="0" fontId="42" fillId="0" borderId="45" xfId="0" applyFont="1" applyBorder="1" applyAlignment="1">
      <alignment vertical="top"/>
    </xf>
    <xf numFmtId="164" fontId="42" fillId="5" borderId="46" xfId="1" applyNumberFormat="1" applyFont="1" applyFill="1" applyBorder="1" applyAlignment="1" applyProtection="1">
      <alignment horizontal="center" vertical="center"/>
      <protection locked="0"/>
    </xf>
    <xf numFmtId="0" fontId="27" fillId="0" borderId="0" xfId="0" applyFont="1" applyAlignment="1">
      <alignment horizontal="center" vertical="top"/>
    </xf>
    <xf numFmtId="0" fontId="19" fillId="0" borderId="0" xfId="0" applyFont="1" applyAlignment="1">
      <alignment vertical="top"/>
    </xf>
    <xf numFmtId="0" fontId="13" fillId="0" borderId="0" xfId="0" applyFont="1" applyAlignment="1">
      <alignment horizontal="center" vertical="top"/>
    </xf>
    <xf numFmtId="0" fontId="4" fillId="0" borderId="0" xfId="0" applyFont="1" applyAlignment="1">
      <alignment vertical="top"/>
    </xf>
    <xf numFmtId="0" fontId="60" fillId="0" borderId="0" xfId="0" applyFont="1" applyAlignment="1" applyProtection="1">
      <alignment horizontal="center" vertical="center"/>
      <protection locked="0"/>
    </xf>
    <xf numFmtId="0" fontId="56"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4" fillId="0" borderId="7" xfId="0" applyFont="1" applyBorder="1"/>
    <xf numFmtId="164" fontId="13"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90" fillId="0" borderId="0" xfId="0" applyFont="1" applyAlignment="1">
      <alignment horizontal="left"/>
    </xf>
    <xf numFmtId="0" fontId="15" fillId="0" borderId="0" xfId="0" quotePrefix="1" applyFont="1" applyAlignment="1">
      <alignment horizontal="center" vertical="top"/>
    </xf>
    <xf numFmtId="0" fontId="21" fillId="0" borderId="0" xfId="0" quotePrefix="1" applyFont="1"/>
    <xf numFmtId="0" fontId="5" fillId="0" borderId="0" xfId="0" applyFont="1" applyAlignment="1">
      <alignment horizontal="right"/>
    </xf>
    <xf numFmtId="37" fontId="43" fillId="0" borderId="0" xfId="1" applyNumberFormat="1" applyFont="1" applyAlignment="1" applyProtection="1">
      <alignment horizontal="center"/>
    </xf>
    <xf numFmtId="0" fontId="41" fillId="0" borderId="7" xfId="0" applyFont="1" applyBorder="1" applyAlignment="1">
      <alignment vertical="center"/>
    </xf>
    <xf numFmtId="0" fontId="41" fillId="0" borderId="0" xfId="0" applyFont="1" applyAlignment="1">
      <alignment vertical="center"/>
    </xf>
    <xf numFmtId="0" fontId="37"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6" fillId="0" borderId="0" xfId="0" applyFont="1"/>
    <xf numFmtId="0" fontId="83" fillId="0" borderId="0" xfId="0" applyFont="1"/>
    <xf numFmtId="0" fontId="93" fillId="0" borderId="0" xfId="0" applyFont="1" applyAlignment="1">
      <alignment vertical="center"/>
    </xf>
    <xf numFmtId="164" fontId="92" fillId="0" borderId="0" xfId="1" applyNumberFormat="1" applyFont="1" applyFill="1" applyBorder="1" applyAlignment="1" applyProtection="1">
      <alignment vertical="center"/>
    </xf>
    <xf numFmtId="166" fontId="46" fillId="0" borderId="75" xfId="0" applyNumberFormat="1" applyFont="1" applyBorder="1" applyAlignment="1">
      <alignment horizontal="center" vertical="center"/>
    </xf>
    <xf numFmtId="3" fontId="46" fillId="0" borderId="0" xfId="0" applyNumberFormat="1" applyFont="1" applyAlignment="1">
      <alignment horizontal="center" vertical="center"/>
    </xf>
    <xf numFmtId="0" fontId="97" fillId="0" borderId="7" xfId="0" applyFont="1" applyBorder="1" applyAlignment="1">
      <alignment vertical="center"/>
    </xf>
    <xf numFmtId="0" fontId="41" fillId="0" borderId="0" xfId="0" applyFont="1" applyAlignment="1">
      <alignment vertical="center" wrapText="1"/>
    </xf>
    <xf numFmtId="0" fontId="30" fillId="0" borderId="0" xfId="0" applyFont="1" applyAlignment="1">
      <alignment horizontal="center" vertical="center" wrapText="1"/>
    </xf>
    <xf numFmtId="38" fontId="42" fillId="0" borderId="0" xfId="0" applyNumberFormat="1" applyFont="1" applyAlignment="1">
      <alignment vertical="center"/>
    </xf>
    <xf numFmtId="0" fontId="5" fillId="0" borderId="0" xfId="0" applyFont="1" applyAlignment="1">
      <alignment horizontal="left"/>
    </xf>
    <xf numFmtId="0" fontId="50" fillId="0" borderId="0" xfId="0" applyFont="1" applyAlignment="1">
      <alignment horizontal="left" vertical="center"/>
    </xf>
    <xf numFmtId="0" fontId="5" fillId="0" borderId="0" xfId="0" applyFont="1" applyAlignment="1">
      <alignment horizontal="left" vertical="top"/>
    </xf>
    <xf numFmtId="0" fontId="15" fillId="5" borderId="83" xfId="0" applyFont="1" applyFill="1" applyBorder="1" applyAlignment="1" applyProtection="1">
      <alignment horizontal="center" vertical="center"/>
      <protection locked="0"/>
    </xf>
    <xf numFmtId="0" fontId="5" fillId="0" borderId="0" xfId="0" quotePrefix="1" applyFont="1" applyAlignment="1">
      <alignment horizontal="center" vertical="top"/>
    </xf>
    <xf numFmtId="0" fontId="54" fillId="0" borderId="0" xfId="0" applyFont="1" applyAlignment="1">
      <alignment horizontal="center" vertical="center"/>
    </xf>
    <xf numFmtId="0" fontId="101" fillId="0" borderId="0" xfId="0" applyFont="1" applyAlignment="1">
      <alignment vertical="top"/>
    </xf>
    <xf numFmtId="0" fontId="86" fillId="0" borderId="0" xfId="0" applyFont="1"/>
    <xf numFmtId="0" fontId="102" fillId="0" borderId="0" xfId="0" applyFont="1"/>
    <xf numFmtId="0" fontId="95" fillId="0" borderId="0" xfId="0" applyFont="1" applyAlignment="1">
      <alignment horizontal="left"/>
    </xf>
    <xf numFmtId="0" fontId="14" fillId="0" borderId="0" xfId="0" applyFont="1" applyAlignment="1">
      <alignment horizontal="left"/>
    </xf>
    <xf numFmtId="0" fontId="48" fillId="0" borderId="0" xfId="9" applyFont="1" applyAlignment="1">
      <alignment horizontal="left"/>
    </xf>
    <xf numFmtId="0" fontId="9" fillId="0" borderId="82" xfId="0" applyFont="1" applyBorder="1"/>
    <xf numFmtId="0" fontId="106"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Border="1" applyAlignment="1">
      <alignment vertical="center"/>
    </xf>
    <xf numFmtId="0" fontId="108" fillId="0" borderId="0" xfId="6" applyFont="1" applyFill="1" applyBorder="1" applyAlignment="1" applyProtection="1">
      <alignment vertical="center"/>
      <protection locked="0"/>
    </xf>
    <xf numFmtId="0" fontId="63" fillId="0" borderId="79" xfId="0" applyFont="1" applyBorder="1" applyAlignment="1">
      <alignment vertical="center"/>
    </xf>
    <xf numFmtId="0" fontId="63" fillId="0" borderId="79" xfId="0" applyFont="1" applyBorder="1" applyAlignment="1">
      <alignment horizontal="center" vertical="center"/>
    </xf>
    <xf numFmtId="0" fontId="62" fillId="0" borderId="75" xfId="0" applyFont="1" applyBorder="1" applyAlignment="1">
      <alignment horizontal="left" vertical="center"/>
    </xf>
    <xf numFmtId="0" fontId="43" fillId="0" borderId="0" xfId="0" applyFont="1" applyAlignment="1">
      <alignment horizontal="left"/>
    </xf>
    <xf numFmtId="0" fontId="85" fillId="0" borderId="0" xfId="0" applyFont="1" applyAlignment="1">
      <alignment vertical="center"/>
    </xf>
    <xf numFmtId="0" fontId="109" fillId="0" borderId="0" xfId="0" applyFont="1" applyAlignment="1">
      <alignment horizontal="left" vertical="center"/>
    </xf>
    <xf numFmtId="0" fontId="52" fillId="0" borderId="13" xfId="0" applyFont="1" applyBorder="1" applyAlignment="1">
      <alignment vertical="center"/>
    </xf>
    <xf numFmtId="0" fontId="91" fillId="0" borderId="0" xfId="0" applyFont="1" applyAlignment="1">
      <alignment horizontal="right" vertical="center"/>
    </xf>
    <xf numFmtId="0" fontId="72" fillId="0" borderId="0" xfId="0" applyFont="1" applyAlignment="1">
      <alignment horizontal="center" vertical="top"/>
    </xf>
    <xf numFmtId="0" fontId="105" fillId="0" borderId="0" xfId="0" applyFont="1" applyAlignment="1">
      <alignment vertical="center"/>
    </xf>
    <xf numFmtId="0" fontId="53" fillId="0" borderId="0" xfId="0" applyFont="1" applyAlignment="1">
      <alignment vertical="center"/>
    </xf>
    <xf numFmtId="0" fontId="11" fillId="0" borderId="0" xfId="0" applyFont="1"/>
    <xf numFmtId="0" fontId="112" fillId="0" borderId="0" xfId="0" applyFont="1" applyAlignment="1">
      <alignment horizontal="left"/>
    </xf>
    <xf numFmtId="0" fontId="112" fillId="0" borderId="0" xfId="0" applyFont="1" applyAlignment="1">
      <alignment horizontal="left" wrapText="1"/>
    </xf>
    <xf numFmtId="0" fontId="95" fillId="0" borderId="0" xfId="0" applyFont="1"/>
    <xf numFmtId="0" fontId="103" fillId="0" borderId="0" xfId="0" applyFont="1"/>
    <xf numFmtId="0" fontId="43" fillId="0" borderId="0" xfId="0" applyFont="1" applyAlignment="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54" fillId="16" borderId="83" xfId="0" applyFont="1" applyFill="1" applyBorder="1" applyAlignment="1">
      <alignment vertical="center"/>
    </xf>
    <xf numFmtId="0" fontId="84" fillId="0" borderId="0" xfId="0" applyFont="1"/>
    <xf numFmtId="3" fontId="11" fillId="0" borderId="83" xfId="0" applyNumberFormat="1" applyFont="1" applyBorder="1" applyAlignment="1">
      <alignment horizontal="center" vertical="center"/>
    </xf>
    <xf numFmtId="0" fontId="91"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7" xfId="0" applyNumberFormat="1" applyFont="1" applyFill="1" applyBorder="1" applyAlignment="1">
      <alignment horizontal="center" vertical="center"/>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8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17" xfId="0" applyFont="1" applyFill="1" applyBorder="1" applyAlignment="1">
      <alignment horizontal="center" vertical="top"/>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100" fillId="0" borderId="0" xfId="0" applyFont="1" applyAlignment="1">
      <alignment vertical="top"/>
    </xf>
    <xf numFmtId="173" fontId="46" fillId="0" borderId="12" xfId="10" applyNumberFormat="1" applyFont="1" applyFill="1" applyBorder="1" applyAlignment="1" applyProtection="1">
      <alignment vertical="center"/>
    </xf>
    <xf numFmtId="0" fontId="113" fillId="0" borderId="0" xfId="0" applyFont="1" applyAlignment="1">
      <alignment vertical="center"/>
    </xf>
    <xf numFmtId="0" fontId="15" fillId="5" borderId="17" xfId="0" applyFont="1" applyFill="1" applyBorder="1" applyAlignment="1" applyProtection="1">
      <alignment horizontal="center" vertical="top"/>
      <protection locked="0"/>
    </xf>
    <xf numFmtId="0" fontId="4" fillId="0" borderId="0" xfId="13"/>
    <xf numFmtId="0" fontId="48" fillId="0" borderId="0" xfId="0" applyFont="1" applyAlignment="1">
      <alignment horizontal="left" wrapText="1"/>
    </xf>
    <xf numFmtId="0" fontId="48" fillId="0" borderId="0" xfId="0" applyFont="1" applyAlignment="1">
      <alignment horizontal="center" wrapText="1"/>
    </xf>
    <xf numFmtId="0" fontId="48" fillId="0" borderId="0" xfId="0" applyFont="1" applyAlignment="1">
      <alignment horizontal="left"/>
    </xf>
    <xf numFmtId="0" fontId="43" fillId="0" borderId="0" xfId="0" applyFont="1" applyAlignment="1">
      <alignment wrapText="1"/>
    </xf>
    <xf numFmtId="0" fontId="50"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164" fontId="13" fillId="0" borderId="0" xfId="1" applyNumberFormat="1" applyFont="1" applyFill="1" applyBorder="1" applyAlignment="1" applyProtection="1">
      <alignment horizontal="right" vertical="center"/>
    </xf>
    <xf numFmtId="0" fontId="28" fillId="0" borderId="0" xfId="0" applyFont="1" applyAlignment="1">
      <alignment horizontal="center" vertical="center" wrapText="1"/>
    </xf>
    <xf numFmtId="38" fontId="43" fillId="0" borderId="0" xfId="0" applyNumberFormat="1" applyFont="1" applyAlignment="1">
      <alignment horizontal="left" vertical="center"/>
    </xf>
    <xf numFmtId="38" fontId="113" fillId="0" borderId="0" xfId="0" applyNumberFormat="1" applyFont="1" applyAlignment="1">
      <alignment horizontal="left" vertical="center"/>
    </xf>
    <xf numFmtId="0" fontId="43" fillId="0" borderId="13" xfId="0" applyFont="1" applyBorder="1" applyAlignment="1">
      <alignment vertical="center"/>
    </xf>
    <xf numFmtId="0" fontId="46" fillId="0" borderId="88" xfId="0" applyFont="1" applyBorder="1" applyAlignment="1">
      <alignment horizontal="center" vertical="center"/>
    </xf>
    <xf numFmtId="0" fontId="46" fillId="0" borderId="13" xfId="0" applyFont="1" applyBorder="1" applyAlignment="1">
      <alignment horizontal="center" vertical="center"/>
    </xf>
    <xf numFmtId="0" fontId="43" fillId="0" borderId="89"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4" fillId="0" borderId="0" xfId="0" applyFont="1"/>
    <xf numFmtId="0" fontId="149" fillId="0" borderId="0" xfId="0" applyFont="1" applyAlignment="1">
      <alignment vertical="center"/>
    </xf>
    <xf numFmtId="0" fontId="147"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lignment wrapText="1"/>
    </xf>
    <xf numFmtId="0" fontId="91"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9" fillId="5" borderId="83"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Alignment="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94"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13" fillId="0" borderId="0" xfId="0" applyNumberFormat="1" applyFont="1" applyAlignment="1">
      <alignment vertical="center"/>
    </xf>
    <xf numFmtId="0" fontId="13" fillId="0" borderId="0" xfId="0" applyFont="1" applyAlignment="1">
      <alignment vertical="center" wrapText="1"/>
    </xf>
    <xf numFmtId="38" fontId="13" fillId="0" borderId="83" xfId="1" applyNumberFormat="1" applyFont="1" applyFill="1" applyBorder="1" applyAlignment="1" applyProtection="1">
      <alignment horizontal="right" vertical="center"/>
    </xf>
    <xf numFmtId="0" fontId="151" fillId="0" borderId="0" xfId="0" applyFont="1" applyAlignment="1">
      <alignment horizontal="center"/>
    </xf>
    <xf numFmtId="0" fontId="54" fillId="0" borderId="0" xfId="0" quotePrefix="1" applyFont="1" applyAlignment="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Alignment="1" applyProtection="1">
      <alignment vertical="top" wrapText="1"/>
      <protection locked="0"/>
    </xf>
    <xf numFmtId="0" fontId="54" fillId="0" borderId="96" xfId="0" applyFont="1" applyBorder="1" applyAlignment="1">
      <alignment vertical="top" wrapText="1"/>
    </xf>
    <xf numFmtId="0" fontId="46" fillId="5" borderId="51" xfId="0"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Alignment="1">
      <alignment horizontal="right" vertical="center"/>
    </xf>
    <xf numFmtId="3" fontId="45" fillId="0" borderId="95" xfId="0" applyNumberFormat="1" applyFont="1" applyBorder="1" applyAlignment="1">
      <alignment horizontal="center" vertical="center"/>
    </xf>
    <xf numFmtId="164" fontId="45" fillId="0" borderId="0" xfId="1" applyNumberFormat="1" applyFont="1" applyFill="1" applyBorder="1" applyAlignment="1" applyProtection="1">
      <alignment horizontal="right" vertical="center"/>
    </xf>
    <xf numFmtId="0" fontId="146" fillId="0" borderId="0" xfId="0" applyFont="1" applyAlignment="1">
      <alignment vertical="center"/>
    </xf>
    <xf numFmtId="0" fontId="146" fillId="0" borderId="20" xfId="0" applyFont="1" applyBorder="1" applyAlignment="1">
      <alignment vertical="center" wrapText="1"/>
    </xf>
    <xf numFmtId="0" fontId="91" fillId="0" borderId="0" xfId="0" applyFont="1" applyAlignment="1">
      <alignment vertical="center"/>
    </xf>
    <xf numFmtId="0" fontId="43" fillId="0" borderId="13" xfId="0" applyFont="1" applyBorder="1" applyAlignment="1">
      <alignment horizontal="justify"/>
    </xf>
    <xf numFmtId="0" fontId="5" fillId="0" borderId="13" xfId="0" applyFont="1" applyBorder="1" applyAlignment="1">
      <alignment wrapText="1"/>
    </xf>
    <xf numFmtId="0" fontId="152" fillId="0" borderId="0" xfId="0" applyFont="1" applyAlignment="1">
      <alignment horizontal="justify" vertical="top" wrapText="1"/>
    </xf>
    <xf numFmtId="0" fontId="5" fillId="0" borderId="0" xfId="0" applyFont="1" applyAlignment="1">
      <alignment horizontal="center" wrapText="1"/>
    </xf>
    <xf numFmtId="0" fontId="5" fillId="7" borderId="0" xfId="0" applyFont="1" applyFill="1"/>
    <xf numFmtId="0" fontId="26" fillId="0" borderId="0" xfId="1" applyNumberFormat="1" applyFont="1" applyFill="1" applyAlignment="1" applyProtection="1">
      <alignment horizontal="center"/>
    </xf>
    <xf numFmtId="164" fontId="13" fillId="0" borderId="78" xfId="1" applyNumberFormat="1" applyFont="1" applyFill="1" applyBorder="1" applyProtection="1"/>
    <xf numFmtId="39" fontId="13" fillId="0" borderId="8" xfId="1" applyNumberFormat="1" applyFont="1" applyFill="1" applyBorder="1" applyAlignment="1" applyProtection="1">
      <alignment horizontal="right"/>
    </xf>
    <xf numFmtId="0" fontId="84" fillId="0" borderId="40" xfId="0" applyFont="1" applyBorder="1"/>
    <xf numFmtId="0" fontId="28" fillId="0" borderId="41" xfId="0" applyFont="1" applyBorder="1" applyAlignment="1">
      <alignment vertical="center"/>
    </xf>
    <xf numFmtId="3" fontId="5" fillId="0" borderId="41" xfId="0" applyNumberFormat="1" applyFont="1" applyBorder="1" applyAlignment="1">
      <alignment horizontal="center" vertical="center"/>
    </xf>
    <xf numFmtId="0" fontId="84"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6" fillId="0" borderId="0" xfId="13" applyFont="1"/>
    <xf numFmtId="0" fontId="116" fillId="7" borderId="0" xfId="13" applyFont="1" applyFill="1"/>
    <xf numFmtId="0" fontId="117" fillId="0" borderId="0" xfId="13" applyFont="1"/>
    <xf numFmtId="0" fontId="6" fillId="0" borderId="0" xfId="13" applyFont="1"/>
    <xf numFmtId="0" fontId="116" fillId="0" borderId="0" xfId="13" quotePrefix="1" applyFont="1"/>
    <xf numFmtId="0" fontId="116" fillId="0" borderId="80" xfId="13" applyFont="1" applyBorder="1"/>
    <xf numFmtId="0" fontId="26" fillId="0" borderId="0" xfId="13" applyFont="1" applyAlignment="1">
      <alignment horizontal="centerContinuous"/>
    </xf>
    <xf numFmtId="0" fontId="10" fillId="0" borderId="0" xfId="13" applyFont="1" applyAlignment="1">
      <alignment horizontal="centerContinuous"/>
    </xf>
    <xf numFmtId="0" fontId="136" fillId="0" borderId="0" xfId="13" applyFont="1" applyAlignment="1">
      <alignment horizontal="centerContinuous"/>
    </xf>
    <xf numFmtId="0" fontId="10" fillId="0" borderId="0" xfId="13" applyFont="1"/>
    <xf numFmtId="0" fontId="26"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134" fillId="0" borderId="0" xfId="13" applyFont="1"/>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4" fillId="0" borderId="74" xfId="13" applyFont="1" applyBorder="1" applyAlignment="1">
      <alignment horizontal="center" vertical="center"/>
    </xf>
    <xf numFmtId="0" fontId="154" fillId="0" borderId="21" xfId="13" applyFont="1" applyBorder="1" applyAlignment="1">
      <alignment horizontal="center" vertical="center"/>
    </xf>
    <xf numFmtId="0" fontId="154" fillId="0" borderId="71" xfId="13" applyFont="1" applyBorder="1" applyAlignment="1">
      <alignment horizontal="center" vertical="center"/>
    </xf>
    <xf numFmtId="0" fontId="10" fillId="0" borderId="0" xfId="13" applyFont="1" applyAlignment="1">
      <alignment horizontal="left" wrapText="1"/>
    </xf>
    <xf numFmtId="0" fontId="134" fillId="0" borderId="0" xfId="13" applyFont="1" applyAlignment="1">
      <alignment vertical="center"/>
    </xf>
    <xf numFmtId="0" fontId="10" fillId="0" borderId="38" xfId="13" applyFont="1" applyBorder="1" applyAlignment="1">
      <alignment horizontal="center" vertical="top"/>
    </xf>
    <xf numFmtId="0" fontId="134" fillId="0" borderId="0" xfId="13" applyFont="1" applyAlignment="1">
      <alignment horizontal="left" vertical="top"/>
    </xf>
    <xf numFmtId="0" fontId="136"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80" xfId="13" applyFont="1" applyBorder="1"/>
    <xf numFmtId="0" fontId="116" fillId="0" borderId="0" xfId="13" applyFont="1" applyAlignment="1">
      <alignment horizontal="centerContinuous"/>
    </xf>
    <xf numFmtId="0" fontId="6" fillId="18" borderId="0" xfId="13" applyFont="1" applyFill="1"/>
    <xf numFmtId="0" fontId="116" fillId="18" borderId="0" xfId="13" applyFont="1" applyFill="1"/>
    <xf numFmtId="176" fontId="116" fillId="18" borderId="0" xfId="13" applyNumberFormat="1" applyFont="1" applyFill="1" applyAlignment="1">
      <alignment horizontal="left"/>
    </xf>
    <xf numFmtId="0" fontId="130" fillId="0" borderId="0" xfId="13" applyFont="1"/>
    <xf numFmtId="176" fontId="116" fillId="0" borderId="0" xfId="13" applyNumberFormat="1" applyFont="1" applyAlignment="1">
      <alignment horizontal="left"/>
    </xf>
    <xf numFmtId="0" fontId="6" fillId="0" borderId="0" xfId="13" applyFont="1" applyAlignment="1">
      <alignment horizontal="centerContinuous"/>
    </xf>
    <xf numFmtId="0" fontId="127" fillId="0" borderId="0" xfId="13" applyFont="1" applyAlignment="1">
      <alignment horizontal="center" wrapText="1"/>
    </xf>
    <xf numFmtId="0" fontId="116" fillId="5" borderId="0" xfId="13" applyFont="1" applyFill="1" applyAlignment="1">
      <alignment horizontal="left"/>
    </xf>
    <xf numFmtId="5" fontId="116" fillId="5" borderId="0" xfId="13" applyNumberFormat="1" applyFont="1" applyFill="1"/>
    <xf numFmtId="0" fontId="116" fillId="5" borderId="0" xfId="13" applyFont="1" applyFill="1" applyAlignment="1">
      <alignment horizontal="center"/>
    </xf>
    <xf numFmtId="10" fontId="116" fillId="0" borderId="0" xfId="13" applyNumberFormat="1" applyFont="1" applyAlignment="1">
      <alignment horizontal="right"/>
    </xf>
    <xf numFmtId="0" fontId="6" fillId="0" borderId="0" xfId="13" applyFont="1" applyAlignment="1">
      <alignment horizontal="right"/>
    </xf>
    <xf numFmtId="5" fontId="116" fillId="0" borderId="0" xfId="13" applyNumberFormat="1" applyFont="1"/>
    <xf numFmtId="9" fontId="116" fillId="0" borderId="0" xfId="13" applyNumberFormat="1" applyFont="1"/>
    <xf numFmtId="0" fontId="9" fillId="0" borderId="0" xfId="13" applyFont="1"/>
    <xf numFmtId="0" fontId="127" fillId="0" borderId="0" xfId="13" applyFont="1"/>
    <xf numFmtId="9" fontId="116" fillId="0" borderId="0" xfId="13" applyNumberFormat="1" applyFont="1" applyAlignment="1">
      <alignment horizontal="right"/>
    </xf>
    <xf numFmtId="0" fontId="127" fillId="0" borderId="74" xfId="13" applyFont="1" applyBorder="1"/>
    <xf numFmtId="165" fontId="116" fillId="5" borderId="71" xfId="13" applyNumberFormat="1" applyFont="1" applyFill="1" applyBorder="1" applyAlignment="1">
      <alignment horizontal="left"/>
    </xf>
    <xf numFmtId="165" fontId="116" fillId="0" borderId="0" xfId="13" applyNumberFormat="1" applyFont="1" applyAlignment="1">
      <alignment horizontal="left"/>
    </xf>
    <xf numFmtId="0" fontId="116" fillId="0" borderId="0" xfId="13" applyFont="1" applyAlignment="1">
      <alignment vertical="center"/>
    </xf>
    <xf numFmtId="6" fontId="116" fillId="0" borderId="0" xfId="13" applyNumberFormat="1" applyFont="1" applyAlignment="1">
      <alignment vertical="center"/>
    </xf>
    <xf numFmtId="165" fontId="116" fillId="0" borderId="0" xfId="13" applyNumberFormat="1" applyFont="1" applyAlignment="1">
      <alignment vertical="center"/>
    </xf>
    <xf numFmtId="6" fontId="116" fillId="0" borderId="0" xfId="13" quotePrefix="1" applyNumberFormat="1" applyFont="1" applyAlignment="1">
      <alignment vertical="center"/>
    </xf>
    <xf numFmtId="165" fontId="116" fillId="5" borderId="0" xfId="13" quotePrefix="1" applyNumberFormat="1" applyFont="1" applyFill="1" applyAlignment="1">
      <alignment vertical="center"/>
    </xf>
    <xf numFmtId="165" fontId="116" fillId="0" borderId="0" xfId="13" quotePrefix="1" applyNumberFormat="1" applyFont="1" applyAlignment="1">
      <alignment vertical="center"/>
    </xf>
    <xf numFmtId="0" fontId="116" fillId="0" borderId="82" xfId="13" applyFont="1" applyBorder="1" applyAlignment="1">
      <alignment vertical="center"/>
    </xf>
    <xf numFmtId="6" fontId="116" fillId="0" borderId="82" xfId="13" applyNumberFormat="1" applyFont="1" applyBorder="1" applyAlignment="1">
      <alignment vertical="center"/>
    </xf>
    <xf numFmtId="165" fontId="116"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6" fillId="0" borderId="13" xfId="13" applyFont="1" applyBorder="1" applyAlignment="1">
      <alignment vertical="center"/>
    </xf>
    <xf numFmtId="0" fontId="6" fillId="0" borderId="82" xfId="13" applyFont="1" applyBorder="1" applyAlignment="1">
      <alignment vertical="center"/>
    </xf>
    <xf numFmtId="6" fontId="6" fillId="0" borderId="82" xfId="13" applyNumberFormat="1" applyFont="1" applyBorder="1" applyAlignment="1">
      <alignment vertical="center"/>
    </xf>
    <xf numFmtId="6" fontId="6" fillId="0" borderId="0" xfId="13" applyNumberFormat="1" applyFont="1" applyAlignment="1">
      <alignment horizontal="right" vertical="center"/>
    </xf>
    <xf numFmtId="6" fontId="116" fillId="0" borderId="0" xfId="13" applyNumberFormat="1" applyFont="1" applyAlignment="1">
      <alignment horizontal="right" vertical="center"/>
    </xf>
    <xf numFmtId="5" fontId="116" fillId="0" borderId="0" xfId="13" applyNumberFormat="1" applyFont="1" applyAlignment="1">
      <alignment vertical="center"/>
    </xf>
    <xf numFmtId="0" fontId="127" fillId="0" borderId="0" xfId="13" applyFont="1" applyAlignment="1">
      <alignment vertical="center"/>
    </xf>
    <xf numFmtId="9" fontId="116" fillId="0" borderId="15" xfId="13" applyNumberFormat="1" applyFont="1" applyBorder="1" applyAlignment="1">
      <alignment horizontal="center" vertical="center"/>
    </xf>
    <xf numFmtId="6" fontId="26"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6" fillId="0" borderId="0" xfId="1" applyNumberFormat="1" applyFont="1" applyProtection="1"/>
    <xf numFmtId="165" fontId="26" fillId="10" borderId="0" xfId="13" applyNumberFormat="1" applyFont="1" applyFill="1"/>
    <xf numFmtId="38" fontId="10" fillId="5" borderId="0" xfId="13" applyNumberFormat="1" applyFont="1" applyFill="1"/>
    <xf numFmtId="38" fontId="10" fillId="0" borderId="0" xfId="13" applyNumberFormat="1" applyFont="1"/>
    <xf numFmtId="0" fontId="26" fillId="0" borderId="0" xfId="13" applyFont="1" applyAlignment="1">
      <alignment horizontal="right"/>
    </xf>
    <xf numFmtId="6" fontId="10" fillId="0" borderId="0" xfId="13" applyNumberFormat="1" applyFont="1"/>
    <xf numFmtId="0" fontId="131"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10" fillId="0" borderId="75" xfId="13" applyFont="1" applyBorder="1" applyAlignment="1">
      <alignment vertical="center"/>
    </xf>
    <xf numFmtId="0" fontId="10" fillId="0" borderId="79" xfId="13" applyFont="1" applyBorder="1" applyAlignment="1">
      <alignment vertical="center"/>
    </xf>
    <xf numFmtId="0" fontId="26" fillId="0" borderId="79" xfId="13" applyFont="1" applyBorder="1" applyAlignment="1">
      <alignment horizontal="right" vertical="center"/>
    </xf>
    <xf numFmtId="0" fontId="4" fillId="0" borderId="0" xfId="13" applyAlignment="1">
      <alignment horizontal="center" vertical="center"/>
    </xf>
    <xf numFmtId="0" fontId="4" fillId="0" borderId="0" xfId="13" applyAlignment="1">
      <alignment horizontal="center"/>
    </xf>
    <xf numFmtId="0" fontId="23" fillId="0" borderId="0" xfId="13" applyFont="1"/>
    <xf numFmtId="0" fontId="53" fillId="0" borderId="0" xfId="13" applyFont="1"/>
    <xf numFmtId="0" fontId="9" fillId="0" borderId="0" xfId="13" applyFont="1" applyAlignment="1">
      <alignment horizontal="left"/>
    </xf>
    <xf numFmtId="0" fontId="4" fillId="0" borderId="0" xfId="13" applyAlignment="1">
      <alignment horizontal="right"/>
    </xf>
    <xf numFmtId="0" fontId="9" fillId="0" borderId="0" xfId="13" applyFont="1" applyAlignment="1">
      <alignment horizontal="center"/>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41" fillId="0" borderId="0" xfId="13" applyFont="1"/>
    <xf numFmtId="0" fontId="4" fillId="0" borderId="0" xfId="13" applyAlignment="1">
      <alignment horizontal="center" vertical="top"/>
    </xf>
    <xf numFmtId="0" fontId="4" fillId="0" borderId="0" xfId="13" applyAlignment="1">
      <alignment vertical="top" wrapText="1"/>
    </xf>
    <xf numFmtId="3" fontId="98" fillId="10" borderId="13" xfId="13" applyNumberFormat="1" applyFont="1" applyFill="1" applyBorder="1" applyAlignment="1">
      <alignment horizontal="center"/>
    </xf>
    <xf numFmtId="0" fontId="29"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1" fillId="0" borderId="0" xfId="13" applyFont="1" applyAlignment="1">
      <alignment horizontal="right" vertical="top"/>
    </xf>
    <xf numFmtId="0" fontId="21" fillId="0" borderId="0" xfId="13" applyFont="1" applyAlignment="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3" xfId="0" applyFont="1" applyFill="1" applyBorder="1" applyAlignment="1" applyProtection="1">
      <alignment horizontal="center" vertical="center"/>
      <protection locked="0"/>
    </xf>
    <xf numFmtId="166" fontId="46" fillId="5" borderId="83"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Border="1" applyAlignment="1">
      <alignment wrapText="1"/>
    </xf>
    <xf numFmtId="0" fontId="43" fillId="0" borderId="0" xfId="0" applyFont="1" applyAlignment="1">
      <alignment horizontal="right" vertical="center"/>
    </xf>
    <xf numFmtId="0" fontId="43" fillId="0" borderId="0" xfId="0" applyFont="1" applyAlignment="1">
      <alignment horizontal="justify" vertical="center"/>
    </xf>
    <xf numFmtId="0" fontId="145" fillId="0" borderId="0" xfId="0" applyFont="1" applyAlignment="1">
      <alignment horizontal="center" vertical="center"/>
    </xf>
    <xf numFmtId="38" fontId="5" fillId="0" borderId="0" xfId="0" applyNumberFormat="1" applyFont="1" applyAlignment="1">
      <alignment horizontal="right" vertical="center" wrapText="1"/>
    </xf>
    <xf numFmtId="3" fontId="43" fillId="0" borderId="0" xfId="0" applyNumberFormat="1" applyFont="1" applyAlignment="1">
      <alignment horizontal="center" vertical="center"/>
    </xf>
    <xf numFmtId="37" fontId="145" fillId="0" borderId="0" xfId="0" applyNumberFormat="1" applyFont="1" applyAlignment="1">
      <alignment horizontal="center" vertical="center"/>
    </xf>
    <xf numFmtId="38" fontId="9" fillId="13" borderId="83" xfId="0" applyNumberFormat="1" applyFont="1" applyFill="1" applyBorder="1" applyAlignment="1">
      <alignment horizontal="center" vertical="center"/>
    </xf>
    <xf numFmtId="0" fontId="76" fillId="0" borderId="0" xfId="0" applyFont="1" applyAlignment="1">
      <alignment horizontal="center"/>
    </xf>
    <xf numFmtId="0" fontId="75"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50" fillId="0" borderId="0" xfId="0" applyFont="1" applyAlignment="1">
      <alignment horizontal="center"/>
    </xf>
    <xf numFmtId="0" fontId="9" fillId="0" borderId="0" xfId="0" applyFont="1" applyAlignment="1">
      <alignment horizontal="center" vertical="center" wrapText="1"/>
    </xf>
    <xf numFmtId="3" fontId="13" fillId="0" borderId="0" xfId="0" applyNumberFormat="1" applyFont="1" applyAlignment="1">
      <alignment vertical="center"/>
    </xf>
    <xf numFmtId="3" fontId="13" fillId="0" borderId="0" xfId="1" applyNumberFormat="1" applyFont="1" applyFill="1" applyBorder="1" applyAlignment="1" applyProtection="1">
      <alignment vertical="center"/>
    </xf>
    <xf numFmtId="3" fontId="5" fillId="0" borderId="0" xfId="0" applyNumberFormat="1" applyFont="1" applyAlignment="1">
      <alignment horizontal="center" vertical="center"/>
    </xf>
    <xf numFmtId="3" fontId="13" fillId="0" borderId="0" xfId="0" applyNumberFormat="1" applyFont="1" applyAlignment="1" applyProtection="1">
      <alignment vertical="center"/>
      <protection locked="0"/>
    </xf>
    <xf numFmtId="0" fontId="46" fillId="0" borderId="8" xfId="0" applyFont="1" applyBorder="1" applyAlignment="1" applyProtection="1">
      <alignment horizontal="center" vertical="center"/>
      <protection locked="0"/>
    </xf>
    <xf numFmtId="0" fontId="15" fillId="5" borderId="94" xfId="0" applyFont="1" applyFill="1" applyBorder="1" applyAlignment="1" applyProtection="1">
      <alignment horizontal="center" vertical="top"/>
      <protection locked="0"/>
    </xf>
    <xf numFmtId="0" fontId="15" fillId="13" borderId="94" xfId="0" applyFont="1" applyFill="1" applyBorder="1" applyAlignment="1">
      <alignment horizontal="center" vertical="top"/>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0" fontId="15" fillId="13" borderId="94" xfId="0" applyFont="1" applyFill="1" applyBorder="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52" fillId="0" borderId="0" xfId="0" applyFont="1" applyAlignment="1">
      <alignment horizontal="center" vertical="center"/>
    </xf>
    <xf numFmtId="38" fontId="14" fillId="0" borderId="0" xfId="0" applyNumberFormat="1" applyFont="1" applyAlignment="1">
      <alignment horizontal="center" vertical="center"/>
    </xf>
    <xf numFmtId="38" fontId="14" fillId="0" borderId="83" xfId="0" applyNumberFormat="1" applyFont="1" applyBorder="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62"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xf numFmtId="44" fontId="14" fillId="0" borderId="0" xfId="0" applyNumberFormat="1" applyFont="1"/>
    <xf numFmtId="0" fontId="46" fillId="5" borderId="76" xfId="0" applyFont="1" applyFill="1" applyBorder="1" applyAlignment="1" applyProtection="1">
      <alignment horizontal="center"/>
      <protection locked="0"/>
    </xf>
    <xf numFmtId="0" fontId="14" fillId="0" borderId="0" xfId="0" applyFont="1" applyAlignment="1">
      <alignment wrapText="1"/>
    </xf>
    <xf numFmtId="0" fontId="14" fillId="20" borderId="0" xfId="0" applyFont="1" applyFill="1" applyAlignment="1">
      <alignment horizontal="left"/>
    </xf>
    <xf numFmtId="0" fontId="48" fillId="0" borderId="0" xfId="0" applyFont="1" applyAlignment="1">
      <alignment horizontal="center"/>
    </xf>
    <xf numFmtId="0" fontId="8" fillId="0" borderId="0" xfId="0" applyFont="1" applyAlignment="1">
      <alignment vertical="top"/>
    </xf>
    <xf numFmtId="0" fontId="38"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lignment horizontal="center" vertical="center"/>
    </xf>
    <xf numFmtId="0" fontId="135" fillId="0" borderId="0" xfId="0" applyFont="1" applyAlignment="1">
      <alignment horizontal="center"/>
    </xf>
    <xf numFmtId="0" fontId="30" fillId="0" borderId="0" xfId="13" applyFont="1" applyAlignment="1">
      <alignment vertical="center"/>
    </xf>
    <xf numFmtId="0" fontId="148" fillId="0" borderId="83" xfId="13" applyFont="1" applyBorder="1" applyAlignment="1">
      <alignment horizontal="center" vertical="center" wrapText="1"/>
    </xf>
    <xf numFmtId="0" fontId="84" fillId="0" borderId="0" xfId="13" applyFont="1" applyAlignment="1">
      <alignment horizontal="center" vertical="center"/>
    </xf>
    <xf numFmtId="0" fontId="43" fillId="0" borderId="0" xfId="13" applyFont="1"/>
    <xf numFmtId="0" fontId="43" fillId="0" borderId="0" xfId="13" applyFont="1" applyAlignment="1">
      <alignment vertical="center"/>
    </xf>
    <xf numFmtId="0" fontId="43" fillId="0" borderId="0" xfId="13" applyFont="1" applyAlignment="1">
      <alignment horizontal="left" vertical="center"/>
    </xf>
    <xf numFmtId="6" fontId="43" fillId="0" borderId="0" xfId="13" applyNumberFormat="1" applyFont="1" applyAlignment="1">
      <alignment horizontal="center" vertical="center"/>
    </xf>
    <xf numFmtId="0" fontId="43" fillId="0" borderId="0" xfId="13" applyFont="1" applyAlignment="1">
      <alignment horizontal="right" vertical="center" wrapText="1"/>
    </xf>
    <xf numFmtId="164" fontId="43" fillId="0" borderId="0" xfId="1" applyNumberFormat="1" applyFont="1" applyFill="1" applyAlignment="1" applyProtection="1">
      <alignment vertical="center"/>
    </xf>
    <xf numFmtId="0" fontId="43" fillId="0" borderId="8" xfId="13" applyFont="1" applyBorder="1" applyAlignment="1">
      <alignment vertical="center"/>
    </xf>
    <xf numFmtId="0" fontId="43" fillId="0" borderId="0" xfId="13" applyFont="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46" fillId="20" borderId="0" xfId="0" applyFont="1" applyFill="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1"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1"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43" fillId="0" borderId="0" xfId="0" applyFont="1" applyAlignment="1">
      <alignment vertical="top"/>
    </xf>
    <xf numFmtId="0" fontId="46" fillId="0" borderId="0" xfId="0" applyFont="1" applyAlignment="1">
      <alignment vertical="top" wrapText="1"/>
    </xf>
    <xf numFmtId="0" fontId="43" fillId="5" borderId="36" xfId="0" applyFont="1" applyFill="1" applyBorder="1" applyAlignment="1">
      <alignment horizontal="left"/>
    </xf>
    <xf numFmtId="0" fontId="43" fillId="5" borderId="2" xfId="0" applyFont="1" applyFill="1" applyBorder="1" applyAlignment="1">
      <alignment horizontal="left"/>
    </xf>
    <xf numFmtId="0" fontId="43"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70" fillId="0" borderId="0" xfId="0" applyFont="1" applyAlignment="1">
      <alignment vertical="center"/>
    </xf>
    <xf numFmtId="3" fontId="140" fillId="0" borderId="0" xfId="0" applyNumberFormat="1" applyFont="1" applyAlignment="1">
      <alignment vertical="center"/>
    </xf>
    <xf numFmtId="166" fontId="45" fillId="0" borderId="13" xfId="0" applyNumberFormat="1" applyFont="1" applyBorder="1" applyAlignment="1">
      <alignment horizontal="center" vertical="center"/>
    </xf>
    <xf numFmtId="166" fontId="104" fillId="0" borderId="0" xfId="0" applyNumberFormat="1" applyFont="1" applyAlignment="1">
      <alignment horizontal="center" vertical="center"/>
    </xf>
    <xf numFmtId="37" fontId="104" fillId="0" borderId="0" xfId="0" applyNumberFormat="1" applyFont="1" applyAlignment="1">
      <alignment horizontal="center" vertical="center"/>
    </xf>
    <xf numFmtId="37" fontId="63" fillId="0" borderId="0" xfId="0" applyNumberFormat="1" applyFont="1" applyAlignment="1">
      <alignment horizontal="center" vertical="center"/>
    </xf>
    <xf numFmtId="164" fontId="113" fillId="0" borderId="0" xfId="1" applyNumberFormat="1" applyFont="1" applyFill="1" applyAlignment="1" applyProtection="1">
      <alignment horizontal="left" vertical="center"/>
    </xf>
    <xf numFmtId="164" fontId="113" fillId="0" borderId="0" xfId="1" applyNumberFormat="1" applyFont="1" applyFill="1" applyBorder="1" applyAlignment="1" applyProtection="1">
      <alignment vertical="center"/>
    </xf>
    <xf numFmtId="0" fontId="150" fillId="0" borderId="40" xfId="0" applyFont="1" applyBorder="1"/>
    <xf numFmtId="0" fontId="13" fillId="0" borderId="19" xfId="0" applyFont="1" applyBorder="1" applyAlignment="1">
      <alignment vertical="center"/>
    </xf>
    <xf numFmtId="0" fontId="150"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5"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lignment horizontal="left" vertical="center"/>
    </xf>
    <xf numFmtId="3" fontId="43" fillId="23" borderId="0" xfId="0" applyNumberFormat="1" applyFont="1" applyFill="1" applyAlignment="1">
      <alignment horizontal="center" vertical="center"/>
    </xf>
    <xf numFmtId="0" fontId="43" fillId="22" borderId="0" xfId="0" applyFont="1" applyFill="1" applyAlignment="1">
      <alignment horizontal="left" vertical="center"/>
    </xf>
    <xf numFmtId="3" fontId="43" fillId="22" borderId="0" xfId="0" applyNumberFormat="1" applyFont="1" applyFill="1" applyAlignment="1">
      <alignment horizontal="center" vertical="center"/>
    </xf>
    <xf numFmtId="0" fontId="43" fillId="11" borderId="0" xfId="0" applyFont="1" applyFill="1" applyAlignment="1">
      <alignment horizontal="left" vertical="center"/>
    </xf>
    <xf numFmtId="3" fontId="43" fillId="11" borderId="0" xfId="0" applyNumberFormat="1" applyFont="1" applyFill="1" applyAlignment="1">
      <alignment horizontal="center" vertical="center"/>
    </xf>
    <xf numFmtId="0" fontId="43" fillId="13" borderId="0" xfId="0" applyFont="1" applyFill="1" applyAlignment="1">
      <alignment horizontal="left" vertical="center"/>
    </xf>
    <xf numFmtId="3" fontId="43" fillId="13" borderId="0" xfId="0" applyNumberFormat="1" applyFont="1" applyFill="1" applyAlignment="1">
      <alignment horizontal="center" vertical="center"/>
    </xf>
    <xf numFmtId="0" fontId="43" fillId="24" borderId="0" xfId="0" applyFont="1" applyFill="1" applyAlignment="1">
      <alignment horizontal="left" vertical="center"/>
    </xf>
    <xf numFmtId="3" fontId="43" fillId="24" borderId="0" xfId="0" applyNumberFormat="1" applyFont="1" applyFill="1" applyAlignment="1">
      <alignment horizontal="center" vertical="center"/>
    </xf>
    <xf numFmtId="0" fontId="43" fillId="25" borderId="0" xfId="0" applyFont="1" applyFill="1" applyAlignment="1">
      <alignment horizontal="left" vertical="center"/>
    </xf>
    <xf numFmtId="3" fontId="43" fillId="25" borderId="0" xfId="0" applyNumberFormat="1" applyFont="1" applyFill="1" applyAlignment="1">
      <alignment horizontal="center" vertical="center"/>
    </xf>
    <xf numFmtId="0" fontId="43" fillId="26" borderId="0" xfId="0" applyFont="1" applyFill="1"/>
    <xf numFmtId="0" fontId="43" fillId="26" borderId="0" xfId="9" applyFont="1" applyFill="1" applyAlignment="1">
      <alignment horizontal="left"/>
    </xf>
    <xf numFmtId="0" fontId="43" fillId="26" borderId="0" xfId="0" quotePrefix="1" applyFont="1" applyFill="1"/>
    <xf numFmtId="0" fontId="43" fillId="26" borderId="0" xfId="0" applyFont="1" applyFill="1" applyAlignment="1">
      <alignment horizontal="center"/>
    </xf>
    <xf numFmtId="0" fontId="43" fillId="26" borderId="0" xfId="9" applyFont="1" applyFill="1"/>
    <xf numFmtId="0" fontId="43" fillId="26" borderId="0" xfId="0" applyFont="1" applyFill="1" applyAlignment="1">
      <alignment horizontal="left"/>
    </xf>
    <xf numFmtId="0" fontId="111" fillId="0" borderId="0" xfId="0" applyFont="1" applyAlignment="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3" xfId="0" applyNumberFormat="1" applyFont="1" applyBorder="1" applyAlignment="1">
      <alignment horizontal="center" vertical="center"/>
    </xf>
    <xf numFmtId="38" fontId="4" fillId="0" borderId="3" xfId="0" applyNumberFormat="1" applyFont="1" applyBorder="1" applyAlignment="1">
      <alignment horizontal="center" vertical="center"/>
    </xf>
    <xf numFmtId="0" fontId="89"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3" fillId="0" borderId="8" xfId="0" applyFont="1" applyBorder="1"/>
    <xf numFmtId="0" fontId="13" fillId="0" borderId="94" xfId="0" applyFont="1" applyBorder="1"/>
    <xf numFmtId="0" fontId="13" fillId="0" borderId="11" xfId="0" applyFont="1" applyBorder="1"/>
    <xf numFmtId="0" fontId="13" fillId="0" borderId="81" xfId="0" applyFont="1" applyBorder="1"/>
    <xf numFmtId="0" fontId="13" fillId="0" borderId="12" xfId="0" applyFont="1" applyBorder="1"/>
    <xf numFmtId="0" fontId="11" fillId="0" borderId="0" xfId="0" quotePrefix="1" applyFont="1" applyAlignment="1">
      <alignment horizontal="center" vertical="center"/>
    </xf>
    <xf numFmtId="0" fontId="93" fillId="0" borderId="0" xfId="0" applyFont="1"/>
    <xf numFmtId="0" fontId="93" fillId="0" borderId="0" xfId="0" applyFont="1" applyAlignment="1">
      <alignment horizontal="center"/>
    </xf>
    <xf numFmtId="0" fontId="171" fillId="0" borderId="0" xfId="13" applyFont="1"/>
    <xf numFmtId="0" fontId="174" fillId="0" borderId="0" xfId="13" applyFont="1"/>
    <xf numFmtId="0" fontId="76" fillId="0" borderId="0" xfId="13" applyFont="1"/>
    <xf numFmtId="0" fontId="175" fillId="0" borderId="0" xfId="13" applyFont="1"/>
    <xf numFmtId="0" fontId="75" fillId="0" borderId="0" xfId="13" applyFont="1"/>
    <xf numFmtId="0" fontId="88" fillId="0" borderId="0" xfId="13" applyFont="1"/>
    <xf numFmtId="0" fontId="75" fillId="0" borderId="0" xfId="13" applyFont="1" applyAlignment="1">
      <alignment vertical="top"/>
    </xf>
    <xf numFmtId="0" fontId="43" fillId="0" borderId="0" xfId="13" applyFont="1" applyAlignment="1">
      <alignment horizontal="center" vertical="top"/>
    </xf>
    <xf numFmtId="0" fontId="46" fillId="0" borderId="0" xfId="0" applyFont="1" applyAlignment="1">
      <alignment horizontal="left"/>
    </xf>
    <xf numFmtId="0" fontId="46" fillId="5" borderId="18" xfId="0" applyFont="1" applyFill="1" applyBorder="1" applyAlignment="1" applyProtection="1">
      <alignment horizontal="center" vertical="center"/>
      <protection locked="0"/>
    </xf>
    <xf numFmtId="0" fontId="46" fillId="0" borderId="79" xfId="0" applyFont="1" applyBorder="1" applyAlignment="1">
      <alignment horizontal="center" vertical="center"/>
    </xf>
    <xf numFmtId="0" fontId="46" fillId="0" borderId="7" xfId="0" applyFont="1" applyBorder="1" applyAlignment="1">
      <alignment vertical="center"/>
    </xf>
    <xf numFmtId="0" fontId="46" fillId="0" borderId="5" xfId="0" applyFont="1" applyBorder="1" applyAlignment="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Border="1" applyAlignment="1">
      <alignment vertical="center"/>
    </xf>
    <xf numFmtId="0" fontId="46" fillId="0" borderId="9" xfId="0" applyFont="1" applyBorder="1" applyAlignment="1">
      <alignment vertical="center"/>
    </xf>
    <xf numFmtId="0" fontId="46" fillId="0" borderId="13" xfId="0" applyFont="1" applyBorder="1" applyAlignment="1">
      <alignment vertical="center"/>
    </xf>
    <xf numFmtId="0" fontId="46" fillId="0" borderId="13" xfId="0" applyFont="1" applyBorder="1" applyAlignment="1">
      <alignment horizontal="left"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Alignment="1">
      <alignment horizontal="center" vertical="center"/>
    </xf>
    <xf numFmtId="0" fontId="11" fillId="0" borderId="0" xfId="0" applyFont="1" applyAlignment="1">
      <alignment horizontal="center" wrapText="1"/>
    </xf>
    <xf numFmtId="0" fontId="11" fillId="0" borderId="0" xfId="0" applyFont="1" applyAlignment="1">
      <alignment horizontal="center" vertical="center" wrapText="1"/>
    </xf>
    <xf numFmtId="0" fontId="43" fillId="0" borderId="0" xfId="0" applyFont="1" applyAlignment="1">
      <alignment horizontal="left" vertical="center" wrapText="1"/>
    </xf>
    <xf numFmtId="0" fontId="105" fillId="0" borderId="0" xfId="0" applyFont="1" applyAlignment="1">
      <alignment horizontal="left"/>
    </xf>
    <xf numFmtId="0" fontId="43" fillId="0" borderId="13" xfId="0" applyFont="1" applyBorder="1" applyAlignment="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85" fillId="0" borderId="0" xfId="0" applyFont="1" applyAlignment="1">
      <alignment vertical="center" wrapText="1"/>
    </xf>
    <xf numFmtId="166" fontId="46" fillId="0" borderId="0" xfId="0" applyNumberFormat="1" applyFont="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6" fillId="0" borderId="0" xfId="0" applyNumberFormat="1" applyFont="1" applyAlignment="1">
      <alignment horizontal="left" vertical="center"/>
    </xf>
    <xf numFmtId="0" fontId="177" fillId="0" borderId="0" xfId="0" applyFont="1" applyAlignment="1">
      <alignment vertical="center" wrapText="1"/>
    </xf>
    <xf numFmtId="3" fontId="179"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Alignment="1">
      <alignment horizontal="right" vertical="center"/>
    </xf>
    <xf numFmtId="4" fontId="46" fillId="13" borderId="74"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4" fontId="46" fillId="13" borderId="83" xfId="0" applyNumberFormat="1" applyFont="1" applyFill="1" applyBorder="1" applyAlignment="1" applyProtection="1">
      <alignment horizontal="right" vertical="center"/>
      <protection locked="0"/>
    </xf>
    <xf numFmtId="4" fontId="46" fillId="13" borderId="84" xfId="0" applyNumberFormat="1" applyFont="1" applyFill="1" applyBorder="1" applyAlignment="1" applyProtection="1">
      <alignment horizontal="right" vertical="center"/>
      <protection locked="0"/>
    </xf>
    <xf numFmtId="0" fontId="109" fillId="0" borderId="0" xfId="0" applyFont="1"/>
    <xf numFmtId="0" fontId="79" fillId="0" borderId="0" xfId="0" applyFont="1"/>
    <xf numFmtId="0" fontId="79" fillId="0" borderId="0" xfId="0" quotePrefix="1" applyFont="1"/>
    <xf numFmtId="0" fontId="113" fillId="0" borderId="0" xfId="0" applyFont="1"/>
    <xf numFmtId="0" fontId="79" fillId="0" borderId="0" xfId="0" applyFont="1" applyAlignment="1">
      <alignment horizontal="left"/>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3" fillId="0" borderId="0" xfId="0" applyFont="1" applyAlignment="1">
      <alignment vertical="top" wrapText="1"/>
    </xf>
    <xf numFmtId="0" fontId="113" fillId="0" borderId="0" xfId="0" applyFont="1" applyAlignment="1">
      <alignment horizontal="left" vertical="center"/>
    </xf>
    <xf numFmtId="38" fontId="9" fillId="0" borderId="15" xfId="0" applyNumberFormat="1" applyFont="1" applyBorder="1" applyAlignment="1">
      <alignment horizontal="center" vertical="center"/>
    </xf>
    <xf numFmtId="3" fontId="13" fillId="0" borderId="0" xfId="0" applyNumberFormat="1" applyFont="1" applyAlignment="1">
      <alignment horizont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52" fillId="0" borderId="19" xfId="0" applyNumberFormat="1" applyFont="1" applyBorder="1" applyAlignment="1">
      <alignment horizontal="center" vertical="top"/>
    </xf>
    <xf numFmtId="0" fontId="23" fillId="0" borderId="0" xfId="0" applyFont="1" applyAlignment="1">
      <alignment vertical="top"/>
    </xf>
    <xf numFmtId="3" fontId="52" fillId="0" borderId="107" xfId="0" applyNumberFormat="1" applyFont="1" applyBorder="1" applyAlignment="1">
      <alignment horizontal="center" vertical="top"/>
    </xf>
    <xf numFmtId="3" fontId="144" fillId="0" borderId="38" xfId="0" applyNumberFormat="1" applyFont="1" applyBorder="1" applyAlignment="1">
      <alignment horizontal="center" vertical="center"/>
    </xf>
    <xf numFmtId="0" fontId="50" fillId="0" borderId="0" xfId="0" applyFont="1" applyAlignment="1">
      <alignment horizontal="center" vertical="center"/>
    </xf>
    <xf numFmtId="10" fontId="5" fillId="0" borderId="78" xfId="0" applyNumberFormat="1" applyFont="1" applyBorder="1" applyAlignment="1">
      <alignment horizontal="right" vertical="center"/>
    </xf>
    <xf numFmtId="10" fontId="15" fillId="5" borderId="18" xfId="0" applyNumberFormat="1" applyFont="1" applyFill="1" applyBorder="1" applyAlignment="1" applyProtection="1">
      <alignment horizontal="center" vertical="center"/>
      <protection locked="0"/>
    </xf>
    <xf numFmtId="0" fontId="180" fillId="0" borderId="0" xfId="0" applyFont="1" applyAlignment="1">
      <alignment vertical="center" wrapText="1"/>
    </xf>
    <xf numFmtId="0" fontId="18" fillId="0" borderId="0" xfId="0" applyFont="1" applyAlignment="1">
      <alignment vertical="center"/>
    </xf>
    <xf numFmtId="0" fontId="31" fillId="0" borderId="0" xfId="0" applyFont="1"/>
    <xf numFmtId="0" fontId="14" fillId="0" borderId="0" xfId="0" applyFont="1" applyAlignment="1">
      <alignment horizontal="center"/>
    </xf>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41" fillId="0" borderId="0" xfId="0" applyFont="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5" fillId="0" borderId="0" xfId="0" applyFont="1" applyAlignment="1">
      <alignment horizontal="left" vertical="top" wrapText="1"/>
    </xf>
    <xf numFmtId="0" fontId="5" fillId="0" borderId="0" xfId="0" applyFont="1" applyAlignment="1">
      <alignment horizontal="center" vertical="center"/>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lignment horizontal="center" vertical="top"/>
    </xf>
    <xf numFmtId="0" fontId="15" fillId="5" borderId="18"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3" xfId="0" applyNumberFormat="1" applyFont="1" applyBorder="1" applyAlignment="1">
      <alignment horizontal="center" vertical="center"/>
    </xf>
    <xf numFmtId="0" fontId="15" fillId="5" borderId="83" xfId="0" applyFont="1" applyFill="1" applyBorder="1" applyAlignment="1" applyProtection="1">
      <alignment horizontal="center" vertical="top"/>
      <protection locked="0"/>
    </xf>
    <xf numFmtId="0" fontId="15" fillId="13" borderId="83" xfId="0" applyFont="1" applyFill="1" applyBorder="1" applyAlignment="1">
      <alignment horizontal="center" vertical="top"/>
    </xf>
    <xf numFmtId="164" fontId="13" fillId="6" borderId="94" xfId="1" applyNumberFormat="1" applyFont="1" applyFill="1" applyBorder="1" applyProtection="1">
      <protection locked="0"/>
    </xf>
    <xf numFmtId="0" fontId="14" fillId="0" borderId="19" xfId="0" applyFont="1" applyBorder="1" applyAlignment="1">
      <alignment vertical="center"/>
    </xf>
    <xf numFmtId="0" fontId="43" fillId="0" borderId="19" xfId="0" applyFont="1" applyBorder="1" applyAlignment="1">
      <alignment vertical="center"/>
    </xf>
    <xf numFmtId="0" fontId="28" fillId="0" borderId="19" xfId="0" applyFont="1" applyBorder="1"/>
    <xf numFmtId="0" fontId="28" fillId="0" borderId="32" xfId="0" applyFont="1" applyBorder="1"/>
    <xf numFmtId="0" fontId="28"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82" fillId="0" borderId="0" xfId="0" applyFont="1" applyAlignment="1">
      <alignment horizontal="right" vertical="center"/>
    </xf>
    <xf numFmtId="168" fontId="42" fillId="13" borderId="83" xfId="0" applyNumberFormat="1" applyFont="1" applyFill="1" applyBorder="1" applyAlignment="1">
      <alignment vertical="center"/>
    </xf>
    <xf numFmtId="3" fontId="13" fillId="11" borderId="15" xfId="1" applyNumberFormat="1" applyFont="1" applyFill="1" applyBorder="1" applyAlignment="1" applyProtection="1">
      <alignment horizontal="right" vertical="center"/>
      <protection locked="0"/>
    </xf>
    <xf numFmtId="0" fontId="22" fillId="0" borderId="0" xfId="0" applyFont="1" applyAlignment="1">
      <alignment horizontal="left"/>
    </xf>
    <xf numFmtId="0" fontId="50" fillId="0" borderId="0" xfId="0" applyFont="1" applyAlignment="1">
      <alignment vertical="center"/>
    </xf>
    <xf numFmtId="0" fontId="8" fillId="0" borderId="0" xfId="0" applyFont="1" applyAlignment="1">
      <alignment horizontal="center"/>
    </xf>
    <xf numFmtId="0" fontId="43" fillId="0" borderId="82" xfId="0" applyFont="1" applyBorder="1" applyAlignment="1">
      <alignment vertical="top"/>
    </xf>
    <xf numFmtId="0" fontId="43" fillId="0" borderId="82" xfId="0" applyFont="1" applyBorder="1" applyAlignment="1">
      <alignment vertical="top" wrapText="1"/>
    </xf>
    <xf numFmtId="0" fontId="43" fillId="0" borderId="114" xfId="0" applyFont="1" applyBorder="1" applyAlignment="1">
      <alignment vertical="top" wrapText="1"/>
    </xf>
    <xf numFmtId="0" fontId="43" fillId="0" borderId="7" xfId="0" applyFont="1" applyBorder="1" applyAlignment="1">
      <alignment horizontal="left" vertical="top" wrapText="1"/>
    </xf>
    <xf numFmtId="0" fontId="43" fillId="0" borderId="41" xfId="0" applyFont="1" applyBorder="1" applyAlignment="1">
      <alignment vertical="top" wrapText="1"/>
    </xf>
    <xf numFmtId="0" fontId="43" fillId="0" borderId="9" xfId="0" applyFont="1" applyBorder="1" applyAlignment="1">
      <alignment horizontal="left" vertical="top" wrapText="1"/>
    </xf>
    <xf numFmtId="0" fontId="43" fillId="0" borderId="13" xfId="0" applyFont="1" applyBorder="1" applyAlignment="1">
      <alignment vertical="top"/>
    </xf>
    <xf numFmtId="0" fontId="43" fillId="0" borderId="13" xfId="0" applyFont="1" applyBorder="1" applyAlignment="1">
      <alignment vertical="top" wrapText="1"/>
    </xf>
    <xf numFmtId="0" fontId="43" fillId="0" borderId="89" xfId="0" applyFont="1" applyBorder="1" applyAlignment="1">
      <alignment vertical="top" wrapText="1"/>
    </xf>
    <xf numFmtId="0" fontId="43" fillId="0" borderId="26" xfId="0" applyFont="1" applyBorder="1" applyAlignment="1">
      <alignment horizontal="left" vertical="top" wrapText="1"/>
    </xf>
    <xf numFmtId="0" fontId="43" fillId="0" borderId="19" xfId="0" applyFont="1" applyBorder="1" applyAlignment="1">
      <alignment vertical="top"/>
    </xf>
    <xf numFmtId="0" fontId="43" fillId="0" borderId="19" xfId="0" applyFont="1" applyBorder="1" applyAlignment="1">
      <alignment vertical="top" wrapText="1"/>
    </xf>
    <xf numFmtId="0" fontId="43" fillId="0" borderId="39" xfId="0" applyFont="1" applyBorder="1" applyAlignment="1">
      <alignment vertical="top" wrapText="1"/>
    </xf>
    <xf numFmtId="0" fontId="84"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8" fillId="0" borderId="0" xfId="0" applyFont="1" applyAlignment="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1" fontId="11" fillId="5" borderId="83" xfId="0" applyNumberFormat="1" applyFont="1" applyFill="1" applyBorder="1" applyAlignment="1" applyProtection="1">
      <alignment horizontal="center" vertical="center"/>
      <protection locked="0"/>
    </xf>
    <xf numFmtId="1" fontId="11" fillId="13" borderId="83" xfId="0" applyNumberFormat="1" applyFont="1" applyFill="1" applyBorder="1" applyAlignment="1">
      <alignment horizontal="center" vertical="center"/>
    </xf>
    <xf numFmtId="0" fontId="177" fillId="0" borderId="0" xfId="0" applyFont="1" applyAlignment="1">
      <alignment horizontal="center" vertical="center" wrapText="1"/>
    </xf>
    <xf numFmtId="0" fontId="151" fillId="0" borderId="0" xfId="0" applyFont="1" applyAlignment="1">
      <alignment horizontal="center" vertical="center"/>
    </xf>
    <xf numFmtId="0" fontId="98" fillId="0" borderId="0" xfId="0" applyFont="1"/>
    <xf numFmtId="0" fontId="164" fillId="0" borderId="0" xfId="0" applyFont="1" applyAlignment="1">
      <alignment horizontal="left" vertical="center"/>
    </xf>
    <xf numFmtId="3" fontId="98" fillId="0" borderId="0" xfId="0" applyNumberFormat="1" applyFont="1" applyAlignment="1">
      <alignment horizontal="right"/>
    </xf>
    <xf numFmtId="0" fontId="43" fillId="0" borderId="0" xfId="0" applyFont="1" applyAlignment="1">
      <alignment horizontal="center" vertical="top"/>
    </xf>
    <xf numFmtId="0" fontId="11" fillId="0" borderId="0" xfId="0" quotePrefix="1" applyFont="1" applyAlignment="1">
      <alignment horizontal="right" vertical="center"/>
    </xf>
    <xf numFmtId="37" fontId="46" fillId="5" borderId="83" xfId="1" applyNumberFormat="1" applyFont="1" applyFill="1" applyBorder="1" applyAlignment="1" applyProtection="1">
      <alignment horizontal="center" vertical="center"/>
      <protection locked="0"/>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8" fillId="0" borderId="0" xfId="13" applyFont="1" applyAlignment="1">
      <alignment horizontal="centerContinuous"/>
    </xf>
    <xf numFmtId="0" fontId="42"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6" fillId="0" borderId="0" xfId="0" applyNumberFormat="1" applyFont="1" applyAlignment="1">
      <alignment horizontal="right" vertical="center"/>
    </xf>
    <xf numFmtId="0" fontId="116"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0" fontId="6" fillId="0" borderId="0" xfId="13" applyFont="1" applyAlignment="1">
      <alignment horizontal="center"/>
    </xf>
    <xf numFmtId="0" fontId="116" fillId="0" borderId="0" xfId="13" applyFont="1" applyAlignment="1">
      <alignment horizontal="center"/>
    </xf>
    <xf numFmtId="176" fontId="116"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9" xfId="13" applyFont="1" applyFill="1" applyBorder="1" applyAlignment="1">
      <alignment horizontal="left"/>
    </xf>
    <xf numFmtId="180" fontId="9" fillId="10" borderId="88" xfId="13" applyNumberFormat="1" applyFont="1" applyFill="1" applyBorder="1" applyAlignment="1">
      <alignment horizontal="left"/>
    </xf>
    <xf numFmtId="10" fontId="9" fillId="10" borderId="79" xfId="13" applyNumberFormat="1" applyFont="1" applyFill="1" applyBorder="1" applyAlignment="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Alignment="1">
      <alignment horizontal="center"/>
    </xf>
    <xf numFmtId="0" fontId="4" fillId="0" borderId="8" xfId="0" applyFont="1" applyBorder="1" applyAlignment="1">
      <alignment vertical="center" wrapText="1"/>
    </xf>
    <xf numFmtId="0" fontId="4" fillId="0" borderId="82" xfId="0" applyFont="1" applyBorder="1" applyAlignment="1">
      <alignment vertical="center"/>
    </xf>
    <xf numFmtId="0" fontId="4" fillId="0" borderId="13" xfId="0" applyFont="1" applyBorder="1" applyAlignment="1">
      <alignment vertical="center"/>
    </xf>
    <xf numFmtId="8" fontId="6" fillId="0" borderId="0" xfId="13" applyNumberFormat="1" applyFont="1" applyAlignment="1">
      <alignment horizontal="right" vertical="center"/>
    </xf>
    <xf numFmtId="8" fontId="116" fillId="0" borderId="0" xfId="13" applyNumberFormat="1" applyFont="1" applyAlignment="1">
      <alignment horizontal="right" vertical="center"/>
    </xf>
    <xf numFmtId="0" fontId="26" fillId="10" borderId="0" xfId="13" applyFont="1" applyFill="1"/>
    <xf numFmtId="0" fontId="6" fillId="0" borderId="13" xfId="13" applyFont="1" applyBorder="1" applyAlignment="1">
      <alignment horizontal="center"/>
    </xf>
    <xf numFmtId="0" fontId="160" fillId="0" borderId="0" xfId="13" applyFont="1"/>
    <xf numFmtId="3" fontId="160" fillId="0" borderId="0" xfId="13" applyNumberFormat="1" applyFont="1" applyAlignment="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0" fontId="116" fillId="0" borderId="0" xfId="13" applyFont="1" applyAlignment="1">
      <alignment horizontal="justify" vertical="top" wrapText="1"/>
    </xf>
    <xf numFmtId="0" fontId="116" fillId="0" borderId="0" xfId="13" applyFont="1" applyAlignment="1">
      <alignment horizontal="left"/>
    </xf>
    <xf numFmtId="0" fontId="10" fillId="0" borderId="0" xfId="13" applyFont="1" applyAlignment="1">
      <alignment horizontal="left"/>
    </xf>
    <xf numFmtId="0" fontId="4" fillId="0" borderId="0" xfId="13" applyAlignment="1">
      <alignment horizontal="justify" vertical="top" wrapText="1"/>
    </xf>
    <xf numFmtId="0" fontId="9" fillId="10" borderId="13" xfId="13" applyFont="1" applyFill="1" applyBorder="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38" fontId="9" fillId="13" borderId="83" xfId="0" applyNumberFormat="1" applyFont="1" applyFill="1" applyBorder="1" applyAlignment="1" applyProtection="1">
      <alignment horizontal="center" vertical="center"/>
      <protection locked="0"/>
    </xf>
    <xf numFmtId="0" fontId="15" fillId="13" borderId="119"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0"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0" xfId="1" applyNumberFormat="1" applyFont="1" applyFill="1" applyBorder="1" applyAlignment="1" applyProtection="1">
      <alignment horizontal="center" vertical="center"/>
      <protection locked="0"/>
    </xf>
    <xf numFmtId="3" fontId="14" fillId="5" borderId="120" xfId="1" applyNumberFormat="1" applyFont="1" applyFill="1" applyBorder="1" applyAlignment="1" applyProtection="1">
      <alignment horizontal="center" vertical="center"/>
      <protection locked="0"/>
    </xf>
    <xf numFmtId="38" fontId="4" fillId="0" borderId="81"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13" fillId="0" borderId="79" xfId="1" applyNumberFormat="1" applyFont="1" applyFill="1" applyBorder="1" applyAlignment="1" applyProtection="1">
      <alignment horizontal="right" vertical="center"/>
    </xf>
    <xf numFmtId="38" fontId="9" fillId="0" borderId="79"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3" xfId="1" applyNumberFormat="1" applyFont="1" applyFill="1" applyBorder="1" applyAlignment="1" applyProtection="1">
      <alignment horizontal="right" vertical="center"/>
    </xf>
    <xf numFmtId="0" fontId="23" fillId="0" borderId="0" xfId="0" applyFont="1" applyAlignment="1">
      <alignment vertical="center"/>
    </xf>
    <xf numFmtId="0" fontId="190" fillId="0" borderId="0" xfId="0" applyFont="1"/>
    <xf numFmtId="38" fontId="23" fillId="0" borderId="79"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0" xfId="1" applyNumberFormat="1" applyFont="1" applyFill="1" applyBorder="1" applyAlignment="1" applyProtection="1">
      <alignment horizontal="center" vertical="center"/>
      <protection locked="0"/>
    </xf>
    <xf numFmtId="38" fontId="14" fillId="0" borderId="120" xfId="1" applyNumberFormat="1" applyFont="1" applyFill="1" applyBorder="1" applyAlignment="1" applyProtection="1">
      <alignment horizontal="center" vertical="center"/>
    </xf>
    <xf numFmtId="0" fontId="42" fillId="5" borderId="120" xfId="0" applyFont="1" applyFill="1" applyBorder="1" applyAlignment="1" applyProtection="1">
      <alignment horizontal="center" vertical="center"/>
      <protection locked="0"/>
    </xf>
    <xf numFmtId="0" fontId="14" fillId="5" borderId="120" xfId="0" applyFont="1" applyFill="1" applyBorder="1" applyAlignment="1" applyProtection="1">
      <alignment horizontal="center" vertical="center"/>
      <protection locked="0"/>
    </xf>
    <xf numFmtId="0" fontId="105"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2" fillId="0" borderId="28" xfId="0" applyFont="1" applyBorder="1" applyAlignment="1">
      <alignment horizontal="center" vertical="center"/>
    </xf>
    <xf numFmtId="164" fontId="192" fillId="0" borderId="29" xfId="1" applyNumberFormat="1" applyFont="1" applyFill="1" applyBorder="1" applyAlignment="1" applyProtection="1">
      <alignment horizontal="center" vertical="center"/>
    </xf>
    <xf numFmtId="0" fontId="192" fillId="0" borderId="33" xfId="0" applyFont="1" applyBorder="1" applyAlignment="1">
      <alignment horizontal="center" vertical="center"/>
    </xf>
    <xf numFmtId="164" fontId="192"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6" fillId="0" borderId="0" xfId="0" applyFont="1" applyAlignment="1">
      <alignment vertical="center" wrapText="1"/>
    </xf>
    <xf numFmtId="0" fontId="36" fillId="0" borderId="0" xfId="0" applyFont="1" applyAlignment="1">
      <alignment vertical="top" wrapText="1"/>
    </xf>
    <xf numFmtId="38" fontId="13" fillId="0" borderId="101"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96" xfId="1" applyNumberFormat="1" applyFont="1" applyFill="1" applyBorder="1" applyAlignment="1" applyProtection="1">
      <alignment horizontal="right" vertical="center"/>
    </xf>
    <xf numFmtId="38" fontId="13" fillId="0" borderId="122"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7" xfId="1" applyNumberFormat="1" applyFont="1" applyFill="1" applyBorder="1" applyAlignment="1" applyProtection="1">
      <alignment horizontal="right" vertical="center"/>
    </xf>
    <xf numFmtId="38" fontId="4" fillId="0" borderId="101" xfId="0" applyNumberFormat="1" applyFont="1" applyBorder="1"/>
    <xf numFmtId="38" fontId="4" fillId="0" borderId="100" xfId="0" applyNumberFormat="1" applyFont="1" applyBorder="1"/>
    <xf numFmtId="38" fontId="4" fillId="0" borderId="102" xfId="0" applyNumberFormat="1" applyFont="1" applyBorder="1"/>
    <xf numFmtId="38" fontId="4" fillId="0" borderId="121" xfId="1" applyNumberFormat="1" applyFont="1" applyFill="1" applyBorder="1" applyAlignment="1" applyProtection="1">
      <alignment horizontal="right" vertical="center"/>
    </xf>
    <xf numFmtId="38" fontId="4" fillId="0" borderId="115"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122" xfId="0" applyNumberFormat="1" applyFont="1" applyBorder="1"/>
    <xf numFmtId="38" fontId="4" fillId="0" borderId="111" xfId="0" applyNumberFormat="1" applyFont="1" applyBorder="1"/>
    <xf numFmtId="38" fontId="4" fillId="0" borderId="97" xfId="0" applyNumberFormat="1" applyFont="1" applyBorder="1"/>
    <xf numFmtId="38" fontId="13" fillId="0" borderId="10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9" fillId="0" borderId="108" xfId="1" applyNumberFormat="1" applyFont="1" applyFill="1" applyBorder="1" applyAlignment="1" applyProtection="1">
      <alignment horizontal="right" vertical="center"/>
    </xf>
    <xf numFmtId="38" fontId="9" fillId="0" borderId="109" xfId="1" applyNumberFormat="1" applyFont="1" applyFill="1" applyBorder="1" applyAlignment="1" applyProtection="1">
      <alignment horizontal="right" vertical="center"/>
    </xf>
    <xf numFmtId="38" fontId="9" fillId="0" borderId="110" xfId="1" applyNumberFormat="1" applyFont="1" applyFill="1" applyBorder="1" applyAlignment="1" applyProtection="1">
      <alignment horizontal="right" vertical="center"/>
    </xf>
    <xf numFmtId="38" fontId="13" fillId="0" borderId="93" xfId="1" applyNumberFormat="1" applyFont="1" applyFill="1" applyBorder="1" applyAlignment="1" applyProtection="1">
      <alignment horizontal="right" vertical="center"/>
    </xf>
    <xf numFmtId="38" fontId="13" fillId="0" borderId="85" xfId="1" applyNumberFormat="1" applyFont="1" applyFill="1" applyBorder="1" applyAlignment="1" applyProtection="1">
      <alignment horizontal="right" vertical="center"/>
    </xf>
    <xf numFmtId="38" fontId="13" fillId="0" borderId="92"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4" fillId="0" borderId="85" xfId="1" applyNumberFormat="1" applyFont="1" applyFill="1" applyBorder="1" applyAlignment="1" applyProtection="1">
      <alignment horizontal="right" vertical="center"/>
    </xf>
    <xf numFmtId="38" fontId="4" fillId="0" borderId="92"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vertical="center"/>
    </xf>
    <xf numFmtId="38" fontId="4" fillId="0" borderId="115" xfId="1" applyNumberFormat="1" applyFont="1" applyFill="1" applyBorder="1" applyAlignment="1" applyProtection="1">
      <alignment vertical="center"/>
    </xf>
    <xf numFmtId="38" fontId="4" fillId="0" borderId="96" xfId="1" applyNumberFormat="1" applyFont="1" applyFill="1" applyBorder="1" applyAlignment="1" applyProtection="1">
      <alignment vertical="center"/>
    </xf>
    <xf numFmtId="38" fontId="13" fillId="0" borderId="108" xfId="1" applyNumberFormat="1" applyFont="1" applyFill="1" applyBorder="1" applyAlignment="1" applyProtection="1">
      <alignment vertical="center"/>
    </xf>
    <xf numFmtId="38" fontId="13" fillId="0" borderId="109" xfId="1" applyNumberFormat="1" applyFont="1" applyFill="1" applyBorder="1" applyAlignment="1" applyProtection="1">
      <alignment vertical="center"/>
    </xf>
    <xf numFmtId="38" fontId="13" fillId="0" borderId="110" xfId="1" applyNumberFormat="1" applyFont="1" applyFill="1" applyBorder="1" applyAlignment="1" applyProtection="1">
      <alignment vertical="center"/>
    </xf>
    <xf numFmtId="0" fontId="43" fillId="0" borderId="41" xfId="0" applyFont="1" applyBorder="1" applyAlignment="1">
      <alignment vertical="center" wrapText="1"/>
    </xf>
    <xf numFmtId="0" fontId="46" fillId="0" borderId="41" xfId="0" applyFont="1" applyBorder="1" applyAlignment="1">
      <alignment vertical="center" wrapText="1"/>
    </xf>
    <xf numFmtId="0" fontId="48" fillId="20" borderId="0" xfId="0" applyFont="1" applyFill="1"/>
    <xf numFmtId="0" fontId="90" fillId="0" borderId="0" xfId="0" applyFont="1" applyAlignment="1">
      <alignment horizontal="right" vertical="center"/>
    </xf>
    <xf numFmtId="0" fontId="91" fillId="0" borderId="0" xfId="0" applyFont="1" applyAlignment="1">
      <alignment horizontal="right" vertical="top"/>
    </xf>
    <xf numFmtId="0" fontId="90" fillId="0" borderId="0" xfId="0" applyFont="1" applyAlignment="1">
      <alignment vertical="top" wrapText="1"/>
    </xf>
    <xf numFmtId="0" fontId="90" fillId="0" borderId="0" xfId="0" applyFont="1" applyAlignment="1">
      <alignment vertical="top"/>
    </xf>
    <xf numFmtId="0" fontId="43" fillId="0" borderId="83" xfId="0" applyFont="1" applyBorder="1" applyAlignment="1">
      <alignment horizontal="center" vertical="center"/>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Alignment="1">
      <alignment vertical="center" wrapText="1"/>
    </xf>
    <xf numFmtId="3" fontId="9" fillId="0" borderId="83" xfId="0" applyNumberFormat="1" applyFont="1" applyBorder="1" applyAlignment="1">
      <alignment horizontal="center" vertical="center"/>
    </xf>
    <xf numFmtId="0" fontId="43" fillId="0" borderId="0" xfId="0" quotePrefix="1" applyFont="1" applyAlignment="1">
      <alignment horizontal="center" vertical="center"/>
    </xf>
    <xf numFmtId="0" fontId="79"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5" fillId="0" borderId="11" xfId="0" applyNumberFormat="1" applyFont="1" applyBorder="1" applyAlignment="1">
      <alignment horizontal="center"/>
    </xf>
    <xf numFmtId="0" fontId="79" fillId="0" borderId="0" xfId="0" applyFont="1" applyAlignment="1">
      <alignment horizontal="center"/>
    </xf>
    <xf numFmtId="0" fontId="197" fillId="0" borderId="0" xfId="0" applyFont="1" applyAlignment="1">
      <alignment vertical="center"/>
    </xf>
    <xf numFmtId="0" fontId="19" fillId="0" borderId="0" xfId="0" applyFont="1" applyAlignment="1">
      <alignment horizontal="left"/>
    </xf>
    <xf numFmtId="0" fontId="137" fillId="0" borderId="0" xfId="0" applyFont="1"/>
    <xf numFmtId="0" fontId="198" fillId="0" borderId="0" xfId="0" applyFont="1" applyAlignment="1">
      <alignment horizontal="right" vertical="center"/>
    </xf>
    <xf numFmtId="10" fontId="15" fillId="0" borderId="83" xfId="0" applyNumberFormat="1" applyFont="1" applyBorder="1" applyAlignment="1">
      <alignment horizontal="center" vertical="center"/>
    </xf>
    <xf numFmtId="38" fontId="9" fillId="0" borderId="124" xfId="0" applyNumberFormat="1" applyFont="1" applyBorder="1" applyAlignment="1">
      <alignment horizontal="center" vertical="center"/>
    </xf>
    <xf numFmtId="0" fontId="11" fillId="0" borderId="0" xfId="0" quotePrefix="1" applyFont="1" applyAlignment="1">
      <alignment horizontal="left" vertical="center"/>
    </xf>
    <xf numFmtId="0" fontId="79" fillId="0" borderId="0" xfId="0" applyFont="1" applyAlignment="1">
      <alignment horizontal="left" vertical="center"/>
    </xf>
    <xf numFmtId="38" fontId="15" fillId="0" borderId="113" xfId="0" applyNumberFormat="1" applyFont="1" applyBorder="1" applyAlignment="1">
      <alignment horizontal="center" vertical="top" wrapText="1"/>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43" fillId="0" borderId="13" xfId="0" applyFont="1" applyBorder="1"/>
    <xf numFmtId="0" fontId="43" fillId="0" borderId="89"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90"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9" fillId="0" borderId="0" xfId="0" applyFont="1" applyAlignment="1">
      <alignment horizontal="left" vertical="center"/>
    </xf>
    <xf numFmtId="0" fontId="85" fillId="0" borderId="0" xfId="0" applyFont="1" applyAlignment="1">
      <alignment horizontal="center" vertical="center"/>
    </xf>
    <xf numFmtId="0" fontId="54" fillId="0" borderId="0" xfId="0" applyFont="1" applyAlignment="1">
      <alignment horizontal="left"/>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5" fillId="0" borderId="97" xfId="0" applyFont="1" applyBorder="1" applyAlignment="1">
      <alignment horizontal="center" vertical="top" wrapText="1"/>
    </xf>
    <xf numFmtId="0" fontId="85" fillId="0" borderId="0" xfId="0" applyFont="1" applyAlignment="1">
      <alignment horizontal="center"/>
    </xf>
    <xf numFmtId="0" fontId="50" fillId="0" borderId="13" xfId="0" applyFont="1" applyBorder="1" applyAlignment="1">
      <alignment horizontal="center" vertical="center"/>
    </xf>
    <xf numFmtId="0" fontId="8" fillId="0" borderId="0" xfId="0" applyFont="1" applyAlignment="1">
      <alignment horizontal="left" vertical="top"/>
    </xf>
    <xf numFmtId="38" fontId="4" fillId="0" borderId="0" xfId="1" applyNumberFormat="1" applyFont="1" applyFill="1" applyBorder="1" applyAlignment="1" applyProtection="1">
      <alignment horizontal="left" vertical="center"/>
    </xf>
    <xf numFmtId="38" fontId="4" fillId="0" borderId="93" xfId="1" applyNumberFormat="1" applyFont="1" applyFill="1" applyBorder="1" applyAlignment="1" applyProtection="1">
      <alignment vertical="center"/>
    </xf>
    <xf numFmtId="38" fontId="4" fillId="0" borderId="85" xfId="1" applyNumberFormat="1" applyFont="1" applyFill="1" applyBorder="1" applyAlignment="1" applyProtection="1">
      <alignment vertical="center"/>
    </xf>
    <xf numFmtId="38" fontId="4" fillId="0" borderId="92"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5" fillId="0" borderId="0" xfId="0" applyNumberFormat="1" applyFont="1" applyAlignment="1">
      <alignment vertical="center"/>
    </xf>
    <xf numFmtId="0" fontId="13" fillId="5" borderId="128" xfId="0" applyFont="1" applyFill="1" applyBorder="1" applyAlignment="1" applyProtection="1">
      <alignment horizontal="right" vertical="center"/>
      <protection locked="0"/>
    </xf>
    <xf numFmtId="0" fontId="13" fillId="5" borderId="18" xfId="0" applyFont="1" applyFill="1" applyBorder="1" applyAlignment="1" applyProtection="1">
      <alignment horizontal="right" vertical="center"/>
      <protection locked="0"/>
    </xf>
    <xf numFmtId="3" fontId="13" fillId="5" borderId="128"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46" fillId="5" borderId="128" xfId="0" applyFont="1" applyFill="1" applyBorder="1" applyAlignment="1" applyProtection="1">
      <alignment horizontal="center" vertical="center"/>
      <protection locked="0"/>
    </xf>
    <xf numFmtId="38" fontId="91" fillId="0" borderId="0" xfId="0" applyNumberFormat="1" applyFont="1" applyAlignment="1">
      <alignment horizontal="left" vertical="center"/>
    </xf>
    <xf numFmtId="3" fontId="4" fillId="0" borderId="0" xfId="0" applyNumberFormat="1" applyFont="1" applyAlignment="1">
      <alignment horizontal="center" vertical="center"/>
    </xf>
    <xf numFmtId="0" fontId="46" fillId="5" borderId="108" xfId="0" applyFont="1" applyFill="1" applyBorder="1" applyAlignment="1" applyProtection="1">
      <alignment horizontal="center" vertical="center"/>
      <protection locked="0"/>
    </xf>
    <xf numFmtId="3" fontId="90" fillId="0" borderId="0" xfId="0" applyNumberFormat="1" applyFont="1" applyAlignment="1">
      <alignment horizontal="center" vertical="center"/>
    </xf>
    <xf numFmtId="38" fontId="91" fillId="0" borderId="0" xfId="0" applyNumberFormat="1" applyFont="1" applyAlignment="1">
      <alignment vertical="center"/>
    </xf>
    <xf numFmtId="0" fontId="75" fillId="0" borderId="0" xfId="0" applyFont="1" applyAlignment="1">
      <alignment vertical="center"/>
    </xf>
    <xf numFmtId="40" fontId="105" fillId="0" borderId="83" xfId="0" applyNumberFormat="1" applyFont="1" applyBorder="1" applyAlignment="1">
      <alignment horizontal="center" vertical="center"/>
    </xf>
    <xf numFmtId="49" fontId="15" fillId="0" borderId="0" xfId="0" quotePrefix="1" applyNumberFormat="1" applyFont="1" applyAlignment="1">
      <alignment horizontal="center" vertical="center"/>
    </xf>
    <xf numFmtId="0" fontId="200" fillId="0" borderId="0" xfId="0" applyFont="1"/>
    <xf numFmtId="3" fontId="13" fillId="11" borderId="15" xfId="0" applyNumberFormat="1" applyFont="1" applyFill="1" applyBorder="1" applyAlignment="1" applyProtection="1">
      <alignment horizontal="center" vertical="center"/>
      <protection locked="0"/>
    </xf>
    <xf numFmtId="37" fontId="202" fillId="0" borderId="0" xfId="0" applyNumberFormat="1" applyFont="1" applyAlignment="1">
      <alignment horizontal="center" vertical="center"/>
    </xf>
    <xf numFmtId="3" fontId="200" fillId="0" borderId="0" xfId="0" applyNumberFormat="1" applyFont="1" applyAlignment="1">
      <alignment horizontal="center" vertical="center"/>
    </xf>
    <xf numFmtId="0" fontId="94" fillId="0" borderId="0" xfId="0" applyFont="1" applyAlignment="1">
      <alignment vertical="top" wrapText="1"/>
    </xf>
    <xf numFmtId="0" fontId="98" fillId="0" borderId="0" xfId="0" applyFont="1" applyAlignment="1">
      <alignment vertical="top" wrapText="1"/>
    </xf>
    <xf numFmtId="0" fontId="46" fillId="5" borderId="128" xfId="0" applyFont="1" applyFill="1" applyBorder="1" applyAlignment="1" applyProtection="1">
      <alignment horizontal="center"/>
      <protection locked="0"/>
    </xf>
    <xf numFmtId="0" fontId="10" fillId="0" borderId="0" xfId="13" applyFont="1" applyAlignment="1">
      <alignment horizontal="justify" vertical="top" wrapText="1"/>
    </xf>
    <xf numFmtId="0" fontId="10" fillId="0" borderId="0" xfId="13" applyFont="1" applyAlignment="1">
      <alignment horizontal="left" vertical="top" wrapText="1"/>
    </xf>
    <xf numFmtId="0" fontId="10" fillId="0" borderId="0" xfId="13" applyFont="1" applyAlignment="1">
      <alignment vertical="top" wrapText="1"/>
    </xf>
    <xf numFmtId="0" fontId="134" fillId="0" borderId="0" xfId="13" applyFont="1" applyAlignment="1">
      <alignment horizontal="left"/>
    </xf>
    <xf numFmtId="0" fontId="131" fillId="10" borderId="0" xfId="13" applyFont="1" applyFill="1" applyAlignment="1">
      <alignment horizontal="left" vertical="top" wrapText="1"/>
    </xf>
    <xf numFmtId="6" fontId="116" fillId="0" borderId="0" xfId="13" applyNumberFormat="1" applyFont="1" applyAlignment="1">
      <alignment horizontal="left"/>
    </xf>
    <xf numFmtId="38" fontId="116" fillId="0" borderId="0" xfId="13" applyNumberFormat="1" applyFont="1" applyAlignment="1">
      <alignment horizontal="left"/>
    </xf>
    <xf numFmtId="0" fontId="131" fillId="0" borderId="0" xfId="13" applyFont="1" applyAlignment="1">
      <alignment vertical="top" wrapText="1"/>
    </xf>
    <xf numFmtId="0" fontId="46" fillId="5" borderId="18" xfId="0" applyFont="1" applyFill="1" applyBorder="1" applyAlignment="1" applyProtection="1">
      <alignment horizontal="left" vertical="center"/>
      <protection locked="0"/>
    </xf>
    <xf numFmtId="0" fontId="150" fillId="0" borderId="0" xfId="0" applyFont="1" applyAlignment="1">
      <alignment horizontal="left"/>
    </xf>
    <xf numFmtId="0" fontId="85" fillId="0" borderId="81" xfId="0" applyFont="1" applyBorder="1" applyAlignment="1" applyProtection="1">
      <alignment horizontal="center" vertical="center"/>
      <protection locked="0"/>
    </xf>
    <xf numFmtId="0" fontId="203" fillId="20" borderId="0" xfId="0" applyFont="1" applyFill="1" applyAlignment="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3" fillId="0" borderId="78" xfId="0" applyFont="1" applyBorder="1" applyAlignment="1">
      <alignment vertical="center"/>
    </xf>
    <xf numFmtId="0" fontId="0" fillId="0" borderId="7" xfId="0" applyBorder="1" applyAlignment="1">
      <alignment vertical="center"/>
    </xf>
    <xf numFmtId="0" fontId="13" fillId="0" borderId="8" xfId="0" applyFont="1" applyBorder="1" applyAlignment="1">
      <alignment vertical="center"/>
    </xf>
    <xf numFmtId="0" fontId="0" fillId="0" borderId="27" xfId="0" applyBorder="1" applyAlignment="1">
      <alignment vertical="center"/>
    </xf>
    <xf numFmtId="0" fontId="13" fillId="0" borderId="86" xfId="0" applyFont="1" applyBorder="1" applyAlignment="1">
      <alignment vertical="center"/>
    </xf>
    <xf numFmtId="0" fontId="0" fillId="0" borderId="26" xfId="0" applyBorder="1" applyAlignment="1">
      <alignment vertical="center"/>
    </xf>
    <xf numFmtId="0" fontId="13" fillId="0" borderId="32" xfId="0" applyFont="1"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13" fillId="0" borderId="14"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164" fontId="13" fillId="6" borderId="83" xfId="1" applyNumberFormat="1" applyFont="1" applyFill="1" applyBorder="1" applyProtection="1">
      <protection locked="0"/>
    </xf>
    <xf numFmtId="0" fontId="15" fillId="5" borderId="128" xfId="0" applyFont="1" applyFill="1" applyBorder="1" applyAlignment="1" applyProtection="1">
      <alignment horizontal="center" vertical="center"/>
      <protection locked="0"/>
    </xf>
    <xf numFmtId="0" fontId="15" fillId="13" borderId="128" xfId="0" applyFont="1" applyFill="1" applyBorder="1" applyAlignment="1">
      <alignment horizontal="center" vertical="center"/>
    </xf>
    <xf numFmtId="0" fontId="164" fillId="0" borderId="0" xfId="0" applyFont="1" applyAlignment="1" applyProtection="1">
      <alignment horizontal="left" vertical="center"/>
      <protection locked="0"/>
    </xf>
    <xf numFmtId="3" fontId="13" fillId="0" borderId="38" xfId="0" applyNumberFormat="1" applyFont="1" applyBorder="1" applyAlignment="1">
      <alignment vertical="center"/>
    </xf>
    <xf numFmtId="3" fontId="4" fillId="0" borderId="50" xfId="0" applyNumberFormat="1" applyFont="1" applyBorder="1" applyAlignment="1">
      <alignment horizontal="center" vertical="center"/>
    </xf>
    <xf numFmtId="168" fontId="43" fillId="10" borderId="83" xfId="0" applyNumberFormat="1" applyFont="1" applyFill="1" applyBorder="1" applyAlignment="1" applyProtection="1">
      <alignment vertical="center"/>
      <protection locked="0"/>
    </xf>
    <xf numFmtId="9" fontId="0" fillId="0" borderId="0" xfId="0" applyNumberFormat="1"/>
    <xf numFmtId="0" fontId="206" fillId="0" borderId="0" xfId="0" applyFont="1"/>
    <xf numFmtId="9" fontId="206" fillId="0" borderId="0" xfId="0" applyNumberFormat="1" applyFont="1" applyAlignment="1">
      <alignment horizontal="left"/>
    </xf>
    <xf numFmtId="0" fontId="0" fillId="0" borderId="0" xfId="0" applyAlignment="1">
      <alignment horizontal="left"/>
    </xf>
    <xf numFmtId="9" fontId="43" fillId="0" borderId="0" xfId="0" applyNumberFormat="1" applyFont="1" applyAlignment="1">
      <alignment horizontal="left"/>
    </xf>
    <xf numFmtId="0" fontId="206" fillId="0" borderId="0" xfId="0" applyFont="1" applyAlignment="1">
      <alignment horizontal="right"/>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28"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06" fillId="0" borderId="0" xfId="0" applyNumberFormat="1" applyFont="1" applyAlignment="1">
      <alignment horizontal="center"/>
    </xf>
    <xf numFmtId="0" fontId="5" fillId="0" borderId="0" xfId="0" applyFont="1" applyAlignment="1">
      <alignment horizontal="center"/>
    </xf>
    <xf numFmtId="9" fontId="43" fillId="0" borderId="0" xfId="0" applyNumberFormat="1" applyFont="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0" fontId="68" fillId="0" borderId="0" xfId="0" applyFont="1" applyAlignment="1">
      <alignment horizontal="left" vertical="center"/>
    </xf>
    <xf numFmtId="3" fontId="43" fillId="0" borderId="0" xfId="0" applyNumberFormat="1" applyFont="1" applyAlignment="1">
      <alignment horizontal="left" vertical="center"/>
    </xf>
    <xf numFmtId="0" fontId="9" fillId="0" borderId="20" xfId="0" applyFont="1" applyBorder="1" applyAlignment="1">
      <alignment vertical="center"/>
    </xf>
    <xf numFmtId="0" fontId="98" fillId="0" borderId="40" xfId="0" applyFont="1" applyBorder="1" applyAlignment="1">
      <alignment vertical="center"/>
    </xf>
    <xf numFmtId="0" fontId="98" fillId="0" borderId="0" xfId="0" applyFont="1" applyAlignment="1">
      <alignment vertical="center"/>
    </xf>
    <xf numFmtId="3" fontId="46" fillId="0" borderId="0" xfId="1" applyNumberFormat="1" applyFont="1" applyBorder="1" applyAlignment="1">
      <alignment vertical="center"/>
    </xf>
    <xf numFmtId="0" fontId="5" fillId="0" borderId="0" xfId="0" quotePrefix="1" applyFont="1"/>
    <xf numFmtId="0" fontId="15" fillId="13" borderId="83" xfId="0" applyFont="1" applyFill="1" applyBorder="1" applyAlignment="1">
      <alignment vertical="top"/>
    </xf>
    <xf numFmtId="0" fontId="150" fillId="0" borderId="0" xfId="0" applyFont="1" applyAlignment="1">
      <alignment horizontal="right" vertical="center"/>
    </xf>
    <xf numFmtId="0" fontId="150" fillId="0" borderId="0" xfId="0" applyFont="1" applyAlignment="1">
      <alignment horizontal="center" vertical="center" wrapText="1"/>
    </xf>
    <xf numFmtId="0" fontId="95" fillId="0" borderId="0" xfId="0" applyFont="1" applyAlignment="1">
      <alignment horizontal="center" vertical="center"/>
    </xf>
    <xf numFmtId="1" fontId="90" fillId="0" borderId="0" xfId="0" applyNumberFormat="1" applyFont="1" applyAlignment="1">
      <alignment vertical="center"/>
    </xf>
    <xf numFmtId="0" fontId="207" fillId="0" borderId="0" xfId="0" applyFont="1" applyAlignment="1">
      <alignment horizontal="left" vertical="center"/>
    </xf>
    <xf numFmtId="0" fontId="0" fillId="0" borderId="0" xfId="0" applyAlignment="1">
      <alignment horizontal="center" vertical="top"/>
    </xf>
    <xf numFmtId="38" fontId="9" fillId="5" borderId="128" xfId="0" applyNumberFormat="1" applyFont="1" applyFill="1" applyBorder="1" applyAlignment="1" applyProtection="1">
      <alignment horizontal="center" vertical="center"/>
      <protection locked="0"/>
    </xf>
    <xf numFmtId="38" fontId="9" fillId="13" borderId="128" xfId="0" applyNumberFormat="1" applyFont="1" applyFill="1" applyBorder="1" applyAlignment="1">
      <alignment horizontal="center" vertical="center"/>
    </xf>
    <xf numFmtId="0" fontId="91" fillId="0" borderId="0" xfId="0" applyFont="1" applyAlignment="1">
      <alignment horizontal="center" vertical="center" wrapText="1"/>
    </xf>
    <xf numFmtId="0" fontId="210" fillId="0" borderId="0" xfId="33" applyFont="1"/>
    <xf numFmtId="0" fontId="75" fillId="0" borderId="77" xfId="33" applyFont="1" applyBorder="1" applyAlignment="1">
      <alignment horizontal="left" vertical="center"/>
    </xf>
    <xf numFmtId="0" fontId="75" fillId="0" borderId="82" xfId="33" applyFont="1" applyBorder="1" applyAlignment="1">
      <alignment vertical="center"/>
    </xf>
    <xf numFmtId="0" fontId="210" fillId="0" borderId="78" xfId="33" applyFont="1" applyBorder="1" applyAlignment="1">
      <alignment vertical="center"/>
    </xf>
    <xf numFmtId="164" fontId="210" fillId="0" borderId="0" xfId="34" applyNumberFormat="1" applyFont="1"/>
    <xf numFmtId="0" fontId="75" fillId="0" borderId="7" xfId="33" applyFont="1" applyBorder="1" applyAlignment="1">
      <alignment horizontal="left" vertical="center"/>
    </xf>
    <xf numFmtId="0" fontId="210" fillId="0" borderId="0" xfId="33" applyFont="1" applyAlignment="1">
      <alignment vertical="center"/>
    </xf>
    <xf numFmtId="0" fontId="210" fillId="0" borderId="8" xfId="33" applyFont="1" applyBorder="1" applyAlignment="1">
      <alignment vertical="center"/>
    </xf>
    <xf numFmtId="0" fontId="210" fillId="0" borderId="9" xfId="33" applyFont="1" applyBorder="1" applyAlignment="1">
      <alignment horizontal="left" vertical="center"/>
    </xf>
    <xf numFmtId="0" fontId="210" fillId="0" borderId="13" xfId="33" applyFont="1" applyBorder="1" applyAlignment="1">
      <alignment vertical="center"/>
    </xf>
    <xf numFmtId="0" fontId="210" fillId="0" borderId="14" xfId="33" applyFont="1" applyBorder="1" applyAlignment="1">
      <alignment vertical="center"/>
    </xf>
    <xf numFmtId="0" fontId="210" fillId="0" borderId="82" xfId="33" applyFont="1" applyBorder="1"/>
    <xf numFmtId="0" fontId="210" fillId="0" borderId="78" xfId="33" applyFont="1" applyBorder="1"/>
    <xf numFmtId="0" fontId="210" fillId="0" borderId="13" xfId="33" applyFont="1" applyBorder="1"/>
    <xf numFmtId="0" fontId="210" fillId="0" borderId="141" xfId="33" applyFont="1" applyBorder="1"/>
    <xf numFmtId="0" fontId="210" fillId="0" borderId="0" xfId="33" applyFont="1" applyAlignment="1">
      <alignment horizontal="center"/>
    </xf>
    <xf numFmtId="0" fontId="210" fillId="0" borderId="0" xfId="33" applyFont="1" applyAlignment="1">
      <alignment horizontal="left"/>
    </xf>
    <xf numFmtId="166" fontId="210" fillId="0" borderId="0" xfId="35" applyNumberFormat="1" applyFont="1"/>
    <xf numFmtId="0" fontId="213" fillId="0" borderId="0" xfId="33" applyFont="1" applyAlignment="1">
      <alignment horizontal="left"/>
    </xf>
    <xf numFmtId="164" fontId="210" fillId="0" borderId="0" xfId="33" applyNumberFormat="1" applyFont="1"/>
    <xf numFmtId="164" fontId="210" fillId="28" borderId="137" xfId="34" applyNumberFormat="1" applyFont="1" applyFill="1" applyBorder="1"/>
    <xf numFmtId="0" fontId="210" fillId="0" borderId="77" xfId="33" applyFont="1" applyBorder="1"/>
    <xf numFmtId="0" fontId="210" fillId="0" borderId="140" xfId="33" applyFont="1" applyBorder="1" applyAlignment="1">
      <alignment horizontal="center"/>
    </xf>
    <xf numFmtId="0" fontId="88" fillId="0" borderId="83" xfId="33" applyFont="1" applyBorder="1" applyAlignment="1">
      <alignment horizontal="center" wrapText="1"/>
    </xf>
    <xf numFmtId="0" fontId="210" fillId="0" borderId="47" xfId="33" applyFont="1" applyBorder="1"/>
    <xf numFmtId="0" fontId="210" fillId="0" borderId="79" xfId="33" applyFont="1" applyBorder="1" applyAlignment="1">
      <alignment vertical="center"/>
    </xf>
    <xf numFmtId="164" fontId="210" fillId="0" borderId="79" xfId="34" applyNumberFormat="1" applyFont="1" applyBorder="1" applyAlignment="1">
      <alignment horizontal="center" vertical="center"/>
    </xf>
    <xf numFmtId="0" fontId="212" fillId="0" borderId="79" xfId="33" applyFont="1" applyBorder="1" applyAlignment="1">
      <alignment vertical="center"/>
    </xf>
    <xf numFmtId="0" fontId="210" fillId="0" borderId="79" xfId="33" applyFont="1" applyBorder="1" applyAlignment="1">
      <alignment horizontal="center" vertical="center"/>
    </xf>
    <xf numFmtId="0" fontId="210" fillId="0" borderId="82" xfId="33" applyFont="1" applyBorder="1" applyAlignment="1">
      <alignment vertical="center"/>
    </xf>
    <xf numFmtId="0" fontId="210" fillId="0" borderId="141" xfId="33" applyFont="1" applyBorder="1" applyAlignment="1">
      <alignment vertical="center"/>
    </xf>
    <xf numFmtId="164" fontId="210" fillId="28" borderId="143" xfId="34" applyNumberFormat="1" applyFont="1" applyFill="1" applyBorder="1" applyAlignment="1">
      <alignment horizontal="center" vertical="center"/>
    </xf>
    <xf numFmtId="182" fontId="210" fillId="28" borderId="128" xfId="33" applyNumberFormat="1" applyFont="1" applyFill="1" applyBorder="1" applyAlignment="1">
      <alignment horizontal="center" vertical="center"/>
    </xf>
    <xf numFmtId="182" fontId="210" fillId="28" borderId="17" xfId="33" applyNumberFormat="1" applyFont="1" applyFill="1" applyBorder="1" applyAlignment="1">
      <alignment horizontal="center" vertical="center"/>
    </xf>
    <xf numFmtId="182" fontId="210" fillId="28" borderId="18" xfId="33" applyNumberFormat="1" applyFont="1" applyFill="1" applyBorder="1" applyAlignment="1">
      <alignment horizontal="center" vertical="center"/>
    </xf>
    <xf numFmtId="0" fontId="210" fillId="0" borderId="82" xfId="33" applyFont="1" applyBorder="1" applyAlignment="1">
      <alignment horizontal="right" vertical="center"/>
    </xf>
    <xf numFmtId="0" fontId="210" fillId="0" borderId="0" xfId="33" applyFont="1" applyAlignment="1">
      <alignment horizontal="right" vertical="center"/>
    </xf>
    <xf numFmtId="164" fontId="210" fillId="28" borderId="137" xfId="34" applyNumberFormat="1" applyFont="1" applyFill="1" applyBorder="1" applyAlignment="1">
      <alignment horizontal="center" vertical="center"/>
    </xf>
    <xf numFmtId="0" fontId="210" fillId="11" borderId="83" xfId="33" applyFont="1" applyFill="1" applyBorder="1" applyAlignment="1">
      <alignment horizontal="center" vertical="center"/>
    </xf>
    <xf numFmtId="0" fontId="210" fillId="11" borderId="81" xfId="33" applyFont="1" applyFill="1" applyBorder="1" applyAlignment="1">
      <alignment horizontal="center" vertical="center"/>
    </xf>
    <xf numFmtId="0" fontId="210" fillId="11" borderId="11" xfId="33" applyFont="1" applyFill="1" applyBorder="1" applyAlignment="1">
      <alignment horizontal="center" vertical="center"/>
    </xf>
    <xf numFmtId="0" fontId="210" fillId="11" borderId="12" xfId="33" applyFont="1" applyFill="1" applyBorder="1" applyAlignment="1">
      <alignment horizontal="center" vertical="center"/>
    </xf>
    <xf numFmtId="0" fontId="88" fillId="0" borderId="144" xfId="33" applyFont="1" applyBorder="1" applyAlignment="1">
      <alignment horizontal="center" wrapText="1"/>
    </xf>
    <xf numFmtId="0" fontId="75" fillId="0" borderId="12" xfId="33" applyFont="1" applyBorder="1" applyAlignment="1">
      <alignment horizontal="center" wrapText="1"/>
    </xf>
    <xf numFmtId="0" fontId="88" fillId="0" borderId="12" xfId="33" applyFont="1" applyBorder="1" applyAlignment="1">
      <alignment horizontal="center" wrapText="1"/>
    </xf>
    <xf numFmtId="182" fontId="210" fillId="29" borderId="35" xfId="33" applyNumberFormat="1" applyFont="1" applyFill="1" applyBorder="1" applyAlignment="1">
      <alignment horizontal="center"/>
    </xf>
    <xf numFmtId="0" fontId="212" fillId="0" borderId="143" xfId="33" applyFont="1" applyBorder="1" applyAlignment="1">
      <alignment horizontal="right"/>
    </xf>
    <xf numFmtId="0" fontId="209" fillId="0" borderId="0" xfId="33" applyFont="1"/>
    <xf numFmtId="164" fontId="212" fillId="29" borderId="142" xfId="34" applyNumberFormat="1" applyFont="1" applyFill="1" applyBorder="1" applyAlignment="1">
      <alignment horizontal="center" vertical="center"/>
    </xf>
    <xf numFmtId="164" fontId="212" fillId="29" borderId="142" xfId="34" applyNumberFormat="1" applyFont="1" applyFill="1" applyBorder="1" applyAlignment="1">
      <alignment horizontal="center"/>
    </xf>
    <xf numFmtId="182" fontId="210" fillId="0" borderId="141" xfId="33" applyNumberFormat="1" applyFont="1" applyBorder="1" applyAlignment="1">
      <alignment horizontal="center"/>
    </xf>
    <xf numFmtId="0" fontId="210" fillId="0" borderId="138" xfId="33" applyFont="1" applyBorder="1" applyAlignment="1">
      <alignment horizontal="center"/>
    </xf>
    <xf numFmtId="0" fontId="210" fillId="0" borderId="44" xfId="33" applyFont="1" applyBorder="1" applyAlignment="1">
      <alignment horizontal="center"/>
    </xf>
    <xf numFmtId="0" fontId="210" fillId="0" borderId="139" xfId="33" applyFont="1" applyBorder="1" applyAlignment="1">
      <alignment horizontal="center"/>
    </xf>
    <xf numFmtId="0" fontId="210" fillId="0" borderId="8" xfId="33" applyFont="1" applyBorder="1"/>
    <xf numFmtId="0" fontId="210" fillId="0" borderId="14" xfId="33" applyFont="1" applyBorder="1"/>
    <xf numFmtId="164" fontId="215" fillId="29" borderId="15" xfId="34" applyNumberFormat="1" applyFont="1" applyFill="1" applyBorder="1" applyAlignment="1">
      <alignment horizontal="center" vertical="center"/>
    </xf>
    <xf numFmtId="0" fontId="210" fillId="0" borderId="151" xfId="33" applyFont="1" applyBorder="1"/>
    <xf numFmtId="164" fontId="210" fillId="28" borderId="143" xfId="34" applyNumberFormat="1" applyFont="1" applyFill="1" applyBorder="1"/>
    <xf numFmtId="0" fontId="210" fillId="0" borderId="135" xfId="33" applyFont="1" applyBorder="1"/>
    <xf numFmtId="184" fontId="216" fillId="28" borderId="128" xfId="33" applyNumberFormat="1" applyFont="1" applyFill="1" applyBorder="1" applyAlignment="1">
      <alignment horizontal="center" vertical="center"/>
    </xf>
    <xf numFmtId="182" fontId="216" fillId="28" borderId="128" xfId="33" applyNumberFormat="1" applyFont="1" applyFill="1" applyBorder="1" applyAlignment="1">
      <alignment horizontal="center" vertical="center"/>
    </xf>
    <xf numFmtId="0" fontId="216" fillId="0" borderId="0" xfId="33" applyFont="1"/>
    <xf numFmtId="164" fontId="216" fillId="28" borderId="128" xfId="34" applyNumberFormat="1" applyFont="1" applyFill="1" applyBorder="1" applyAlignment="1">
      <alignment horizontal="center" vertical="center"/>
    </xf>
    <xf numFmtId="184" fontId="216" fillId="28" borderId="17" xfId="33" applyNumberFormat="1" applyFont="1" applyFill="1" applyBorder="1" applyAlignment="1">
      <alignment horizontal="center" vertical="center"/>
    </xf>
    <xf numFmtId="182" fontId="216" fillId="28" borderId="17" xfId="33" applyNumberFormat="1" applyFont="1" applyFill="1" applyBorder="1" applyAlignment="1">
      <alignment horizontal="center" vertical="center"/>
    </xf>
    <xf numFmtId="164" fontId="216" fillId="28" borderId="17" xfId="34" applyNumberFormat="1" applyFont="1" applyFill="1" applyBorder="1" applyAlignment="1">
      <alignment horizontal="center" vertical="center"/>
    </xf>
    <xf numFmtId="184" fontId="216" fillId="28" borderId="18" xfId="33" applyNumberFormat="1" applyFont="1" applyFill="1" applyBorder="1" applyAlignment="1">
      <alignment horizontal="center" vertical="center"/>
    </xf>
    <xf numFmtId="182" fontId="216" fillId="28" borderId="18" xfId="33" applyNumberFormat="1" applyFont="1" applyFill="1" applyBorder="1" applyAlignment="1">
      <alignment horizontal="center" vertical="center"/>
    </xf>
    <xf numFmtId="164" fontId="216" fillId="28" borderId="18" xfId="34" applyNumberFormat="1" applyFont="1" applyFill="1" applyBorder="1" applyAlignment="1">
      <alignment horizontal="center" vertical="center"/>
    </xf>
    <xf numFmtId="0" fontId="216" fillId="0" borderId="0" xfId="33" applyFont="1" applyAlignment="1">
      <alignment horizontal="left"/>
    </xf>
    <xf numFmtId="0" fontId="22" fillId="0" borderId="0" xfId="0" applyFont="1" applyAlignment="1">
      <alignment horizontal="righ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4"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8" fillId="0" borderId="0" xfId="0" applyFont="1" applyAlignment="1">
      <alignment wrapText="1"/>
    </xf>
    <xf numFmtId="0" fontId="154" fillId="0" borderId="0" xfId="0" applyFont="1" applyAlignment="1">
      <alignment vertical="center"/>
    </xf>
    <xf numFmtId="0" fontId="220" fillId="0" borderId="0" xfId="0" applyFont="1" applyAlignment="1">
      <alignment vertical="center"/>
    </xf>
    <xf numFmtId="0" fontId="22" fillId="0" borderId="0" xfId="0" applyFont="1" applyProtection="1">
      <protection locked="0"/>
    </xf>
    <xf numFmtId="0" fontId="0" fillId="0" borderId="0" xfId="0" applyProtection="1">
      <protection locked="0"/>
    </xf>
    <xf numFmtId="0" fontId="19" fillId="0" borderId="0" xfId="0" applyFont="1" applyProtection="1">
      <protection locked="0"/>
    </xf>
    <xf numFmtId="0" fontId="41" fillId="0" borderId="0" xfId="0" applyFont="1" applyAlignment="1" applyProtection="1">
      <alignment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5"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2" fillId="0" borderId="0" xfId="0" applyFont="1" applyAlignment="1" applyProtection="1">
      <alignment vertical="top"/>
      <protection locked="0"/>
    </xf>
    <xf numFmtId="0" fontId="27" fillId="0" borderId="0" xfId="0" applyFont="1" applyAlignment="1" applyProtection="1">
      <alignment vertical="center"/>
      <protection locked="0"/>
    </xf>
    <xf numFmtId="0" fontId="85" fillId="0" borderId="0" xfId="0" applyFont="1" applyAlignment="1">
      <alignment vertical="top" wrapText="1"/>
    </xf>
    <xf numFmtId="0" fontId="83" fillId="15" borderId="0" xfId="0" applyFont="1" applyFill="1" applyAlignment="1">
      <alignment vertical="center"/>
    </xf>
    <xf numFmtId="3" fontId="14" fillId="5" borderId="128" xfId="1" applyNumberFormat="1" applyFont="1" applyFill="1" applyBorder="1" applyAlignment="1" applyProtection="1">
      <alignment horizontal="center" vertical="center"/>
      <protection locked="0"/>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0" xfId="1" applyNumberFormat="1" applyFont="1" applyFill="1" applyBorder="1" applyAlignment="1" applyProtection="1">
      <alignment horizontal="center" vertical="center"/>
      <protection locked="0"/>
    </xf>
    <xf numFmtId="0" fontId="98"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9" fillId="0" borderId="0" xfId="0" applyFont="1" applyAlignment="1">
      <alignment vertical="center"/>
    </xf>
    <xf numFmtId="0" fontId="105" fillId="0" borderId="0" xfId="0" applyFont="1" applyAlignment="1">
      <alignment vertical="top" wrapText="1"/>
    </xf>
    <xf numFmtId="0" fontId="219" fillId="0" borderId="0" xfId="0" applyFont="1" applyAlignment="1">
      <alignment vertical="center"/>
    </xf>
    <xf numFmtId="0" fontId="40" fillId="0" borderId="19" xfId="0" applyFont="1" applyBorder="1"/>
    <xf numFmtId="0" fontId="29" fillId="0" borderId="0" xfId="0" applyFont="1" applyAlignment="1">
      <alignment horizontal="left" vertical="center"/>
    </xf>
    <xf numFmtId="0" fontId="14" fillId="0" borderId="19" xfId="0" applyFont="1" applyBorder="1" applyAlignment="1">
      <alignment horizontal="left" vertical="center"/>
    </xf>
    <xf numFmtId="0" fontId="98" fillId="0" borderId="13" xfId="0" applyFont="1" applyBorder="1" applyAlignment="1">
      <alignment vertical="top" wrapText="1"/>
    </xf>
    <xf numFmtId="0" fontId="106" fillId="0" borderId="0" xfId="0" applyFont="1" applyAlignment="1">
      <alignment horizontal="left"/>
    </xf>
    <xf numFmtId="10" fontId="14" fillId="0" borderId="3" xfId="0" applyNumberFormat="1" applyFont="1" applyBorder="1" applyAlignment="1">
      <alignment vertical="center"/>
    </xf>
    <xf numFmtId="0" fontId="21" fillId="0" borderId="20" xfId="13" applyFont="1" applyBorder="1" applyAlignment="1">
      <alignment horizontal="center"/>
    </xf>
    <xf numFmtId="0" fontId="5" fillId="0" borderId="0" xfId="13" applyFont="1" applyAlignment="1">
      <alignment horizontal="center"/>
    </xf>
    <xf numFmtId="3" fontId="90" fillId="10" borderId="20" xfId="13" applyNumberFormat="1" applyFont="1" applyFill="1" applyBorder="1" applyAlignment="1">
      <alignment horizontal="center"/>
    </xf>
    <xf numFmtId="0" fontId="148" fillId="0" borderId="35" xfId="13" applyFont="1" applyBorder="1" applyAlignment="1">
      <alignment vertical="center"/>
    </xf>
    <xf numFmtId="0" fontId="210" fillId="0" borderId="7" xfId="33" applyFont="1" applyBorder="1" applyAlignment="1">
      <alignment horizontal="center"/>
    </xf>
    <xf numFmtId="0" fontId="212" fillId="0" borderId="141" xfId="33" applyFont="1" applyBorder="1" applyAlignment="1">
      <alignment horizontal="right"/>
    </xf>
    <xf numFmtId="0" fontId="185" fillId="0" borderId="0" xfId="13" applyFont="1"/>
    <xf numFmtId="0" fontId="15" fillId="0" borderId="0" xfId="13" applyFont="1"/>
    <xf numFmtId="0" fontId="14" fillId="0" borderId="0" xfId="13" applyFont="1" applyAlignment="1">
      <alignment vertical="center"/>
    </xf>
    <xf numFmtId="0" fontId="116" fillId="0" borderId="20" xfId="13" applyFont="1" applyBorder="1" applyAlignment="1">
      <alignment horizontal="center"/>
    </xf>
    <xf numFmtId="176" fontId="116" fillId="0" borderId="20" xfId="13" applyNumberFormat="1" applyFont="1" applyBorder="1" applyAlignment="1">
      <alignment horizontal="center"/>
    </xf>
    <xf numFmtId="0" fontId="212" fillId="0" borderId="141" xfId="33" applyFont="1" applyBorder="1"/>
    <xf numFmtId="0" fontId="212" fillId="0" borderId="140" xfId="33" applyFont="1" applyBorder="1" applyAlignment="1">
      <alignment horizontal="center"/>
    </xf>
    <xf numFmtId="0" fontId="210" fillId="0" borderId="9" xfId="33" applyFont="1" applyBorder="1" applyAlignment="1">
      <alignment horizontal="center"/>
    </xf>
    <xf numFmtId="0" fontId="212" fillId="0" borderId="0" xfId="33" applyFont="1" applyAlignment="1">
      <alignment horizontal="center" wrapText="1"/>
    </xf>
    <xf numFmtId="0" fontId="210" fillId="28" borderId="128" xfId="33" applyFont="1" applyFill="1" applyBorder="1" applyAlignment="1">
      <alignment horizontal="center"/>
    </xf>
    <xf numFmtId="0" fontId="210" fillId="28" borderId="17" xfId="33" applyFont="1" applyFill="1" applyBorder="1" applyAlignment="1">
      <alignment horizontal="center"/>
    </xf>
    <xf numFmtId="0" fontId="210" fillId="28" borderId="18" xfId="33" applyFont="1" applyFill="1" applyBorder="1" applyAlignment="1">
      <alignment horizontal="center"/>
    </xf>
    <xf numFmtId="0" fontId="212" fillId="0" borderId="141" xfId="33" applyFont="1" applyBorder="1" applyAlignment="1">
      <alignment horizontal="center"/>
    </xf>
    <xf numFmtId="0" fontId="10" fillId="0" borderId="67" xfId="13" applyFont="1" applyBorder="1"/>
    <xf numFmtId="0" fontId="10" fillId="0" borderId="80" xfId="13" applyFont="1" applyBorder="1" applyAlignment="1">
      <alignment horizontal="center"/>
    </xf>
    <xf numFmtId="0" fontId="148" fillId="0" borderId="80"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10" fillId="0" borderId="0" xfId="13" applyFont="1" applyAlignment="1">
      <alignment horizontal="center" wrapText="1"/>
    </xf>
    <xf numFmtId="182" fontId="216" fillId="13" borderId="145" xfId="33" applyNumberFormat="1" applyFont="1" applyFill="1" applyBorder="1" applyAlignment="1" applyProtection="1">
      <alignment horizontal="center" vertical="center"/>
      <protection locked="0"/>
    </xf>
    <xf numFmtId="182" fontId="216" fillId="13" borderId="128" xfId="33" applyNumberFormat="1" applyFont="1" applyFill="1" applyBorder="1" applyAlignment="1" applyProtection="1">
      <alignment horizontal="center" vertical="center"/>
      <protection locked="0"/>
    </xf>
    <xf numFmtId="183" fontId="216" fillId="13" borderId="128" xfId="33" applyNumberFormat="1" applyFont="1" applyFill="1" applyBorder="1" applyAlignment="1" applyProtection="1">
      <alignment horizontal="center" vertical="center"/>
      <protection locked="0"/>
    </xf>
    <xf numFmtId="182" fontId="216" fillId="13" borderId="146" xfId="33" applyNumberFormat="1" applyFont="1" applyFill="1" applyBorder="1" applyAlignment="1" applyProtection="1">
      <alignment horizontal="center" vertical="center"/>
      <protection locked="0"/>
    </xf>
    <xf numFmtId="182" fontId="216" fillId="13" borderId="17" xfId="33" applyNumberFormat="1" applyFont="1" applyFill="1" applyBorder="1" applyAlignment="1" applyProtection="1">
      <alignment horizontal="center" vertical="center"/>
      <protection locked="0"/>
    </xf>
    <xf numFmtId="183" fontId="216" fillId="13" borderId="17" xfId="33" applyNumberFormat="1" applyFont="1" applyFill="1" applyBorder="1" applyAlignment="1" applyProtection="1">
      <alignment horizontal="center" vertical="center"/>
      <protection locked="0"/>
    </xf>
    <xf numFmtId="182" fontId="216" fillId="13" borderId="147" xfId="33" applyNumberFormat="1" applyFont="1" applyFill="1" applyBorder="1" applyAlignment="1" applyProtection="1">
      <alignment horizontal="center" vertical="center"/>
      <protection locked="0"/>
    </xf>
    <xf numFmtId="182" fontId="216" fillId="13" borderId="18" xfId="33" applyNumberFormat="1" applyFont="1" applyFill="1" applyBorder="1" applyAlignment="1" applyProtection="1">
      <alignment horizontal="center" vertical="center"/>
      <protection locked="0"/>
    </xf>
    <xf numFmtId="183" fontId="216" fillId="13" borderId="18" xfId="33" applyNumberFormat="1" applyFont="1" applyFill="1" applyBorder="1" applyAlignment="1" applyProtection="1">
      <alignment horizontal="center" vertical="center"/>
      <protection locked="0"/>
    </xf>
    <xf numFmtId="0" fontId="96" fillId="0" borderId="0" xfId="0" applyFont="1" applyAlignment="1">
      <alignment vertical="center"/>
    </xf>
    <xf numFmtId="0" fontId="220" fillId="0" borderId="0" xfId="0" applyFont="1" applyAlignment="1">
      <alignment horizontal="center" vertical="center"/>
    </xf>
    <xf numFmtId="3" fontId="98" fillId="10" borderId="15" xfId="0" applyNumberFormat="1" applyFont="1" applyFill="1" applyBorder="1" applyAlignment="1" applyProtection="1">
      <alignment horizontal="center" vertical="center"/>
      <protection locked="0"/>
    </xf>
    <xf numFmtId="3" fontId="79" fillId="0" borderId="0" xfId="0" applyNumberFormat="1" applyFont="1" applyAlignment="1">
      <alignment vertical="top"/>
    </xf>
    <xf numFmtId="4" fontId="46" fillId="0" borderId="0" xfId="1" applyNumberFormat="1" applyFont="1" applyFill="1" applyBorder="1" applyAlignment="1" applyProtection="1">
      <alignment vertical="center"/>
    </xf>
    <xf numFmtId="0" fontId="14"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6" fillId="0" borderId="0" xfId="0" applyFont="1" applyAlignment="1">
      <alignment vertical="top"/>
    </xf>
    <xf numFmtId="0" fontId="43" fillId="0" borderId="0" xfId="0" applyFont="1" applyAlignment="1">
      <alignment horizontal="center" vertical="center" wrapText="1"/>
    </xf>
    <xf numFmtId="9" fontId="51" fillId="0" borderId="3" xfId="0" applyNumberFormat="1" applyFont="1" applyBorder="1" applyAlignment="1">
      <alignment horizontal="center" vertical="center" wrapText="1"/>
    </xf>
    <xf numFmtId="0" fontId="51" fillId="0" borderId="3" xfId="0" applyFont="1" applyBorder="1" applyAlignment="1">
      <alignment horizontal="center" vertical="center" wrapText="1"/>
    </xf>
    <xf numFmtId="0" fontId="4" fillId="0" borderId="20" xfId="0" applyFont="1" applyBorder="1" applyAlignment="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86" xfId="0" applyBorder="1"/>
    <xf numFmtId="9" fontId="206" fillId="0" borderId="19" xfId="0" applyNumberFormat="1" applyFont="1" applyBorder="1" applyAlignment="1">
      <alignment horizontal="left"/>
    </xf>
    <xf numFmtId="0" fontId="0" fillId="0" borderId="19" xfId="0" applyBorder="1"/>
    <xf numFmtId="0" fontId="43"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10" fontId="15" fillId="13" borderId="83" xfId="0" applyNumberFormat="1" applyFont="1" applyFill="1" applyBorder="1" applyAlignment="1">
      <alignment horizontal="center" vertical="center"/>
    </xf>
    <xf numFmtId="10" fontId="15" fillId="0" borderId="82" xfId="0" applyNumberFormat="1" applyFont="1" applyBorder="1" applyAlignment="1">
      <alignment vertical="center"/>
    </xf>
    <xf numFmtId="0" fontId="22" fillId="0" borderId="77" xfId="0" applyFont="1" applyBorder="1"/>
    <xf numFmtId="10" fontId="15" fillId="5" borderId="83" xfId="0" applyNumberFormat="1" applyFont="1" applyFill="1" applyBorder="1" applyAlignment="1" applyProtection="1">
      <alignment horizontal="center" vertical="center"/>
      <protection locked="0"/>
    </xf>
    <xf numFmtId="0" fontId="5" fillId="0" borderId="82" xfId="0" applyFont="1" applyBorder="1" applyAlignment="1">
      <alignment vertical="center"/>
    </xf>
    <xf numFmtId="0" fontId="22" fillId="0" borderId="82" xfId="0" applyFont="1" applyBorder="1"/>
    <xf numFmtId="0" fontId="5" fillId="0" borderId="82" xfId="0" applyFont="1" applyBorder="1" applyAlignment="1">
      <alignment vertical="center" wrapText="1"/>
    </xf>
    <xf numFmtId="0" fontId="22" fillId="0" borderId="82" xfId="0" applyFont="1" applyBorder="1" applyAlignment="1">
      <alignment vertical="center"/>
    </xf>
    <xf numFmtId="0" fontId="5" fillId="0" borderId="82" xfId="0" applyFont="1" applyBorder="1" applyAlignment="1">
      <alignment horizontal="left" vertical="center" wrapText="1"/>
    </xf>
    <xf numFmtId="0" fontId="15" fillId="0" borderId="13" xfId="0" applyFont="1" applyBorder="1" applyAlignment="1">
      <alignment vertical="top" wrapText="1"/>
    </xf>
    <xf numFmtId="0" fontId="5" fillId="0" borderId="13" xfId="0" applyFont="1" applyBorder="1" applyAlignment="1">
      <alignment vertical="top"/>
    </xf>
    <xf numFmtId="10" fontId="91" fillId="0" borderId="83" xfId="0" applyNumberFormat="1" applyFont="1" applyBorder="1" applyAlignment="1">
      <alignment horizontal="center" vertical="center"/>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4" fillId="0" borderId="0" xfId="0" applyFont="1" applyAlignment="1">
      <alignment vertical="center"/>
    </xf>
    <xf numFmtId="175" fontId="14" fillId="10" borderId="124" xfId="0" applyNumberFormat="1" applyFont="1" applyFill="1" applyBorder="1" applyAlignment="1" applyProtection="1">
      <alignment horizontal="center" vertical="center"/>
      <protection locked="0"/>
    </xf>
    <xf numFmtId="0" fontId="50" fillId="0" borderId="0" xfId="0" applyFont="1"/>
    <xf numFmtId="0" fontId="84" fillId="0" borderId="0" xfId="0" applyFont="1" applyAlignment="1">
      <alignment vertical="center"/>
    </xf>
    <xf numFmtId="0" fontId="17" fillId="0" borderId="0" xfId="0" applyFont="1" applyAlignment="1">
      <alignment horizontal="right" vertical="center"/>
    </xf>
    <xf numFmtId="0" fontId="113" fillId="0" borderId="38" xfId="0" applyFont="1" applyBorder="1" applyAlignment="1">
      <alignment horizontal="center" vertical="center"/>
    </xf>
    <xf numFmtId="0" fontId="84"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4"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15" fillId="5" borderId="83" xfId="0" applyNumberFormat="1" applyFont="1" applyFill="1" applyBorder="1" applyAlignment="1" applyProtection="1">
      <alignment horizontal="center" vertical="center"/>
      <protection locked="0"/>
    </xf>
    <xf numFmtId="1" fontId="15" fillId="13" borderId="83" xfId="0" applyNumberFormat="1" applyFont="1" applyFill="1" applyBorder="1" applyAlignment="1">
      <alignment horizontal="center" vertical="center"/>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6" fillId="10" borderId="145" xfId="33" applyNumberFormat="1" applyFont="1" applyFill="1" applyBorder="1" applyAlignment="1" applyProtection="1">
      <alignment horizontal="center" vertical="center"/>
      <protection locked="0"/>
    </xf>
    <xf numFmtId="182" fontId="216" fillId="10" borderId="128" xfId="33" applyNumberFormat="1" applyFont="1" applyFill="1" applyBorder="1" applyAlignment="1" applyProtection="1">
      <alignment horizontal="center" vertical="center"/>
      <protection locked="0"/>
    </xf>
    <xf numFmtId="183" fontId="216" fillId="10" borderId="128" xfId="33" applyNumberFormat="1" applyFont="1" applyFill="1" applyBorder="1" applyAlignment="1" applyProtection="1">
      <alignment horizontal="center" vertical="center"/>
      <protection locked="0"/>
    </xf>
    <xf numFmtId="182" fontId="216" fillId="10" borderId="146" xfId="33" applyNumberFormat="1" applyFont="1" applyFill="1" applyBorder="1" applyAlignment="1" applyProtection="1">
      <alignment horizontal="center" vertical="center"/>
      <protection locked="0"/>
    </xf>
    <xf numFmtId="182" fontId="216" fillId="10" borderId="17" xfId="33" applyNumberFormat="1" applyFont="1" applyFill="1" applyBorder="1" applyAlignment="1" applyProtection="1">
      <alignment horizontal="center" vertical="center"/>
      <protection locked="0"/>
    </xf>
    <xf numFmtId="183" fontId="216" fillId="10" borderId="17" xfId="33" applyNumberFormat="1" applyFont="1" applyFill="1" applyBorder="1" applyAlignment="1" applyProtection="1">
      <alignment horizontal="center" vertical="center"/>
      <protection locked="0"/>
    </xf>
    <xf numFmtId="182" fontId="216" fillId="10" borderId="147" xfId="33" applyNumberFormat="1" applyFont="1" applyFill="1" applyBorder="1" applyAlignment="1" applyProtection="1">
      <alignment horizontal="center" vertical="center"/>
      <protection locked="0"/>
    </xf>
    <xf numFmtId="182" fontId="216" fillId="10" borderId="18" xfId="33" applyNumberFormat="1" applyFont="1" applyFill="1" applyBorder="1" applyAlignment="1" applyProtection="1">
      <alignment horizontal="center" vertical="center"/>
      <protection locked="0"/>
    </xf>
    <xf numFmtId="183" fontId="216" fillId="10" borderId="18" xfId="33" applyNumberFormat="1" applyFont="1" applyFill="1" applyBorder="1" applyAlignment="1" applyProtection="1">
      <alignment horizontal="center" vertical="center"/>
      <protection locked="0"/>
    </xf>
    <xf numFmtId="0" fontId="210" fillId="0" borderId="83" xfId="33" applyFont="1" applyBorder="1" applyAlignment="1">
      <alignment horizontal="center" vertical="center"/>
    </xf>
    <xf numFmtId="0" fontId="210" fillId="0" borderId="81" xfId="33" applyFont="1" applyBorder="1" applyAlignment="1">
      <alignment horizontal="center" vertical="center"/>
    </xf>
    <xf numFmtId="0" fontId="210" fillId="0" borderId="11" xfId="33" applyFont="1" applyBorder="1" applyAlignment="1">
      <alignment horizontal="center" vertical="center"/>
    </xf>
    <xf numFmtId="0" fontId="210"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1"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8" fontId="11" fillId="5" borderId="83" xfId="0" applyNumberFormat="1" applyFont="1" applyFill="1" applyBorder="1" applyAlignment="1" applyProtection="1">
      <alignment horizontal="center" vertical="center"/>
      <protection locked="0"/>
    </xf>
    <xf numFmtId="0" fontId="15" fillId="13" borderId="22" xfId="0" applyFont="1" applyFill="1" applyBorder="1" applyAlignment="1">
      <alignment horizontal="center" vertical="top"/>
    </xf>
    <xf numFmtId="3" fontId="91" fillId="0" borderId="0" xfId="0" applyNumberFormat="1" applyFont="1" applyAlignment="1">
      <alignment horizontal="center" vertical="center" wrapText="1"/>
    </xf>
    <xf numFmtId="0" fontId="91" fillId="0" borderId="0" xfId="0" applyFont="1" applyAlignment="1">
      <alignment horizontal="justify" vertical="center" wrapText="1"/>
    </xf>
    <xf numFmtId="0" fontId="0" fillId="0" borderId="0" xfId="0" applyAlignment="1" applyProtection="1">
      <alignment vertical="center"/>
      <protection locked="0"/>
    </xf>
    <xf numFmtId="0" fontId="4" fillId="0" borderId="78" xfId="0" applyFont="1" applyBorder="1"/>
    <xf numFmtId="3" fontId="5" fillId="5" borderId="128"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1" fillId="0" borderId="128" xfId="0" applyNumberFormat="1" applyFont="1" applyBorder="1" applyAlignment="1">
      <alignment horizontal="center" vertical="center"/>
    </xf>
    <xf numFmtId="1" fontId="91" fillId="0" borderId="18" xfId="0" applyNumberFormat="1" applyFont="1" applyBorder="1" applyAlignment="1">
      <alignment horizontal="center" vertical="center"/>
    </xf>
    <xf numFmtId="0" fontId="177" fillId="0" borderId="0" xfId="0" applyFont="1" applyAlignment="1">
      <alignment horizontal="center" vertical="top" wrapText="1"/>
    </xf>
    <xf numFmtId="0" fontId="11" fillId="0" borderId="0" xfId="0" quotePrefix="1" applyFont="1" applyAlignment="1">
      <alignment horizontal="center" vertical="center" wrapText="1"/>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98" fillId="0" borderId="0" xfId="0" applyFont="1" applyAlignment="1">
      <alignment vertical="center" wrapText="1"/>
    </xf>
    <xf numFmtId="0" fontId="90" fillId="0" borderId="0" xfId="0" applyFont="1" applyAlignment="1">
      <alignment horizontal="left" vertical="center"/>
    </xf>
    <xf numFmtId="0" fontId="43" fillId="5" borderId="18" xfId="0" applyFont="1" applyFill="1" applyBorder="1" applyAlignment="1" applyProtection="1">
      <alignment horizontal="center" vertical="center"/>
      <protection locked="0"/>
    </xf>
    <xf numFmtId="0" fontId="8" fillId="0" borderId="0" xfId="0" applyFont="1" applyAlignment="1">
      <alignment horizontal="right"/>
    </xf>
    <xf numFmtId="0" fontId="21" fillId="0" borderId="0" xfId="0" quotePrefix="1" applyFont="1" applyAlignment="1">
      <alignment vertical="top"/>
    </xf>
    <xf numFmtId="3" fontId="22" fillId="0" borderId="83" xfId="0" applyNumberFormat="1" applyFont="1" applyBorder="1" applyAlignment="1">
      <alignment horizontal="center" vertical="center"/>
    </xf>
    <xf numFmtId="0" fontId="11" fillId="0" borderId="0" xfId="0" quotePrefix="1" applyFont="1" applyAlignment="1">
      <alignment horizontal="left" vertical="top"/>
    </xf>
    <xf numFmtId="0" fontId="104" fillId="0" borderId="38" xfId="0" applyFont="1" applyBorder="1" applyAlignment="1">
      <alignment horizontal="center" vertical="center"/>
    </xf>
    <xf numFmtId="0" fontId="43" fillId="0" borderId="27" xfId="0" applyFont="1" applyBorder="1" applyAlignment="1">
      <alignment horizontal="left" vertical="top" wrapText="1"/>
    </xf>
    <xf numFmtId="181" fontId="9" fillId="0" borderId="112"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6" fillId="0" borderId="112" xfId="0" applyNumberFormat="1" applyFont="1" applyBorder="1" applyAlignment="1">
      <alignment horizontal="center" vertical="center"/>
    </xf>
    <xf numFmtId="0" fontId="27" fillId="0" borderId="0" xfId="0" applyFont="1" applyAlignment="1">
      <alignment horizontal="left" vertical="center"/>
    </xf>
    <xf numFmtId="0" fontId="42" fillId="0" borderId="0" xfId="0" applyFont="1" applyAlignment="1">
      <alignment vertical="top"/>
    </xf>
    <xf numFmtId="0" fontId="102" fillId="0" borderId="0" xfId="0" applyFont="1" applyAlignment="1">
      <alignment horizontal="center" vertical="center"/>
    </xf>
    <xf numFmtId="0" fontId="84" fillId="0" borderId="0" xfId="0" applyFont="1" applyAlignment="1">
      <alignment horizontal="left" vertical="center"/>
    </xf>
    <xf numFmtId="38" fontId="15" fillId="0" borderId="88" xfId="0" applyNumberFormat="1" applyFont="1" applyBorder="1" applyAlignment="1">
      <alignment horizontal="center" vertical="top" wrapText="1"/>
    </xf>
    <xf numFmtId="0" fontId="17" fillId="0" borderId="0" xfId="0" applyFont="1" applyAlignment="1">
      <alignment horizontal="left"/>
    </xf>
    <xf numFmtId="38" fontId="9" fillId="5" borderId="104" xfId="0" applyNumberFormat="1" applyFont="1" applyFill="1" applyBorder="1" applyAlignment="1" applyProtection="1">
      <alignment horizontal="center" vertical="center"/>
      <protection locked="0"/>
    </xf>
    <xf numFmtId="38" fontId="9" fillId="13" borderId="129" xfId="0" applyNumberFormat="1" applyFont="1" applyFill="1" applyBorder="1" applyAlignment="1">
      <alignment horizontal="center" vertical="center"/>
    </xf>
    <xf numFmtId="0" fontId="110" fillId="0" borderId="0" xfId="0" applyFont="1" applyAlignment="1">
      <alignment vertical="center" wrapText="1"/>
    </xf>
    <xf numFmtId="0" fontId="135" fillId="0" borderId="0" xfId="0" applyFont="1" applyAlignment="1">
      <alignment vertical="center" wrapText="1"/>
    </xf>
    <xf numFmtId="0" fontId="101" fillId="0" borderId="0" xfId="0" applyFont="1" applyAlignment="1">
      <alignment vertical="center" wrapText="1"/>
    </xf>
    <xf numFmtId="0" fontId="91" fillId="0" borderId="0" xfId="0" applyFont="1" applyAlignment="1">
      <alignment horizontal="center" vertical="top"/>
    </xf>
    <xf numFmtId="49" fontId="15" fillId="0" borderId="0" xfId="0" quotePrefix="1" applyNumberFormat="1" applyFont="1" applyAlignment="1">
      <alignment horizontal="center" vertical="top"/>
    </xf>
    <xf numFmtId="0" fontId="9" fillId="0" borderId="0" xfId="0" applyFont="1" applyAlignment="1">
      <alignment horizontal="center" wrapText="1"/>
    </xf>
    <xf numFmtId="0" fontId="227" fillId="0" borderId="0" xfId="0" applyFont="1" applyAlignment="1">
      <alignment vertical="center"/>
    </xf>
    <xf numFmtId="38" fontId="228" fillId="0" borderId="0" xfId="0" applyNumberFormat="1" applyFont="1" applyAlignment="1">
      <alignment horizontal="center" vertical="center"/>
    </xf>
    <xf numFmtId="38" fontId="11" fillId="5" borderId="128"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08" fillId="0" borderId="0" xfId="0" applyFont="1"/>
    <xf numFmtId="38" fontId="11" fillId="13" borderId="83" xfId="0" applyNumberFormat="1" applyFont="1" applyFill="1" applyBorder="1" applyAlignment="1">
      <alignment horizontal="center" vertical="center"/>
    </xf>
    <xf numFmtId="38" fontId="11" fillId="13" borderId="128" xfId="0" applyNumberFormat="1" applyFont="1" applyFill="1" applyBorder="1" applyAlignment="1">
      <alignment horizontal="center" vertical="center"/>
    </xf>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9" fillId="5" borderId="22" xfId="0" applyNumberFormat="1" applyFont="1" applyFill="1" applyBorder="1" applyAlignment="1" applyProtection="1">
      <alignment horizontal="center" vertical="center"/>
      <protection locked="0"/>
    </xf>
    <xf numFmtId="0" fontId="85" fillId="0" borderId="0" xfId="0" applyFont="1" applyAlignment="1">
      <alignment vertical="top"/>
    </xf>
    <xf numFmtId="0" fontId="63" fillId="0" borderId="75" xfId="0" applyFont="1" applyBorder="1" applyAlignment="1">
      <alignment horizontal="left" vertical="center"/>
    </xf>
    <xf numFmtId="0" fontId="54" fillId="0" borderId="79" xfId="0" applyFont="1" applyBorder="1" applyAlignment="1">
      <alignment horizontal="center" vertical="center"/>
    </xf>
    <xf numFmtId="0" fontId="79" fillId="0" borderId="38" xfId="0" applyFont="1" applyBorder="1" applyAlignment="1">
      <alignment vertical="center"/>
    </xf>
    <xf numFmtId="0" fontId="14" fillId="0" borderId="19" xfId="0" applyFont="1" applyBorder="1" applyAlignment="1" applyProtection="1">
      <alignment vertical="top" wrapText="1"/>
      <protection locked="0"/>
    </xf>
    <xf numFmtId="0" fontId="42" fillId="0" borderId="0" xfId="0" applyFont="1" applyAlignment="1">
      <alignment wrapText="1"/>
    </xf>
    <xf numFmtId="0" fontId="14" fillId="0" borderId="0" xfId="0" applyFont="1" applyAlignment="1">
      <alignment vertical="center" wrapText="1"/>
    </xf>
    <xf numFmtId="0" fontId="93" fillId="0" borderId="0" xfId="0" applyFont="1" applyAlignment="1">
      <alignment wrapText="1"/>
    </xf>
    <xf numFmtId="0" fontId="135" fillId="0" borderId="0" xfId="0" applyFont="1" applyAlignment="1">
      <alignment horizontal="right" vertical="center"/>
    </xf>
    <xf numFmtId="38" fontId="11" fillId="0" borderId="83" xfId="0" applyNumberFormat="1" applyFont="1" applyBorder="1" applyAlignment="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5"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9"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42" fillId="0" borderId="0" xfId="0" applyFont="1" applyAlignment="1">
      <alignment horizontal="left"/>
    </xf>
    <xf numFmtId="0" fontId="63" fillId="0" borderId="43" xfId="0" applyFont="1" applyBorder="1" applyAlignment="1">
      <alignment vertical="top"/>
    </xf>
    <xf numFmtId="0" fontId="63" fillId="0" borderId="39" xfId="0" applyFont="1" applyBorder="1" applyAlignment="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46" fillId="0" borderId="19" xfId="0" applyFont="1" applyBorder="1" applyAlignment="1">
      <alignmen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vertical="center"/>
    </xf>
    <xf numFmtId="0" fontId="46" fillId="0" borderId="20" xfId="0" applyFont="1" applyBorder="1" applyAlignment="1">
      <alignment vertical="center"/>
    </xf>
    <xf numFmtId="0" fontId="46" fillId="0" borderId="59" xfId="0" applyFont="1" applyBorder="1" applyAlignment="1">
      <alignment vertical="center"/>
    </xf>
    <xf numFmtId="0" fontId="64" fillId="0" borderId="43" xfId="0" applyFont="1" applyBorder="1" applyAlignment="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0" fontId="54" fillId="0" borderId="0" xfId="0" quotePrefix="1" applyFont="1" applyAlignment="1">
      <alignment vertical="center"/>
    </xf>
    <xf numFmtId="4" fontId="63" fillId="0" borderId="0" xfId="1" applyNumberFormat="1" applyFont="1" applyFill="1" applyBorder="1" applyAlignment="1" applyProtection="1">
      <alignment vertical="center"/>
    </xf>
    <xf numFmtId="0" fontId="102" fillId="0" borderId="0" xfId="0" applyFont="1" applyAlignment="1">
      <alignment horizontal="center"/>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0"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1" xfId="1" applyNumberFormat="1" applyFont="1" applyFill="1" applyBorder="1" applyAlignment="1" applyProtection="1">
      <alignment horizontal="right" vertical="center"/>
    </xf>
    <xf numFmtId="38" fontId="9" fillId="0" borderId="94"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vertical="center"/>
    </xf>
    <xf numFmtId="38" fontId="23" fillId="0" borderId="79" xfId="1" applyNumberFormat="1" applyFont="1" applyFill="1" applyBorder="1" applyAlignment="1" applyProtection="1">
      <alignment vertical="center"/>
    </xf>
    <xf numFmtId="38" fontId="23" fillId="0" borderId="93" xfId="1" applyNumberFormat="1" applyFont="1" applyFill="1" applyBorder="1" applyAlignment="1" applyProtection="1">
      <alignment horizontal="right" vertical="center"/>
    </xf>
    <xf numFmtId="38" fontId="23" fillId="0" borderId="85" xfId="1" applyNumberFormat="1" applyFont="1" applyFill="1" applyBorder="1" applyAlignment="1" applyProtection="1">
      <alignment horizontal="right" vertical="center"/>
    </xf>
    <xf numFmtId="38" fontId="23" fillId="0" borderId="92"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2" xfId="1" applyNumberFormat="1" applyFont="1" applyFill="1" applyBorder="1" applyAlignment="1" applyProtection="1">
      <alignment horizontal="right" vertical="center"/>
    </xf>
    <xf numFmtId="38" fontId="23" fillId="0" borderId="111" xfId="1" applyNumberFormat="1" applyFont="1" applyFill="1" applyBorder="1" applyAlignment="1" applyProtection="1">
      <alignment horizontal="right" vertical="center"/>
    </xf>
    <xf numFmtId="38" fontId="23" fillId="0" borderId="97"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15" xfId="1" applyNumberFormat="1" applyFont="1" applyFill="1" applyBorder="1" applyAlignment="1" applyProtection="1">
      <alignment horizontal="right" vertical="center"/>
    </xf>
    <xf numFmtId="38" fontId="23" fillId="0" borderId="96"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6" fillId="20" borderId="0" xfId="0" applyFont="1" applyFill="1" applyAlignment="1">
      <alignment horizontal="left" vertical="center"/>
    </xf>
    <xf numFmtId="0" fontId="102" fillId="20" borderId="0" xfId="0" applyFont="1" applyFill="1" applyAlignment="1">
      <alignment horizontal="left" vertical="center"/>
    </xf>
    <xf numFmtId="0" fontId="102" fillId="20" borderId="0" xfId="0" applyFont="1" applyFill="1" applyAlignment="1">
      <alignment horizontal="center" vertical="center"/>
    </xf>
    <xf numFmtId="0" fontId="102" fillId="20" borderId="0" xfId="0" applyFont="1" applyFill="1" applyAlignment="1">
      <alignment horizontal="center"/>
    </xf>
    <xf numFmtId="0" fontId="62" fillId="0" borderId="0" xfId="0" applyFont="1" applyAlignment="1">
      <alignment horizontal="left" vertical="center"/>
    </xf>
    <xf numFmtId="0" fontId="63" fillId="0" borderId="0" xfId="0" applyFont="1" applyAlignment="1">
      <alignment vertical="center"/>
    </xf>
    <xf numFmtId="4" fontId="46" fillId="0" borderId="0" xfId="1" applyNumberFormat="1" applyFont="1" applyFill="1" applyBorder="1" applyAlignment="1" applyProtection="1">
      <alignment horizontal="center" vertical="center"/>
    </xf>
    <xf numFmtId="0" fontId="63" fillId="0" borderId="0" xfId="0" applyFont="1" applyAlignment="1">
      <alignment horizontal="center" vertical="center"/>
    </xf>
    <xf numFmtId="0" fontId="46" fillId="0" borderId="79" xfId="0" applyFont="1" applyBorder="1" applyAlignment="1">
      <alignment vertical="center"/>
    </xf>
    <xf numFmtId="4" fontId="63" fillId="0" borderId="59" xfId="0" applyNumberFormat="1" applyFont="1" applyBorder="1" applyAlignment="1">
      <alignment vertical="center"/>
    </xf>
    <xf numFmtId="0" fontId="199" fillId="0" borderId="42" xfId="0" applyFont="1" applyBorder="1" applyAlignment="1">
      <alignment horizontal="left" vertical="center"/>
    </xf>
    <xf numFmtId="0" fontId="88"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83" xfId="0" applyFont="1" applyBorder="1" applyAlignment="1">
      <alignment horizontal="left" vertical="center"/>
    </xf>
    <xf numFmtId="3" fontId="5" fillId="0" borderId="88" xfId="0" applyNumberFormat="1" applyFont="1" applyBorder="1" applyAlignment="1">
      <alignment vertical="top"/>
    </xf>
    <xf numFmtId="0" fontId="92" fillId="20" borderId="0" xfId="0" applyFont="1" applyFill="1"/>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Border="1"/>
    <xf numFmtId="0" fontId="5" fillId="0" borderId="20" xfId="0" applyFont="1" applyBorder="1"/>
    <xf numFmtId="0" fontId="5" fillId="0" borderId="93" xfId="0" applyFont="1" applyBorder="1" applyAlignment="1">
      <alignment horizontal="center" vertical="center" wrapText="1"/>
    </xf>
    <xf numFmtId="0" fontId="5" fillId="0" borderId="92"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43" fillId="0" borderId="58" xfId="0" applyFont="1" applyBorder="1" applyAlignment="1">
      <alignment vertical="center"/>
    </xf>
    <xf numFmtId="0" fontId="43"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102" fillId="20" borderId="0" xfId="0" applyFont="1" applyFill="1"/>
    <xf numFmtId="0" fontId="83" fillId="0" borderId="0" xfId="0" applyFont="1" applyAlignment="1">
      <alignment vertical="center"/>
    </xf>
    <xf numFmtId="0" fontId="92" fillId="0" borderId="0" xfId="0" applyFont="1" applyAlignment="1">
      <alignment horizontal="center"/>
    </xf>
    <xf numFmtId="3" fontId="83"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0"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5" fillId="0" borderId="0" xfId="0" applyNumberFormat="1" applyFont="1" applyAlignment="1">
      <alignment horizontal="left" vertical="center"/>
    </xf>
    <xf numFmtId="10" fontId="46"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94"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3" fontId="5" fillId="5" borderId="108" xfId="1" applyNumberFormat="1" applyFont="1" applyFill="1" applyBorder="1" applyAlignment="1" applyProtection="1">
      <alignment horizontal="center" vertical="center"/>
      <protection locked="0"/>
    </xf>
    <xf numFmtId="3" fontId="5" fillId="13" borderId="108" xfId="1" applyNumberFormat="1" applyFont="1" applyFill="1" applyBorder="1" applyAlignment="1" applyProtection="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185" fontId="43" fillId="10" borderId="75" xfId="0" applyNumberFormat="1" applyFont="1" applyFill="1" applyBorder="1" applyAlignment="1" applyProtection="1">
      <alignment horizontal="center" vertical="center"/>
      <protection locked="0"/>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88"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87"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181" fontId="5" fillId="0" borderId="188"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93"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89" xfId="0" applyFont="1" applyBorder="1" applyAlignment="1">
      <alignment horizontal="center" vertical="center" wrapText="1"/>
    </xf>
    <xf numFmtId="0" fontId="85" fillId="0" borderId="80" xfId="0" applyFont="1" applyBorder="1" applyAlignment="1">
      <alignment horizontal="right" vertical="center"/>
    </xf>
    <xf numFmtId="0" fontId="113" fillId="0" borderId="0" xfId="0" quotePrefix="1" applyFont="1" applyAlignment="1">
      <alignment horizontal="center"/>
    </xf>
    <xf numFmtId="0" fontId="15" fillId="13" borderId="81" xfId="0" applyFont="1" applyFill="1" applyBorder="1" applyAlignment="1">
      <alignment horizontal="center" vertic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22" fillId="0" borderId="13" xfId="0" applyFont="1" applyBorder="1"/>
    <xf numFmtId="0" fontId="5" fillId="0" borderId="14" xfId="0" applyFont="1" applyBorder="1" applyAlignment="1">
      <alignment horizontal="right" vertical="center"/>
    </xf>
    <xf numFmtId="0" fontId="5" fillId="0" borderId="78" xfId="0" applyFont="1" applyBorder="1" applyAlignment="1">
      <alignment horizontal="right" vertical="center"/>
    </xf>
    <xf numFmtId="175" fontId="5" fillId="10" borderId="94" xfId="0" applyNumberFormat="1" applyFont="1" applyFill="1" applyBorder="1" applyAlignment="1" applyProtection="1">
      <alignment horizontal="center" vertical="center"/>
      <protection locked="0"/>
    </xf>
    <xf numFmtId="175" fontId="5" fillId="13" borderId="94" xfId="0" applyNumberFormat="1" applyFont="1" applyFill="1" applyBorder="1" applyAlignment="1">
      <alignment horizontal="center" vertical="center"/>
    </xf>
    <xf numFmtId="175" fontId="5" fillId="10" borderId="83" xfId="0" applyNumberFormat="1" applyFont="1" applyFill="1" applyBorder="1" applyAlignment="1" applyProtection="1">
      <alignment horizontal="center" vertical="center"/>
      <protection locked="0"/>
    </xf>
    <xf numFmtId="175" fontId="5" fillId="13" borderId="83" xfId="0" applyNumberFormat="1" applyFont="1" applyFill="1" applyBorder="1" applyAlignment="1">
      <alignment horizontal="center" vertical="center"/>
    </xf>
    <xf numFmtId="0" fontId="98" fillId="20" borderId="0" xfId="0" applyFont="1" applyFill="1"/>
    <xf numFmtId="0" fontId="0" fillId="20" borderId="0" xfId="0" applyFill="1"/>
    <xf numFmtId="0" fontId="107" fillId="0" borderId="0" xfId="6" applyFont="1" applyAlignment="1" applyProtection="1">
      <alignment horizontal="center"/>
    </xf>
    <xf numFmtId="0" fontId="91" fillId="0" borderId="13" xfId="0" applyFont="1" applyBorder="1" applyAlignment="1">
      <alignment vertical="center"/>
    </xf>
    <xf numFmtId="0" fontId="91" fillId="0" borderId="0" xfId="0" applyFont="1" applyAlignment="1">
      <alignment vertical="center" wrapText="1"/>
    </xf>
    <xf numFmtId="0" fontId="22" fillId="0" borderId="75" xfId="0" applyFont="1" applyBorder="1"/>
    <xf numFmtId="0" fontId="11" fillId="0" borderId="79" xfId="0" applyFont="1" applyBorder="1" applyAlignment="1">
      <alignment horizontal="right" vertical="center"/>
    </xf>
    <xf numFmtId="0" fontId="91" fillId="0" borderId="79" xfId="0" applyFont="1" applyBorder="1" applyAlignment="1">
      <alignment vertical="center"/>
    </xf>
    <xf numFmtId="0" fontId="11" fillId="0" borderId="79" xfId="0" applyFont="1" applyBorder="1" applyAlignment="1">
      <alignment horizontal="center" vertical="center"/>
    </xf>
    <xf numFmtId="0" fontId="22" fillId="0" borderId="76" xfId="0" applyFont="1" applyBorder="1"/>
    <xf numFmtId="0" fontId="84" fillId="0" borderId="0" xfId="0" applyFont="1" applyAlignment="1">
      <alignment horizontal="right" vertical="center"/>
    </xf>
    <xf numFmtId="0" fontId="5" fillId="0" borderId="0" xfId="0" applyFont="1" applyAlignment="1">
      <alignment horizontal="left" wrapText="1"/>
    </xf>
    <xf numFmtId="0" fontId="91" fillId="0" borderId="0" xfId="0" applyFont="1" applyAlignment="1">
      <alignment horizontal="right"/>
    </xf>
    <xf numFmtId="0" fontId="15" fillId="5" borderId="128" xfId="0" applyFont="1" applyFill="1" applyBorder="1" applyAlignment="1" applyProtection="1">
      <alignment horizontal="center" vertical="top"/>
      <protection locked="0"/>
    </xf>
    <xf numFmtId="0" fontId="15" fillId="13" borderId="128" xfId="0" applyFont="1" applyFill="1" applyBorder="1" applyAlignment="1">
      <alignment horizontal="center" vertical="top"/>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102" fillId="0" borderId="0" xfId="0" applyFont="1" applyAlignment="1">
      <alignment vertical="center"/>
    </xf>
    <xf numFmtId="3" fontId="102"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91" xfId="0" applyNumberFormat="1" applyFont="1" applyBorder="1" applyAlignment="1">
      <alignment horizontal="center" vertical="center" wrapText="1"/>
    </xf>
    <xf numFmtId="0" fontId="5" fillId="0" borderId="191"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91" xfId="0" applyFont="1" applyFill="1" applyBorder="1" applyAlignment="1">
      <alignment horizontal="center" vertical="center" wrapText="1"/>
    </xf>
    <xf numFmtId="38" fontId="5" fillId="0" borderId="92" xfId="0" applyNumberFormat="1" applyFont="1" applyBorder="1" applyAlignment="1">
      <alignment horizontal="center" vertical="center" wrapText="1"/>
    </xf>
    <xf numFmtId="38" fontId="5" fillId="0" borderId="133"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91"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90" xfId="0" applyNumberFormat="1" applyFont="1" applyBorder="1" applyAlignment="1">
      <alignment horizontal="center" vertical="center" wrapText="1"/>
    </xf>
    <xf numFmtId="0" fontId="43" fillId="0" borderId="7" xfId="0" applyFont="1" applyBorder="1" applyAlignment="1">
      <alignment vertical="center"/>
    </xf>
    <xf numFmtId="0" fontId="43" fillId="0" borderId="59" xfId="0" applyFont="1" applyBorder="1" applyAlignment="1">
      <alignment horizontal="left" vertical="center"/>
    </xf>
    <xf numFmtId="0" fontId="238" fillId="30" borderId="0" xfId="0" applyFont="1" applyFill="1"/>
    <xf numFmtId="0" fontId="85" fillId="0" borderId="0" xfId="0" applyFont="1" applyAlignment="1">
      <alignment horizontal="left" vertical="center" wrapText="1"/>
    </xf>
    <xf numFmtId="167" fontId="43" fillId="10" borderId="102" xfId="0" applyNumberFormat="1" applyFont="1" applyFill="1" applyBorder="1" applyAlignment="1" applyProtection="1">
      <alignment vertical="top" wrapText="1"/>
      <protection locked="0"/>
    </xf>
    <xf numFmtId="0" fontId="79" fillId="0" borderId="0" xfId="0" applyFont="1" applyAlignment="1">
      <alignment horizontal="right" vertical="center"/>
    </xf>
    <xf numFmtId="0" fontId="43" fillId="0" borderId="0" xfId="0" quotePrefix="1" applyFont="1" applyAlignment="1">
      <alignment vertical="top"/>
    </xf>
    <xf numFmtId="0" fontId="180" fillId="0" borderId="0" xfId="0" applyFont="1" applyAlignment="1">
      <alignment vertical="top" wrapText="1"/>
    </xf>
    <xf numFmtId="0" fontId="91" fillId="0" borderId="0" xfId="0" applyFont="1" applyAlignment="1">
      <alignment horizontal="center"/>
    </xf>
    <xf numFmtId="3" fontId="146" fillId="0" borderId="0" xfId="0" applyNumberFormat="1" applyFont="1" applyAlignment="1">
      <alignment vertical="center"/>
    </xf>
    <xf numFmtId="10" fontId="105" fillId="0" borderId="0" xfId="0" applyNumberFormat="1" applyFont="1" applyAlignment="1">
      <alignment vertical="center"/>
    </xf>
    <xf numFmtId="3" fontId="146" fillId="0" borderId="83" xfId="0" applyNumberFormat="1" applyFont="1" applyBorder="1" applyAlignment="1">
      <alignment horizontal="center" vertical="center"/>
    </xf>
    <xf numFmtId="10" fontId="105" fillId="0" borderId="83" xfId="0" applyNumberFormat="1" applyFont="1" applyBorder="1" applyAlignment="1">
      <alignment horizontal="center" vertical="center"/>
    </xf>
    <xf numFmtId="0" fontId="79"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93" xfId="0" applyNumberFormat="1" applyFont="1" applyFill="1" applyBorder="1" applyAlignment="1" applyProtection="1">
      <alignment horizontal="center" vertical="center"/>
      <protection locked="0"/>
    </xf>
    <xf numFmtId="38" fontId="9" fillId="13" borderId="193" xfId="0" applyNumberFormat="1" applyFont="1" applyFill="1" applyBorder="1" applyAlignment="1">
      <alignment horizontal="center" vertical="center"/>
    </xf>
    <xf numFmtId="0" fontId="43" fillId="0" borderId="26" xfId="0" applyFont="1" applyBorder="1" applyAlignment="1">
      <alignment vertical="center"/>
    </xf>
    <xf numFmtId="0" fontId="42" fillId="0" borderId="19" xfId="0" applyFont="1" applyBorder="1" applyAlignment="1">
      <alignment vertical="center"/>
    </xf>
    <xf numFmtId="0" fontId="42" fillId="0" borderId="39" xfId="0" applyFont="1" applyBorder="1" applyAlignment="1">
      <alignment vertical="center"/>
    </xf>
    <xf numFmtId="0" fontId="43" fillId="0" borderId="9" xfId="0" applyFont="1" applyBorder="1" applyAlignment="1">
      <alignment vertical="center"/>
    </xf>
    <xf numFmtId="0" fontId="42" fillId="0" borderId="13" xfId="0" applyFont="1" applyBorder="1" applyAlignment="1">
      <alignment vertical="center"/>
    </xf>
    <xf numFmtId="0" fontId="42" fillId="0" borderId="89"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178" xfId="0" applyNumberFormat="1" applyFont="1" applyBorder="1" applyAlignment="1">
      <alignment horizontal="center" vertical="center" wrapText="1"/>
    </xf>
    <xf numFmtId="38" fontId="5" fillId="0" borderId="48" xfId="0" applyNumberFormat="1" applyFont="1" applyBorder="1" applyAlignment="1">
      <alignment horizontal="center" vertical="center" wrapText="1"/>
    </xf>
    <xf numFmtId="0" fontId="205"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43" fillId="17" borderId="0" xfId="0" applyFont="1" applyFill="1" applyAlignment="1">
      <alignment vertical="center" wrapText="1"/>
    </xf>
    <xf numFmtId="10" fontId="14" fillId="17" borderId="128" xfId="0" applyNumberFormat="1" applyFont="1" applyFill="1" applyBorder="1" applyAlignment="1">
      <alignment horizontal="center" vertical="center"/>
    </xf>
    <xf numFmtId="0" fontId="239" fillId="30" borderId="0" xfId="0" applyFont="1" applyFill="1" applyAlignment="1">
      <alignment wrapText="1"/>
    </xf>
    <xf numFmtId="38" fontId="9" fillId="0" borderId="13" xfId="0" applyNumberFormat="1" applyFont="1" applyBorder="1" applyAlignment="1">
      <alignment horizontal="center" vertical="center"/>
    </xf>
    <xf numFmtId="38" fontId="9" fillId="10" borderId="83" xfId="0" applyNumberFormat="1" applyFont="1" applyFill="1" applyBorder="1" applyAlignment="1" applyProtection="1">
      <alignment horizontal="center" vertical="center"/>
      <protection locked="0"/>
    </xf>
    <xf numFmtId="38" fontId="9" fillId="5" borderId="94" xfId="0" applyNumberFormat="1" applyFont="1" applyFill="1" applyBorder="1" applyAlignment="1" applyProtection="1">
      <alignment horizontal="center" vertical="center"/>
      <protection locked="0"/>
    </xf>
    <xf numFmtId="38" fontId="9" fillId="13" borderId="94" xfId="0" applyNumberFormat="1" applyFont="1" applyFill="1" applyBorder="1" applyAlignment="1">
      <alignment horizontal="center" vertical="center"/>
    </xf>
    <xf numFmtId="0" fontId="93" fillId="0" borderId="0" xfId="0" applyFont="1" applyAlignment="1">
      <alignment horizontal="left"/>
    </xf>
    <xf numFmtId="0" fontId="240" fillId="0" borderId="0" xfId="0" applyFont="1" applyAlignment="1">
      <alignment horizontal="center"/>
    </xf>
    <xf numFmtId="0" fontId="93" fillId="0" borderId="0" xfId="0" applyFont="1" applyAlignment="1">
      <alignment horizontal="left" vertical="center"/>
    </xf>
    <xf numFmtId="0" fontId="241" fillId="0" borderId="0" xfId="0" applyFont="1"/>
    <xf numFmtId="0" fontId="240" fillId="0" borderId="0" xfId="0" applyFont="1"/>
    <xf numFmtId="38" fontId="5" fillId="0" borderId="49" xfId="0" applyNumberFormat="1" applyFont="1" applyBorder="1" applyAlignment="1">
      <alignment horizontal="center" vertical="center" wrapText="1"/>
    </xf>
    <xf numFmtId="38" fontId="5" fillId="0" borderId="192" xfId="0" applyNumberFormat="1" applyFont="1" applyBorder="1" applyAlignment="1">
      <alignment horizontal="center" vertical="center" wrapText="1"/>
    </xf>
    <xf numFmtId="10" fontId="156" fillId="0" borderId="83" xfId="0" applyNumberFormat="1" applyFont="1" applyBorder="1" applyAlignment="1">
      <alignment horizontal="center" vertical="center"/>
    </xf>
    <xf numFmtId="10" fontId="157" fillId="0" borderId="83" xfId="0" applyNumberFormat="1" applyFont="1" applyBorder="1" applyAlignment="1">
      <alignment horizontal="center" vertical="center"/>
    </xf>
    <xf numFmtId="0" fontId="46" fillId="5" borderId="94" xfId="0" applyFont="1" applyFill="1" applyBorder="1" applyAlignment="1" applyProtection="1">
      <alignment horizontal="center"/>
      <protection locked="0"/>
    </xf>
    <xf numFmtId="0" fontId="43" fillId="0" borderId="20" xfId="0" applyFont="1" applyBorder="1" applyAlignment="1">
      <alignment vertical="top"/>
    </xf>
    <xf numFmtId="0" fontId="43" fillId="0" borderId="20" xfId="0" applyFont="1" applyBorder="1" applyAlignment="1">
      <alignment vertical="top" wrapText="1"/>
    </xf>
    <xf numFmtId="0" fontId="43" fillId="0" borderId="59" xfId="0" applyFont="1" applyBorder="1" applyAlignment="1">
      <alignment vertical="top" wrapText="1"/>
    </xf>
    <xf numFmtId="0" fontId="26" fillId="0" borderId="0" xfId="0" applyFont="1" applyAlignment="1">
      <alignment horizontal="center"/>
    </xf>
    <xf numFmtId="0" fontId="76" fillId="0" borderId="0" xfId="0" applyFont="1" applyAlignment="1">
      <alignment horizontal="left" vertical="center"/>
    </xf>
    <xf numFmtId="0" fontId="46" fillId="5" borderId="125" xfId="0" applyFont="1" applyFill="1" applyBorder="1" applyAlignment="1" applyProtection="1">
      <alignment horizontal="center"/>
      <protection locked="0"/>
    </xf>
    <xf numFmtId="0" fontId="113" fillId="0" borderId="83" xfId="0" applyFont="1" applyBorder="1" applyAlignment="1">
      <alignment horizontal="center" vertical="center"/>
    </xf>
    <xf numFmtId="0" fontId="92" fillId="0" borderId="0" xfId="0" applyFont="1" applyAlignment="1">
      <alignment horizontal="center" vertical="center"/>
    </xf>
    <xf numFmtId="3" fontId="92" fillId="0" borderId="0" xfId="0" applyNumberFormat="1" applyFont="1" applyAlignment="1">
      <alignment horizontal="center"/>
    </xf>
    <xf numFmtId="0" fontId="228" fillId="0" borderId="0" xfId="0" applyFont="1" applyAlignment="1">
      <alignment horizontal="right"/>
    </xf>
    <xf numFmtId="0" fontId="46" fillId="0" borderId="11" xfId="0" applyFont="1" applyBorder="1" applyAlignment="1">
      <alignment horizontal="left" vertical="center"/>
    </xf>
    <xf numFmtId="164" fontId="46" fillId="5" borderId="128" xfId="1" applyNumberFormat="1"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0" fontId="98" fillId="0" borderId="0" xfId="0" applyFont="1" applyAlignment="1">
      <alignment horizontal="right"/>
    </xf>
    <xf numFmtId="0" fontId="178" fillId="0" borderId="0" xfId="0" applyFont="1" applyAlignment="1">
      <alignment vertical="top"/>
    </xf>
    <xf numFmtId="0" fontId="43" fillId="0" borderId="8" xfId="0" applyFont="1" applyBorder="1" applyAlignment="1">
      <alignment vertical="top" wrapText="1"/>
    </xf>
    <xf numFmtId="185" fontId="43" fillId="13" borderId="83" xfId="0" applyNumberFormat="1" applyFont="1" applyFill="1" applyBorder="1" applyAlignment="1">
      <alignment horizontal="center" vertical="center"/>
    </xf>
    <xf numFmtId="0" fontId="5" fillId="0" borderId="81" xfId="0" applyFont="1" applyBorder="1" applyAlignment="1">
      <alignment horizontal="center" vertical="center"/>
    </xf>
    <xf numFmtId="0" fontId="19" fillId="0" borderId="0" xfId="0" applyFont="1" applyAlignment="1">
      <alignment horizontal="center"/>
    </xf>
    <xf numFmtId="0" fontId="183"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9" fillId="5" borderId="94" xfId="0" applyNumberFormat="1" applyFont="1" applyFill="1" applyBorder="1" applyAlignment="1" applyProtection="1">
      <alignment horizontal="center" vertical="top"/>
      <protection locked="0"/>
    </xf>
    <xf numFmtId="38" fontId="9" fillId="13" borderId="81" xfId="0" applyNumberFormat="1" applyFont="1" applyFill="1" applyBorder="1" applyAlignment="1">
      <alignment horizontal="center" vertical="top"/>
    </xf>
    <xf numFmtId="38" fontId="113" fillId="0" borderId="128" xfId="0" applyNumberFormat="1" applyFont="1" applyBorder="1" applyAlignment="1">
      <alignment horizontal="center" vertical="center" wrapText="1"/>
    </xf>
    <xf numFmtId="38" fontId="113" fillId="0" borderId="18" xfId="0" applyNumberFormat="1" applyFont="1" applyBorder="1" applyAlignment="1">
      <alignment horizontal="center" vertical="center" wrapText="1"/>
    </xf>
    <xf numFmtId="0" fontId="46" fillId="0" borderId="128" xfId="0" applyFont="1" applyBorder="1" applyAlignment="1">
      <alignment horizontal="center" vertical="center"/>
    </xf>
    <xf numFmtId="0" fontId="46" fillId="0" borderId="17" xfId="0" applyFont="1" applyBorder="1" applyAlignment="1">
      <alignment horizontal="center" vertical="center"/>
    </xf>
    <xf numFmtId="0" fontId="46" fillId="0" borderId="18" xfId="0" applyFont="1" applyBorder="1" applyAlignment="1">
      <alignment horizontal="center" vertical="center"/>
    </xf>
    <xf numFmtId="0" fontId="98" fillId="0" borderId="0" xfId="0" applyFont="1" applyAlignment="1">
      <alignment horizontal="right" vertical="center"/>
    </xf>
    <xf numFmtId="0" fontId="242" fillId="0" borderId="0" xfId="0" quotePrefix="1" applyFont="1" applyAlignment="1">
      <alignment vertical="center"/>
    </xf>
    <xf numFmtId="0" fontId="111" fillId="0" borderId="0" xfId="0" applyFont="1" applyAlignment="1">
      <alignment vertical="center" wrapText="1"/>
    </xf>
    <xf numFmtId="0" fontId="111" fillId="0" borderId="0" xfId="0" applyFont="1" applyAlignment="1">
      <alignment wrapText="1"/>
    </xf>
    <xf numFmtId="0" fontId="243" fillId="0" borderId="0" xfId="0" applyFont="1" applyAlignment="1">
      <alignment vertical="center"/>
    </xf>
    <xf numFmtId="0" fontId="243"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5" fillId="0" borderId="0" xfId="0" applyFont="1" applyAlignment="1">
      <alignment horizontal="right" vertical="center"/>
    </xf>
    <xf numFmtId="0" fontId="245" fillId="0" borderId="0" xfId="0" applyFont="1" applyAlignment="1">
      <alignment horizontal="left" vertical="center"/>
    </xf>
    <xf numFmtId="0" fontId="104" fillId="0" borderId="0" xfId="0" applyFont="1" applyAlignment="1">
      <alignment vertical="top" wrapText="1"/>
    </xf>
    <xf numFmtId="38" fontId="181" fillId="0" borderId="0" xfId="0" applyNumberFormat="1" applyFont="1" applyAlignment="1">
      <alignment vertical="center"/>
    </xf>
    <xf numFmtId="38" fontId="79" fillId="0" borderId="0" xfId="0" applyNumberFormat="1" applyFont="1" applyAlignment="1">
      <alignment horizontal="left" vertical="center"/>
    </xf>
    <xf numFmtId="0" fontId="113" fillId="0" borderId="0" xfId="0" applyFont="1" applyAlignment="1">
      <alignment horizontal="center" vertical="center"/>
    </xf>
    <xf numFmtId="0" fontId="52" fillId="0" borderId="0" xfId="0" applyFont="1" applyAlignment="1">
      <alignment vertical="center"/>
    </xf>
    <xf numFmtId="38" fontId="52" fillId="0" borderId="0" xfId="0" applyNumberFormat="1" applyFont="1" applyAlignment="1">
      <alignment horizontal="center" vertical="center"/>
    </xf>
    <xf numFmtId="38" fontId="84" fillId="0" borderId="82" xfId="0" applyNumberFormat="1" applyFont="1" applyBorder="1" applyAlignment="1">
      <alignment horizontal="center" vertical="center"/>
    </xf>
    <xf numFmtId="187" fontId="43" fillId="0" borderId="0" xfId="0" applyNumberFormat="1" applyFont="1" applyAlignment="1">
      <alignment horizontal="center" vertical="center"/>
    </xf>
    <xf numFmtId="187" fontId="84" fillId="0" borderId="82" xfId="0" applyNumberFormat="1" applyFont="1" applyBorder="1" applyAlignment="1">
      <alignment horizontal="center" vertical="center"/>
    </xf>
    <xf numFmtId="3" fontId="48" fillId="0" borderId="0" xfId="0" applyNumberFormat="1" applyFont="1" applyAlignment="1">
      <alignment horizontal="center" vertical="center"/>
    </xf>
    <xf numFmtId="0" fontId="46" fillId="0" borderId="0" xfId="0" applyFont="1" applyAlignment="1">
      <alignment horizontal="center" vertical="center" wrapText="1"/>
    </xf>
    <xf numFmtId="38" fontId="15" fillId="10" borderId="83" xfId="0" applyNumberFormat="1" applyFont="1" applyFill="1" applyBorder="1" applyAlignment="1" applyProtection="1">
      <alignment horizontal="left" vertical="center"/>
      <protection locked="0"/>
    </xf>
    <xf numFmtId="0" fontId="5" fillId="0" borderId="0" xfId="0" quotePrefix="1" applyFont="1" applyAlignment="1">
      <alignment horizontal="left" vertical="top"/>
    </xf>
    <xf numFmtId="0" fontId="22" fillId="0" borderId="7" xfId="0" applyFont="1" applyBorder="1"/>
    <xf numFmtId="0" fontId="22" fillId="0" borderId="8" xfId="0" applyFont="1" applyBorder="1"/>
    <xf numFmtId="38" fontId="9" fillId="0" borderId="79" xfId="0" applyNumberFormat="1" applyFont="1" applyBorder="1" applyAlignment="1">
      <alignment horizontal="center" vertical="center"/>
    </xf>
    <xf numFmtId="0" fontId="113" fillId="0" borderId="0" xfId="0" applyFont="1" applyAlignment="1">
      <alignment horizontal="right" vertical="center"/>
    </xf>
    <xf numFmtId="0" fontId="91" fillId="0" borderId="0" xfId="0" applyFont="1" applyAlignment="1">
      <alignment horizontal="left" vertical="center"/>
    </xf>
    <xf numFmtId="0" fontId="135" fillId="0" borderId="0" xfId="0" applyFont="1" applyAlignment="1">
      <alignment horizontal="left" vertical="center"/>
    </xf>
    <xf numFmtId="0" fontId="62" fillId="0" borderId="32" xfId="0" applyFont="1" applyBorder="1" applyAlignment="1">
      <alignment horizontal="right" vertical="center"/>
    </xf>
    <xf numFmtId="166" fontId="164" fillId="0" borderId="0" xfId="0" applyNumberFormat="1" applyFont="1" applyAlignment="1">
      <alignment horizontal="center" vertical="center"/>
    </xf>
    <xf numFmtId="37" fontId="164" fillId="0" borderId="0" xfId="1" applyNumberFormat="1" applyFont="1" applyFill="1" applyBorder="1" applyAlignment="1" applyProtection="1">
      <alignment horizontal="center" vertical="center"/>
    </xf>
    <xf numFmtId="166" fontId="42" fillId="0" borderId="0" xfId="0" applyNumberFormat="1" applyFont="1" applyAlignment="1">
      <alignment horizontal="center" vertical="center"/>
    </xf>
    <xf numFmtId="166" fontId="164" fillId="0" borderId="99" xfId="0" applyNumberFormat="1" applyFont="1" applyBorder="1" applyAlignment="1">
      <alignment horizontal="center" vertical="center"/>
    </xf>
    <xf numFmtId="37" fontId="164" fillId="0" borderId="99" xfId="1" applyNumberFormat="1" applyFont="1" applyFill="1" applyBorder="1" applyAlignment="1" applyProtection="1">
      <alignment horizontal="center" vertical="center"/>
    </xf>
    <xf numFmtId="166" fontId="42" fillId="0" borderId="86" xfId="0" applyNumberFormat="1" applyFont="1" applyBorder="1" applyAlignment="1">
      <alignment horizontal="center" vertical="center"/>
    </xf>
    <xf numFmtId="4" fontId="94" fillId="0" borderId="0" xfId="0" applyNumberFormat="1" applyFont="1" applyAlignment="1">
      <alignment vertical="center"/>
    </xf>
    <xf numFmtId="3" fontId="104" fillId="0" borderId="0" xfId="0" applyNumberFormat="1" applyFont="1" applyAlignment="1">
      <alignment horizontal="left" vertical="center"/>
    </xf>
    <xf numFmtId="0" fontId="109" fillId="0" borderId="0" xfId="0" applyFont="1" applyAlignment="1">
      <alignment horizontal="center" vertical="center"/>
    </xf>
    <xf numFmtId="164" fontId="46" fillId="5" borderId="17" xfId="1" applyNumberFormat="1" applyFont="1" applyFill="1" applyBorder="1" applyAlignment="1" applyProtection="1">
      <alignment horizontal="center" vertical="center"/>
      <protection locked="0"/>
    </xf>
    <xf numFmtId="0" fontId="46" fillId="0" borderId="83" xfId="0" applyFont="1" applyBorder="1" applyAlignment="1">
      <alignment horizontal="center" vertical="center"/>
    </xf>
    <xf numFmtId="0" fontId="85" fillId="0" borderId="83" xfId="0" applyFont="1" applyBorder="1" applyAlignment="1">
      <alignment horizontal="center" vertical="center"/>
    </xf>
    <xf numFmtId="0" fontId="4" fillId="20" borderId="0" xfId="0" applyFont="1" applyFill="1"/>
    <xf numFmtId="0" fontId="112" fillId="0" borderId="0" xfId="0" applyFont="1" applyAlignment="1">
      <alignment horizontal="center" wrapText="1"/>
    </xf>
    <xf numFmtId="0" fontId="95" fillId="26" borderId="0" xfId="0" applyFont="1" applyFill="1" applyAlignment="1">
      <alignment horizontal="center"/>
    </xf>
    <xf numFmtId="0" fontId="95" fillId="26" borderId="0" xfId="0" applyFont="1" applyFill="1"/>
    <xf numFmtId="0" fontId="101" fillId="0" borderId="0" xfId="0" applyFont="1" applyAlignment="1">
      <alignment horizontal="right" vertical="center"/>
    </xf>
    <xf numFmtId="0" fontId="110" fillId="0" borderId="7" xfId="0" applyFont="1" applyBorder="1" applyAlignment="1">
      <alignment vertical="center" wrapText="1"/>
    </xf>
    <xf numFmtId="0" fontId="79" fillId="0" borderId="0" xfId="0" applyFont="1" applyAlignment="1">
      <alignment vertical="center" wrapText="1"/>
    </xf>
    <xf numFmtId="0" fontId="104" fillId="0" borderId="83" xfId="0" applyFont="1" applyBorder="1" applyAlignment="1">
      <alignment horizontal="center" vertical="center"/>
    </xf>
    <xf numFmtId="0" fontId="84" fillId="0" borderId="0" xfId="0" applyFont="1" applyAlignment="1">
      <alignment horizontal="right"/>
    </xf>
    <xf numFmtId="0" fontId="113" fillId="0" borderId="0" xfId="0" applyFont="1" applyAlignment="1">
      <alignment vertical="center" wrapText="1"/>
    </xf>
    <xf numFmtId="0" fontId="226" fillId="0" borderId="0" xfId="0" applyFont="1" applyAlignment="1">
      <alignment vertical="center" wrapText="1"/>
    </xf>
    <xf numFmtId="0" fontId="12" fillId="0" borderId="0" xfId="0" applyFont="1" applyAlignment="1">
      <alignment horizontal="right" vertical="center"/>
    </xf>
    <xf numFmtId="4" fontId="42" fillId="5" borderId="178" xfId="0" applyNumberFormat="1" applyFont="1" applyFill="1" applyBorder="1" applyAlignment="1" applyProtection="1">
      <alignment horizontal="center" vertical="top" wrapText="1"/>
      <protection locked="0"/>
    </xf>
    <xf numFmtId="4" fontId="42" fillId="5" borderId="25" xfId="0" applyNumberFormat="1" applyFont="1" applyFill="1" applyBorder="1" applyAlignment="1" applyProtection="1">
      <alignment horizontal="center" vertical="top" wrapText="1"/>
      <protection locked="0"/>
    </xf>
    <xf numFmtId="4" fontId="42" fillId="5" borderId="24" xfId="0" applyNumberFormat="1" applyFont="1" applyFill="1" applyBorder="1" applyAlignment="1" applyProtection="1">
      <alignment horizontal="center" vertical="top" wrapText="1"/>
      <protection locked="0"/>
    </xf>
    <xf numFmtId="0" fontId="237" fillId="0" borderId="0" xfId="0" applyFont="1" applyAlignment="1">
      <alignment vertical="top" wrapText="1"/>
    </xf>
    <xf numFmtId="5" fontId="116" fillId="0" borderId="198" xfId="13" applyNumberFormat="1" applyFont="1" applyBorder="1"/>
    <xf numFmtId="14" fontId="116" fillId="10" borderId="0" xfId="13" applyNumberFormat="1" applyFont="1" applyFill="1" applyAlignment="1">
      <alignment horizontal="left" vertical="center"/>
    </xf>
    <xf numFmtId="0" fontId="116" fillId="0" borderId="0" xfId="13" applyFont="1" applyAlignment="1">
      <alignment horizontal="left" vertical="center"/>
    </xf>
    <xf numFmtId="3" fontId="116" fillId="0" borderId="0" xfId="13" quotePrefix="1" applyNumberFormat="1" applyFont="1" applyAlignment="1">
      <alignment horizontal="left" vertical="center"/>
    </xf>
    <xf numFmtId="38" fontId="116" fillId="0" borderId="0" xfId="13" quotePrefix="1" applyNumberFormat="1" applyFont="1" applyAlignment="1">
      <alignment horizontal="left" vertical="center"/>
    </xf>
    <xf numFmtId="3" fontId="116" fillId="0" borderId="0" xfId="13" applyNumberFormat="1" applyFont="1" applyAlignment="1">
      <alignment horizontal="left" vertical="center"/>
    </xf>
    <xf numFmtId="3" fontId="116" fillId="0" borderId="0" xfId="13" applyNumberFormat="1" applyFont="1" applyAlignment="1">
      <alignment vertical="center"/>
    </xf>
    <xf numFmtId="0" fontId="116" fillId="5" borderId="0" xfId="13" applyFont="1" applyFill="1" applyAlignment="1">
      <alignment vertical="center"/>
    </xf>
    <xf numFmtId="0" fontId="138" fillId="0" borderId="0" xfId="13" applyFont="1" applyAlignment="1">
      <alignment horizontal="center" vertical="center"/>
    </xf>
    <xf numFmtId="180" fontId="116" fillId="0" borderId="0" xfId="13" applyNumberFormat="1" applyFont="1" applyAlignment="1">
      <alignment horizontal="left"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4" fontId="116" fillId="0" borderId="0" xfId="13" applyNumberFormat="1" applyFont="1" applyAlignment="1">
      <alignment horizontal="left" vertical="center"/>
    </xf>
    <xf numFmtId="180" fontId="116" fillId="0" borderId="0" xfId="13" applyNumberFormat="1" applyFont="1" applyAlignment="1">
      <alignment vertical="center"/>
    </xf>
    <xf numFmtId="3" fontId="116" fillId="10" borderId="0" xfId="13" applyNumberFormat="1" applyFont="1" applyFill="1" applyAlignment="1">
      <alignment horizontal="left" vertical="center"/>
    </xf>
    <xf numFmtId="167" fontId="4" fillId="10" borderId="21" xfId="13" applyNumberFormat="1" applyFill="1" applyBorder="1" applyAlignment="1">
      <alignment horizontal="left"/>
    </xf>
    <xf numFmtId="0" fontId="116"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133"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8"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43" fillId="0" borderId="0" xfId="0" applyNumberFormat="1" applyFont="1" applyAlignment="1">
      <alignment horizontal="center" vertical="center"/>
    </xf>
    <xf numFmtId="3" fontId="43" fillId="0" borderId="11" xfId="0" applyNumberFormat="1" applyFont="1" applyBorder="1" applyAlignment="1">
      <alignment horizontal="center" vertical="center"/>
    </xf>
    <xf numFmtId="3" fontId="43" fillId="0" borderId="12" xfId="0" applyNumberFormat="1" applyFont="1" applyBorder="1" applyAlignment="1">
      <alignment horizontal="center" vertical="center"/>
    </xf>
    <xf numFmtId="9" fontId="43" fillId="20" borderId="3" xfId="10" applyFont="1" applyFill="1" applyBorder="1" applyAlignment="1" applyProtection="1">
      <alignment horizontal="center" vertical="center"/>
    </xf>
    <xf numFmtId="3" fontId="43" fillId="20" borderId="3" xfId="10" applyNumberFormat="1" applyFont="1" applyFill="1" applyBorder="1" applyAlignment="1" applyProtection="1">
      <alignment horizontal="center" vertical="center"/>
    </xf>
    <xf numFmtId="0" fontId="43" fillId="20" borderId="3" xfId="0" applyFont="1" applyFill="1" applyBorder="1" applyAlignment="1">
      <alignment horizontal="center" vertical="center"/>
    </xf>
    <xf numFmtId="0" fontId="249" fillId="0" borderId="0" xfId="0" applyFont="1" applyAlignment="1">
      <alignment horizontal="right" vertical="center"/>
    </xf>
    <xf numFmtId="0" fontId="187" fillId="0" borderId="0" xfId="33" applyFont="1"/>
    <xf numFmtId="0" fontId="4" fillId="0" borderId="0" xfId="33" applyFont="1"/>
    <xf numFmtId="0" fontId="9" fillId="0" borderId="0" xfId="33" applyFont="1" applyAlignment="1">
      <alignment horizontal="center" vertical="center"/>
    </xf>
    <xf numFmtId="0" fontId="98" fillId="0" borderId="0" xfId="33" applyFont="1" applyAlignment="1">
      <alignment vertical="center"/>
    </xf>
    <xf numFmtId="49" fontId="98"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6" fillId="0" borderId="0" xfId="33" applyFont="1"/>
    <xf numFmtId="0" fontId="10" fillId="0" borderId="0" xfId="33" applyFont="1"/>
    <xf numFmtId="0" fontId="135" fillId="0" borderId="0" xfId="33" applyFont="1" applyAlignment="1">
      <alignment vertical="center"/>
    </xf>
    <xf numFmtId="0" fontId="115" fillId="0" borderId="0" xfId="33" applyFont="1" applyAlignment="1">
      <alignment vertical="center" wrapText="1"/>
    </xf>
    <xf numFmtId="0" fontId="252" fillId="0" borderId="0" xfId="33" applyFont="1"/>
    <xf numFmtId="0" fontId="131" fillId="0" borderId="0" xfId="33" applyFont="1" applyAlignment="1">
      <alignment horizontal="left" vertical="top"/>
    </xf>
    <xf numFmtId="0" fontId="10" fillId="0" borderId="13" xfId="33" applyFont="1" applyBorder="1" applyAlignment="1">
      <alignment vertical="center"/>
    </xf>
    <xf numFmtId="0" fontId="135" fillId="0" borderId="13" xfId="33" applyFont="1" applyBorder="1" applyAlignment="1">
      <alignment vertical="center"/>
    </xf>
    <xf numFmtId="0" fontId="26" fillId="0" borderId="0" xfId="33" applyFont="1" applyAlignment="1">
      <alignment horizontal="center" vertical="center"/>
    </xf>
    <xf numFmtId="0" fontId="26"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6" fillId="0" borderId="0" xfId="33" applyFont="1" applyAlignment="1">
      <alignment horizontal="right" vertical="center" wrapText="1"/>
    </xf>
    <xf numFmtId="0" fontId="252" fillId="0" borderId="0" xfId="33" applyFont="1" applyAlignment="1">
      <alignment vertical="center"/>
    </xf>
    <xf numFmtId="0" fontId="131" fillId="0" borderId="0" xfId="33" applyFont="1" applyAlignment="1">
      <alignment vertical="center"/>
    </xf>
    <xf numFmtId="0" fontId="131" fillId="0" borderId="0" xfId="33" applyFont="1" applyAlignment="1">
      <alignment vertical="center" wrapText="1"/>
    </xf>
    <xf numFmtId="0" fontId="10" fillId="0" borderId="0" xfId="33" applyFont="1" applyAlignment="1">
      <alignment horizontal="left" vertical="center" wrapText="1"/>
    </xf>
    <xf numFmtId="0" fontId="26" fillId="0" borderId="0" xfId="33" applyFont="1" applyAlignment="1">
      <alignment horizontal="left" vertical="center"/>
    </xf>
    <xf numFmtId="0" fontId="10" fillId="0" borderId="0" xfId="33" applyFont="1" applyAlignment="1">
      <alignment horizontal="left" vertical="center"/>
    </xf>
    <xf numFmtId="0" fontId="10" fillId="0" borderId="0" xfId="33" applyFont="1" applyAlignment="1">
      <alignment horizontal="right" vertical="center"/>
    </xf>
    <xf numFmtId="0" fontId="131" fillId="0" borderId="0" xfId="33" applyFont="1" applyAlignment="1">
      <alignment horizontal="left" vertical="center"/>
    </xf>
    <xf numFmtId="0" fontId="254" fillId="0" borderId="0" xfId="33" applyFont="1" applyAlignment="1">
      <alignment horizontal="right" vertical="center"/>
    </xf>
    <xf numFmtId="0" fontId="254" fillId="0" borderId="0" xfId="33" applyFont="1" applyAlignment="1">
      <alignment horizontal="center" vertical="center" wrapText="1"/>
    </xf>
    <xf numFmtId="0" fontId="26" fillId="0" borderId="0" xfId="33" applyFont="1" applyAlignment="1">
      <alignment horizontal="right" vertical="center"/>
    </xf>
    <xf numFmtId="0" fontId="135" fillId="0" borderId="0" xfId="33" applyFont="1" applyAlignment="1">
      <alignment horizontal="center" vertical="center" wrapText="1"/>
    </xf>
    <xf numFmtId="0" fontId="135" fillId="0" borderId="0" xfId="33" applyFont="1" applyAlignment="1">
      <alignment horizontal="left" vertical="center"/>
    </xf>
    <xf numFmtId="0" fontId="10" fillId="0" borderId="0" xfId="33" applyFont="1" applyAlignment="1">
      <alignment vertical="center" wrapText="1"/>
    </xf>
    <xf numFmtId="10" fontId="26" fillId="0" borderId="0" xfId="33" applyNumberFormat="1" applyFont="1" applyAlignment="1" applyProtection="1">
      <alignment vertical="center"/>
      <protection locked="0"/>
    </xf>
    <xf numFmtId="10" fontId="26" fillId="0" borderId="0" xfId="33" applyNumberFormat="1" applyFont="1" applyAlignment="1">
      <alignment vertical="center"/>
    </xf>
    <xf numFmtId="0" fontId="131" fillId="0" borderId="13" xfId="33" applyFont="1" applyBorder="1" applyAlignment="1">
      <alignment horizontal="left" vertical="center"/>
    </xf>
    <xf numFmtId="0" fontId="26" fillId="13" borderId="128" xfId="33" applyFont="1" applyFill="1" applyBorder="1" applyAlignment="1">
      <alignment horizontal="center" vertical="center"/>
    </xf>
    <xf numFmtId="0" fontId="10" fillId="0" borderId="0" xfId="33" applyFont="1" applyAlignment="1" applyProtection="1">
      <alignment vertical="center" wrapText="1"/>
      <protection locked="0"/>
    </xf>
    <xf numFmtId="0" fontId="26" fillId="5" borderId="17" xfId="33" applyFont="1" applyFill="1" applyBorder="1" applyAlignment="1" applyProtection="1">
      <alignment horizontal="center" vertical="center"/>
      <protection locked="0"/>
    </xf>
    <xf numFmtId="0" fontId="26" fillId="13" borderId="17" xfId="33" applyFont="1" applyFill="1" applyBorder="1" applyAlignment="1">
      <alignment horizontal="center" vertical="center"/>
    </xf>
    <xf numFmtId="0" fontId="26" fillId="5" borderId="18" xfId="33" applyFont="1" applyFill="1" applyBorder="1" applyAlignment="1" applyProtection="1">
      <alignment horizontal="center" vertical="center"/>
      <protection locked="0"/>
    </xf>
    <xf numFmtId="0" fontId="26" fillId="13" borderId="18" xfId="33" applyFont="1" applyFill="1" applyBorder="1" applyAlignment="1">
      <alignment horizontal="center" vertical="center"/>
    </xf>
    <xf numFmtId="0" fontId="115" fillId="0" borderId="0" xfId="33" applyFont="1" applyAlignment="1">
      <alignment vertical="center"/>
    </xf>
    <xf numFmtId="0" fontId="26" fillId="5" borderId="128" xfId="33" applyFont="1" applyFill="1" applyBorder="1" applyAlignment="1" applyProtection="1">
      <alignment horizontal="center" vertical="center"/>
      <protection locked="0"/>
    </xf>
    <xf numFmtId="0" fontId="26" fillId="0" borderId="0" xfId="33" applyFont="1" applyAlignment="1">
      <alignment horizontal="right" vertical="top"/>
    </xf>
    <xf numFmtId="0" fontId="26" fillId="0" borderId="0" xfId="33" applyFont="1" applyAlignment="1">
      <alignment horizontal="left" vertical="top"/>
    </xf>
    <xf numFmtId="0" fontId="131"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left" vertical="top" wrapText="1"/>
    </xf>
    <xf numFmtId="0" fontId="10" fillId="0" borderId="0" xfId="33" applyFont="1" applyAlignment="1">
      <alignment horizontal="right" vertical="top"/>
    </xf>
    <xf numFmtId="0" fontId="26" fillId="5" borderId="17" xfId="33" applyFont="1" applyFill="1" applyBorder="1" applyAlignment="1" applyProtection="1">
      <alignment horizontal="center" vertical="top"/>
      <protection locked="0"/>
    </xf>
    <xf numFmtId="0" fontId="26" fillId="13" borderId="17" xfId="33" applyFont="1" applyFill="1" applyBorder="1" applyAlignment="1">
      <alignment horizontal="center" vertical="top"/>
    </xf>
    <xf numFmtId="0" fontId="252" fillId="0" borderId="0" xfId="33" applyFont="1" applyAlignment="1">
      <alignment vertical="top"/>
    </xf>
    <xf numFmtId="0" fontId="252" fillId="0" borderId="0" xfId="33" applyFont="1" applyAlignment="1">
      <alignment vertical="center" wrapText="1"/>
    </xf>
    <xf numFmtId="0" fontId="26" fillId="0" borderId="0" xfId="33" applyFont="1" applyAlignment="1" applyProtection="1">
      <alignment vertical="center"/>
      <protection locked="0"/>
    </xf>
    <xf numFmtId="0" fontId="26" fillId="0" borderId="0" xfId="33" applyFont="1" applyAlignment="1" applyProtection="1">
      <alignment horizontal="center" vertical="center"/>
      <protection locked="0"/>
    </xf>
    <xf numFmtId="0" fontId="254" fillId="0" borderId="0" xfId="33" applyFont="1" applyAlignment="1">
      <alignment horizontal="center" vertical="center"/>
    </xf>
    <xf numFmtId="0" fontId="254" fillId="0" borderId="0" xfId="33" applyFont="1" applyAlignment="1">
      <alignment horizontal="left" vertical="center"/>
    </xf>
    <xf numFmtId="38" fontId="26" fillId="0" borderId="0" xfId="33" applyNumberFormat="1" applyFont="1" applyAlignment="1">
      <alignment horizontal="center" vertical="center"/>
    </xf>
    <xf numFmtId="0" fontId="26"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1" fontId="135" fillId="0" borderId="128" xfId="33" applyNumberFormat="1" applyFont="1" applyBorder="1" applyAlignment="1">
      <alignment horizontal="center" vertical="center"/>
    </xf>
    <xf numFmtId="9" fontId="26" fillId="0" borderId="0" xfId="33" applyNumberFormat="1" applyFont="1" applyAlignment="1">
      <alignment horizontal="center" vertical="center"/>
    </xf>
    <xf numFmtId="1" fontId="135" fillId="0" borderId="18" xfId="33" applyNumberFormat="1" applyFont="1" applyBorder="1" applyAlignment="1">
      <alignment horizontal="center" vertical="center"/>
    </xf>
    <xf numFmtId="1" fontId="135" fillId="0" borderId="83" xfId="33" applyNumberFormat="1" applyFont="1" applyBorder="1" applyAlignment="1">
      <alignment horizontal="center" vertical="center"/>
    </xf>
    <xf numFmtId="0" fontId="10" fillId="0" borderId="82" xfId="33" applyFont="1" applyBorder="1" applyAlignment="1">
      <alignment horizontal="left" vertical="center" wrapText="1"/>
    </xf>
    <xf numFmtId="0" fontId="10" fillId="0" borderId="0" xfId="33" applyFont="1" applyAlignment="1" applyProtection="1">
      <alignment vertical="center"/>
      <protection locked="0"/>
    </xf>
    <xf numFmtId="0" fontId="115" fillId="0" borderId="0" xfId="33" applyFont="1" applyAlignment="1">
      <alignment horizontal="right" vertical="center"/>
    </xf>
    <xf numFmtId="0" fontId="252" fillId="0" borderId="0" xfId="33" applyFont="1" applyAlignment="1">
      <alignment horizontal="left" vertical="center"/>
    </xf>
    <xf numFmtId="0" fontId="135" fillId="0" borderId="0" xfId="33" applyFont="1" applyAlignment="1">
      <alignment horizontal="right" vertical="center"/>
    </xf>
    <xf numFmtId="0" fontId="26"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6" fillId="0" borderId="0" xfId="33" applyNumberFormat="1" applyFont="1" applyAlignment="1">
      <alignment horizontal="center" vertical="center"/>
    </xf>
    <xf numFmtId="0" fontId="228" fillId="0" borderId="0" xfId="37" applyFont="1" applyAlignment="1">
      <alignment vertical="center"/>
    </xf>
    <xf numFmtId="0" fontId="250" fillId="0" borderId="0" xfId="37" applyFont="1" applyAlignment="1">
      <alignment vertical="center"/>
    </xf>
    <xf numFmtId="9" fontId="26"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6" fillId="5" borderId="17"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center"/>
      <protection locked="0"/>
    </xf>
    <xf numFmtId="0" fontId="26" fillId="5" borderId="128" xfId="37" applyFont="1" applyFill="1" applyBorder="1" applyAlignment="1" applyProtection="1">
      <alignment horizontal="center" vertical="center"/>
      <protection locked="0"/>
    </xf>
    <xf numFmtId="181" fontId="26" fillId="5" borderId="18" xfId="37" applyNumberFormat="1" applyFont="1" applyFill="1" applyBorder="1" applyAlignment="1" applyProtection="1">
      <alignment horizontal="center" vertical="center"/>
      <protection locked="0"/>
    </xf>
    <xf numFmtId="0" fontId="26" fillId="5" borderId="17" xfId="37"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top"/>
      <protection locked="0"/>
    </xf>
    <xf numFmtId="38" fontId="26" fillId="5" borderId="81" xfId="37" applyNumberFormat="1" applyFont="1" applyFill="1" applyBorder="1" applyAlignment="1" applyProtection="1">
      <alignment horizontal="center" vertical="center"/>
      <protection locked="0"/>
    </xf>
    <xf numFmtId="38" fontId="26" fillId="5" borderId="94" xfId="37" applyNumberFormat="1" applyFont="1" applyFill="1" applyBorder="1" applyAlignment="1" applyProtection="1">
      <alignment horizontal="center" vertical="center"/>
      <protection locked="0"/>
    </xf>
    <xf numFmtId="38" fontId="26" fillId="5" borderId="83" xfId="37" applyNumberFormat="1" applyFont="1" applyFill="1" applyBorder="1" applyAlignment="1" applyProtection="1">
      <alignment horizontal="center" vertical="center"/>
      <protection locked="0"/>
    </xf>
    <xf numFmtId="0" fontId="250" fillId="0" borderId="0" xfId="37" applyFont="1" applyAlignment="1">
      <alignment horizontal="center" vertical="center"/>
    </xf>
    <xf numFmtId="38" fontId="26" fillId="5" borderId="128" xfId="37" applyNumberFormat="1" applyFont="1" applyFill="1" applyBorder="1" applyAlignment="1" applyProtection="1">
      <alignment horizontal="center" vertical="center"/>
      <protection locked="0"/>
    </xf>
    <xf numFmtId="38" fontId="26" fillId="5" borderId="17" xfId="37" applyNumberFormat="1" applyFont="1" applyFill="1" applyBorder="1" applyAlignment="1" applyProtection="1">
      <alignment horizontal="center" vertical="top"/>
      <protection locked="0"/>
    </xf>
    <xf numFmtId="0" fontId="26" fillId="5" borderId="83" xfId="37" applyFont="1" applyFill="1" applyBorder="1" applyAlignment="1" applyProtection="1">
      <alignment horizontal="center" vertical="center"/>
      <protection locked="0"/>
    </xf>
    <xf numFmtId="0" fontId="26" fillId="5" borderId="18" xfId="37" applyFont="1" applyFill="1" applyBorder="1" applyAlignment="1" applyProtection="1">
      <alignment horizontal="center" vertical="top"/>
      <protection locked="0"/>
    </xf>
    <xf numFmtId="0" fontId="250" fillId="0" borderId="0" xfId="37" applyFont="1" applyAlignment="1">
      <alignment horizontal="center"/>
    </xf>
    <xf numFmtId="0" fontId="26" fillId="5" borderId="83" xfId="37" applyFont="1" applyFill="1" applyBorder="1" applyAlignment="1" applyProtection="1">
      <alignment horizontal="center" vertical="top"/>
      <protection locked="0"/>
    </xf>
    <xf numFmtId="0" fontId="26" fillId="5" borderId="12" xfId="37" applyFont="1" applyFill="1" applyBorder="1" applyAlignment="1" applyProtection="1">
      <alignment horizontal="center" vertical="top"/>
      <protection locked="0"/>
    </xf>
    <xf numFmtId="38" fontId="26" fillId="5" borderId="104" xfId="37" applyNumberFormat="1" applyFont="1" applyFill="1" applyBorder="1" applyAlignment="1" applyProtection="1">
      <alignment horizontal="center" vertical="center"/>
      <protection locked="0"/>
    </xf>
    <xf numFmtId="0" fontId="26" fillId="5" borderId="12" xfId="37" applyFont="1" applyFill="1" applyBorder="1" applyAlignment="1" applyProtection="1">
      <alignment horizontal="center" vertical="center"/>
      <protection locked="0"/>
    </xf>
    <xf numFmtId="0" fontId="26" fillId="5" borderId="22" xfId="37" applyFont="1" applyFill="1" applyBorder="1" applyAlignment="1" applyProtection="1">
      <alignment horizontal="center" vertical="top"/>
      <protection locked="0"/>
    </xf>
    <xf numFmtId="38" fontId="26" fillId="10" borderId="22" xfId="37" applyNumberFormat="1" applyFont="1" applyFill="1" applyBorder="1" applyAlignment="1" applyProtection="1">
      <alignment horizontal="center" vertical="center"/>
      <protection locked="0"/>
    </xf>
    <xf numFmtId="38" fontId="26" fillId="10" borderId="83" xfId="37" applyNumberFormat="1" applyFont="1" applyFill="1" applyBorder="1" applyAlignment="1" applyProtection="1">
      <alignment horizontal="center" vertical="center"/>
      <protection locked="0"/>
    </xf>
    <xf numFmtId="38" fontId="228" fillId="0" borderId="0" xfId="37" applyNumberFormat="1" applyFont="1" applyAlignment="1">
      <alignment horizontal="center" vertical="center"/>
    </xf>
    <xf numFmtId="0" fontId="250" fillId="0" borderId="0" xfId="37" applyFont="1"/>
    <xf numFmtId="0" fontId="250" fillId="0" borderId="0" xfId="37" applyFont="1" applyAlignment="1">
      <alignment horizontal="left"/>
    </xf>
    <xf numFmtId="0" fontId="228" fillId="0" borderId="0" xfId="37" applyFont="1" applyAlignment="1">
      <alignment horizontal="center"/>
    </xf>
    <xf numFmtId="0" fontId="250" fillId="0" borderId="0" xfId="37" applyFont="1" applyAlignment="1">
      <alignment horizontal="left" vertical="center"/>
    </xf>
    <xf numFmtId="0" fontId="257" fillId="0" borderId="0" xfId="37" applyFont="1" applyAlignment="1">
      <alignment horizontal="left"/>
    </xf>
    <xf numFmtId="0" fontId="250" fillId="0" borderId="0" xfId="37" applyFont="1" applyAlignment="1">
      <alignment horizontal="center" vertical="top"/>
    </xf>
    <xf numFmtId="0" fontId="250" fillId="0" borderId="0" xfId="37" applyFont="1" applyAlignment="1">
      <alignment vertical="top"/>
    </xf>
    <xf numFmtId="0" fontId="250" fillId="0" borderId="0" xfId="37" applyFont="1" applyAlignment="1">
      <alignment horizontal="left" vertical="top"/>
    </xf>
    <xf numFmtId="0" fontId="228" fillId="0" borderId="0" xfId="37" applyFont="1"/>
    <xf numFmtId="0" fontId="250" fillId="0" borderId="0" xfId="37" applyFont="1" applyAlignment="1">
      <alignment vertical="top" wrapText="1"/>
    </xf>
    <xf numFmtId="0" fontId="11" fillId="0" borderId="0" xfId="0" applyFont="1" applyAlignment="1">
      <alignment horizontal="center"/>
    </xf>
    <xf numFmtId="0" fontId="24" fillId="0" borderId="0" xfId="0" applyFont="1" applyAlignment="1">
      <alignment horizontal="left"/>
    </xf>
    <xf numFmtId="181" fontId="26" fillId="5" borderId="83" xfId="37" applyNumberFormat="1" applyFont="1" applyFill="1" applyBorder="1" applyAlignment="1" applyProtection="1">
      <alignment horizontal="center" vertical="center"/>
      <protection locked="0"/>
    </xf>
    <xf numFmtId="38" fontId="26" fillId="5" borderId="18" xfId="37" applyNumberFormat="1" applyFont="1" applyFill="1" applyBorder="1" applyAlignment="1" applyProtection="1">
      <alignment horizontal="center" vertical="top"/>
      <protection locked="0"/>
    </xf>
    <xf numFmtId="0" fontId="250" fillId="0" borderId="0" xfId="37" applyFont="1" applyAlignment="1">
      <alignment vertical="center" wrapText="1"/>
    </xf>
    <xf numFmtId="0" fontId="46" fillId="0" borderId="11" xfId="0" applyFont="1" applyBorder="1" applyAlignment="1">
      <alignment vertical="center"/>
    </xf>
    <xf numFmtId="0" fontId="46" fillId="0" borderId="8" xfId="0" applyFont="1" applyBorder="1" applyAlignment="1">
      <alignment horizontal="left" vertical="center"/>
    </xf>
    <xf numFmtId="186" fontId="26" fillId="10" borderId="15" xfId="37" applyNumberFormat="1" applyFont="1" applyFill="1" applyBorder="1" applyAlignment="1" applyProtection="1">
      <alignment horizontal="center" vertical="center"/>
      <protection locked="0"/>
    </xf>
    <xf numFmtId="188" fontId="10" fillId="10" borderId="12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6" fillId="5" borderId="12" xfId="37" applyNumberFormat="1" applyFont="1" applyFill="1" applyBorder="1" applyAlignment="1" applyProtection="1">
      <alignment horizontal="center" vertical="center"/>
      <protection locked="0"/>
    </xf>
    <xf numFmtId="0" fontId="106" fillId="0" borderId="0" xfId="33" applyFont="1" applyAlignment="1">
      <alignment vertical="center"/>
    </xf>
    <xf numFmtId="0" fontId="187" fillId="0" borderId="0" xfId="33" applyFont="1" applyProtection="1">
      <protection locked="0"/>
    </xf>
    <xf numFmtId="0" fontId="252" fillId="0" borderId="0" xfId="33" applyFont="1" applyProtection="1">
      <protection locked="0"/>
    </xf>
    <xf numFmtId="0" fontId="252" fillId="0" borderId="0" xfId="33" applyFont="1" applyAlignment="1" applyProtection="1">
      <alignment vertical="center"/>
      <protection locked="0"/>
    </xf>
    <xf numFmtId="0" fontId="252" fillId="0" borderId="0" xfId="33" applyFont="1" applyAlignment="1" applyProtection="1">
      <alignment vertical="top"/>
      <protection locked="0"/>
    </xf>
    <xf numFmtId="0" fontId="252" fillId="0" borderId="0" xfId="33" applyFont="1" applyAlignment="1" applyProtection="1">
      <alignment horizontal="left" vertical="center"/>
      <protection locked="0"/>
    </xf>
    <xf numFmtId="3" fontId="43" fillId="0" borderId="83" xfId="10" applyNumberFormat="1" applyFont="1" applyFill="1" applyBorder="1" applyAlignment="1" applyProtection="1">
      <alignment horizontal="center" vertical="center"/>
    </xf>
    <xf numFmtId="0" fontId="10" fillId="0" borderId="13" xfId="33" applyFont="1" applyBorder="1" applyAlignment="1">
      <alignment horizontal="left" vertical="center" wrapText="1"/>
    </xf>
    <xf numFmtId="0" fontId="26" fillId="5" borderId="12" xfId="33" applyFont="1" applyFill="1" applyBorder="1" applyAlignment="1" applyProtection="1">
      <alignment horizontal="center" vertical="center"/>
      <protection locked="0"/>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128" xfId="10" applyFont="1" applyFill="1" applyBorder="1" applyAlignment="1" applyProtection="1">
      <alignment horizontal="center" vertical="center"/>
    </xf>
    <xf numFmtId="9" fontId="43" fillId="0" borderId="17" xfId="10" applyFont="1" applyFill="1" applyBorder="1" applyAlignment="1" applyProtection="1">
      <alignment horizontal="center" vertical="center"/>
    </xf>
    <xf numFmtId="1" fontId="43" fillId="20" borderId="3" xfId="10" applyNumberFormat="1" applyFont="1" applyFill="1" applyBorder="1" applyAlignment="1" applyProtection="1">
      <alignment horizontal="center" vertical="center"/>
    </xf>
    <xf numFmtId="0" fontId="46" fillId="0" borderId="13" xfId="0" applyFont="1" applyBorder="1"/>
    <xf numFmtId="3" fontId="43" fillId="0" borderId="3" xfId="10" applyNumberFormat="1" applyFont="1" applyFill="1" applyBorder="1" applyAlignment="1" applyProtection="1">
      <alignment horizontal="center" vertical="center"/>
    </xf>
    <xf numFmtId="9" fontId="43" fillId="0" borderId="3" xfId="10" applyFont="1" applyFill="1" applyBorder="1" applyAlignment="1" applyProtection="1">
      <alignment horizontal="center" vertical="center"/>
    </xf>
    <xf numFmtId="9" fontId="43" fillId="0" borderId="50" xfId="10" applyFont="1" applyFill="1" applyBorder="1" applyAlignment="1" applyProtection="1">
      <alignment horizontal="center" vertical="center"/>
    </xf>
    <xf numFmtId="9" fontId="43" fillId="0" borderId="25" xfId="10" applyFont="1" applyFill="1" applyBorder="1" applyAlignment="1" applyProtection="1">
      <alignment horizontal="center" vertical="center"/>
    </xf>
    <xf numFmtId="0" fontId="43" fillId="0" borderId="128" xfId="0" applyFont="1" applyBorder="1" applyAlignment="1">
      <alignment horizontal="center" vertical="center"/>
    </xf>
    <xf numFmtId="0" fontId="43" fillId="0" borderId="18" xfId="0" applyFont="1" applyBorder="1" applyAlignment="1">
      <alignment horizontal="center" vertical="center"/>
    </xf>
    <xf numFmtId="37" fontId="43" fillId="0" borderId="128" xfId="1" applyNumberFormat="1" applyFont="1" applyFill="1" applyBorder="1" applyAlignment="1" applyProtection="1">
      <alignment horizontal="center" vertical="center"/>
    </xf>
    <xf numFmtId="37" fontId="43" fillId="0" borderId="18" xfId="1" applyNumberFormat="1" applyFont="1" applyFill="1" applyBorder="1" applyAlignment="1" applyProtection="1">
      <alignment horizontal="center" vertical="center"/>
    </xf>
    <xf numFmtId="37" fontId="43" fillId="0" borderId="17" xfId="1" applyNumberFormat="1" applyFont="1" applyFill="1" applyBorder="1" applyAlignment="1" applyProtection="1">
      <alignment horizontal="center" vertical="center"/>
    </xf>
    <xf numFmtId="0" fontId="43" fillId="0" borderId="17" xfId="0" applyFont="1" applyBorder="1" applyAlignment="1">
      <alignment horizontal="center" vertical="center"/>
    </xf>
    <xf numFmtId="2" fontId="43" fillId="0" borderId="50" xfId="10" applyNumberFormat="1" applyFont="1" applyFill="1" applyBorder="1" applyAlignment="1" applyProtection="1">
      <alignment horizontal="center" vertical="center"/>
    </xf>
    <xf numFmtId="2" fontId="43" fillId="0" borderId="25" xfId="10" applyNumberFormat="1" applyFont="1" applyFill="1" applyBorder="1" applyAlignment="1" applyProtection="1">
      <alignment horizontal="center" vertical="center"/>
    </xf>
    <xf numFmtId="2" fontId="43" fillId="0" borderId="48" xfId="10" applyNumberFormat="1" applyFont="1" applyFill="1" applyBorder="1" applyAlignment="1" applyProtection="1">
      <alignment horizontal="center" vertical="center"/>
    </xf>
    <xf numFmtId="2" fontId="43" fillId="0" borderId="24" xfId="10" applyNumberFormat="1" applyFont="1" applyFill="1" applyBorder="1" applyAlignment="1" applyProtection="1">
      <alignment horizontal="center" vertical="center"/>
    </xf>
    <xf numFmtId="0" fontId="173" fillId="0" borderId="0" xfId="0" applyFont="1" applyAlignment="1">
      <alignment horizontal="center"/>
    </xf>
    <xf numFmtId="0" fontId="26" fillId="13" borderId="12" xfId="33" applyFont="1" applyFill="1" applyBorder="1" applyAlignment="1">
      <alignment horizontal="center" vertical="center"/>
    </xf>
    <xf numFmtId="0" fontId="229" fillId="0" borderId="0" xfId="33" applyFont="1" applyAlignment="1">
      <alignment vertical="center"/>
    </xf>
    <xf numFmtId="1" fontId="135" fillId="0" borderId="0" xfId="33" applyNumberFormat="1" applyFont="1" applyAlignment="1">
      <alignment horizontal="center" vertical="center"/>
    </xf>
    <xf numFmtId="0" fontId="26" fillId="0" borderId="0" xfId="33" applyFont="1" applyAlignment="1">
      <alignment vertical="top"/>
    </xf>
    <xf numFmtId="0" fontId="26" fillId="5" borderId="128" xfId="33" applyFont="1" applyFill="1" applyBorder="1" applyAlignment="1" applyProtection="1">
      <alignment horizontal="center" vertical="center" wrapText="1"/>
      <protection locked="0"/>
    </xf>
    <xf numFmtId="0" fontId="26" fillId="5" borderId="18" xfId="33" applyFont="1" applyFill="1" applyBorder="1" applyAlignment="1" applyProtection="1">
      <alignment horizontal="center" vertical="center" wrapText="1"/>
      <protection locked="0"/>
    </xf>
    <xf numFmtId="0" fontId="268" fillId="0" borderId="0" xfId="33" applyFont="1" applyAlignment="1">
      <alignment horizontal="right" vertical="top"/>
    </xf>
    <xf numFmtId="0" fontId="26" fillId="13" borderId="83" xfId="33" applyFont="1" applyFill="1" applyBorder="1" applyAlignment="1">
      <alignment horizontal="center" vertical="center"/>
    </xf>
    <xf numFmtId="0" fontId="26" fillId="5" borderId="83" xfId="33" applyFont="1" applyFill="1" applyBorder="1" applyAlignment="1" applyProtection="1">
      <alignment horizontal="center" vertical="center"/>
      <protection locked="0"/>
    </xf>
    <xf numFmtId="0" fontId="46" fillId="0" borderId="0" xfId="33" applyFont="1" applyAlignment="1">
      <alignment vertical="top"/>
    </xf>
    <xf numFmtId="0" fontId="46" fillId="0" borderId="8" xfId="33" applyFont="1" applyBorder="1" applyAlignment="1">
      <alignment vertical="top"/>
    </xf>
    <xf numFmtId="0" fontId="42" fillId="0" borderId="0" xfId="33" applyFont="1" applyAlignment="1">
      <alignment vertical="top"/>
    </xf>
    <xf numFmtId="10" fontId="5" fillId="0" borderId="0" xfId="0" applyNumberFormat="1" applyFont="1" applyAlignment="1">
      <alignment horizontal="left" vertical="center"/>
    </xf>
    <xf numFmtId="0" fontId="26" fillId="5" borderId="128" xfId="37" applyFont="1" applyFill="1" applyBorder="1" applyAlignment="1" applyProtection="1">
      <alignment horizontal="center" vertical="top"/>
      <protection locked="0"/>
    </xf>
    <xf numFmtId="181" fontId="26" fillId="5" borderId="15" xfId="37" applyNumberFormat="1" applyFont="1" applyFill="1" applyBorder="1" applyAlignment="1" applyProtection="1">
      <alignment horizontal="center" vertical="center"/>
      <protection locked="0"/>
    </xf>
    <xf numFmtId="10" fontId="10" fillId="10" borderId="83" xfId="37" applyNumberFormat="1" applyFont="1" applyFill="1" applyBorder="1" applyAlignment="1" applyProtection="1">
      <alignment horizontal="center" vertical="center" wrapText="1"/>
      <protection locked="0"/>
    </xf>
    <xf numFmtId="0" fontId="10" fillId="10" borderId="83" xfId="37" applyFont="1" applyFill="1" applyBorder="1" applyAlignment="1" applyProtection="1">
      <alignment horizontal="center" vertical="top"/>
      <protection locked="0"/>
    </xf>
    <xf numFmtId="38" fontId="26" fillId="10" borderId="11" xfId="37" applyNumberFormat="1" applyFont="1" applyFill="1" applyBorder="1" applyAlignment="1" applyProtection="1">
      <alignment horizontal="center" vertical="center"/>
      <protection locked="0"/>
    </xf>
    <xf numFmtId="0" fontId="135" fillId="0" borderId="0" xfId="37" applyFont="1" applyAlignment="1">
      <alignment vertical="center" wrapText="1"/>
    </xf>
    <xf numFmtId="0" fontId="135"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10" fillId="0" borderId="0" xfId="37" applyFont="1" applyAlignment="1">
      <alignment horizontal="center" vertical="center"/>
    </xf>
    <xf numFmtId="0" fontId="26" fillId="0" borderId="0" xfId="37" applyFont="1" applyAlignment="1">
      <alignment horizontal="center" vertical="center"/>
    </xf>
    <xf numFmtId="0" fontId="26" fillId="0" borderId="81" xfId="37" applyFont="1" applyBorder="1" applyAlignment="1">
      <alignment horizontal="center" vertical="center"/>
    </xf>
    <xf numFmtId="0" fontId="26" fillId="0" borderId="77" xfId="37" applyFont="1" applyBorder="1" applyAlignment="1">
      <alignment horizontal="center" vertical="center"/>
    </xf>
    <xf numFmtId="0" fontId="26" fillId="0" borderId="0" xfId="37" applyFont="1" applyAlignment="1">
      <alignment vertical="center" wrapText="1"/>
    </xf>
    <xf numFmtId="0" fontId="26" fillId="0" borderId="0" xfId="37" applyFont="1" applyAlignment="1">
      <alignment vertical="top" wrapText="1"/>
    </xf>
    <xf numFmtId="0" fontId="26" fillId="0" borderId="12" xfId="37" applyFont="1" applyBorder="1" applyAlignment="1">
      <alignment horizontal="center" vertical="center"/>
    </xf>
    <xf numFmtId="0" fontId="26" fillId="0" borderId="8" xfId="37" applyFont="1" applyBorder="1" applyAlignment="1">
      <alignment vertical="center"/>
    </xf>
    <xf numFmtId="0" fontId="26" fillId="0" borderId="0" xfId="37" applyFont="1" applyAlignment="1">
      <alignment horizontal="center" wrapText="1"/>
    </xf>
    <xf numFmtId="0" fontId="26" fillId="0" borderId="0" xfId="37" applyFont="1" applyAlignment="1">
      <alignment vertical="center"/>
    </xf>
    <xf numFmtId="0" fontId="26" fillId="0" borderId="0" xfId="37" applyFont="1" applyAlignment="1">
      <alignment horizontal="center"/>
    </xf>
    <xf numFmtId="38" fontId="26" fillId="0" borderId="0" xfId="37" applyNumberFormat="1" applyFont="1" applyAlignment="1">
      <alignment horizontal="center" vertical="center"/>
    </xf>
    <xf numFmtId="38" fontId="10" fillId="0" borderId="0" xfId="37" applyNumberFormat="1" applyFont="1" applyAlignment="1">
      <alignment horizontal="center" vertical="center"/>
    </xf>
    <xf numFmtId="181" fontId="26" fillId="0" borderId="112" xfId="37" applyNumberFormat="1" applyFont="1" applyBorder="1" applyAlignment="1">
      <alignment horizontal="center" vertical="center"/>
    </xf>
    <xf numFmtId="0" fontId="135" fillId="0" borderId="0" xfId="37" applyFont="1" applyAlignment="1">
      <alignment vertical="center"/>
    </xf>
    <xf numFmtId="0" fontId="115" fillId="0" borderId="0" xfId="37" applyFont="1" applyAlignment="1">
      <alignment vertical="center" wrapText="1"/>
    </xf>
    <xf numFmtId="0" fontId="10" fillId="0" borderId="0" xfId="37" applyFont="1" applyAlignment="1">
      <alignment vertical="center" wrapText="1"/>
    </xf>
    <xf numFmtId="0" fontId="26" fillId="0" borderId="0" xfId="37" applyFont="1" applyAlignment="1">
      <alignment horizontal="right" vertical="center"/>
    </xf>
    <xf numFmtId="0" fontId="10" fillId="0" borderId="0" xfId="37" applyFont="1" applyAlignment="1">
      <alignment horizontal="center"/>
    </xf>
    <xf numFmtId="0" fontId="134" fillId="0" borderId="0" xfId="37" applyFont="1" applyAlignment="1">
      <alignment vertical="center"/>
    </xf>
    <xf numFmtId="0" fontId="131" fillId="0" borderId="0" xfId="37" applyFont="1" applyAlignment="1">
      <alignment vertical="center"/>
    </xf>
    <xf numFmtId="0" fontId="253" fillId="0" borderId="0" xfId="37" quotePrefix="1" applyFont="1" applyAlignment="1">
      <alignment vertical="center"/>
    </xf>
    <xf numFmtId="0" fontId="253" fillId="0" borderId="0" xfId="37" applyFont="1" applyAlignment="1">
      <alignment vertical="center"/>
    </xf>
    <xf numFmtId="0" fontId="10" fillId="0" borderId="0" xfId="37" applyFont="1" applyAlignment="1">
      <alignment wrapText="1"/>
    </xf>
    <xf numFmtId="0" fontId="267" fillId="0" borderId="84" xfId="37" applyFont="1" applyBorder="1" applyAlignment="1">
      <alignment horizontal="center" vertical="center"/>
    </xf>
    <xf numFmtId="0" fontId="265" fillId="0" borderId="84" xfId="37" applyFont="1" applyBorder="1" applyAlignment="1">
      <alignment horizontal="center" vertical="center"/>
    </xf>
    <xf numFmtId="0" fontId="26" fillId="0" borderId="0" xfId="37" applyFont="1" applyAlignment="1">
      <alignment horizontal="center" vertical="center" wrapText="1"/>
    </xf>
    <xf numFmtId="3" fontId="26" fillId="0" borderId="0" xfId="37" applyNumberFormat="1" applyFont="1" applyAlignment="1">
      <alignment horizontal="center" vertical="center"/>
    </xf>
    <xf numFmtId="186" fontId="26" fillId="0" borderId="0" xfId="37" applyNumberFormat="1" applyFont="1" applyAlignment="1">
      <alignment horizontal="center" vertical="center"/>
    </xf>
    <xf numFmtId="0" fontId="259"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6" fillId="0" borderId="15" xfId="37" applyNumberFormat="1" applyFont="1" applyBorder="1" applyAlignment="1">
      <alignment horizontal="center" vertical="center"/>
    </xf>
    <xf numFmtId="0" fontId="97" fillId="0" borderId="0" xfId="37" applyFont="1" applyAlignment="1">
      <alignment horizontal="center" vertical="center"/>
    </xf>
    <xf numFmtId="0" fontId="253" fillId="0" borderId="0" xfId="37" applyFont="1" applyAlignment="1">
      <alignment horizontal="left" vertical="center"/>
    </xf>
    <xf numFmtId="0" fontId="259" fillId="0" borderId="0" xfId="37" applyFont="1" applyAlignment="1">
      <alignment horizontal="center" vertical="center"/>
    </xf>
    <xf numFmtId="0" fontId="10" fillId="0" borderId="0" xfId="37" applyFont="1" applyAlignment="1">
      <alignment horizontal="right" vertical="center"/>
    </xf>
    <xf numFmtId="38" fontId="26" fillId="0" borderId="124" xfId="37" applyNumberFormat="1" applyFont="1" applyBorder="1" applyAlignment="1">
      <alignment horizontal="center" vertical="center"/>
    </xf>
    <xf numFmtId="0" fontId="259" fillId="0" borderId="0" xfId="37" applyFont="1" applyAlignment="1">
      <alignment horizontal="left" vertical="top"/>
    </xf>
    <xf numFmtId="0" fontId="135" fillId="0" borderId="0" xfId="37" applyFont="1" applyAlignment="1">
      <alignment horizontal="left" vertical="center"/>
    </xf>
    <xf numFmtId="0" fontId="26" fillId="0" borderId="0" xfId="37" quotePrefix="1" applyFont="1" applyAlignment="1">
      <alignment horizontal="left" vertical="center"/>
    </xf>
    <xf numFmtId="0" fontId="10" fillId="0" borderId="0" xfId="37" quotePrefix="1" applyFont="1" applyAlignment="1">
      <alignment horizontal="right" vertical="center"/>
    </xf>
    <xf numFmtId="0" fontId="26" fillId="13" borderId="128" xfId="37" applyFont="1" applyFill="1" applyBorder="1" applyAlignment="1">
      <alignment horizontal="center" vertical="center"/>
    </xf>
    <xf numFmtId="0" fontId="26" fillId="0" borderId="0" xfId="37" quotePrefix="1" applyFont="1" applyAlignment="1">
      <alignment horizontal="left" vertical="top"/>
    </xf>
    <xf numFmtId="0" fontId="26" fillId="13" borderId="17" xfId="37" applyFont="1" applyFill="1" applyBorder="1" applyAlignment="1">
      <alignment horizontal="center" vertical="center"/>
    </xf>
    <xf numFmtId="0" fontId="26" fillId="13" borderId="18" xfId="37" applyFont="1" applyFill="1" applyBorder="1" applyAlignment="1">
      <alignment horizontal="center" vertical="center"/>
    </xf>
    <xf numFmtId="38" fontId="26" fillId="0" borderId="83" xfId="37" applyNumberFormat="1" applyFont="1" applyBorder="1" applyAlignment="1">
      <alignment horizontal="center" vertical="center"/>
    </xf>
    <xf numFmtId="0" fontId="253" fillId="0" borderId="0" xfId="37" quotePrefix="1" applyFont="1" applyAlignment="1">
      <alignment horizontal="center" vertical="center"/>
    </xf>
    <xf numFmtId="0" fontId="10" fillId="0" borderId="0" xfId="37" applyFont="1" applyAlignment="1">
      <alignment horizontal="left" vertical="center" wrapText="1"/>
    </xf>
    <xf numFmtId="0" fontId="26" fillId="13" borderId="12" xfId="37" applyFont="1" applyFill="1" applyBorder="1" applyAlignment="1">
      <alignment horizontal="center" vertical="top"/>
    </xf>
    <xf numFmtId="0" fontId="10" fillId="0" borderId="0" xfId="37" applyFont="1" applyAlignment="1">
      <alignment horizontal="left" vertical="top" wrapText="1"/>
    </xf>
    <xf numFmtId="0" fontId="26" fillId="13" borderId="18"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6" fillId="13" borderId="128" xfId="37" applyFont="1" applyFill="1" applyBorder="1" applyAlignment="1">
      <alignment horizontal="center" vertical="top"/>
    </xf>
    <xf numFmtId="0" fontId="259" fillId="0" borderId="0" xfId="37" applyFont="1" applyAlignment="1">
      <alignment horizontal="center" vertical="top"/>
    </xf>
    <xf numFmtId="0" fontId="259" fillId="0" borderId="0" xfId="37" applyFont="1" applyAlignment="1">
      <alignment vertical="top" wrapText="1"/>
    </xf>
    <xf numFmtId="0" fontId="131"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6" fillId="0" borderId="0" xfId="37" applyFont="1" applyAlignment="1">
      <alignment horizontal="center" vertical="top" wrapText="1"/>
    </xf>
    <xf numFmtId="0" fontId="97" fillId="0" borderId="7" xfId="37" applyFont="1" applyBorder="1" applyAlignment="1">
      <alignment vertical="center"/>
    </xf>
    <xf numFmtId="0" fontId="131" fillId="0" borderId="0" xfId="37" applyFont="1" applyAlignment="1">
      <alignment horizontal="left"/>
    </xf>
    <xf numFmtId="0" fontId="135" fillId="0" borderId="0" xfId="37" applyFont="1" applyAlignment="1">
      <alignment horizontal="right" vertical="center"/>
    </xf>
    <xf numFmtId="0" fontId="10" fillId="0" borderId="0" xfId="37" quotePrefix="1" applyFont="1"/>
    <xf numFmtId="0" fontId="135" fillId="0" borderId="0" xfId="37" applyFont="1" applyAlignment="1">
      <alignment horizontal="center" vertical="center"/>
    </xf>
    <xf numFmtId="0" fontId="180" fillId="0" borderId="0" xfId="37" applyFont="1" applyAlignment="1">
      <alignment vertical="center" wrapText="1"/>
    </xf>
    <xf numFmtId="0" fontId="10" fillId="0" borderId="0" xfId="37" quotePrefix="1" applyFont="1" applyAlignment="1">
      <alignment vertical="center"/>
    </xf>
    <xf numFmtId="0" fontId="26" fillId="0" borderId="0" xfId="37" applyFont="1" applyAlignment="1">
      <alignment horizontal="left" vertical="top"/>
    </xf>
    <xf numFmtId="0" fontId="135" fillId="0" borderId="0" xfId="37" applyFont="1" applyAlignment="1">
      <alignment horizontal="center"/>
    </xf>
    <xf numFmtId="0" fontId="253" fillId="0" borderId="0" xfId="37" quotePrefix="1" applyFont="1" applyAlignment="1">
      <alignment vertical="top"/>
    </xf>
    <xf numFmtId="0" fontId="97" fillId="0" borderId="0" xfId="37" applyFont="1" applyAlignment="1">
      <alignment horizontal="center" vertical="top"/>
    </xf>
    <xf numFmtId="0" fontId="180" fillId="0" borderId="0" xfId="37" applyFont="1" applyAlignment="1">
      <alignment vertical="top" wrapText="1"/>
    </xf>
    <xf numFmtId="0" fontId="10" fillId="0" borderId="0" xfId="37" quotePrefix="1" applyFont="1" applyAlignment="1">
      <alignment horizontal="right" vertical="top"/>
    </xf>
    <xf numFmtId="0" fontId="97" fillId="0" borderId="0" xfId="37" applyFont="1" applyAlignment="1">
      <alignment vertical="center"/>
    </xf>
    <xf numFmtId="0" fontId="26" fillId="0" borderId="0" xfId="37" applyFont="1"/>
    <xf numFmtId="0" fontId="26" fillId="0" borderId="0" xfId="37" applyFont="1" applyAlignment="1">
      <alignment horizontal="right"/>
    </xf>
    <xf numFmtId="181" fontId="26" fillId="17" borderId="15" xfId="37" applyNumberFormat="1" applyFont="1" applyFill="1" applyBorder="1" applyAlignment="1">
      <alignment horizontal="center" vertical="center"/>
    </xf>
    <xf numFmtId="0" fontId="26" fillId="0" borderId="0" xfId="37" quotePrefix="1" applyFont="1" applyAlignment="1">
      <alignment horizontal="center" vertical="center"/>
    </xf>
    <xf numFmtId="38" fontId="26" fillId="13" borderId="129" xfId="37" applyNumberFormat="1" applyFont="1" applyFill="1" applyBorder="1" applyAlignment="1">
      <alignment horizontal="center" vertical="center"/>
    </xf>
    <xf numFmtId="0" fontId="26" fillId="13" borderId="12" xfId="37" applyFont="1" applyFill="1" applyBorder="1" applyAlignment="1">
      <alignment horizontal="center" vertical="center"/>
    </xf>
    <xf numFmtId="0" fontId="10" fillId="0" borderId="0" xfId="37" quotePrefix="1" applyFont="1" applyAlignment="1">
      <alignment horizontal="left" vertical="top"/>
    </xf>
    <xf numFmtId="0" fontId="135" fillId="0" borderId="0" xfId="37" applyFont="1" applyAlignment="1">
      <alignment horizontal="left" vertical="center" wrapText="1"/>
    </xf>
    <xf numFmtId="0" fontId="14" fillId="0" borderId="0" xfId="37" applyFont="1"/>
    <xf numFmtId="3" fontId="14" fillId="0" borderId="133" xfId="37" applyNumberFormat="1" applyFont="1" applyBorder="1" applyAlignment="1">
      <alignment horizontal="center" vertical="center"/>
    </xf>
    <xf numFmtId="4" fontId="14" fillId="0" borderId="178" xfId="37" applyNumberFormat="1" applyFont="1" applyBorder="1" applyAlignment="1">
      <alignment horizontal="center" vertical="center"/>
    </xf>
    <xf numFmtId="3" fontId="14" fillId="0" borderId="178" xfId="37" applyNumberFormat="1" applyFont="1" applyBorder="1" applyAlignment="1">
      <alignment horizontal="center" vertical="center"/>
    </xf>
    <xf numFmtId="0" fontId="115"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6"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6" fillId="13" borderId="15" xfId="37" applyNumberFormat="1" applyFont="1" applyFill="1" applyBorder="1" applyAlignment="1">
      <alignment horizontal="center" vertical="center"/>
    </xf>
    <xf numFmtId="38" fontId="4" fillId="0" borderId="83" xfId="37" applyNumberFormat="1" applyBorder="1" applyAlignment="1">
      <alignment horizontal="center" vertical="center"/>
    </xf>
    <xf numFmtId="0" fontId="10" fillId="0" borderId="0" xfId="37" quotePrefix="1" applyFont="1" applyAlignment="1">
      <alignment horizontal="center" vertical="top"/>
    </xf>
    <xf numFmtId="0" fontId="26" fillId="13" borderId="22" xfId="37" applyFont="1" applyFill="1" applyBorder="1" applyAlignment="1">
      <alignment horizontal="center" vertical="top"/>
    </xf>
    <xf numFmtId="0" fontId="10" fillId="0" borderId="0" xfId="37" quotePrefix="1" applyFont="1" applyAlignment="1">
      <alignment horizontal="center" vertical="center"/>
    </xf>
    <xf numFmtId="0" fontId="131" fillId="0" borderId="13" xfId="37" applyFont="1" applyBorder="1" applyAlignment="1">
      <alignment vertical="center"/>
    </xf>
    <xf numFmtId="0" fontId="10" fillId="0" borderId="13" xfId="37" applyFont="1" applyBorder="1" applyAlignment="1">
      <alignment horizontal="left" vertical="center" wrapText="1"/>
    </xf>
    <xf numFmtId="0" fontId="10" fillId="0" borderId="0" xfId="37" applyFont="1" applyAlignment="1">
      <alignment horizontal="center" vertical="center" wrapText="1"/>
    </xf>
    <xf numFmtId="0" fontId="253" fillId="0" borderId="0" xfId="37" quotePrefix="1" applyFont="1" applyAlignment="1">
      <alignment horizontal="left" vertical="center"/>
    </xf>
    <xf numFmtId="38" fontId="26" fillId="0" borderId="13" xfId="37" applyNumberFormat="1" applyFont="1" applyBorder="1" applyAlignment="1">
      <alignment horizontal="center" vertical="center"/>
    </xf>
    <xf numFmtId="0" fontId="4" fillId="0" borderId="0" xfId="37" applyAlignment="1">
      <alignment horizontal="right" vertical="center"/>
    </xf>
    <xf numFmtId="38" fontId="26" fillId="13" borderId="22" xfId="37" applyNumberFormat="1" applyFont="1" applyFill="1" applyBorder="1" applyAlignment="1">
      <alignment horizontal="center" vertical="center"/>
    </xf>
    <xf numFmtId="38" fontId="26" fillId="13" borderId="11" xfId="37" applyNumberFormat="1" applyFont="1" applyFill="1" applyBorder="1" applyAlignment="1">
      <alignment horizontal="center" vertical="center"/>
    </xf>
    <xf numFmtId="38" fontId="26" fillId="13" borderId="83"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38" fontId="26" fillId="0" borderId="79" xfId="37" applyNumberFormat="1" applyFont="1" applyBorder="1" applyAlignment="1">
      <alignment horizontal="center" vertical="center"/>
    </xf>
    <xf numFmtId="0" fontId="42" fillId="0" borderId="0" xfId="37" applyFont="1" applyAlignment="1">
      <alignment vertical="center"/>
    </xf>
    <xf numFmtId="0" fontId="259" fillId="0" borderId="0" xfId="37" applyFont="1" applyAlignment="1">
      <alignment horizontal="left" vertical="center"/>
    </xf>
    <xf numFmtId="38" fontId="26" fillId="13" borderId="128" xfId="37" applyNumberFormat="1" applyFont="1" applyFill="1" applyBorder="1" applyAlignment="1">
      <alignment horizontal="center" vertical="center"/>
    </xf>
    <xf numFmtId="38" fontId="26" fillId="13" borderId="18" xfId="37" applyNumberFormat="1" applyFont="1" applyFill="1" applyBorder="1" applyAlignment="1">
      <alignment horizontal="center" vertical="center"/>
    </xf>
    <xf numFmtId="0" fontId="26" fillId="0" borderId="0" xfId="37" applyFont="1" applyAlignment="1">
      <alignment horizontal="left" vertical="center"/>
    </xf>
    <xf numFmtId="38" fontId="26" fillId="13" borderId="17" xfId="37" applyNumberFormat="1" applyFont="1" applyFill="1" applyBorder="1" applyAlignment="1">
      <alignment horizontal="center" vertical="center"/>
    </xf>
    <xf numFmtId="0" fontId="4" fillId="0" borderId="0" xfId="37" applyAlignment="1">
      <alignment horizontal="center" vertical="top"/>
    </xf>
    <xf numFmtId="38" fontId="26" fillId="13" borderId="17" xfId="37" applyNumberFormat="1" applyFont="1" applyFill="1" applyBorder="1" applyAlignment="1">
      <alignment horizontal="center" vertical="top"/>
    </xf>
    <xf numFmtId="0" fontId="43" fillId="0" borderId="0" xfId="37" applyFont="1" applyAlignment="1">
      <alignment horizontal="right" vertical="center"/>
    </xf>
    <xf numFmtId="0" fontId="253" fillId="0" borderId="0" xfId="37" quotePrefix="1" applyFont="1"/>
    <xf numFmtId="0" fontId="253" fillId="0" borderId="0" xfId="37" applyFont="1"/>
    <xf numFmtId="38" fontId="26" fillId="0" borderId="0" xfId="37" applyNumberFormat="1" applyFont="1" applyAlignment="1">
      <alignment horizontal="center"/>
    </xf>
    <xf numFmtId="0" fontId="5" fillId="0" borderId="0" xfId="37" applyFont="1" applyAlignment="1">
      <alignment horizontal="right" vertical="center"/>
    </xf>
    <xf numFmtId="38" fontId="135" fillId="0" borderId="0" xfId="37" applyNumberFormat="1" applyFont="1" applyAlignment="1">
      <alignment vertical="center"/>
    </xf>
    <xf numFmtId="38" fontId="10" fillId="0" borderId="83" xfId="37" applyNumberFormat="1" applyFont="1" applyBorder="1" applyAlignment="1">
      <alignment horizontal="center" vertical="center"/>
    </xf>
    <xf numFmtId="0" fontId="115" fillId="0" borderId="0" xfId="37" applyFont="1" applyAlignment="1">
      <alignment vertical="center"/>
    </xf>
    <xf numFmtId="40" fontId="135" fillId="0" borderId="83" xfId="37" applyNumberFormat="1" applyFont="1" applyBorder="1" applyAlignment="1">
      <alignment horizontal="center" vertical="center"/>
    </xf>
    <xf numFmtId="0" fontId="26" fillId="0" borderId="0" xfId="37" quotePrefix="1" applyFont="1" applyAlignment="1">
      <alignment horizontal="right" vertical="center"/>
    </xf>
    <xf numFmtId="10" fontId="26" fillId="0" borderId="0" xfId="37" applyNumberFormat="1" applyFont="1" applyAlignment="1">
      <alignment horizontal="center" vertical="center"/>
    </xf>
    <xf numFmtId="0" fontId="10" fillId="0" borderId="0" xfId="37" applyFont="1" applyAlignment="1">
      <alignment horizontal="left"/>
    </xf>
    <xf numFmtId="0" fontId="10" fillId="0" borderId="41" xfId="37" applyFont="1" applyBorder="1" applyAlignment="1">
      <alignment vertical="center"/>
    </xf>
    <xf numFmtId="10" fontId="260" fillId="0" borderId="83" xfId="37" applyNumberFormat="1" applyFont="1" applyBorder="1" applyAlignment="1">
      <alignment horizontal="center" vertical="center"/>
    </xf>
    <xf numFmtId="0" fontId="264" fillId="0" borderId="0" xfId="0" applyFont="1" applyAlignment="1">
      <alignment horizontal="right" vertical="center"/>
    </xf>
    <xf numFmtId="0" fontId="26" fillId="0" borderId="0" xfId="37" applyFont="1" applyAlignment="1">
      <alignment horizontal="center" vertical="top"/>
    </xf>
    <xf numFmtId="0" fontId="26" fillId="13" borderId="83" xfId="37" applyFont="1" applyFill="1" applyBorder="1" applyAlignment="1">
      <alignment horizontal="center" vertical="top"/>
    </xf>
    <xf numFmtId="181" fontId="26" fillId="13" borderId="83" xfId="37" applyNumberFormat="1" applyFont="1" applyFill="1" applyBorder="1" applyAlignment="1">
      <alignment horizontal="center" vertical="center"/>
    </xf>
    <xf numFmtId="0" fontId="131" fillId="0" borderId="0" xfId="37" applyFont="1" applyAlignment="1">
      <alignment vertical="top"/>
    </xf>
    <xf numFmtId="0" fontId="131" fillId="0" borderId="0" xfId="37" applyFont="1" applyAlignment="1">
      <alignment horizontal="right" vertical="center"/>
    </xf>
    <xf numFmtId="0" fontId="10" fillId="0" borderId="0" xfId="37" quotePrefix="1" applyFont="1" applyAlignment="1">
      <alignment vertical="top"/>
    </xf>
    <xf numFmtId="0" fontId="115" fillId="0" borderId="0" xfId="37" applyFont="1" applyAlignment="1">
      <alignment horizontal="left" vertical="center"/>
    </xf>
    <xf numFmtId="0" fontId="10" fillId="0" borderId="0" xfId="37" applyFont="1" applyAlignment="1">
      <alignment vertical="top" wrapText="1"/>
    </xf>
    <xf numFmtId="0" fontId="261" fillId="0" borderId="0" xfId="37" applyFont="1" applyAlignment="1">
      <alignment vertical="center"/>
    </xf>
    <xf numFmtId="181" fontId="10" fillId="0" borderId="83" xfId="37" applyNumberFormat="1" applyFont="1" applyBorder="1" applyAlignment="1">
      <alignment horizontal="center" vertical="center"/>
    </xf>
    <xf numFmtId="0" fontId="43" fillId="0" borderId="83" xfId="33" applyFont="1" applyBorder="1" applyAlignment="1">
      <alignment horizontal="center" vertical="center"/>
    </xf>
    <xf numFmtId="38" fontId="26" fillId="13" borderId="81" xfId="37" applyNumberFormat="1" applyFont="1" applyFill="1" applyBorder="1" applyAlignment="1">
      <alignment horizontal="center" vertical="top"/>
    </xf>
    <xf numFmtId="0" fontId="5" fillId="0" borderId="11" xfId="33" applyFont="1" applyBorder="1" applyAlignment="1">
      <alignment horizontal="center" vertical="center"/>
    </xf>
    <xf numFmtId="181" fontId="26" fillId="13" borderId="18" xfId="37" applyNumberFormat="1" applyFont="1" applyFill="1" applyBorder="1" applyAlignment="1">
      <alignment horizontal="center" vertical="center"/>
    </xf>
    <xf numFmtId="0" fontId="26" fillId="0" borderId="0" xfId="37" applyFont="1" applyAlignment="1">
      <alignment vertical="top"/>
    </xf>
    <xf numFmtId="0" fontId="261"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6" fillId="0" borderId="0" xfId="37" quotePrefix="1" applyNumberFormat="1" applyFont="1" applyAlignment="1">
      <alignment horizontal="left" vertical="top"/>
    </xf>
    <xf numFmtId="38" fontId="26" fillId="13" borderId="81" xfId="37" applyNumberFormat="1" applyFont="1" applyFill="1" applyBorder="1" applyAlignment="1">
      <alignment horizontal="center" vertical="center"/>
    </xf>
    <xf numFmtId="0" fontId="5" fillId="0" borderId="81" xfId="33" applyFont="1" applyBorder="1" applyAlignment="1">
      <alignment horizontal="center" vertical="center"/>
    </xf>
    <xf numFmtId="38" fontId="26" fillId="13" borderId="94" xfId="37" applyNumberFormat="1" applyFont="1" applyFill="1" applyBorder="1" applyAlignment="1">
      <alignment horizontal="center" vertical="center"/>
    </xf>
    <xf numFmtId="0" fontId="135" fillId="0" borderId="0" xfId="37" applyFont="1" applyAlignment="1">
      <alignment horizontal="center" vertical="top"/>
    </xf>
    <xf numFmtId="38" fontId="26" fillId="13" borderId="18" xfId="37" applyNumberFormat="1" applyFont="1" applyFill="1" applyBorder="1" applyAlignment="1">
      <alignment horizontal="center" vertical="top"/>
    </xf>
    <xf numFmtId="186" fontId="26" fillId="13" borderId="15" xfId="37" applyNumberFormat="1" applyFont="1" applyFill="1" applyBorder="1" applyAlignment="1">
      <alignment horizontal="center" vertical="center"/>
    </xf>
    <xf numFmtId="0" fontId="97" fillId="0" borderId="0" xfId="37" applyFont="1" applyAlignment="1">
      <alignment horizontal="left" vertical="center"/>
    </xf>
    <xf numFmtId="0" fontId="98" fillId="0" borderId="0" xfId="37" applyFont="1" applyAlignment="1">
      <alignment vertical="center"/>
    </xf>
    <xf numFmtId="0" fontId="4" fillId="0" borderId="0" xfId="37"/>
    <xf numFmtId="0" fontId="26"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7" fillId="0" borderId="0" xfId="37" applyFont="1" applyAlignment="1">
      <alignment horizontal="center"/>
    </xf>
    <xf numFmtId="49" fontId="26" fillId="0" borderId="0" xfId="37" quotePrefix="1" applyNumberFormat="1" applyFont="1" applyAlignment="1">
      <alignment horizontal="left" vertical="center"/>
    </xf>
    <xf numFmtId="0" fontId="198" fillId="0" borderId="0" xfId="37" applyFont="1" applyAlignment="1">
      <alignment horizontal="right" vertical="center"/>
    </xf>
    <xf numFmtId="0" fontId="254" fillId="0" borderId="0" xfId="37" applyFont="1"/>
    <xf numFmtId="0" fontId="262" fillId="0" borderId="0" xfId="37" applyFont="1" applyAlignment="1">
      <alignment horizontal="right" vertical="center"/>
    </xf>
    <xf numFmtId="181" fontId="26" fillId="0" borderId="83" xfId="37" applyNumberFormat="1" applyFont="1" applyBorder="1" applyAlignment="1">
      <alignment horizontal="center" vertical="center"/>
    </xf>
    <xf numFmtId="0" fontId="26" fillId="13" borderId="83" xfId="37" applyFont="1" applyFill="1" applyBorder="1" applyAlignment="1">
      <alignment horizontal="center" vertical="center"/>
    </xf>
    <xf numFmtId="0" fontId="115" fillId="0" borderId="43" xfId="37" applyFont="1" applyBorder="1" applyAlignment="1">
      <alignment vertical="center"/>
    </xf>
    <xf numFmtId="0" fontId="253" fillId="0" borderId="19" xfId="37" applyFont="1" applyBorder="1" applyAlignment="1">
      <alignment vertical="center"/>
    </xf>
    <xf numFmtId="0" fontId="10" fillId="0" borderId="19" xfId="37" applyFont="1" applyBorder="1" applyAlignment="1">
      <alignment vertical="center"/>
    </xf>
    <xf numFmtId="0" fontId="260" fillId="0" borderId="58" xfId="37" applyFont="1" applyBorder="1" applyAlignment="1">
      <alignment horizontal="center" vertical="center"/>
    </xf>
    <xf numFmtId="0" fontId="266" fillId="0" borderId="58" xfId="37" applyFont="1" applyBorder="1" applyAlignment="1">
      <alignment horizontal="center" vertical="center"/>
    </xf>
    <xf numFmtId="0" fontId="135" fillId="0" borderId="39" xfId="37" applyFont="1" applyBorder="1" applyAlignment="1">
      <alignment horizontal="right" vertical="center"/>
    </xf>
    <xf numFmtId="0" fontId="10" fillId="0" borderId="40" xfId="37" applyFont="1" applyBorder="1" applyAlignment="1">
      <alignment vertical="center"/>
    </xf>
    <xf numFmtId="181" fontId="267" fillId="0" borderId="0" xfId="37" applyNumberFormat="1" applyFont="1" applyAlignment="1">
      <alignment horizontal="center" vertical="center"/>
    </xf>
    <xf numFmtId="181" fontId="265" fillId="0" borderId="0" xfId="37" applyNumberFormat="1" applyFont="1" applyAlignment="1">
      <alignment horizontal="center" vertical="center"/>
    </xf>
    <xf numFmtId="0" fontId="135" fillId="0" borderId="41" xfId="37" applyFont="1" applyBorder="1" applyAlignment="1">
      <alignment horizontal="right" vertical="center"/>
    </xf>
    <xf numFmtId="38" fontId="267" fillId="0" borderId="0" xfId="37" applyNumberFormat="1" applyFont="1" applyAlignment="1">
      <alignment horizontal="center" vertical="center"/>
    </xf>
    <xf numFmtId="38" fontId="265" fillId="0" borderId="0" xfId="37" applyNumberFormat="1" applyFont="1" applyAlignment="1">
      <alignment horizontal="center" vertical="center"/>
    </xf>
    <xf numFmtId="0" fontId="10" fillId="0" borderId="42" xfId="37" applyFont="1" applyBorder="1" applyAlignment="1">
      <alignment vertical="center"/>
    </xf>
    <xf numFmtId="0" fontId="253" fillId="0" borderId="20" xfId="37" applyFont="1" applyBorder="1" applyAlignment="1">
      <alignment vertical="center"/>
    </xf>
    <xf numFmtId="0" fontId="10" fillId="0" borderId="20" xfId="37" applyFont="1" applyBorder="1" applyAlignment="1">
      <alignment vertical="center"/>
    </xf>
    <xf numFmtId="0" fontId="135" fillId="0" borderId="59" xfId="37" applyFont="1" applyBorder="1" applyAlignment="1">
      <alignment horizontal="right" vertical="center"/>
    </xf>
    <xf numFmtId="0" fontId="10" fillId="0" borderId="0" xfId="37" quotePrefix="1" applyFont="1" applyAlignment="1">
      <alignment horizontal="left" vertical="center"/>
    </xf>
    <xf numFmtId="0" fontId="113" fillId="0" borderId="0" xfId="37" applyFont="1" applyAlignment="1">
      <alignment horizontal="right" vertical="center"/>
    </xf>
    <xf numFmtId="0" fontId="135" fillId="0" borderId="0" xfId="37" applyFont="1"/>
    <xf numFmtId="0" fontId="26" fillId="0" borderId="0" xfId="37" quotePrefix="1" applyFont="1" applyAlignment="1">
      <alignment horizontal="center" vertical="top"/>
    </xf>
    <xf numFmtId="0" fontId="10" fillId="0" borderId="7" xfId="37" applyFont="1" applyBorder="1" applyAlignment="1">
      <alignment vertical="top" wrapText="1"/>
    </xf>
    <xf numFmtId="0" fontId="10" fillId="0" borderId="0" xfId="37" applyFont="1" applyAlignment="1">
      <alignment horizontal="center" wrapText="1"/>
    </xf>
    <xf numFmtId="0" fontId="5" fillId="0" borderId="0" xfId="37" applyFont="1" applyAlignment="1">
      <alignment horizontal="center" vertical="center"/>
    </xf>
    <xf numFmtId="10" fontId="9" fillId="0" borderId="83" xfId="37" applyNumberFormat="1" applyFont="1" applyBorder="1" applyAlignment="1">
      <alignment horizontal="center" vertical="center"/>
    </xf>
    <xf numFmtId="0" fontId="135" fillId="0" borderId="0" xfId="37" applyFont="1" applyAlignment="1">
      <alignment vertical="top"/>
    </xf>
    <xf numFmtId="186" fontId="26" fillId="0" borderId="15" xfId="37" applyNumberFormat="1" applyFont="1" applyBorder="1" applyAlignment="1">
      <alignment horizontal="center" vertical="center"/>
    </xf>
    <xf numFmtId="0" fontId="271" fillId="0" borderId="0" xfId="37" applyFont="1" applyAlignment="1">
      <alignment horizontal="center" vertical="center"/>
    </xf>
    <xf numFmtId="38" fontId="26" fillId="13" borderId="12" xfId="37" applyNumberFormat="1" applyFont="1" applyFill="1" applyBorder="1" applyAlignment="1">
      <alignment horizontal="center" vertical="center"/>
    </xf>
    <xf numFmtId="0" fontId="265" fillId="0" borderId="0" xfId="37" applyFont="1"/>
    <xf numFmtId="9" fontId="270" fillId="0" borderId="13" xfId="37" applyNumberFormat="1" applyFont="1" applyBorder="1" applyAlignment="1">
      <alignment horizontal="center" vertical="center" wrapText="1"/>
    </xf>
    <xf numFmtId="9" fontId="269" fillId="0" borderId="13" xfId="37" applyNumberFormat="1" applyFont="1" applyBorder="1" applyAlignment="1">
      <alignment horizontal="center" vertical="center" wrapText="1"/>
    </xf>
    <xf numFmtId="0" fontId="10" fillId="0" borderId="20" xfId="37" applyFont="1" applyBorder="1"/>
    <xf numFmtId="38" fontId="260" fillId="0" borderId="93" xfId="37" applyNumberFormat="1" applyFont="1" applyBorder="1" applyAlignment="1">
      <alignment horizontal="center" vertical="center" wrapText="1"/>
    </xf>
    <xf numFmtId="38" fontId="260" fillId="0" borderId="92" xfId="37" applyNumberFormat="1" applyFont="1" applyBorder="1" applyAlignment="1">
      <alignment horizontal="center" vertical="center" wrapText="1"/>
    </xf>
    <xf numFmtId="38" fontId="260" fillId="0" borderId="133" xfId="37" applyNumberFormat="1" applyFont="1" applyBorder="1" applyAlignment="1">
      <alignment horizontal="center" vertical="center" wrapText="1"/>
    </xf>
    <xf numFmtId="38" fontId="260" fillId="0" borderId="190" xfId="37" applyNumberFormat="1" applyFont="1" applyBorder="1" applyAlignment="1">
      <alignment horizontal="center" vertical="center" wrapText="1"/>
    </xf>
    <xf numFmtId="38" fontId="266" fillId="0" borderId="187" xfId="37" applyNumberFormat="1" applyFont="1" applyBorder="1" applyAlignment="1">
      <alignment horizontal="center" vertical="center" wrapText="1"/>
    </xf>
    <xf numFmtId="38" fontId="266" fillId="0" borderId="178" xfId="37" applyNumberFormat="1" applyFont="1" applyBorder="1" applyAlignment="1">
      <alignment horizontal="center" vertical="center" wrapText="1"/>
    </xf>
    <xf numFmtId="38" fontId="266" fillId="0" borderId="133" xfId="37" applyNumberFormat="1" applyFont="1" applyBorder="1" applyAlignment="1">
      <alignment horizontal="center" vertical="center" wrapText="1"/>
    </xf>
    <xf numFmtId="0" fontId="10" fillId="0" borderId="21" xfId="37" applyFont="1" applyBorder="1" applyAlignment="1">
      <alignment vertical="center"/>
    </xf>
    <xf numFmtId="38" fontId="260" fillId="0" borderId="50" xfId="37" applyNumberFormat="1" applyFont="1" applyBorder="1" applyAlignment="1">
      <alignment horizontal="center" vertical="center" wrapText="1"/>
    </xf>
    <xf numFmtId="38" fontId="260" fillId="0" borderId="191" xfId="37" applyNumberFormat="1" applyFont="1" applyBorder="1" applyAlignment="1">
      <alignment horizontal="center" vertical="center" wrapText="1"/>
    </xf>
    <xf numFmtId="38" fontId="266" fillId="0" borderId="188" xfId="37" applyNumberFormat="1" applyFont="1" applyBorder="1" applyAlignment="1">
      <alignment horizontal="center" vertical="center" wrapText="1"/>
    </xf>
    <xf numFmtId="38" fontId="266" fillId="0" borderId="25" xfId="37" applyNumberFormat="1" applyFont="1" applyBorder="1" applyAlignment="1">
      <alignment horizontal="center" vertical="center" wrapText="1"/>
    </xf>
    <xf numFmtId="38" fontId="266" fillId="0" borderId="50" xfId="37" applyNumberFormat="1" applyFont="1" applyBorder="1" applyAlignment="1">
      <alignment horizontal="center" vertical="center" wrapText="1"/>
    </xf>
    <xf numFmtId="0" fontId="10" fillId="0" borderId="21" xfId="37" applyFont="1" applyBorder="1"/>
    <xf numFmtId="0" fontId="26" fillId="0" borderId="83" xfId="37" applyFont="1" applyBorder="1" applyAlignment="1">
      <alignment horizontal="center" vertical="center"/>
    </xf>
    <xf numFmtId="38" fontId="260" fillId="0" borderId="25" xfId="37" applyNumberFormat="1" applyFont="1" applyBorder="1" applyAlignment="1">
      <alignment horizontal="center" vertical="center" wrapText="1"/>
    </xf>
    <xf numFmtId="181" fontId="260" fillId="0" borderId="50" xfId="37" applyNumberFormat="1" applyFont="1" applyBorder="1" applyAlignment="1">
      <alignment horizontal="center" vertical="center" wrapText="1"/>
    </xf>
    <xf numFmtId="181" fontId="260" fillId="0" borderId="25" xfId="37" applyNumberFormat="1" applyFont="1" applyBorder="1" applyAlignment="1">
      <alignment horizontal="center" vertical="center" wrapText="1"/>
    </xf>
    <xf numFmtId="0" fontId="260" fillId="0" borderId="50" xfId="37" applyFont="1" applyBorder="1" applyAlignment="1">
      <alignment horizontal="center" vertical="center" wrapText="1"/>
    </xf>
    <xf numFmtId="0" fontId="260" fillId="0" borderId="191" xfId="37" applyFont="1" applyBorder="1" applyAlignment="1">
      <alignment horizontal="center" vertical="center" wrapText="1"/>
    </xf>
    <xf numFmtId="181" fontId="266" fillId="0" borderId="188" xfId="37" applyNumberFormat="1" applyFont="1" applyBorder="1" applyAlignment="1">
      <alignment horizontal="center" vertical="center" wrapText="1"/>
    </xf>
    <xf numFmtId="181" fontId="266" fillId="0" borderId="25" xfId="37" applyNumberFormat="1" applyFont="1" applyBorder="1" applyAlignment="1">
      <alignment horizontal="center" vertical="center" wrapText="1"/>
    </xf>
    <xf numFmtId="0" fontId="266" fillId="0" borderId="50" xfId="37" applyFont="1" applyBorder="1" applyAlignment="1">
      <alignment horizontal="center" vertical="center" wrapText="1"/>
    </xf>
    <xf numFmtId="0" fontId="266" fillId="0" borderId="25" xfId="37" applyFont="1" applyBorder="1" applyAlignment="1">
      <alignment horizontal="center" vertical="center" wrapText="1"/>
    </xf>
    <xf numFmtId="0" fontId="260" fillId="0" borderId="25" xfId="37" applyFont="1" applyBorder="1" applyAlignment="1">
      <alignment horizontal="center" vertical="center" wrapText="1"/>
    </xf>
    <xf numFmtId="0" fontId="10" fillId="0" borderId="7" xfId="37" applyFont="1" applyBorder="1" applyAlignment="1">
      <alignment vertical="center"/>
    </xf>
    <xf numFmtId="181" fontId="260" fillId="28" borderId="50" xfId="37" applyNumberFormat="1" applyFont="1" applyFill="1" applyBorder="1" applyAlignment="1">
      <alignment horizontal="center" vertical="center" wrapText="1"/>
    </xf>
    <xf numFmtId="181" fontId="260" fillId="28" borderId="191" xfId="37" applyNumberFormat="1" applyFont="1" applyFill="1" applyBorder="1" applyAlignment="1">
      <alignment horizontal="center" vertical="center" wrapText="1"/>
    </xf>
    <xf numFmtId="181" fontId="266" fillId="28" borderId="50" xfId="37" applyNumberFormat="1" applyFont="1" applyFill="1" applyBorder="1" applyAlignment="1">
      <alignment horizontal="center" vertical="center" wrapText="1"/>
    </xf>
    <xf numFmtId="181" fontId="266" fillId="28" borderId="25" xfId="37" applyNumberFormat="1" applyFont="1" applyFill="1" applyBorder="1" applyAlignment="1">
      <alignment horizontal="center" vertical="center" wrapText="1"/>
    </xf>
    <xf numFmtId="38" fontId="260" fillId="28" borderId="50" xfId="37" applyNumberFormat="1" applyFont="1" applyFill="1" applyBorder="1" applyAlignment="1">
      <alignment horizontal="center" vertical="center" wrapText="1"/>
    </xf>
    <xf numFmtId="38" fontId="260" fillId="28" borderId="191" xfId="37" applyNumberFormat="1" applyFont="1" applyFill="1" applyBorder="1" applyAlignment="1">
      <alignment horizontal="center" vertical="center" wrapText="1"/>
    </xf>
    <xf numFmtId="38" fontId="266" fillId="28" borderId="50" xfId="37" applyNumberFormat="1" applyFont="1" applyFill="1" applyBorder="1" applyAlignment="1">
      <alignment horizontal="center" vertical="center" wrapText="1"/>
    </xf>
    <xf numFmtId="38" fontId="266" fillId="28" borderId="25" xfId="37" applyNumberFormat="1" applyFont="1" applyFill="1" applyBorder="1" applyAlignment="1">
      <alignment horizontal="center" vertical="center" wrapText="1"/>
    </xf>
    <xf numFmtId="0" fontId="260" fillId="28" borderId="25" xfId="37" applyFont="1" applyFill="1" applyBorder="1" applyAlignment="1">
      <alignment horizontal="center" vertical="center" wrapText="1"/>
    </xf>
    <xf numFmtId="0" fontId="260" fillId="28" borderId="50" xfId="37" applyFont="1" applyFill="1" applyBorder="1" applyAlignment="1">
      <alignment horizontal="center" vertical="center" wrapText="1"/>
    </xf>
    <xf numFmtId="0" fontId="266" fillId="28" borderId="25" xfId="37" applyFont="1" applyFill="1" applyBorder="1" applyAlignment="1">
      <alignment horizontal="center" vertical="center" wrapText="1"/>
    </xf>
    <xf numFmtId="0" fontId="266" fillId="28" borderId="50" xfId="37" applyFont="1" applyFill="1" applyBorder="1" applyAlignment="1">
      <alignment horizontal="center" vertical="center" wrapText="1"/>
    </xf>
    <xf numFmtId="38" fontId="260" fillId="28" borderId="25" xfId="37" applyNumberFormat="1" applyFont="1" applyFill="1" applyBorder="1" applyAlignment="1">
      <alignment horizontal="center" vertical="center" wrapText="1"/>
    </xf>
    <xf numFmtId="0" fontId="266" fillId="28" borderId="188"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60" fillId="0" borderId="48" xfId="37" applyFont="1" applyBorder="1" applyAlignment="1">
      <alignment horizontal="center" vertical="center" wrapText="1"/>
    </xf>
    <xf numFmtId="38" fontId="260" fillId="0" borderId="87" xfId="37" applyNumberFormat="1" applyFont="1" applyBorder="1" applyAlignment="1">
      <alignment horizontal="center" vertical="center" wrapText="1"/>
    </xf>
    <xf numFmtId="38" fontId="260" fillId="0" borderId="48" xfId="37" applyNumberFormat="1" applyFont="1" applyBorder="1" applyAlignment="1">
      <alignment horizontal="center" vertical="center" wrapText="1"/>
    </xf>
    <xf numFmtId="38" fontId="260" fillId="0" borderId="192" xfId="37" applyNumberFormat="1" applyFont="1" applyBorder="1" applyAlignment="1">
      <alignment horizontal="center" vertical="center" wrapText="1"/>
    </xf>
    <xf numFmtId="0" fontId="266" fillId="0" borderId="189" xfId="37" applyFont="1" applyBorder="1" applyAlignment="1">
      <alignment horizontal="center" vertical="center" wrapText="1"/>
    </xf>
    <xf numFmtId="38" fontId="266" fillId="0" borderId="24" xfId="37" applyNumberFormat="1" applyFont="1" applyBorder="1" applyAlignment="1">
      <alignment horizontal="center" vertical="center" wrapText="1"/>
    </xf>
    <xf numFmtId="38" fontId="266" fillId="0" borderId="48" xfId="37" applyNumberFormat="1" applyFont="1" applyBorder="1" applyAlignment="1">
      <alignment horizontal="center" vertical="center" wrapText="1"/>
    </xf>
    <xf numFmtId="0" fontId="267" fillId="0" borderId="0" xfId="37" applyFont="1" applyAlignment="1">
      <alignment vertical="center"/>
    </xf>
    <xf numFmtId="0" fontId="265" fillId="0" borderId="0" xfId="37" applyFont="1" applyAlignment="1">
      <alignment vertical="center"/>
    </xf>
    <xf numFmtId="186" fontId="260" fillId="0" borderId="0" xfId="37" applyNumberFormat="1" applyFont="1" applyAlignment="1">
      <alignment horizontal="center" vertical="center"/>
    </xf>
    <xf numFmtId="186" fontId="266"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28" xfId="37" applyNumberFormat="1" applyFill="1" applyBorder="1" applyAlignment="1" applyProtection="1">
      <alignment horizontal="center" vertical="top"/>
      <protection locked="0"/>
    </xf>
    <xf numFmtId="188" fontId="4" fillId="10" borderId="17" xfId="37" applyNumberFormat="1" applyFill="1" applyBorder="1" applyAlignment="1" applyProtection="1">
      <alignment horizontal="center" vertical="top"/>
      <protection locked="0"/>
    </xf>
    <xf numFmtId="188" fontId="4" fillId="10" borderId="18" xfId="37" applyNumberFormat="1" applyFill="1" applyBorder="1" applyAlignment="1" applyProtection="1">
      <alignment horizontal="center" vertical="top"/>
      <protection locked="0"/>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 fontId="9" fillId="0" borderId="82" xfId="13" applyNumberFormat="1" applyFont="1" applyBorder="1" applyAlignment="1">
      <alignment horizontal="center"/>
    </xf>
    <xf numFmtId="0" fontId="26" fillId="0" borderId="128" xfId="37" applyFont="1" applyBorder="1" applyAlignment="1">
      <alignment horizontal="center" vertical="center"/>
    </xf>
    <xf numFmtId="38" fontId="4" fillId="0" borderId="22" xfId="37" applyNumberFormat="1" applyBorder="1" applyAlignment="1">
      <alignment horizontal="center" vertical="center"/>
    </xf>
    <xf numFmtId="38" fontId="4" fillId="0" borderId="81" xfId="37" applyNumberFormat="1" applyBorder="1" applyAlignment="1">
      <alignment horizontal="center" vertical="center"/>
    </xf>
    <xf numFmtId="0" fontId="9" fillId="0" borderId="83" xfId="37" applyFont="1" applyBorder="1" applyAlignment="1">
      <alignment horizontal="center" vertical="center"/>
    </xf>
    <xf numFmtId="0" fontId="131" fillId="0" borderId="0" xfId="37" applyFont="1"/>
    <xf numFmtId="0" fontId="131" fillId="0" borderId="0" xfId="37" applyFont="1" applyAlignment="1">
      <alignment horizontal="center" wrapText="1"/>
    </xf>
    <xf numFmtId="49" fontId="26" fillId="31" borderId="0" xfId="37" quotePrefix="1" applyNumberFormat="1" applyFont="1" applyFill="1" applyAlignment="1">
      <alignment horizontal="left" vertical="center"/>
    </xf>
    <xf numFmtId="0" fontId="253"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7" fillId="31" borderId="0" xfId="37" applyFont="1" applyFill="1" applyAlignment="1">
      <alignment horizontal="center" vertical="center"/>
    </xf>
    <xf numFmtId="0" fontId="135" fillId="31" borderId="0" xfId="37" applyFont="1" applyFill="1" applyAlignment="1">
      <alignment vertical="center" wrapText="1"/>
    </xf>
    <xf numFmtId="0" fontId="10" fillId="31" borderId="0" xfId="37" applyFont="1" applyFill="1"/>
    <xf numFmtId="0" fontId="253" fillId="31" borderId="0" xfId="37" applyFont="1" applyFill="1" applyAlignment="1">
      <alignment vertical="center"/>
    </xf>
    <xf numFmtId="0" fontId="135" fillId="31" borderId="0" xfId="37" applyFont="1" applyFill="1" applyAlignment="1">
      <alignment horizontal="right" vertical="center"/>
    </xf>
    <xf numFmtId="0" fontId="26" fillId="31" borderId="0" xfId="37" applyFont="1" applyFill="1" applyAlignment="1">
      <alignment horizontal="center" vertical="center"/>
    </xf>
    <xf numFmtId="0" fontId="10" fillId="31" borderId="0" xfId="37" applyFont="1" applyFill="1" applyAlignment="1">
      <alignment horizontal="center" vertical="center"/>
    </xf>
    <xf numFmtId="38" fontId="26"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53" fillId="31" borderId="13" xfId="37" applyFont="1" applyFill="1" applyBorder="1" applyAlignment="1">
      <alignment vertical="center"/>
    </xf>
    <xf numFmtId="0" fontId="135" fillId="31" borderId="0" xfId="37" applyFont="1" applyFill="1" applyAlignment="1">
      <alignment horizontal="center" vertical="center"/>
    </xf>
    <xf numFmtId="0" fontId="4" fillId="31" borderId="0" xfId="37" applyFill="1" applyAlignment="1">
      <alignment vertical="center"/>
    </xf>
    <xf numFmtId="0" fontId="4" fillId="31" borderId="83" xfId="37" applyFill="1" applyBorder="1" applyAlignment="1">
      <alignment horizontal="center" vertical="center"/>
    </xf>
    <xf numFmtId="0" fontId="4" fillId="31" borderId="81" xfId="37" applyFill="1" applyBorder="1" applyAlignment="1">
      <alignment horizontal="center" vertical="center"/>
    </xf>
    <xf numFmtId="0" fontId="4" fillId="0" borderId="128" xfId="37" applyBorder="1" applyAlignment="1">
      <alignment horizontal="center" vertical="center"/>
    </xf>
    <xf numFmtId="0" fontId="4" fillId="0" borderId="17" xfId="37" applyBorder="1" applyAlignment="1">
      <alignment horizontal="center" vertical="center"/>
    </xf>
    <xf numFmtId="0" fontId="9" fillId="0" borderId="18" xfId="37" applyFont="1" applyBorder="1" applyAlignment="1">
      <alignment horizontal="center" vertical="center"/>
    </xf>
    <xf numFmtId="0" fontId="115" fillId="0" borderId="40" xfId="37" applyFont="1" applyBorder="1" applyAlignment="1">
      <alignment vertical="center"/>
    </xf>
    <xf numFmtId="38" fontId="267" fillId="0" borderId="20" xfId="37" applyNumberFormat="1" applyFont="1" applyBorder="1" applyAlignment="1">
      <alignment horizontal="center" vertical="center"/>
    </xf>
    <xf numFmtId="181" fontId="267" fillId="0" borderId="38" xfId="37" applyNumberFormat="1" applyFont="1" applyBorder="1" applyAlignment="1">
      <alignment horizontal="center" vertical="center"/>
    </xf>
    <xf numFmtId="181" fontId="265" fillId="0" borderId="38" xfId="37" applyNumberFormat="1" applyFont="1" applyBorder="1" applyAlignment="1">
      <alignment horizontal="center" vertical="center"/>
    </xf>
    <xf numFmtId="0" fontId="98" fillId="0" borderId="0" xfId="37" applyFont="1" applyAlignment="1">
      <alignment horizontal="left" vertical="center"/>
    </xf>
    <xf numFmtId="0" fontId="9" fillId="0" borderId="0" xfId="37" applyFont="1" applyAlignment="1">
      <alignment vertical="center"/>
    </xf>
    <xf numFmtId="0" fontId="98" fillId="0" borderId="18" xfId="37" applyFont="1" applyBorder="1" applyAlignment="1">
      <alignment horizontal="center" vertical="center"/>
    </xf>
    <xf numFmtId="0" fontId="106" fillId="0" borderId="0" xfId="37" applyFont="1" applyAlignment="1">
      <alignment horizontal="right" vertical="center"/>
    </xf>
    <xf numFmtId="0" fontId="4" fillId="0" borderId="0" xfId="0" applyFont="1" applyAlignment="1">
      <alignment horizontal="left" vertical="top" wrapText="1"/>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3" fillId="10" borderId="128" xfId="0" applyNumberFormat="1" applyFont="1" applyFill="1" applyBorder="1" applyAlignment="1" applyProtection="1">
      <alignment horizontal="center" vertical="center"/>
      <protection locked="0"/>
    </xf>
    <xf numFmtId="38" fontId="13" fillId="10" borderId="18" xfId="0" applyNumberFormat="1" applyFont="1" applyFill="1" applyBorder="1" applyAlignment="1" applyProtection="1">
      <alignment horizontal="center" vertical="center"/>
      <protection locked="0"/>
    </xf>
    <xf numFmtId="38" fontId="10" fillId="0" borderId="8" xfId="37" applyNumberFormat="1" applyFont="1" applyBorder="1" applyAlignment="1">
      <alignment horizontal="center" vertical="center"/>
    </xf>
    <xf numFmtId="0" fontId="257" fillId="0" borderId="0" xfId="37" quotePrefix="1" applyFont="1" applyAlignment="1">
      <alignment vertical="center"/>
    </xf>
    <xf numFmtId="0" fontId="257" fillId="0" borderId="0" xfId="37" applyFont="1" applyAlignment="1">
      <alignment vertical="center"/>
    </xf>
    <xf numFmtId="9" fontId="273" fillId="0" borderId="0" xfId="37" applyNumberFormat="1" applyFont="1" applyAlignment="1">
      <alignment horizontal="center" vertical="center" wrapText="1"/>
    </xf>
    <xf numFmtId="0" fontId="250" fillId="0" borderId="0" xfId="37" applyFont="1" applyAlignment="1">
      <alignment horizontal="right" vertical="center"/>
    </xf>
    <xf numFmtId="0" fontId="250" fillId="0" borderId="0" xfId="37" applyFont="1" applyAlignment="1">
      <alignment horizontal="center" vertical="center" wrapText="1"/>
    </xf>
    <xf numFmtId="0" fontId="228" fillId="0" borderId="0" xfId="37" applyFont="1" applyAlignment="1">
      <alignment horizontal="center" vertical="center"/>
    </xf>
    <xf numFmtId="38" fontId="250" fillId="0" borderId="0" xfId="37" applyNumberFormat="1" applyFont="1" applyAlignment="1">
      <alignment horizontal="center" vertical="center" wrapText="1"/>
    </xf>
    <xf numFmtId="183" fontId="250" fillId="0" borderId="0" xfId="37" applyNumberFormat="1" applyFont="1" applyAlignment="1">
      <alignment horizontal="center" vertical="center" wrapText="1"/>
    </xf>
    <xf numFmtId="0" fontId="228" fillId="0" borderId="0" xfId="37" applyFont="1" applyAlignment="1">
      <alignment horizontal="right" vertical="center"/>
    </xf>
    <xf numFmtId="3" fontId="228" fillId="0" borderId="0" xfId="37" applyNumberFormat="1" applyFont="1" applyAlignment="1">
      <alignment horizontal="center" vertical="center"/>
    </xf>
    <xf numFmtId="186" fontId="228" fillId="0" borderId="0" xfId="37" applyNumberFormat="1" applyFont="1" applyAlignment="1">
      <alignment horizontal="center" vertical="center"/>
    </xf>
    <xf numFmtId="0" fontId="232" fillId="0" borderId="0" xfId="0" applyFont="1"/>
    <xf numFmtId="0" fontId="232" fillId="0" borderId="0" xfId="0" applyFont="1" applyAlignment="1">
      <alignment vertical="center"/>
    </xf>
    <xf numFmtId="0" fontId="87" fillId="0" borderId="0" xfId="0" applyFont="1" applyAlignment="1">
      <alignment vertical="center"/>
    </xf>
    <xf numFmtId="0" fontId="233" fillId="0" borderId="0" xfId="0" applyFont="1" applyAlignment="1">
      <alignment vertical="center" wrapText="1"/>
    </xf>
    <xf numFmtId="0" fontId="4" fillId="20" borderId="0" xfId="0" applyFont="1" applyFill="1" applyAlignment="1">
      <alignment horizontal="center"/>
    </xf>
    <xf numFmtId="0" fontId="250" fillId="0" borderId="0" xfId="33" applyFont="1" applyAlignment="1">
      <alignment vertical="center"/>
    </xf>
    <xf numFmtId="0" fontId="250" fillId="0" borderId="0" xfId="33" applyFont="1" applyAlignment="1">
      <alignment horizontal="left" vertical="center"/>
    </xf>
    <xf numFmtId="0" fontId="250" fillId="0" borderId="0" xfId="33" applyFont="1" applyAlignment="1">
      <alignment horizontal="center" vertical="center"/>
    </xf>
    <xf numFmtId="0" fontId="228" fillId="0" borderId="0" xfId="33" applyFont="1" applyAlignment="1">
      <alignment horizontal="center" vertical="center"/>
    </xf>
    <xf numFmtId="0" fontId="257" fillId="0" borderId="0" xfId="33" applyFont="1" applyAlignment="1">
      <alignment vertical="center"/>
    </xf>
    <xf numFmtId="0" fontId="228" fillId="0" borderId="0" xfId="33" applyFont="1" applyAlignment="1">
      <alignment vertical="center"/>
    </xf>
    <xf numFmtId="0" fontId="43" fillId="0" borderId="0" xfId="37" applyFont="1"/>
    <xf numFmtId="181" fontId="10" fillId="0" borderId="38" xfId="37" applyNumberFormat="1" applyFont="1" applyBorder="1" applyAlignment="1">
      <alignment horizontal="center" vertical="center"/>
    </xf>
    <xf numFmtId="0" fontId="4" fillId="0" borderId="0" xfId="37" applyAlignment="1">
      <alignment horizontal="left" vertical="center"/>
    </xf>
    <xf numFmtId="0" fontId="10" fillId="0" borderId="43" xfId="37" applyFont="1" applyBorder="1" applyAlignment="1">
      <alignment horizontal="center" vertical="center"/>
    </xf>
    <xf numFmtId="0" fontId="4" fillId="10" borderId="17" xfId="37" applyFill="1" applyBorder="1" applyAlignment="1" applyProtection="1">
      <alignment horizontal="center" vertical="center"/>
      <protection locked="0"/>
    </xf>
    <xf numFmtId="0" fontId="4" fillId="10" borderId="18" xfId="37" applyFill="1" applyBorder="1" applyAlignment="1" applyProtection="1">
      <alignment horizontal="center" vertical="center"/>
      <protection locked="0"/>
    </xf>
    <xf numFmtId="0" fontId="26" fillId="5" borderId="17" xfId="37" applyFont="1" applyFill="1" applyBorder="1" applyAlignment="1" applyProtection="1">
      <alignment horizontal="center" vertical="top"/>
      <protection locked="0"/>
    </xf>
    <xf numFmtId="10" fontId="4" fillId="10" borderId="128" xfId="37" applyNumberFormat="1" applyFill="1" applyBorder="1" applyAlignment="1" applyProtection="1">
      <alignment horizontal="center" vertical="center"/>
      <protection locked="0"/>
    </xf>
    <xf numFmtId="10" fontId="4" fillId="10" borderId="17" xfId="37" applyNumberFormat="1" applyFill="1" applyBorder="1" applyAlignment="1" applyProtection="1">
      <alignment horizontal="center" vertical="center"/>
      <protection locked="0"/>
    </xf>
    <xf numFmtId="10" fontId="4" fillId="10" borderId="18" xfId="37" applyNumberFormat="1" applyFill="1" applyBorder="1" applyAlignment="1" applyProtection="1">
      <alignment horizontal="center" vertical="center"/>
      <protection locked="0"/>
    </xf>
    <xf numFmtId="10" fontId="4" fillId="13" borderId="128" xfId="37" applyNumberFormat="1" applyFill="1" applyBorder="1" applyAlignment="1">
      <alignment horizontal="center" vertical="center"/>
    </xf>
    <xf numFmtId="10" fontId="4" fillId="13" borderId="17" xfId="37" applyNumberFormat="1" applyFill="1" applyBorder="1" applyAlignment="1">
      <alignment horizontal="center" vertical="center"/>
    </xf>
    <xf numFmtId="10" fontId="4" fillId="13" borderId="18"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9" fillId="0" borderId="0" xfId="0" applyFont="1"/>
    <xf numFmtId="0" fontId="275" fillId="0" borderId="0" xfId="0" applyFont="1" applyAlignment="1">
      <alignment horizontal="center"/>
    </xf>
    <xf numFmtId="0" fontId="276"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4" fillId="0" borderId="0" xfId="0" applyFont="1" applyAlignment="1">
      <alignment wrapText="1"/>
    </xf>
    <xf numFmtId="0" fontId="131" fillId="0" borderId="13" xfId="37" applyFont="1" applyBorder="1"/>
    <xf numFmtId="10" fontId="4" fillId="32" borderId="128" xfId="37" applyNumberFormat="1" applyFill="1" applyBorder="1" applyAlignment="1">
      <alignment horizontal="center" vertical="center"/>
    </xf>
    <xf numFmtId="10" fontId="4" fillId="32" borderId="17" xfId="37" applyNumberFormat="1" applyFill="1" applyBorder="1" applyAlignment="1">
      <alignment horizontal="center" vertical="center"/>
    </xf>
    <xf numFmtId="0" fontId="26" fillId="0" borderId="18" xfId="37" applyFont="1" applyBorder="1" applyAlignment="1">
      <alignment horizontal="center" vertical="center"/>
    </xf>
    <xf numFmtId="0" fontId="43" fillId="0" borderId="0" xfId="37" applyFont="1" applyAlignment="1">
      <alignment horizontal="left" vertical="center"/>
    </xf>
    <xf numFmtId="0" fontId="42" fillId="0" borderId="0" xfId="0" applyFont="1" applyAlignment="1">
      <alignment horizontal="left" vertical="center" wrapText="1"/>
    </xf>
    <xf numFmtId="0" fontId="115" fillId="0" borderId="0" xfId="37" applyFont="1" applyAlignment="1">
      <alignment horizontal="center" vertical="center" wrapText="1"/>
    </xf>
    <xf numFmtId="0" fontId="115" fillId="0" borderId="7" xfId="37" applyFont="1" applyBorder="1" applyAlignment="1">
      <alignment vertical="center" wrapText="1"/>
    </xf>
    <xf numFmtId="0" fontId="10" fillId="0" borderId="20" xfId="33" applyFont="1" applyBorder="1" applyAlignment="1">
      <alignment horizontal="left" vertical="top"/>
    </xf>
    <xf numFmtId="0" fontId="26" fillId="0" borderId="20" xfId="33" applyFont="1" applyBorder="1" applyAlignment="1">
      <alignment horizontal="left" vertical="top" wrapText="1"/>
    </xf>
    <xf numFmtId="0" fontId="252" fillId="0" borderId="20" xfId="33" applyFont="1" applyBorder="1" applyAlignment="1">
      <alignment horizontal="left" vertical="center"/>
    </xf>
    <xf numFmtId="0" fontId="110" fillId="0" borderId="0" xfId="37" applyFont="1" applyAlignment="1">
      <alignment vertical="center" wrapText="1"/>
    </xf>
    <xf numFmtId="10" fontId="14" fillId="0" borderId="100" xfId="37" applyNumberFormat="1" applyFont="1" applyBorder="1" applyAlignment="1">
      <alignment horizontal="center" vertical="center"/>
    </xf>
    <xf numFmtId="0" fontId="14" fillId="0" borderId="100" xfId="37" applyFont="1" applyBorder="1" applyAlignment="1">
      <alignment horizontal="center" vertical="center"/>
    </xf>
    <xf numFmtId="0" fontId="135" fillId="0" borderId="85" xfId="37" applyFont="1" applyBorder="1" applyAlignment="1">
      <alignment horizontal="center"/>
    </xf>
    <xf numFmtId="10" fontId="10" fillId="0" borderId="85" xfId="37" applyNumberFormat="1" applyFont="1" applyBorder="1" applyAlignment="1">
      <alignment horizontal="center" vertical="center"/>
    </xf>
    <xf numFmtId="38" fontId="26" fillId="0" borderId="12" xfId="37" applyNumberFormat="1" applyFont="1" applyBorder="1" applyAlignment="1">
      <alignment horizontal="center" vertical="center"/>
    </xf>
    <xf numFmtId="38" fontId="9" fillId="0" borderId="83" xfId="37" applyNumberFormat="1" applyFont="1" applyBorder="1" applyAlignment="1">
      <alignment horizontal="center" vertical="center"/>
    </xf>
    <xf numFmtId="0" fontId="260" fillId="0" borderId="58" xfId="37" applyFont="1" applyBorder="1" applyAlignment="1">
      <alignment horizontal="right" vertical="center"/>
    </xf>
    <xf numFmtId="0" fontId="266" fillId="0" borderId="73" xfId="37" applyFont="1" applyBorder="1" applyAlignment="1">
      <alignment horizontal="center" vertical="center"/>
    </xf>
    <xf numFmtId="181" fontId="265" fillId="0" borderId="41" xfId="37" applyNumberFormat="1" applyFont="1" applyBorder="1" applyAlignment="1">
      <alignment horizontal="center" vertical="center"/>
    </xf>
    <xf numFmtId="186" fontId="267" fillId="0" borderId="0" xfId="37" applyNumberFormat="1" applyFont="1" applyAlignment="1">
      <alignment horizontal="center" vertical="center"/>
    </xf>
    <xf numFmtId="186" fontId="265" fillId="0" borderId="41" xfId="0" applyNumberFormat="1" applyFont="1" applyBorder="1" applyAlignment="1">
      <alignment horizontal="center" vertical="center"/>
    </xf>
    <xf numFmtId="38" fontId="265" fillId="0" borderId="41" xfId="37" applyNumberFormat="1" applyFont="1" applyBorder="1" applyAlignment="1">
      <alignment horizontal="center" vertical="center"/>
    </xf>
    <xf numFmtId="38" fontId="265" fillId="0" borderId="59" xfId="37" applyNumberFormat="1" applyFont="1" applyBorder="1" applyAlignment="1">
      <alignment horizontal="center" vertical="center"/>
    </xf>
    <xf numFmtId="0" fontId="135" fillId="0" borderId="40" xfId="37" applyFont="1" applyBorder="1" applyAlignment="1">
      <alignment horizontal="right" vertical="center"/>
    </xf>
    <xf numFmtId="0" fontId="4" fillId="0" borderId="20" xfId="37" applyBorder="1" applyAlignment="1">
      <alignment vertical="center"/>
    </xf>
    <xf numFmtId="0" fontId="96" fillId="0" borderId="0" xfId="0" applyFont="1" applyAlignment="1">
      <alignment horizontal="center"/>
    </xf>
    <xf numFmtId="0" fontId="96" fillId="0" borderId="0" xfId="0" applyFont="1" applyAlignment="1">
      <alignment horizontal="center" vertical="center"/>
    </xf>
    <xf numFmtId="0" fontId="83" fillId="0" borderId="0" xfId="0" applyFont="1" applyAlignment="1">
      <alignment horizontal="center"/>
    </xf>
    <xf numFmtId="0" fontId="26" fillId="0" borderId="17" xfId="37" applyFont="1" applyBorder="1" applyAlignment="1">
      <alignment horizontal="center" vertical="center"/>
    </xf>
    <xf numFmtId="0" fontId="135" fillId="0" borderId="0" xfId="33" applyFont="1" applyAlignment="1" applyProtection="1">
      <alignment vertical="center"/>
      <protection locked="0"/>
    </xf>
    <xf numFmtId="10" fontId="9" fillId="5" borderId="18" xfId="10" applyNumberFormat="1" applyFon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xf>
    <xf numFmtId="10" fontId="10" fillId="0" borderId="8" xfId="33" applyNumberFormat="1" applyFont="1" applyBorder="1" applyAlignment="1">
      <alignment horizontal="left" vertical="center"/>
    </xf>
    <xf numFmtId="0" fontId="181" fillId="33" borderId="83" xfId="0" applyFont="1" applyFill="1" applyBorder="1" applyAlignment="1">
      <alignment horizontal="center" vertical="center"/>
    </xf>
    <xf numFmtId="0" fontId="107" fillId="0" borderId="0" xfId="6" applyFont="1" applyAlignment="1" applyProtection="1">
      <alignment vertical="center"/>
    </xf>
    <xf numFmtId="0" fontId="107" fillId="0" borderId="0" xfId="6" applyFont="1" applyAlignment="1" applyProtection="1">
      <alignment vertical="top"/>
    </xf>
    <xf numFmtId="4" fontId="5" fillId="0" borderId="0" xfId="0" applyNumberFormat="1" applyFont="1" applyAlignment="1">
      <alignment horizontal="left" vertical="center"/>
    </xf>
    <xf numFmtId="0" fontId="38" fillId="0" borderId="0" xfId="0" applyFont="1" applyAlignment="1">
      <alignment vertical="center"/>
    </xf>
    <xf numFmtId="37" fontId="46" fillId="5" borderId="18" xfId="0" applyNumberFormat="1" applyFont="1" applyFill="1" applyBorder="1" applyAlignment="1" applyProtection="1">
      <alignment horizontal="left" vertical="center"/>
      <protection locked="0"/>
    </xf>
    <xf numFmtId="37" fontId="46" fillId="5" borderId="12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13" fillId="0" borderId="86" xfId="0" applyFont="1" applyBorder="1"/>
    <xf numFmtId="0" fontId="4" fillId="0" borderId="21" xfId="0" applyFont="1" applyBorder="1" applyAlignment="1">
      <alignment vertical="center"/>
    </xf>
    <xf numFmtId="0" fontId="140"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0" fontId="278" fillId="20" borderId="0" xfId="33" applyFont="1" applyFill="1" applyAlignment="1" applyProtection="1">
      <alignment horizontal="center"/>
      <protection locked="0"/>
    </xf>
    <xf numFmtId="0" fontId="279" fillId="20" borderId="0" xfId="33" applyFont="1" applyFill="1" applyAlignment="1" applyProtection="1">
      <alignment horizontal="center"/>
      <protection locked="0"/>
    </xf>
    <xf numFmtId="0" fontId="279" fillId="0" borderId="0" xfId="33" applyFont="1" applyAlignment="1" applyProtection="1">
      <alignment horizontal="center"/>
      <protection locked="0"/>
    </xf>
    <xf numFmtId="1" fontId="279" fillId="20" borderId="0" xfId="37" applyNumberFormat="1" applyFont="1" applyFill="1" applyAlignment="1">
      <alignment horizontal="center"/>
    </xf>
    <xf numFmtId="1" fontId="279" fillId="20" borderId="0" xfId="37" applyNumberFormat="1" applyFont="1" applyFill="1" applyAlignment="1">
      <alignment horizontal="center" vertical="center"/>
    </xf>
    <xf numFmtId="0" fontId="279" fillId="0" borderId="0" xfId="37" applyFont="1" applyAlignment="1">
      <alignment horizontal="center"/>
    </xf>
    <xf numFmtId="0" fontId="279" fillId="0" borderId="0" xfId="37" applyFont="1" applyAlignment="1">
      <alignment horizontal="center" vertical="center"/>
    </xf>
    <xf numFmtId="38" fontId="280"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8" fillId="20" borderId="0" xfId="0" applyFont="1" applyFill="1"/>
    <xf numFmtId="0" fontId="281" fillId="20" borderId="0" xfId="0" applyFont="1" applyFill="1" applyAlignment="1">
      <alignment horizontal="center"/>
    </xf>
    <xf numFmtId="0" fontId="278" fillId="20" borderId="0" xfId="0" applyFont="1" applyFill="1" applyAlignment="1">
      <alignment vertical="center"/>
    </xf>
    <xf numFmtId="0" fontId="281" fillId="20" borderId="0" xfId="0" applyFont="1" applyFill="1" applyAlignment="1">
      <alignment horizontal="center" vertical="center"/>
    </xf>
    <xf numFmtId="0" fontId="278" fillId="20" borderId="0" xfId="0" applyFont="1" applyFill="1" applyAlignment="1">
      <alignment horizontal="center"/>
    </xf>
    <xf numFmtId="0" fontId="278" fillId="20" borderId="0" xfId="0" applyFont="1" applyFill="1" applyAlignment="1">
      <alignment horizontal="center" vertical="center"/>
    </xf>
    <xf numFmtId="0" fontId="282" fillId="20" borderId="0" xfId="0" applyFont="1" applyFill="1"/>
    <xf numFmtId="0" fontId="282" fillId="20" borderId="0" xfId="0" applyFont="1" applyFill="1" applyAlignment="1">
      <alignment horizontal="center"/>
    </xf>
    <xf numFmtId="0" fontId="283" fillId="0" borderId="0" xfId="0" applyFont="1" applyAlignment="1">
      <alignment vertical="center"/>
    </xf>
    <xf numFmtId="0" fontId="284" fillId="20" borderId="0" xfId="13" applyFont="1" applyFill="1" applyAlignment="1">
      <alignment horizontal="center"/>
    </xf>
    <xf numFmtId="0" fontId="285" fillId="20" borderId="0" xfId="13" applyFont="1" applyFill="1" applyAlignment="1">
      <alignment horizontal="center"/>
    </xf>
    <xf numFmtId="0" fontId="284" fillId="0" borderId="0" xfId="13" applyFont="1" applyAlignment="1">
      <alignment horizontal="center"/>
    </xf>
    <xf numFmtId="0" fontId="285" fillId="0" borderId="0" xfId="13" applyFont="1"/>
    <xf numFmtId="0" fontId="284" fillId="0" borderId="0" xfId="13" applyFont="1"/>
    <xf numFmtId="0" fontId="283" fillId="20" borderId="0" xfId="0" applyFont="1" applyFill="1"/>
    <xf numFmtId="0" fontId="283" fillId="20" borderId="0" xfId="0" applyFont="1" applyFill="1" applyAlignment="1">
      <alignment horizontal="center" vertical="center"/>
    </xf>
    <xf numFmtId="0" fontId="283" fillId="20" borderId="0" xfId="0" applyFont="1" applyFill="1" applyAlignment="1">
      <alignment vertical="center"/>
    </xf>
    <xf numFmtId="0" fontId="42" fillId="0" borderId="82" xfId="0" applyFont="1" applyBorder="1" applyAlignment="1">
      <alignment vertical="center"/>
    </xf>
    <xf numFmtId="3" fontId="46" fillId="0" borderId="82" xfId="0" applyNumberFormat="1" applyFont="1" applyBorder="1" applyAlignment="1">
      <alignment vertical="center"/>
    </xf>
    <xf numFmtId="3" fontId="46" fillId="10" borderId="83" xfId="0" applyNumberFormat="1" applyFont="1" applyFill="1" applyBorder="1" applyAlignment="1" applyProtection="1">
      <alignment horizontal="left" vertical="center"/>
      <protection locked="0"/>
    </xf>
    <xf numFmtId="0" fontId="286" fillId="20" borderId="0" xfId="0" applyFont="1" applyFill="1" applyAlignment="1">
      <alignment vertical="center"/>
    </xf>
    <xf numFmtId="0" fontId="286" fillId="20" borderId="0" xfId="0" applyFont="1" applyFill="1"/>
    <xf numFmtId="0" fontId="278" fillId="20" borderId="82" xfId="0" applyFont="1" applyFill="1" applyBorder="1" applyAlignment="1">
      <alignment vertical="center"/>
    </xf>
    <xf numFmtId="0" fontId="286" fillId="0" borderId="0" xfId="0" applyFont="1"/>
    <xf numFmtId="0" fontId="10" fillId="5" borderId="128" xfId="37" applyFont="1" applyFill="1" applyBorder="1" applyAlignment="1" applyProtection="1">
      <alignment horizontal="left" vertical="center"/>
      <protection locked="0"/>
    </xf>
    <xf numFmtId="168" fontId="4" fillId="10" borderId="83" xfId="37" applyNumberFormat="1" applyFill="1" applyBorder="1" applyAlignment="1" applyProtection="1">
      <alignment vertical="center"/>
      <protection locked="0"/>
    </xf>
    <xf numFmtId="168" fontId="4" fillId="13" borderId="83" xfId="37" applyNumberFormat="1" applyFill="1" applyBorder="1" applyAlignment="1">
      <alignment vertical="center"/>
    </xf>
    <xf numFmtId="0" fontId="4" fillId="0" borderId="221" xfId="37" applyBorder="1" applyAlignment="1">
      <alignment wrapText="1"/>
    </xf>
    <xf numFmtId="0" fontId="4" fillId="0" borderId="40" xfId="37" applyBorder="1" applyAlignment="1">
      <alignment wrapText="1"/>
    </xf>
    <xf numFmtId="0" fontId="10" fillId="5" borderId="18" xfId="37" applyFont="1" applyFill="1" applyBorder="1" applyAlignment="1" applyProtection="1">
      <alignment horizontal="left" vertical="center"/>
      <protection locked="0"/>
    </xf>
    <xf numFmtId="0" fontId="42" fillId="0" borderId="77" xfId="0" applyFont="1" applyBorder="1" applyAlignment="1">
      <alignment horizontal="left" vertical="center"/>
    </xf>
    <xf numFmtId="0" fontId="42" fillId="0" borderId="78" xfId="0" applyFont="1" applyBorder="1" applyAlignment="1">
      <alignment vertical="center"/>
    </xf>
    <xf numFmtId="0" fontId="4" fillId="5" borderId="128" xfId="0"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top" wrapText="1"/>
      <protection locked="0"/>
    </xf>
    <xf numFmtId="0" fontId="10" fillId="10" borderId="30" xfId="37" applyFont="1" applyFill="1" applyBorder="1" applyAlignment="1" applyProtection="1">
      <alignment horizontal="center" vertical="top" wrapText="1"/>
      <protection locked="0"/>
    </xf>
    <xf numFmtId="0" fontId="10" fillId="10" borderId="33" xfId="37" applyFont="1" applyFill="1" applyBorder="1" applyAlignment="1" applyProtection="1">
      <alignment horizontal="center" vertical="top" wrapText="1"/>
      <protection locked="0"/>
    </xf>
    <xf numFmtId="167" fontId="10" fillId="5" borderId="83" xfId="37" applyNumberFormat="1" applyFont="1" applyFill="1" applyBorder="1" applyAlignment="1" applyProtection="1">
      <alignment horizontal="center" vertical="center"/>
      <protection locked="0"/>
    </xf>
    <xf numFmtId="0" fontId="10" fillId="5" borderId="128" xfId="37" applyFont="1" applyFill="1" applyBorder="1" applyAlignment="1" applyProtection="1">
      <alignment horizontal="center" vertical="top"/>
      <protection locked="0"/>
    </xf>
    <xf numFmtId="0" fontId="10" fillId="5" borderId="17" xfId="37" applyFont="1" applyFill="1" applyBorder="1" applyAlignment="1" applyProtection="1">
      <alignment horizontal="center" vertical="top"/>
      <protection locked="0"/>
    </xf>
    <xf numFmtId="0" fontId="10" fillId="5" borderId="18" xfId="37" applyFont="1" applyFill="1" applyBorder="1" applyAlignment="1" applyProtection="1">
      <alignment horizontal="center" vertical="top"/>
      <protection locked="0"/>
    </xf>
    <xf numFmtId="49" fontId="10" fillId="10" borderId="128" xfId="37" applyNumberFormat="1" applyFont="1" applyFill="1" applyBorder="1" applyAlignment="1" applyProtection="1">
      <alignment horizontal="center" vertical="top" wrapText="1"/>
      <protection locked="0"/>
    </xf>
    <xf numFmtId="49" fontId="10" fillId="10" borderId="17" xfId="37" applyNumberFormat="1" applyFont="1" applyFill="1" applyBorder="1" applyAlignment="1" applyProtection="1">
      <alignment horizontal="center" vertical="top" wrapText="1"/>
      <protection locked="0"/>
    </xf>
    <xf numFmtId="49" fontId="10" fillId="10" borderId="18" xfId="37" applyNumberFormat="1" applyFont="1" applyFill="1" applyBorder="1" applyAlignment="1" applyProtection="1">
      <alignment horizontal="center" vertical="top" wrapText="1"/>
      <protection locked="0"/>
    </xf>
    <xf numFmtId="0" fontId="86" fillId="0" borderId="0" xfId="0" applyFont="1" applyAlignment="1">
      <alignment vertical="center"/>
    </xf>
    <xf numFmtId="0" fontId="86" fillId="0" borderId="0" xfId="0" applyFont="1" applyAlignment="1">
      <alignment horizontal="center" vertical="center"/>
    </xf>
    <xf numFmtId="49" fontId="228" fillId="0" borderId="0" xfId="0" applyNumberFormat="1" applyFont="1" applyAlignment="1">
      <alignment vertical="center"/>
    </xf>
    <xf numFmtId="0" fontId="232" fillId="0" borderId="0" xfId="0" applyFont="1" applyAlignment="1">
      <alignment horizontal="left" vertical="center"/>
    </xf>
    <xf numFmtId="0" fontId="86" fillId="0" borderId="0" xfId="0" applyFont="1" applyAlignment="1">
      <alignment horizontal="right"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86" fillId="0" borderId="0" xfId="0" applyFont="1" applyAlignment="1">
      <alignment horizontal="left" vertical="center"/>
    </xf>
    <xf numFmtId="0" fontId="102" fillId="0" borderId="0" xfId="0" applyFont="1" applyAlignment="1">
      <alignment horizontal="right" vertical="center"/>
    </xf>
    <xf numFmtId="0" fontId="103" fillId="0" borderId="0" xfId="0" quotePrefix="1" applyFont="1" applyAlignment="1">
      <alignment horizontal="center"/>
    </xf>
    <xf numFmtId="0" fontId="228" fillId="0" borderId="0" xfId="33" applyFont="1" applyAlignment="1">
      <alignment horizontal="right" vertical="top"/>
    </xf>
    <xf numFmtId="0" fontId="250" fillId="0" borderId="0" xfId="33" applyFont="1" applyAlignment="1">
      <alignment horizontal="left" vertical="top"/>
    </xf>
    <xf numFmtId="0" fontId="232" fillId="0" borderId="0" xfId="33" applyFont="1" applyAlignment="1">
      <alignment vertical="top"/>
    </xf>
    <xf numFmtId="0" fontId="102" fillId="0" borderId="0" xfId="33" applyFont="1" applyAlignment="1">
      <alignment vertical="top"/>
    </xf>
    <xf numFmtId="0" fontId="95" fillId="0" borderId="0" xfId="0" applyFont="1" applyAlignment="1">
      <alignment vertical="top"/>
    </xf>
    <xf numFmtId="167" fontId="102" fillId="0" borderId="0" xfId="0" applyNumberFormat="1" applyFont="1" applyAlignment="1">
      <alignment vertical="center"/>
    </xf>
    <xf numFmtId="164" fontId="102" fillId="0" borderId="0" xfId="1" applyNumberFormat="1" applyFont="1" applyFill="1" applyBorder="1" applyAlignment="1" applyProtection="1">
      <alignment horizontal="center" vertical="center"/>
    </xf>
    <xf numFmtId="0" fontId="102" fillId="0" borderId="0" xfId="0" quotePrefix="1" applyFont="1" applyAlignment="1">
      <alignment horizontal="left" vertical="center"/>
    </xf>
    <xf numFmtId="0" fontId="86" fillId="0" borderId="0" xfId="0" applyFont="1" applyAlignment="1">
      <alignment horizontal="center"/>
    </xf>
    <xf numFmtId="177" fontId="102" fillId="0" borderId="0" xfId="0" applyNumberFormat="1" applyFont="1" applyAlignment="1">
      <alignment vertical="center"/>
    </xf>
    <xf numFmtId="0" fontId="86" fillId="0" borderId="0" xfId="0" applyFont="1" applyAlignment="1">
      <alignment horizontal="left"/>
    </xf>
    <xf numFmtId="10" fontId="86" fillId="0" borderId="0" xfId="10" applyNumberFormat="1" applyFont="1" applyFill="1" applyBorder="1" applyAlignment="1" applyProtection="1">
      <alignment horizontal="center" vertical="center"/>
    </xf>
    <xf numFmtId="0" fontId="102" fillId="0" borderId="0" xfId="0" applyFont="1" applyAlignment="1">
      <alignment horizontal="left"/>
    </xf>
    <xf numFmtId="6" fontId="102" fillId="0" borderId="0" xfId="0" applyNumberFormat="1" applyFont="1" applyAlignment="1">
      <alignment vertical="center"/>
    </xf>
    <xf numFmtId="0" fontId="232" fillId="0" borderId="0" xfId="0" applyFont="1" applyAlignment="1">
      <alignment vertical="top"/>
    </xf>
    <xf numFmtId="49" fontId="293" fillId="0" borderId="0" xfId="0" applyNumberFormat="1" applyFont="1" applyAlignment="1">
      <alignment vertical="center"/>
    </xf>
    <xf numFmtId="37" fontId="102" fillId="0" borderId="0" xfId="0" applyNumberFormat="1" applyFont="1" applyAlignment="1">
      <alignment horizontal="left" vertical="center"/>
    </xf>
    <xf numFmtId="164" fontId="102" fillId="0" borderId="0" xfId="1"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Alignment="1">
      <alignment vertical="center"/>
    </xf>
    <xf numFmtId="38" fontId="102" fillId="0" borderId="0" xfId="0" applyNumberFormat="1" applyFont="1" applyAlignment="1">
      <alignment vertical="center"/>
    </xf>
    <xf numFmtId="166" fontId="102" fillId="0" borderId="0" xfId="0" applyNumberFormat="1" applyFont="1" applyAlignment="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Alignment="1">
      <alignment horizontal="center" vertical="center"/>
    </xf>
    <xf numFmtId="0" fontId="232" fillId="0" borderId="0" xfId="0" applyFont="1" applyAlignment="1">
      <alignment horizontal="center" vertical="center"/>
    </xf>
    <xf numFmtId="38" fontId="86" fillId="0" borderId="0" xfId="0" applyNumberFormat="1" applyFont="1" applyAlignment="1">
      <alignment horizontal="center" vertical="center"/>
    </xf>
    <xf numFmtId="38" fontId="102" fillId="0" borderId="0" xfId="2" applyNumberFormat="1" applyFont="1" applyFill="1" applyBorder="1" applyAlignment="1" applyProtection="1">
      <alignment horizontal="center" vertical="center"/>
    </xf>
    <xf numFmtId="37" fontId="232" fillId="0" borderId="0" xfId="0" applyNumberFormat="1" applyFont="1" applyAlignment="1">
      <alignment vertical="center"/>
    </xf>
    <xf numFmtId="0" fontId="232" fillId="0" borderId="0" xfId="0" applyFont="1" applyAlignment="1">
      <alignment horizontal="right" vertical="center"/>
    </xf>
    <xf numFmtId="166" fontId="102" fillId="0" borderId="0" xfId="0" applyNumberFormat="1" applyFont="1" applyAlignment="1">
      <alignment vertical="center"/>
    </xf>
    <xf numFmtId="0" fontId="294" fillId="0" borderId="0" xfId="0" applyFont="1" applyAlignment="1">
      <alignment vertical="center"/>
    </xf>
    <xf numFmtId="0" fontId="295" fillId="0" borderId="0" xfId="0" quotePrefix="1" applyFont="1" applyAlignment="1">
      <alignment vertical="center"/>
    </xf>
    <xf numFmtId="0" fontId="294" fillId="0" borderId="0" xfId="0" applyFont="1" applyAlignment="1">
      <alignment horizontal="center" vertical="center"/>
    </xf>
    <xf numFmtId="3" fontId="232" fillId="0" borderId="0" xfId="0" applyNumberFormat="1" applyFont="1" applyAlignment="1">
      <alignment vertical="center"/>
    </xf>
    <xf numFmtId="4" fontId="232" fillId="0" borderId="0" xfId="0" applyNumberFormat="1" applyFont="1" applyAlignment="1">
      <alignment vertical="center"/>
    </xf>
    <xf numFmtId="9" fontId="232" fillId="0" borderId="0" xfId="0" applyNumberFormat="1" applyFont="1" applyAlignment="1">
      <alignment horizontal="center" vertical="center"/>
    </xf>
    <xf numFmtId="0" fontId="293" fillId="0" borderId="0" xfId="0" applyFont="1" applyAlignment="1">
      <alignment vertical="top"/>
    </xf>
    <xf numFmtId="164" fontId="86" fillId="0" borderId="0" xfId="1" applyNumberFormat="1" applyFont="1" applyFill="1" applyBorder="1" applyAlignment="1" applyProtection="1">
      <alignment vertical="center"/>
    </xf>
    <xf numFmtId="0" fontId="293" fillId="0" borderId="0" xfId="0" applyFont="1" applyAlignment="1">
      <alignment vertical="center"/>
    </xf>
    <xf numFmtId="4" fontId="102" fillId="0" borderId="0" xfId="0" applyNumberFormat="1" applyFont="1" applyAlignment="1">
      <alignment horizontal="right" vertical="center"/>
    </xf>
    <xf numFmtId="0" fontId="96" fillId="0" borderId="0" xfId="0" applyFont="1" applyAlignment="1">
      <alignment vertical="top"/>
    </xf>
    <xf numFmtId="0" fontId="296" fillId="0" borderId="0" xfId="0" applyFont="1" applyAlignment="1">
      <alignment horizontal="center" vertical="center"/>
    </xf>
    <xf numFmtId="4" fontId="86" fillId="0" borderId="0" xfId="0" applyNumberFormat="1" applyFont="1" applyAlignment="1">
      <alignment horizontal="right" vertical="center"/>
    </xf>
    <xf numFmtId="0" fontId="289" fillId="0" borderId="0" xfId="0" applyFont="1" applyAlignment="1">
      <alignment horizontal="right" vertical="center"/>
    </xf>
    <xf numFmtId="164" fontId="86"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3" fontId="86" fillId="0" borderId="0" xfId="0" applyNumberFormat="1" applyFont="1" applyAlignment="1">
      <alignment horizontal="center" vertical="center"/>
    </xf>
    <xf numFmtId="164" fontId="289" fillId="0" borderId="0" xfId="1" applyNumberFormat="1" applyFont="1" applyFill="1" applyBorder="1" applyAlignment="1" applyProtection="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32" fillId="0" borderId="0" xfId="0" applyNumberFormat="1" applyFont="1" applyAlignment="1">
      <alignment horizontal="center" vertical="center"/>
    </xf>
    <xf numFmtId="37" fontId="232" fillId="0" borderId="0" xfId="1" applyNumberFormat="1" applyFont="1" applyFill="1" applyBorder="1" applyAlignment="1" applyProtection="1">
      <alignment horizontal="center" vertical="center"/>
    </xf>
    <xf numFmtId="37" fontId="87" fillId="0" borderId="0" xfId="0" applyNumberFormat="1" applyFont="1" applyAlignment="1">
      <alignment horizontal="center" vertical="center"/>
    </xf>
    <xf numFmtId="0" fontId="297" fillId="0" borderId="0" xfId="0" applyFont="1" applyAlignment="1">
      <alignment horizontal="left" vertical="center"/>
    </xf>
    <xf numFmtId="164" fontId="297" fillId="0" borderId="0" xfId="0" applyNumberFormat="1" applyFont="1" applyAlignment="1">
      <alignment vertical="center"/>
    </xf>
    <xf numFmtId="0" fontId="297" fillId="0" borderId="0" xfId="0" applyFont="1" applyAlignment="1">
      <alignment vertical="top"/>
    </xf>
    <xf numFmtId="0" fontId="297" fillId="0" borderId="0" xfId="0" applyFont="1" applyAlignment="1">
      <alignment vertical="center"/>
    </xf>
    <xf numFmtId="4" fontId="297" fillId="0" borderId="0" xfId="1" applyNumberFormat="1" applyFont="1" applyFill="1" applyBorder="1" applyAlignment="1" applyProtection="1">
      <alignment horizontal="right" vertical="center"/>
    </xf>
    <xf numFmtId="171" fontId="299" fillId="0" borderId="0" xfId="0" applyNumberFormat="1" applyFont="1" applyAlignment="1">
      <alignment horizontal="left" vertical="center"/>
    </xf>
    <xf numFmtId="4" fontId="297" fillId="0" borderId="0" xfId="1" applyNumberFormat="1" applyFont="1" applyFill="1" applyBorder="1" applyAlignment="1" applyProtection="1">
      <alignment vertical="center"/>
    </xf>
    <xf numFmtId="171" fontId="299" fillId="0" borderId="0" xfId="0" applyNumberFormat="1" applyFont="1" applyAlignment="1">
      <alignment vertical="center"/>
    </xf>
    <xf numFmtId="0" fontId="299" fillId="0" borderId="0" xfId="0" applyFont="1" applyAlignment="1">
      <alignment vertical="center"/>
    </xf>
    <xf numFmtId="0" fontId="290" fillId="0" borderId="0" xfId="0" applyFont="1" applyAlignment="1">
      <alignment horizontal="left" vertical="center"/>
    </xf>
    <xf numFmtId="4" fontId="297" fillId="0" borderId="0" xfId="0" applyNumberFormat="1" applyFont="1" applyAlignment="1">
      <alignment vertical="center"/>
    </xf>
    <xf numFmtId="4" fontId="86" fillId="0" borderId="0" xfId="0" applyNumberFormat="1" applyFont="1" applyAlignment="1">
      <alignment horizontal="left" vertical="center"/>
    </xf>
    <xf numFmtId="0" fontId="298" fillId="0" borderId="0" xfId="0" applyFont="1" applyAlignment="1">
      <alignment vertical="top"/>
    </xf>
    <xf numFmtId="0" fontId="102" fillId="0" borderId="0" xfId="0" applyFont="1" applyAlignment="1">
      <alignment horizontal="left" vertical="top"/>
    </xf>
    <xf numFmtId="10" fontId="102" fillId="0" borderId="0" xfId="0" applyNumberFormat="1" applyFont="1" applyAlignment="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Alignment="1">
      <alignment horizontal="left" vertical="center"/>
    </xf>
    <xf numFmtId="0" fontId="299" fillId="0" borderId="0" xfId="0" applyFont="1" applyAlignment="1">
      <alignment horizontal="center" vertical="center"/>
    </xf>
    <xf numFmtId="37" fontId="297" fillId="0" borderId="0" xfId="0" applyNumberFormat="1" applyFont="1" applyAlignment="1">
      <alignment horizontal="center" vertical="center"/>
    </xf>
    <xf numFmtId="0" fontId="297" fillId="0" borderId="0" xfId="0" applyFont="1" applyAlignment="1">
      <alignment horizontal="right" vertical="center"/>
    </xf>
    <xf numFmtId="0" fontId="297" fillId="0" borderId="0" xfId="0" applyFont="1" applyAlignment="1">
      <alignment horizontal="center" vertical="center"/>
    </xf>
    <xf numFmtId="0" fontId="103" fillId="0" borderId="0" xfId="0" applyFont="1" applyAlignment="1">
      <alignment horizontal="center" vertical="center"/>
    </xf>
    <xf numFmtId="38" fontId="95" fillId="0" borderId="0" xfId="0" applyNumberFormat="1" applyFont="1" applyAlignment="1">
      <alignment horizontal="left" vertical="center"/>
    </xf>
    <xf numFmtId="38" fontId="83" fillId="0" borderId="0" xfId="0" applyNumberFormat="1" applyFont="1" applyAlignment="1">
      <alignment vertical="center"/>
    </xf>
    <xf numFmtId="164" fontId="102" fillId="0" borderId="0" xfId="1" applyNumberFormat="1" applyFont="1" applyFill="1" applyBorder="1" applyAlignment="1" applyProtection="1"/>
    <xf numFmtId="38" fontId="299" fillId="0" borderId="0" xfId="0" applyNumberFormat="1" applyFont="1" applyAlignment="1">
      <alignment horizontal="center" vertical="center"/>
    </xf>
    <xf numFmtId="0" fontId="112" fillId="0" borderId="0" xfId="0" applyFont="1" applyAlignment="1">
      <alignment vertical="center"/>
    </xf>
    <xf numFmtId="3" fontId="112" fillId="0" borderId="0" xfId="0" applyNumberFormat="1" applyFont="1" applyAlignment="1">
      <alignment horizontal="center" vertical="center"/>
    </xf>
    <xf numFmtId="164" fontId="29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8" fontId="95" fillId="0" borderId="0" xfId="0" applyNumberFormat="1" applyFont="1" applyAlignment="1">
      <alignment horizontal="center" vertical="center"/>
    </xf>
    <xf numFmtId="187" fontId="95" fillId="0" borderId="0" xfId="0" applyNumberFormat="1" applyFont="1" applyAlignment="1">
      <alignment horizontal="center" vertical="center"/>
    </xf>
    <xf numFmtId="164" fontId="103" fillId="0" borderId="0" xfId="1" applyNumberFormat="1" applyFont="1" applyFill="1" applyBorder="1" applyAlignment="1" applyProtection="1">
      <alignment vertical="top"/>
    </xf>
    <xf numFmtId="3" fontId="102" fillId="0" borderId="0" xfId="0" applyNumberFormat="1" applyFont="1" applyAlignment="1">
      <alignment horizontal="right" vertical="center"/>
    </xf>
    <xf numFmtId="38" fontId="103" fillId="0" borderId="0" xfId="0" applyNumberFormat="1" applyFont="1" applyAlignment="1">
      <alignment horizontal="center" vertical="center"/>
    </xf>
    <xf numFmtId="187" fontId="103" fillId="0" borderId="0" xfId="0" applyNumberFormat="1" applyFont="1" applyAlignment="1">
      <alignment horizontal="center" vertical="center"/>
    </xf>
    <xf numFmtId="0" fontId="92" fillId="0" borderId="0" xfId="0" applyFont="1" applyAlignment="1">
      <alignment vertical="top"/>
    </xf>
    <xf numFmtId="0" fontId="95" fillId="0" borderId="0" xfId="0" applyFont="1" applyAlignment="1">
      <alignment horizontal="left" vertical="center"/>
    </xf>
    <xf numFmtId="9" fontId="95" fillId="0" borderId="0" xfId="0" applyNumberFormat="1" applyFont="1" applyAlignment="1">
      <alignment horizontal="center"/>
    </xf>
    <xf numFmtId="0" fontId="95" fillId="0" borderId="0" xfId="0" applyFont="1" applyAlignment="1">
      <alignment horizontal="center"/>
    </xf>
    <xf numFmtId="38" fontId="95" fillId="0" borderId="0" xfId="0" applyNumberFormat="1" applyFont="1" applyAlignment="1">
      <alignment vertical="center"/>
    </xf>
    <xf numFmtId="37" fontId="102" fillId="0" borderId="0" xfId="1" applyNumberFormat="1" applyFont="1" applyFill="1" applyBorder="1" applyAlignment="1" applyProtection="1">
      <alignment horizontal="center" vertical="center"/>
    </xf>
    <xf numFmtId="0" fontId="87" fillId="0" borderId="0" xfId="0" applyFont="1" applyAlignment="1">
      <alignment horizontal="left" vertical="center"/>
    </xf>
    <xf numFmtId="4" fontId="301" fillId="0" borderId="0" xfId="0" applyNumberFormat="1" applyFont="1" applyAlignment="1">
      <alignment vertical="center"/>
    </xf>
    <xf numFmtId="3" fontId="87" fillId="0" borderId="0" xfId="0" applyNumberFormat="1" applyFont="1" applyAlignment="1">
      <alignment horizontal="left" vertical="center"/>
    </xf>
    <xf numFmtId="3" fontId="102" fillId="0" borderId="0" xfId="0" applyNumberFormat="1" applyFont="1" applyAlignment="1">
      <alignment horizontal="center" vertical="center"/>
    </xf>
    <xf numFmtId="164" fontId="103" fillId="0" borderId="0" xfId="1" applyNumberFormat="1" applyFont="1" applyFill="1" applyBorder="1" applyAlignment="1" applyProtection="1">
      <alignment vertical="center"/>
    </xf>
    <xf numFmtId="0" fontId="289" fillId="0" borderId="0" xfId="0" applyFont="1" applyAlignment="1">
      <alignment horizontal="center" vertical="center"/>
    </xf>
    <xf numFmtId="38" fontId="86" fillId="0" borderId="0" xfId="0" applyNumberFormat="1" applyFont="1" applyAlignment="1">
      <alignment horizontal="right" vertical="center"/>
    </xf>
    <xf numFmtId="6" fontId="102" fillId="0" borderId="0" xfId="0" applyNumberFormat="1" applyFont="1" applyAlignment="1">
      <alignment horizontal="center" vertical="center"/>
    </xf>
    <xf numFmtId="164" fontId="102" fillId="0" borderId="0" xfId="1" applyNumberFormat="1" applyFont="1" applyFill="1" applyBorder="1" applyAlignment="1" applyProtection="1">
      <alignment horizontal="left" vertical="center"/>
    </xf>
    <xf numFmtId="0" fontId="293" fillId="0" borderId="0" xfId="0" applyFont="1" applyAlignment="1">
      <alignment horizontal="left" vertical="center"/>
    </xf>
    <xf numFmtId="3" fontId="95" fillId="0" borderId="0" xfId="0" applyNumberFormat="1" applyFont="1" applyAlignment="1">
      <alignment horizontal="left" vertical="center"/>
    </xf>
    <xf numFmtId="0" fontId="289" fillId="0" borderId="0" xfId="0" applyFont="1" applyAlignment="1">
      <alignment horizontal="left" vertical="center"/>
    </xf>
    <xf numFmtId="4" fontId="102" fillId="0" borderId="0" xfId="1" applyNumberFormat="1" applyFont="1" applyFill="1" applyBorder="1" applyAlignment="1" applyProtection="1">
      <alignment vertical="center"/>
    </xf>
    <xf numFmtId="4" fontId="102" fillId="0" borderId="0" xfId="1" applyNumberFormat="1" applyFont="1" applyFill="1" applyBorder="1" applyAlignment="1" applyProtection="1">
      <alignment horizontal="center" vertical="center"/>
    </xf>
    <xf numFmtId="0" fontId="293" fillId="0" borderId="0" xfId="0" applyFont="1" applyAlignment="1">
      <alignment horizontal="left" vertical="top"/>
    </xf>
    <xf numFmtId="0" fontId="298" fillId="0" borderId="0" xfId="0" applyFont="1" applyAlignment="1">
      <alignment horizontal="right" vertical="center"/>
    </xf>
    <xf numFmtId="0" fontId="102" fillId="0" borderId="0" xfId="0" quotePrefix="1" applyFont="1" applyAlignment="1">
      <alignment horizontal="center" vertical="center"/>
    </xf>
    <xf numFmtId="0" fontId="301" fillId="0" borderId="0" xfId="0"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9" fontId="95" fillId="0" borderId="0" xfId="0" applyNumberFormat="1" applyFont="1" applyAlignment="1">
      <alignment vertical="center"/>
    </xf>
    <xf numFmtId="0" fontId="102" fillId="0" borderId="0" xfId="0" quotePrefix="1" applyFont="1" applyAlignment="1">
      <alignment horizontal="right" vertical="center"/>
    </xf>
    <xf numFmtId="0" fontId="301" fillId="0" borderId="0" xfId="0" applyFont="1" applyAlignment="1">
      <alignment horizontal="left" vertical="center"/>
    </xf>
    <xf numFmtId="38" fontId="232" fillId="0" borderId="0" xfId="0" applyNumberFormat="1" applyFont="1" applyAlignment="1">
      <alignment vertical="center"/>
    </xf>
    <xf numFmtId="164" fontId="232" fillId="0" borderId="0" xfId="1" applyNumberFormat="1" applyFont="1" applyFill="1" applyBorder="1" applyAlignment="1" applyProtection="1">
      <alignment horizontal="center" vertical="center"/>
    </xf>
    <xf numFmtId="168" fontId="102" fillId="0" borderId="0" xfId="0" applyNumberFormat="1" applyFont="1" applyAlignment="1">
      <alignment vertical="center"/>
    </xf>
    <xf numFmtId="170" fontId="102" fillId="0" borderId="0" xfId="0" applyNumberFormat="1" applyFont="1" applyAlignment="1">
      <alignment vertical="center"/>
    </xf>
    <xf numFmtId="38" fontId="102" fillId="0" borderId="0" xfId="0" applyNumberFormat="1" applyFont="1" applyAlignment="1">
      <alignment horizontal="center" vertical="center"/>
    </xf>
    <xf numFmtId="0" fontId="103" fillId="0" borderId="0" xfId="0" applyFont="1" applyAlignment="1">
      <alignment horizontal="left" vertical="center"/>
    </xf>
    <xf numFmtId="0" fontId="86" fillId="0" borderId="0" xfId="0" applyFont="1" applyAlignment="1">
      <alignment vertical="top"/>
    </xf>
    <xf numFmtId="0" fontId="102" fillId="0" borderId="0" xfId="0" applyFont="1" applyAlignment="1">
      <alignment vertical="top"/>
    </xf>
    <xf numFmtId="0" fontId="233" fillId="0" borderId="0" xfId="0" applyFont="1" applyAlignment="1">
      <alignment vertical="center"/>
    </xf>
    <xf numFmtId="0" fontId="233" fillId="0" borderId="0" xfId="13" applyFont="1" applyAlignment="1">
      <alignment vertical="center"/>
    </xf>
    <xf numFmtId="0" fontId="92" fillId="0" borderId="0" xfId="13" applyFont="1"/>
    <xf numFmtId="0" fontId="250" fillId="0" borderId="0" xfId="13" applyFont="1" applyAlignment="1">
      <alignment vertical="top"/>
    </xf>
    <xf numFmtId="0" fontId="83" fillId="0" borderId="0" xfId="13" applyFont="1" applyAlignment="1">
      <alignment vertical="top"/>
    </xf>
    <xf numFmtId="0" fontId="304" fillId="0" borderId="0" xfId="13" applyFont="1" applyAlignment="1">
      <alignment horizontal="center" vertical="center"/>
    </xf>
    <xf numFmtId="0" fontId="92" fillId="0" borderId="0" xfId="13" applyFont="1" applyAlignment="1">
      <alignment vertical="center"/>
    </xf>
    <xf numFmtId="0" fontId="103" fillId="0" borderId="0" xfId="13" applyFont="1" applyAlignment="1">
      <alignment horizontal="center" vertical="center"/>
    </xf>
    <xf numFmtId="0" fontId="95" fillId="0" borderId="0" xfId="13" applyFont="1"/>
    <xf numFmtId="0" fontId="83" fillId="0" borderId="0" xfId="13" applyFont="1" applyAlignment="1">
      <alignment vertical="center"/>
    </xf>
    <xf numFmtId="0" fontId="95" fillId="0" borderId="0" xfId="13" applyFont="1" applyAlignment="1">
      <alignment vertical="center"/>
    </xf>
    <xf numFmtId="0" fontId="232"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299" fillId="0" borderId="0" xfId="13" applyFont="1" applyAlignment="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Fill="1" applyBorder="1" applyAlignment="1" applyProtection="1">
      <alignment vertical="center"/>
    </xf>
    <xf numFmtId="0" fontId="95" fillId="0" borderId="0" xfId="13" applyFont="1" applyAlignment="1">
      <alignment horizontal="right" vertical="center"/>
    </xf>
    <xf numFmtId="49" fontId="83" fillId="0" borderId="0" xfId="0" applyNumberFormat="1" applyFont="1"/>
    <xf numFmtId="0" fontId="305" fillId="0" borderId="0" xfId="0" applyFont="1"/>
    <xf numFmtId="174" fontId="92" fillId="0" borderId="0" xfId="0" applyNumberFormat="1" applyFont="1" applyAlignment="1">
      <alignment vertical="center"/>
    </xf>
    <xf numFmtId="0" fontId="83" fillId="0" borderId="0" xfId="0" applyFont="1" applyAlignment="1">
      <alignment horizontal="center" vertical="center"/>
    </xf>
    <xf numFmtId="0" fontId="92" fillId="0" borderId="0" xfId="39" applyFont="1" applyAlignment="1">
      <alignment vertical="center"/>
    </xf>
    <xf numFmtId="0" fontId="227" fillId="0" borderId="0" xfId="0" applyFont="1" applyAlignment="1">
      <alignment horizontal="left" vertical="center"/>
    </xf>
    <xf numFmtId="3" fontId="95" fillId="0" borderId="0" xfId="0" applyNumberFormat="1" applyFont="1" applyAlignment="1">
      <alignment vertical="top"/>
    </xf>
    <xf numFmtId="0" fontId="227" fillId="0" borderId="0" xfId="0" applyFont="1"/>
    <xf numFmtId="0" fontId="227" fillId="0" borderId="0" xfId="0" applyFont="1" applyAlignment="1">
      <alignment horizontal="center"/>
    </xf>
    <xf numFmtId="0" fontId="227" fillId="0" borderId="0" xfId="0" applyFont="1" applyAlignment="1">
      <alignment textRotation="90"/>
    </xf>
    <xf numFmtId="0" fontId="95" fillId="0" borderId="0" xfId="24" applyFont="1" applyAlignment="1">
      <alignment vertical="top"/>
    </xf>
    <xf numFmtId="0" fontId="227" fillId="0" borderId="0" xfId="0" applyFont="1" applyAlignment="1">
      <alignment horizontal="center" vertical="center"/>
    </xf>
    <xf numFmtId="49" fontId="83" fillId="0" borderId="0" xfId="0" quotePrefix="1" applyNumberFormat="1" applyFont="1" applyAlignment="1">
      <alignment vertical="center"/>
    </xf>
    <xf numFmtId="0" fontId="240" fillId="0" borderId="0" xfId="0" applyFont="1" applyAlignment="1">
      <alignment horizontal="left" vertical="center"/>
    </xf>
    <xf numFmtId="3" fontId="83" fillId="0" borderId="0" xfId="0" applyNumberFormat="1" applyFont="1" applyAlignment="1">
      <alignment horizontal="center" vertical="center"/>
    </xf>
    <xf numFmtId="0" fontId="83" fillId="0" borderId="0" xfId="0" applyFont="1" applyAlignment="1">
      <alignment horizontal="left"/>
    </xf>
    <xf numFmtId="3" fontId="93" fillId="0" borderId="0" xfId="0" applyNumberFormat="1" applyFont="1" applyAlignment="1">
      <alignment vertical="top"/>
    </xf>
    <xf numFmtId="175" fontId="96" fillId="0" borderId="0" xfId="0" applyNumberFormat="1" applyFont="1" applyAlignment="1">
      <alignment horizontal="center" vertical="center"/>
    </xf>
    <xf numFmtId="3" fontId="93" fillId="0" borderId="0" xfId="0" applyNumberFormat="1" applyFont="1" applyAlignment="1">
      <alignment horizontal="right" vertical="top"/>
    </xf>
    <xf numFmtId="0" fontId="307" fillId="0" borderId="0" xfId="0" applyFont="1" applyAlignment="1">
      <alignment vertical="center"/>
    </xf>
    <xf numFmtId="0" fontId="310" fillId="0" borderId="0" xfId="0" applyFont="1" applyAlignment="1">
      <alignment horizontal="center" vertical="center"/>
    </xf>
    <xf numFmtId="0" fontId="301" fillId="0" borderId="0" xfId="0" applyFont="1" applyAlignment="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39"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32"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40" fillId="0" borderId="0" xfId="0" applyFont="1" applyAlignment="1">
      <alignment vertical="center"/>
    </xf>
    <xf numFmtId="0" fontId="227" fillId="0" borderId="0" xfId="0" applyFont="1" applyAlignment="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240" fillId="0" borderId="0" xfId="1" applyNumberFormat="1" applyFont="1" applyFill="1" applyBorder="1" applyAlignment="1" applyProtection="1">
      <alignment vertical="center"/>
    </xf>
    <xf numFmtId="0" fontId="93" fillId="0" borderId="0" xfId="0" applyFont="1" applyAlignment="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Alignment="1">
      <alignment horizontal="right" vertical="center"/>
    </xf>
    <xf numFmtId="164" fontId="96" fillId="0" borderId="0" xfId="1" applyNumberFormat="1" applyFont="1" applyFill="1" applyBorder="1" applyAlignment="1" applyProtection="1">
      <alignment horizontal="center" vertical="center"/>
    </xf>
    <xf numFmtId="2" fontId="227" fillId="0" borderId="0" xfId="0" applyNumberFormat="1" applyFont="1" applyAlignment="1">
      <alignment vertical="top"/>
    </xf>
    <xf numFmtId="0" fontId="95" fillId="0" borderId="0" xfId="0" applyFont="1" applyAlignment="1">
      <alignment horizontal="left" vertical="center" wrapText="1"/>
    </xf>
    <xf numFmtId="0" fontId="296" fillId="0" borderId="0" xfId="0" applyFont="1" applyAlignment="1">
      <alignment horizontal="left" vertical="center"/>
    </xf>
    <xf numFmtId="0" fontId="228" fillId="0" borderId="0" xfId="0" applyFont="1" applyAlignment="1">
      <alignment horizontal="center"/>
    </xf>
    <xf numFmtId="0" fontId="227" fillId="0" borderId="0" xfId="0" applyFont="1" applyAlignment="1">
      <alignment vertical="top"/>
    </xf>
    <xf numFmtId="38" fontId="92" fillId="0" borderId="0" xfId="1" applyNumberFormat="1" applyFont="1" applyFill="1" applyBorder="1" applyAlignment="1" applyProtection="1">
      <alignment horizontal="right" vertical="center"/>
    </xf>
    <xf numFmtId="0" fontId="312" fillId="0" borderId="0" xfId="0" applyFont="1" applyAlignment="1">
      <alignment vertical="center"/>
    </xf>
    <xf numFmtId="0" fontId="312" fillId="0" borderId="0" xfId="0" applyFont="1"/>
    <xf numFmtId="0" fontId="305" fillId="0" borderId="0" xfId="0" applyFont="1" applyAlignment="1">
      <alignment vertical="center"/>
    </xf>
    <xf numFmtId="0" fontId="313" fillId="0" borderId="0" xfId="0" applyFont="1" applyAlignment="1">
      <alignment vertical="center"/>
    </xf>
    <xf numFmtId="38" fontId="312" fillId="0" borderId="0" xfId="1" applyNumberFormat="1" applyFont="1" applyFill="1" applyBorder="1" applyAlignment="1" applyProtection="1">
      <alignment horizontal="right" vertical="center"/>
    </xf>
    <xf numFmtId="38" fontId="83" fillId="0" borderId="0" xfId="1" applyNumberFormat="1" applyFont="1" applyFill="1" applyBorder="1" applyAlignment="1" applyProtection="1">
      <alignment horizontal="right" vertical="center"/>
    </xf>
    <xf numFmtId="0" fontId="83" fillId="0" borderId="0" xfId="0" applyFont="1" applyAlignment="1">
      <alignment vertical="top"/>
    </xf>
    <xf numFmtId="0" fontId="309" fillId="0" borderId="0" xfId="0" applyFont="1" applyAlignment="1">
      <alignment vertical="center"/>
    </xf>
    <xf numFmtId="10" fontId="92" fillId="0" borderId="0" xfId="0" applyNumberFormat="1" applyFont="1" applyAlignment="1">
      <alignment horizontal="center" vertical="center"/>
    </xf>
    <xf numFmtId="3" fontId="92" fillId="0" borderId="0" xfId="0" applyNumberFormat="1" applyFont="1" applyAlignment="1">
      <alignment horizontal="center" vertical="center"/>
    </xf>
    <xf numFmtId="38" fontId="92" fillId="0" borderId="0" xfId="0" applyNumberFormat="1" applyFont="1" applyAlignment="1">
      <alignment horizontal="right" vertical="center"/>
    </xf>
    <xf numFmtId="38" fontId="92" fillId="0" borderId="0" xfId="0" applyNumberFormat="1" applyFont="1"/>
    <xf numFmtId="10" fontId="93" fillId="0" borderId="0" xfId="0" applyNumberFormat="1" applyFont="1" applyAlignment="1">
      <alignment horizontal="left" vertical="center"/>
    </xf>
    <xf numFmtId="0" fontId="227" fillId="0" borderId="0" xfId="0" applyFont="1" applyAlignment="1">
      <alignment horizontal="left"/>
    </xf>
    <xf numFmtId="38" fontId="92" fillId="0" borderId="0" xfId="0" applyNumberFormat="1" applyFont="1" applyAlignment="1">
      <alignment horizontal="center" vertical="center"/>
    </xf>
    <xf numFmtId="0" fontId="92" fillId="0" borderId="0" xfId="0" applyFont="1" applyAlignment="1">
      <alignment horizontal="left" vertical="top"/>
    </xf>
    <xf numFmtId="0" fontId="96" fillId="0" borderId="0" xfId="0" applyFont="1" applyAlignment="1">
      <alignment horizontal="left" vertical="center"/>
    </xf>
    <xf numFmtId="0" fontId="305" fillId="0" borderId="0" xfId="0" applyFont="1" applyAlignment="1">
      <alignment horizontal="left" vertical="center"/>
    </xf>
    <xf numFmtId="0" fontId="313" fillId="0" borderId="0" xfId="0" applyFont="1" applyAlignment="1">
      <alignment horizontal="left" vertical="center"/>
    </xf>
    <xf numFmtId="38" fontId="251" fillId="0" borderId="0" xfId="1" applyNumberFormat="1" applyFont="1" applyFill="1" applyBorder="1" applyAlignment="1" applyProtection="1">
      <alignment horizontal="right" vertical="center"/>
    </xf>
    <xf numFmtId="38" fontId="92" fillId="0" borderId="0" xfId="0" applyNumberFormat="1" applyFont="1" applyAlignment="1">
      <alignment vertical="center"/>
    </xf>
    <xf numFmtId="38" fontId="92" fillId="0" borderId="0" xfId="1" applyNumberFormat="1" applyFont="1" applyFill="1" applyBorder="1" applyAlignment="1" applyProtection="1">
      <alignment vertical="center"/>
    </xf>
    <xf numFmtId="38" fontId="312" fillId="0" borderId="0" xfId="1" applyNumberFormat="1" applyFont="1" applyFill="1" applyBorder="1" applyAlignment="1" applyProtection="1">
      <alignment vertical="center"/>
    </xf>
    <xf numFmtId="0" fontId="251" fillId="0" borderId="0" xfId="0" applyFont="1" applyAlignment="1">
      <alignment vertical="center"/>
    </xf>
    <xf numFmtId="38" fontId="251" fillId="0" borderId="0" xfId="1" applyNumberFormat="1" applyFont="1" applyFill="1" applyBorder="1" applyAlignment="1" applyProtection="1">
      <alignment vertical="center"/>
    </xf>
    <xf numFmtId="38" fontId="83" fillId="0" borderId="0" xfId="1" applyNumberFormat="1" applyFont="1" applyFill="1" applyBorder="1" applyAlignment="1" applyProtection="1">
      <alignment vertical="center"/>
    </xf>
    <xf numFmtId="3" fontId="92" fillId="0" borderId="0" xfId="0" applyNumberFormat="1" applyFont="1" applyAlignment="1">
      <alignment vertical="center"/>
    </xf>
    <xf numFmtId="0" fontId="83" fillId="0" borderId="0" xfId="0" quotePrefix="1" applyFont="1" applyAlignment="1">
      <alignment horizontal="center" vertical="center"/>
    </xf>
    <xf numFmtId="164" fontId="96" fillId="0" borderId="0" xfId="0" applyNumberFormat="1" applyFont="1" applyAlignment="1">
      <alignment vertical="center"/>
    </xf>
    <xf numFmtId="10" fontId="96" fillId="0" borderId="0" xfId="0" applyNumberFormat="1" applyFont="1" applyAlignment="1">
      <alignment vertical="center"/>
    </xf>
    <xf numFmtId="0" fontId="96" fillId="0" borderId="0" xfId="0" applyFont="1" applyAlignment="1">
      <alignment horizontal="left"/>
    </xf>
    <xf numFmtId="9" fontId="96" fillId="0" borderId="0" xfId="10" applyFont="1" applyFill="1" applyBorder="1" applyAlignment="1" applyProtection="1"/>
    <xf numFmtId="0" fontId="314" fillId="0" borderId="0" xfId="0" applyFont="1"/>
    <xf numFmtId="0" fontId="227"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96" fillId="0" borderId="0" xfId="0" applyNumberFormat="1" applyFont="1" applyAlignment="1">
      <alignment vertical="center"/>
    </xf>
    <xf numFmtId="164" fontId="96" fillId="0" borderId="0" xfId="1" applyNumberFormat="1" applyFont="1" applyFill="1" applyBorder="1" applyAlignment="1" applyProtection="1">
      <alignment vertical="center"/>
    </xf>
    <xf numFmtId="44" fontId="96" fillId="0" borderId="0" xfId="0" applyNumberFormat="1" applyFont="1"/>
    <xf numFmtId="44" fontId="92" fillId="0" borderId="0" xfId="0" applyNumberFormat="1" applyFont="1"/>
    <xf numFmtId="0" fontId="83" fillId="0" borderId="0" xfId="0" applyFont="1" applyAlignment="1">
      <alignment horizontal="left" vertical="center"/>
    </xf>
    <xf numFmtId="0" fontId="83" fillId="0" borderId="0" xfId="0" applyFont="1" applyAlignment="1">
      <alignment horizontal="right" vertical="center"/>
    </xf>
    <xf numFmtId="0" fontId="316" fillId="0" borderId="0" xfId="0" applyFont="1" applyAlignment="1">
      <alignment vertical="center"/>
    </xf>
    <xf numFmtId="3" fontId="92" fillId="0" borderId="0" xfId="1" applyNumberFormat="1" applyFont="1" applyFill="1" applyBorder="1" applyAlignment="1" applyProtection="1">
      <alignment vertical="center"/>
    </xf>
    <xf numFmtId="4" fontId="93" fillId="0" borderId="0" xfId="0" applyNumberFormat="1" applyFont="1" applyAlignment="1">
      <alignment horizontal="left" vertical="center"/>
    </xf>
    <xf numFmtId="4" fontId="96"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horizontal="left" vertical="center"/>
    </xf>
    <xf numFmtId="38" fontId="93" fillId="0" borderId="0" xfId="0" applyNumberFormat="1" applyFont="1" applyAlignment="1">
      <alignment vertical="center"/>
    </xf>
    <xf numFmtId="0" fontId="317" fillId="0" borderId="0" xfId="0" applyFont="1" applyAlignment="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318" fillId="0" borderId="0" xfId="0" applyNumberFormat="1" applyFont="1"/>
    <xf numFmtId="0" fontId="319" fillId="0" borderId="0" xfId="0" applyFont="1"/>
    <xf numFmtId="0" fontId="319" fillId="0" borderId="0" xfId="0" applyFont="1" applyAlignment="1">
      <alignment horizontal="center"/>
    </xf>
    <xf numFmtId="3" fontId="93" fillId="0" borderId="0" xfId="0" applyNumberFormat="1" applyFont="1" applyAlignment="1">
      <alignment horizontal="center" vertical="center"/>
    </xf>
    <xf numFmtId="3" fontId="227" fillId="0" borderId="0" xfId="0" applyNumberFormat="1" applyFont="1" applyAlignment="1">
      <alignment horizontal="center" vertical="center"/>
    </xf>
    <xf numFmtId="38" fontId="92" fillId="0" borderId="0" xfId="1" applyNumberFormat="1" applyFont="1" applyFill="1" applyBorder="1" applyAlignment="1" applyProtection="1">
      <alignment horizontal="left" vertical="center"/>
    </xf>
    <xf numFmtId="49" fontId="227" fillId="0" borderId="0" xfId="0" applyNumberFormat="1" applyFont="1" applyAlignment="1">
      <alignment vertical="center"/>
    </xf>
    <xf numFmtId="10" fontId="92" fillId="0" borderId="0" xfId="0" applyNumberFormat="1" applyFont="1" applyAlignment="1">
      <alignment horizontal="left"/>
    </xf>
    <xf numFmtId="164" fontId="92" fillId="0" borderId="0" xfId="1" applyNumberFormat="1" applyFont="1" applyFill="1" applyBorder="1" applyAlignment="1" applyProtection="1">
      <alignment horizontal="right"/>
    </xf>
    <xf numFmtId="0" fontId="92" fillId="0" borderId="0" xfId="0"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applyFont="1" applyAlignment="1">
      <alignment horizontal="right" vertical="center"/>
    </xf>
    <xf numFmtId="0" fontId="92" fillId="0" borderId="0" xfId="0" quotePrefix="1" applyFont="1" applyAlignment="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43" fontId="92" fillId="0" borderId="0" xfId="1" applyFont="1" applyFill="1" applyBorder="1" applyAlignment="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Alignment="1" applyProtection="1"/>
    <xf numFmtId="0" fontId="83" fillId="0" borderId="0" xfId="33" applyFont="1" applyAlignment="1">
      <alignment vertical="center"/>
    </xf>
    <xf numFmtId="0" fontId="92" fillId="0" borderId="0" xfId="33" applyFont="1"/>
    <xf numFmtId="0" fontId="251" fillId="0" borderId="0" xfId="33" applyFont="1" applyAlignment="1">
      <alignment vertical="center"/>
    </xf>
    <xf numFmtId="49" fontId="83" fillId="0" borderId="0" xfId="33" applyNumberFormat="1" applyFont="1" applyAlignment="1">
      <alignment vertical="center"/>
    </xf>
    <xf numFmtId="0" fontId="83" fillId="0" borderId="0" xfId="33" applyFont="1" applyAlignment="1">
      <alignment horizontal="center" vertical="center"/>
    </xf>
    <xf numFmtId="0" fontId="83" fillId="0" borderId="0" xfId="33" applyFont="1" applyAlignment="1">
      <alignment horizontal="right" vertical="center"/>
    </xf>
    <xf numFmtId="0" fontId="233" fillId="0" borderId="0" xfId="33" applyFont="1" applyAlignment="1">
      <alignment vertical="center"/>
    </xf>
    <xf numFmtId="0" fontId="228" fillId="0" borderId="0" xfId="33" applyFont="1"/>
    <xf numFmtId="0" fontId="250" fillId="0" borderId="0" xfId="33" applyFont="1"/>
    <xf numFmtId="0" fontId="273" fillId="0" borderId="0" xfId="33" applyFont="1" applyAlignment="1">
      <alignment horizontal="left" vertical="top"/>
    </xf>
    <xf numFmtId="0" fontId="92" fillId="0" borderId="0" xfId="33" applyFont="1" applyAlignment="1">
      <alignment vertical="top"/>
    </xf>
    <xf numFmtId="0" fontId="228" fillId="0" borderId="0" xfId="33" applyFont="1" applyAlignment="1">
      <alignment horizontal="left" vertical="center"/>
    </xf>
    <xf numFmtId="0" fontId="228" fillId="0" borderId="0" xfId="33" applyFont="1" applyAlignment="1">
      <alignment horizontal="right" vertical="center"/>
    </xf>
    <xf numFmtId="0" fontId="273" fillId="0" borderId="0" xfId="33" applyFont="1" applyAlignment="1">
      <alignment vertical="center"/>
    </xf>
    <xf numFmtId="0" fontId="250" fillId="0" borderId="0" xfId="33" applyFont="1" applyAlignment="1">
      <alignment vertical="top"/>
    </xf>
    <xf numFmtId="0" fontId="320" fillId="0" borderId="0" xfId="33" applyFont="1" applyAlignment="1">
      <alignment horizontal="right" vertical="center"/>
    </xf>
    <xf numFmtId="0" fontId="320" fillId="0" borderId="0" xfId="33" applyFont="1" applyAlignment="1">
      <alignment horizontal="center" vertical="center"/>
    </xf>
    <xf numFmtId="0" fontId="273" fillId="0" borderId="0" xfId="33" applyFont="1" applyAlignment="1">
      <alignment horizontal="left" vertical="center"/>
    </xf>
    <xf numFmtId="10" fontId="228" fillId="0" borderId="0" xfId="33" applyNumberFormat="1" applyFont="1" applyAlignment="1">
      <alignment vertical="center"/>
    </xf>
    <xf numFmtId="10" fontId="250" fillId="0" borderId="0" xfId="10" applyNumberFormat="1" applyFont="1" applyFill="1" applyBorder="1" applyAlignment="1" applyProtection="1">
      <alignment vertical="center"/>
    </xf>
    <xf numFmtId="10" fontId="250" fillId="0" borderId="0" xfId="33" applyNumberFormat="1" applyFont="1" applyAlignment="1">
      <alignment horizontal="left" vertical="center"/>
    </xf>
    <xf numFmtId="0" fontId="228" fillId="0" borderId="0" xfId="33" applyFont="1" applyAlignment="1">
      <alignment vertical="top"/>
    </xf>
    <xf numFmtId="0" fontId="250" fillId="0" borderId="0" xfId="33" applyFont="1" applyAlignment="1">
      <alignment horizontal="right" vertical="center"/>
    </xf>
    <xf numFmtId="0" fontId="228" fillId="0" borderId="0" xfId="33" applyFont="1" applyAlignment="1">
      <alignment horizontal="left" vertical="top"/>
    </xf>
    <xf numFmtId="0" fontId="228" fillId="0" borderId="0" xfId="33" applyFont="1" applyAlignment="1">
      <alignment horizontal="center" vertical="top"/>
    </xf>
    <xf numFmtId="0" fontId="273" fillId="0" borderId="0" xfId="33" applyFont="1" applyAlignment="1">
      <alignment vertical="top"/>
    </xf>
    <xf numFmtId="0" fontId="250" fillId="0" borderId="0" xfId="33" applyFont="1" applyAlignment="1">
      <alignment horizontal="right" vertical="top"/>
    </xf>
    <xf numFmtId="0" fontId="93" fillId="0" borderId="0" xfId="33" applyFont="1" applyAlignment="1">
      <alignment vertical="center"/>
    </xf>
    <xf numFmtId="0" fontId="93" fillId="0" borderId="0" xfId="33" applyFont="1" applyAlignment="1">
      <alignment horizontal="center" vertical="center"/>
    </xf>
    <xf numFmtId="3" fontId="96" fillId="0" borderId="0" xfId="33" applyNumberFormat="1" applyFont="1" applyAlignment="1">
      <alignment horizontal="center" vertical="center"/>
    </xf>
    <xf numFmtId="0" fontId="93" fillId="0" borderId="0" xfId="33" applyFont="1" applyAlignment="1">
      <alignment horizontal="right" vertical="center"/>
    </xf>
    <xf numFmtId="0" fontId="96" fillId="0" borderId="0" xfId="33" applyFont="1" applyAlignment="1">
      <alignment vertical="center"/>
    </xf>
    <xf numFmtId="0" fontId="320" fillId="0" borderId="0" xfId="33" applyFont="1" applyAlignment="1">
      <alignment horizontal="left" vertical="center"/>
    </xf>
    <xf numFmtId="38" fontId="228" fillId="0" borderId="0" xfId="33" applyNumberFormat="1" applyFont="1" applyAlignment="1">
      <alignment vertical="center"/>
    </xf>
    <xf numFmtId="38" fontId="228" fillId="0" borderId="0" xfId="33" applyNumberFormat="1" applyFont="1" applyAlignment="1">
      <alignment horizontal="center" vertical="center"/>
    </xf>
    <xf numFmtId="1" fontId="228" fillId="0" borderId="0" xfId="33" applyNumberFormat="1" applyFont="1" applyAlignment="1">
      <alignment vertical="center"/>
    </xf>
    <xf numFmtId="9" fontId="228" fillId="0" borderId="0" xfId="33" applyNumberFormat="1" applyFont="1" applyAlignment="1">
      <alignment vertical="center"/>
    </xf>
    <xf numFmtId="38" fontId="233" fillId="0" borderId="0" xfId="33" applyNumberFormat="1" applyFont="1" applyAlignment="1">
      <alignment vertical="center"/>
    </xf>
    <xf numFmtId="0" fontId="320" fillId="0" borderId="0" xfId="33" applyFont="1"/>
    <xf numFmtId="0" fontId="250" fillId="0" borderId="0" xfId="33" applyFont="1" applyAlignment="1">
      <alignment horizontal="justify" vertical="center"/>
    </xf>
    <xf numFmtId="3" fontId="250" fillId="0" borderId="0" xfId="34" applyNumberFormat="1" applyFont="1" applyFill="1" applyBorder="1" applyAlignment="1" applyProtection="1">
      <alignment horizontal="center" vertical="center"/>
    </xf>
    <xf numFmtId="1" fontId="228" fillId="0" borderId="0" xfId="33" applyNumberFormat="1" applyFont="1" applyAlignment="1">
      <alignment horizontal="center" vertical="center"/>
    </xf>
    <xf numFmtId="9" fontId="228" fillId="0" borderId="0" xfId="33" applyNumberFormat="1" applyFont="1" applyAlignment="1">
      <alignment horizontal="center" vertical="center"/>
    </xf>
    <xf numFmtId="0" fontId="228" fillId="0" borderId="0" xfId="37" applyFont="1" applyAlignment="1">
      <alignment vertical="top"/>
    </xf>
    <xf numFmtId="1" fontId="250" fillId="0" borderId="0" xfId="37" applyNumberFormat="1" applyFont="1" applyAlignment="1">
      <alignment vertical="center"/>
    </xf>
    <xf numFmtId="0" fontId="304" fillId="0" borderId="0" xfId="37" applyFont="1" applyAlignment="1">
      <alignment vertical="center"/>
    </xf>
    <xf numFmtId="49" fontId="228" fillId="0" borderId="0" xfId="37" applyNumberFormat="1" applyFont="1" applyAlignment="1">
      <alignment vertical="center"/>
    </xf>
    <xf numFmtId="38" fontId="250" fillId="0" borderId="0" xfId="37" applyNumberFormat="1" applyFont="1" applyAlignment="1">
      <alignment horizontal="center" vertical="center"/>
    </xf>
    <xf numFmtId="181" fontId="228" fillId="0" borderId="0" xfId="37" applyNumberFormat="1" applyFont="1" applyAlignment="1">
      <alignment horizontal="center" vertical="center"/>
    </xf>
    <xf numFmtId="0" fontId="273" fillId="0" borderId="0" xfId="37" applyFont="1" applyAlignment="1">
      <alignment vertical="center"/>
    </xf>
    <xf numFmtId="0" fontId="240" fillId="0" borderId="0" xfId="37" applyFont="1" applyAlignment="1">
      <alignment vertical="center"/>
    </xf>
    <xf numFmtId="3" fontId="228" fillId="0" borderId="0" xfId="37" applyNumberFormat="1" applyFont="1" applyAlignment="1">
      <alignment vertical="center"/>
    </xf>
    <xf numFmtId="0" fontId="233" fillId="0" borderId="0" xfId="37" applyFont="1" applyAlignment="1">
      <alignment vertical="center"/>
    </xf>
    <xf numFmtId="0" fontId="250" fillId="0" borderId="0" xfId="37" applyFont="1" applyAlignment="1">
      <alignment horizontal="right"/>
    </xf>
    <xf numFmtId="0" fontId="257" fillId="0" borderId="0" xfId="37" applyFont="1" applyAlignment="1">
      <alignment horizontal="left" vertical="center"/>
    </xf>
    <xf numFmtId="0" fontId="257" fillId="0" borderId="0" xfId="37" applyFont="1" applyAlignment="1">
      <alignment horizontal="center" vertical="center"/>
    </xf>
    <xf numFmtId="0" fontId="257" fillId="0" borderId="0" xfId="37" applyFont="1" applyAlignment="1">
      <alignment horizontal="left" vertical="top"/>
    </xf>
    <xf numFmtId="0" fontId="228" fillId="0" borderId="0" xfId="37" applyFont="1" applyAlignment="1">
      <alignment horizontal="left" vertical="center"/>
    </xf>
    <xf numFmtId="0" fontId="228" fillId="0" borderId="0" xfId="37" quotePrefix="1" applyFont="1" applyAlignment="1">
      <alignment horizontal="left" vertical="center"/>
    </xf>
    <xf numFmtId="0" fontId="250" fillId="0" borderId="0" xfId="37" quotePrefix="1" applyFont="1" applyAlignment="1">
      <alignment horizontal="right" vertical="center"/>
    </xf>
    <xf numFmtId="0" fontId="228" fillId="0" borderId="0" xfId="37" quotePrefix="1" applyFont="1" applyAlignment="1">
      <alignment horizontal="left" vertical="top"/>
    </xf>
    <xf numFmtId="0" fontId="257" fillId="0" borderId="0" xfId="37" quotePrefix="1" applyFont="1" applyAlignment="1">
      <alignment horizontal="center" vertical="center"/>
    </xf>
    <xf numFmtId="0" fontId="228" fillId="0" borderId="0" xfId="37" applyFont="1" applyAlignment="1">
      <alignment horizontal="center" vertical="top"/>
    </xf>
    <xf numFmtId="0" fontId="228" fillId="0" borderId="0" xfId="37" quotePrefix="1" applyFont="1" applyAlignment="1">
      <alignment vertical="top"/>
    </xf>
    <xf numFmtId="0" fontId="250" fillId="0" borderId="0" xfId="37" applyFont="1" applyAlignment="1">
      <alignment horizontal="right" vertical="top"/>
    </xf>
    <xf numFmtId="0" fontId="257" fillId="0" borderId="0" xfId="37" applyFont="1" applyAlignment="1">
      <alignment horizontal="center" vertical="top"/>
    </xf>
    <xf numFmtId="0" fontId="257" fillId="0" borderId="0" xfId="37" applyFont="1" applyAlignment="1">
      <alignment vertical="top"/>
    </xf>
    <xf numFmtId="0" fontId="273" fillId="0" borderId="0" xfId="37" applyFont="1" applyAlignment="1">
      <alignment vertical="top"/>
    </xf>
    <xf numFmtId="38" fontId="228" fillId="0" borderId="0" xfId="37" applyNumberFormat="1" applyFont="1" applyAlignment="1">
      <alignment vertical="center"/>
    </xf>
    <xf numFmtId="0" fontId="273" fillId="0" borderId="0" xfId="37" applyFont="1" applyAlignment="1">
      <alignment horizontal="left"/>
    </xf>
    <xf numFmtId="0" fontId="250" fillId="0" borderId="0" xfId="37" quotePrefix="1" applyFont="1"/>
    <xf numFmtId="0" fontId="92" fillId="0" borderId="0" xfId="37" applyFont="1"/>
    <xf numFmtId="0" fontId="250" fillId="0" borderId="0" xfId="37" quotePrefix="1" applyFont="1" applyAlignment="1">
      <alignment vertical="center"/>
    </xf>
    <xf numFmtId="0" fontId="228" fillId="0" borderId="0" xfId="37" applyFont="1" applyAlignment="1">
      <alignment horizontal="left" vertical="top"/>
    </xf>
    <xf numFmtId="0" fontId="257" fillId="0" borderId="0" xfId="37" quotePrefix="1" applyFont="1" applyAlignment="1">
      <alignment vertical="top"/>
    </xf>
    <xf numFmtId="0" fontId="228" fillId="0" borderId="0" xfId="37" applyFont="1" applyAlignment="1">
      <alignment horizontal="right"/>
    </xf>
    <xf numFmtId="0" fontId="228" fillId="0" borderId="0" xfId="37" quotePrefix="1" applyFont="1" applyAlignment="1">
      <alignment horizontal="center" vertical="center"/>
    </xf>
    <xf numFmtId="0" fontId="250" fillId="0" borderId="0" xfId="37" quotePrefix="1" applyFont="1" applyAlignment="1">
      <alignment vertical="top"/>
    </xf>
    <xf numFmtId="0" fontId="273" fillId="0" borderId="0" xfId="37" applyFont="1"/>
    <xf numFmtId="3" fontId="250" fillId="0" borderId="0" xfId="37" applyNumberFormat="1" applyFont="1" applyAlignment="1">
      <alignment vertical="center"/>
    </xf>
    <xf numFmtId="0" fontId="93" fillId="0" borderId="0" xfId="37" applyFont="1" applyAlignment="1">
      <alignment vertical="center"/>
    </xf>
    <xf numFmtId="0" fontId="96" fillId="0" borderId="0" xfId="37" applyFont="1"/>
    <xf numFmtId="3" fontId="96" fillId="0" borderId="0" xfId="37" applyNumberFormat="1" applyFont="1" applyAlignment="1">
      <alignment horizontal="center" vertical="center"/>
    </xf>
    <xf numFmtId="4" fontId="96" fillId="0" borderId="0" xfId="37" applyNumberFormat="1" applyFont="1" applyAlignment="1">
      <alignment horizontal="center" vertical="center"/>
    </xf>
    <xf numFmtId="4" fontId="250" fillId="0" borderId="0" xfId="37" applyNumberFormat="1" applyFont="1" applyAlignment="1">
      <alignment vertical="center"/>
    </xf>
    <xf numFmtId="38" fontId="250" fillId="0" borderId="0" xfId="37" applyNumberFormat="1" applyFont="1" applyAlignment="1">
      <alignment vertical="center"/>
    </xf>
    <xf numFmtId="0" fontId="93" fillId="0" borderId="0" xfId="37" applyFont="1"/>
    <xf numFmtId="0" fontId="96" fillId="0" borderId="0" xfId="37" applyFont="1" applyAlignment="1">
      <alignment horizontal="right" vertical="center"/>
    </xf>
    <xf numFmtId="0" fontId="96" fillId="0" borderId="0" xfId="37" applyFont="1" applyAlignment="1">
      <alignment horizontal="left" vertical="center"/>
    </xf>
    <xf numFmtId="0" fontId="92" fillId="0" borderId="0" xfId="37" applyFont="1" applyAlignment="1">
      <alignment horizontal="center" vertical="center"/>
    </xf>
    <xf numFmtId="0" fontId="250" fillId="0" borderId="0" xfId="37" quotePrefix="1" applyFont="1" applyAlignment="1">
      <alignment horizontal="right" vertical="top"/>
    </xf>
    <xf numFmtId="0" fontId="250" fillId="0" borderId="0" xfId="37" quotePrefix="1" applyFont="1" applyAlignment="1">
      <alignment horizontal="center" vertical="top"/>
    </xf>
    <xf numFmtId="0" fontId="250" fillId="0" borderId="0" xfId="37" quotePrefix="1" applyFont="1" applyAlignment="1">
      <alignment horizontal="center" vertical="center"/>
    </xf>
    <xf numFmtId="0" fontId="257" fillId="0" borderId="0" xfId="37" quotePrefix="1" applyFont="1" applyAlignment="1">
      <alignment horizontal="left" vertical="center"/>
    </xf>
    <xf numFmtId="0" fontId="92" fillId="0" borderId="0" xfId="37" applyFont="1" applyAlignment="1">
      <alignment horizontal="right" vertical="center"/>
    </xf>
    <xf numFmtId="0" fontId="240" fillId="0" borderId="0" xfId="37" applyFont="1"/>
    <xf numFmtId="0" fontId="228" fillId="0" borderId="0" xfId="37" quotePrefix="1" applyFont="1" applyAlignment="1">
      <alignment vertical="center"/>
    </xf>
    <xf numFmtId="10" fontId="228" fillId="0" borderId="0" xfId="37" applyNumberFormat="1" applyFont="1" applyAlignment="1">
      <alignment vertical="center"/>
    </xf>
    <xf numFmtId="10" fontId="96" fillId="0" borderId="0" xfId="37" applyNumberFormat="1" applyFont="1" applyAlignment="1">
      <alignment vertical="center"/>
    </xf>
    <xf numFmtId="0" fontId="96" fillId="0" borderId="0" xfId="37" applyFont="1" applyAlignment="1">
      <alignment vertical="center"/>
    </xf>
    <xf numFmtId="0" fontId="95" fillId="0" borderId="0" xfId="37" applyFont="1"/>
    <xf numFmtId="10" fontId="250" fillId="0" borderId="0" xfId="37" applyNumberFormat="1" applyFont="1" applyAlignment="1">
      <alignment horizontal="center" vertical="center"/>
    </xf>
    <xf numFmtId="0" fontId="232" fillId="0" borderId="0" xfId="37" applyFont="1" applyAlignment="1">
      <alignment vertical="center"/>
    </xf>
    <xf numFmtId="38" fontId="92" fillId="0" borderId="0" xfId="37" applyNumberFormat="1" applyFont="1" applyAlignment="1">
      <alignment horizontal="center" vertical="center"/>
    </xf>
    <xf numFmtId="0" fontId="95" fillId="0" borderId="0" xfId="37" applyFont="1" applyAlignment="1">
      <alignment horizontal="left" vertical="center"/>
    </xf>
    <xf numFmtId="0" fontId="92" fillId="0" borderId="0" xfId="37" applyFont="1" applyAlignment="1">
      <alignment horizontal="center" vertical="top"/>
    </xf>
    <xf numFmtId="38" fontId="228" fillId="0" borderId="0" xfId="37" applyNumberFormat="1" applyFont="1" applyAlignment="1">
      <alignment horizontal="center" vertical="top"/>
    </xf>
    <xf numFmtId="0" fontId="92" fillId="0" borderId="0" xfId="37" applyFont="1" applyAlignment="1">
      <alignment vertical="top"/>
    </xf>
    <xf numFmtId="0" fontId="95" fillId="0" borderId="0" xfId="37" applyFont="1" applyAlignment="1">
      <alignment horizontal="right" vertical="center"/>
    </xf>
    <xf numFmtId="0" fontId="257" fillId="0" borderId="0" xfId="37" quotePrefix="1" applyFont="1"/>
    <xf numFmtId="0" fontId="257" fillId="0" borderId="0" xfId="37" applyFont="1"/>
    <xf numFmtId="38" fontId="228" fillId="0" borderId="0" xfId="37" applyNumberFormat="1" applyFont="1" applyAlignment="1">
      <alignment horizontal="center"/>
    </xf>
    <xf numFmtId="0" fontId="93" fillId="0" borderId="0" xfId="37" applyFont="1" applyAlignment="1">
      <alignment horizontal="right" vertical="center"/>
    </xf>
    <xf numFmtId="9" fontId="250" fillId="0" borderId="0" xfId="38" applyFont="1" applyFill="1" applyBorder="1" applyAlignment="1" applyProtection="1">
      <alignment horizontal="left" vertical="center"/>
    </xf>
    <xf numFmtId="40" fontId="228" fillId="0" borderId="0" xfId="37" applyNumberFormat="1" applyFont="1" applyAlignment="1">
      <alignment horizontal="center" vertical="center"/>
    </xf>
    <xf numFmtId="0" fontId="228" fillId="0" borderId="0" xfId="37" quotePrefix="1" applyFont="1" applyAlignment="1">
      <alignment horizontal="right" vertical="center"/>
    </xf>
    <xf numFmtId="9" fontId="228" fillId="0" borderId="0" xfId="38" applyFont="1" applyFill="1" applyBorder="1" applyAlignment="1" applyProtection="1">
      <alignment horizontal="center" vertical="top"/>
    </xf>
    <xf numFmtId="10" fontId="228" fillId="0" borderId="0" xfId="37" applyNumberFormat="1" applyFont="1" applyAlignment="1">
      <alignment horizontal="center" vertical="center"/>
    </xf>
    <xf numFmtId="0" fontId="323" fillId="0" borderId="0" xfId="0" applyFont="1" applyAlignment="1">
      <alignment horizontal="right" vertical="center"/>
    </xf>
    <xf numFmtId="0" fontId="250" fillId="0" borderId="0" xfId="37" quotePrefix="1" applyFont="1" applyAlignment="1">
      <alignment horizontal="left" vertical="center"/>
    </xf>
    <xf numFmtId="183" fontId="228" fillId="0" borderId="0" xfId="37" applyNumberFormat="1" applyFont="1" applyAlignment="1">
      <alignment horizontal="center" vertical="center"/>
    </xf>
    <xf numFmtId="0" fontId="273" fillId="0" borderId="0" xfId="37" applyFont="1" applyAlignment="1">
      <alignment horizontal="right" vertical="center"/>
    </xf>
    <xf numFmtId="38" fontId="92" fillId="0" borderId="0" xfId="37" applyNumberFormat="1" applyFont="1" applyAlignment="1">
      <alignment vertical="center"/>
    </xf>
    <xf numFmtId="185" fontId="96" fillId="0" borderId="0" xfId="37" applyNumberFormat="1" applyFont="1" applyAlignment="1">
      <alignment horizontal="center" vertical="center"/>
    </xf>
    <xf numFmtId="168" fontId="250" fillId="0" borderId="0" xfId="37" applyNumberFormat="1" applyFont="1" applyAlignment="1">
      <alignment vertical="center"/>
    </xf>
    <xf numFmtId="167" fontId="92" fillId="0" borderId="0" xfId="37" applyNumberFormat="1" applyFont="1" applyAlignment="1">
      <alignment horizontal="left" vertical="center"/>
    </xf>
    <xf numFmtId="0" fontId="324" fillId="0" borderId="0" xfId="37" applyFont="1" applyAlignment="1">
      <alignment vertical="center"/>
    </xf>
    <xf numFmtId="181" fontId="250" fillId="0" borderId="0" xfId="37" applyNumberFormat="1" applyFont="1" applyAlignment="1">
      <alignment horizontal="center" vertical="center"/>
    </xf>
    <xf numFmtId="0" fontId="95" fillId="0" borderId="0" xfId="33" applyFont="1" applyAlignment="1">
      <alignment horizontal="center" vertical="center"/>
    </xf>
    <xf numFmtId="183" fontId="228" fillId="0" borderId="0" xfId="37" applyNumberFormat="1" applyFont="1" applyAlignment="1">
      <alignment horizontal="center" vertical="top"/>
    </xf>
    <xf numFmtId="0" fontId="103" fillId="0" borderId="0" xfId="33" applyFont="1" applyAlignment="1">
      <alignment vertical="center"/>
    </xf>
    <xf numFmtId="167" fontId="250" fillId="0" borderId="0" xfId="37" applyNumberFormat="1" applyFont="1" applyAlignment="1">
      <alignment vertical="top"/>
    </xf>
    <xf numFmtId="183" fontId="250" fillId="0" borderId="0" xfId="37" applyNumberFormat="1" applyFont="1" applyAlignment="1">
      <alignment horizontal="center" vertical="center"/>
    </xf>
    <xf numFmtId="49" fontId="228" fillId="0" borderId="0" xfId="37" quotePrefix="1" applyNumberFormat="1" applyFont="1" applyAlignment="1">
      <alignment horizontal="left" vertical="top"/>
    </xf>
    <xf numFmtId="0" fontId="83" fillId="0" borderId="0" xfId="37" applyFont="1" applyAlignment="1">
      <alignment vertical="center"/>
    </xf>
    <xf numFmtId="0" fontId="83" fillId="0" borderId="0" xfId="37" applyFont="1"/>
    <xf numFmtId="0" fontId="92" fillId="0" borderId="0" xfId="37" applyFont="1" applyAlignment="1">
      <alignment vertical="center"/>
    </xf>
    <xf numFmtId="0" fontId="92" fillId="0" borderId="0" xfId="37" applyFont="1" applyAlignment="1">
      <alignment horizontal="left" vertical="center"/>
    </xf>
    <xf numFmtId="0" fontId="83" fillId="0" borderId="0" xfId="37" applyFont="1" applyAlignment="1">
      <alignment horizontal="left" vertical="center"/>
    </xf>
    <xf numFmtId="38" fontId="83" fillId="0" borderId="0" xfId="37" applyNumberFormat="1" applyFont="1" applyAlignment="1">
      <alignment horizontal="center" vertical="center"/>
    </xf>
    <xf numFmtId="49" fontId="228" fillId="0" borderId="0" xfId="37" quotePrefix="1" applyNumberFormat="1" applyFont="1" applyAlignment="1">
      <alignment horizontal="left" vertical="center"/>
    </xf>
    <xf numFmtId="0" fontId="325" fillId="0" borderId="0" xfId="37" applyFont="1" applyAlignment="1">
      <alignment horizontal="right" vertical="center"/>
    </xf>
    <xf numFmtId="0" fontId="320" fillId="0" borderId="0" xfId="37" applyFont="1"/>
    <xf numFmtId="0" fontId="83" fillId="0" borderId="0" xfId="37" applyFont="1" applyAlignment="1">
      <alignment horizontal="center" vertical="center"/>
    </xf>
    <xf numFmtId="49" fontId="250" fillId="0" borderId="0" xfId="37" applyNumberFormat="1" applyFont="1" applyAlignment="1">
      <alignment vertical="center"/>
    </xf>
    <xf numFmtId="0" fontId="273" fillId="0" borderId="0" xfId="37" applyFont="1" applyAlignment="1">
      <alignment horizontal="center"/>
    </xf>
    <xf numFmtId="10" fontId="92" fillId="0" borderId="0" xfId="37" applyNumberFormat="1" applyFont="1" applyAlignment="1">
      <alignment vertical="center"/>
    </xf>
    <xf numFmtId="10" fontId="92" fillId="0" borderId="0" xfId="37" applyNumberFormat="1" applyFont="1" applyAlignment="1">
      <alignment horizontal="center" vertical="center"/>
    </xf>
    <xf numFmtId="10" fontId="250" fillId="0" borderId="0" xfId="37" applyNumberFormat="1" applyFont="1" applyAlignment="1">
      <alignment vertical="center"/>
    </xf>
    <xf numFmtId="0" fontId="326" fillId="0" borderId="0" xfId="0" applyFont="1" applyAlignment="1">
      <alignment horizontal="center"/>
    </xf>
    <xf numFmtId="185" fontId="92" fillId="0" borderId="0" xfId="0" applyNumberFormat="1" applyFont="1" applyAlignment="1">
      <alignment horizontal="center"/>
    </xf>
    <xf numFmtId="183" fontId="92" fillId="0" borderId="0" xfId="1" applyNumberFormat="1" applyFont="1" applyFill="1" applyBorder="1" applyAlignment="1" applyProtection="1">
      <alignment horizontal="center"/>
    </xf>
    <xf numFmtId="189" fontId="92" fillId="0" borderId="0" xfId="2" applyNumberFormat="1" applyFont="1" applyFill="1" applyBorder="1" applyAlignment="1" applyProtection="1">
      <alignment horizontal="center"/>
    </xf>
    <xf numFmtId="0" fontId="103" fillId="0" borderId="0" xfId="37" applyFont="1" applyAlignment="1">
      <alignment horizontal="right" vertical="center"/>
    </xf>
    <xf numFmtId="0" fontId="228" fillId="0" borderId="0" xfId="37" quotePrefix="1" applyFont="1" applyAlignment="1">
      <alignment horizontal="center" vertical="top"/>
    </xf>
    <xf numFmtId="175" fontId="250" fillId="0" borderId="0" xfId="37" applyNumberFormat="1" applyFont="1" applyAlignment="1">
      <alignment vertical="center"/>
    </xf>
    <xf numFmtId="10" fontId="83" fillId="0" borderId="0" xfId="10" applyNumberFormat="1" applyFont="1" applyFill="1" applyBorder="1" applyAlignment="1" applyProtection="1">
      <alignment horizontal="center" vertical="center"/>
    </xf>
    <xf numFmtId="0" fontId="93" fillId="0" borderId="0" xfId="37" applyFont="1" applyAlignment="1">
      <alignment horizontal="center" vertical="center"/>
    </xf>
    <xf numFmtId="188" fontId="92" fillId="0" borderId="0" xfId="37" applyNumberFormat="1" applyFont="1" applyAlignment="1">
      <alignment horizontal="center" vertical="top"/>
    </xf>
    <xf numFmtId="10" fontId="83" fillId="0" borderId="0" xfId="37" applyNumberFormat="1" applyFont="1" applyAlignment="1">
      <alignment horizontal="center" vertical="center"/>
    </xf>
    <xf numFmtId="186" fontId="250" fillId="0" borderId="0" xfId="37" applyNumberFormat="1" applyFont="1" applyAlignment="1">
      <alignment horizontal="center" vertical="center"/>
    </xf>
    <xf numFmtId="186" fontId="250" fillId="0" borderId="0" xfId="0" applyNumberFormat="1" applyFont="1" applyAlignment="1">
      <alignment horizontal="center" vertical="center"/>
    </xf>
    <xf numFmtId="188" fontId="250" fillId="0" borderId="0" xfId="37" applyNumberFormat="1" applyFont="1" applyAlignment="1">
      <alignment horizontal="center" vertical="center"/>
    </xf>
    <xf numFmtId="0" fontId="327" fillId="0" borderId="0" xfId="33" applyFont="1"/>
    <xf numFmtId="0" fontId="328" fillId="0" borderId="0" xfId="33" applyFont="1"/>
    <xf numFmtId="0" fontId="328" fillId="0" borderId="0" xfId="33" applyFont="1" applyAlignment="1">
      <alignment horizontal="left" vertical="center"/>
    </xf>
    <xf numFmtId="0" fontId="328" fillId="0" borderId="0" xfId="33" applyFont="1" applyAlignment="1">
      <alignment vertical="center"/>
    </xf>
    <xf numFmtId="164" fontId="328" fillId="0" borderId="0" xfId="34" applyNumberFormat="1" applyFont="1" applyFill="1" applyBorder="1" applyAlignment="1" applyProtection="1">
      <alignment vertical="center"/>
    </xf>
    <xf numFmtId="0" fontId="288" fillId="0" borderId="0" xfId="33" applyFont="1"/>
    <xf numFmtId="14" fontId="328" fillId="0" borderId="0" xfId="34" applyNumberFormat="1" applyFont="1" applyFill="1" applyBorder="1" applyAlignment="1" applyProtection="1">
      <alignment vertical="center"/>
    </xf>
    <xf numFmtId="0" fontId="293" fillId="0" borderId="0" xfId="33" applyFont="1" applyAlignment="1">
      <alignment vertical="center"/>
    </xf>
    <xf numFmtId="0" fontId="328" fillId="0" borderId="0" xfId="33" applyFont="1" applyAlignment="1">
      <alignment horizontal="center" vertical="center"/>
    </xf>
    <xf numFmtId="164" fontId="328" fillId="0" borderId="0" xfId="34" applyNumberFormat="1" applyFont="1" applyFill="1" applyBorder="1" applyAlignment="1" applyProtection="1">
      <alignment horizontal="center" vertical="center"/>
    </xf>
    <xf numFmtId="164" fontId="293" fillId="0" borderId="0" xfId="34" applyNumberFormat="1" applyFont="1" applyFill="1" applyBorder="1" applyAlignment="1" applyProtection="1">
      <alignment vertical="center"/>
    </xf>
    <xf numFmtId="43" fontId="328" fillId="0" borderId="0" xfId="34" applyFont="1" applyFill="1" applyBorder="1" applyAlignment="1" applyProtection="1">
      <alignment vertical="center"/>
    </xf>
    <xf numFmtId="166" fontId="328" fillId="0" borderId="0" xfId="35" applyNumberFormat="1" applyFont="1" applyFill="1" applyBorder="1" applyAlignment="1" applyProtection="1">
      <alignment vertical="center"/>
    </xf>
    <xf numFmtId="0" fontId="328" fillId="0" borderId="0" xfId="33" applyFont="1" applyAlignment="1">
      <alignment horizontal="center"/>
    </xf>
    <xf numFmtId="0" fontId="328" fillId="0" borderId="0" xfId="33" applyFont="1" applyAlignment="1">
      <alignment horizontal="left"/>
    </xf>
    <xf numFmtId="166" fontId="328" fillId="0" borderId="0" xfId="35" applyNumberFormat="1" applyFont="1" applyFill="1" applyBorder="1" applyAlignment="1" applyProtection="1"/>
    <xf numFmtId="0" fontId="329" fillId="0" borderId="0" xfId="33" applyFont="1"/>
    <xf numFmtId="0" fontId="102" fillId="0" borderId="0" xfId="33" applyFont="1" applyAlignment="1">
      <alignment horizontal="left"/>
    </xf>
    <xf numFmtId="0" fontId="293" fillId="0" borderId="0" xfId="33" applyFont="1" applyAlignment="1">
      <alignment horizontal="center"/>
    </xf>
    <xf numFmtId="164" fontId="293" fillId="0" borderId="0" xfId="34" applyNumberFormat="1" applyFont="1" applyFill="1" applyBorder="1" applyAlignment="1" applyProtection="1"/>
    <xf numFmtId="182" fontId="102" fillId="0" borderId="0" xfId="33" applyNumberFormat="1" applyFont="1" applyAlignment="1">
      <alignment vertical="center"/>
    </xf>
    <xf numFmtId="183" fontId="102" fillId="0" borderId="0" xfId="33" applyNumberFormat="1" applyFont="1" applyAlignment="1">
      <alignment vertical="center"/>
    </xf>
    <xf numFmtId="37" fontId="102" fillId="0" borderId="0" xfId="34" applyNumberFormat="1" applyFont="1" applyFill="1" applyBorder="1" applyAlignment="1" applyProtection="1">
      <alignment vertical="center"/>
    </xf>
    <xf numFmtId="184" fontId="102" fillId="0" borderId="0" xfId="33" applyNumberFormat="1" applyFont="1" applyAlignment="1">
      <alignment vertical="center"/>
    </xf>
    <xf numFmtId="0" fontId="102" fillId="0" borderId="0" xfId="33" applyFont="1"/>
    <xf numFmtId="164" fontId="102" fillId="0" borderId="0" xfId="34" applyNumberFormat="1" applyFont="1" applyFill="1" applyBorder="1" applyAlignment="1" applyProtection="1">
      <alignment vertical="center"/>
    </xf>
    <xf numFmtId="184" fontId="102" fillId="0" borderId="0" xfId="33" applyNumberFormat="1" applyFont="1" applyAlignment="1">
      <alignment horizontal="center" vertical="center"/>
    </xf>
    <xf numFmtId="182" fontId="102" fillId="0" borderId="0" xfId="33" applyNumberFormat="1" applyFont="1" applyAlignment="1">
      <alignment horizontal="center" vertical="center"/>
    </xf>
    <xf numFmtId="164" fontId="102" fillId="0" borderId="0" xfId="34" applyNumberFormat="1" applyFont="1" applyFill="1" applyBorder="1" applyAlignment="1" applyProtection="1">
      <alignment horizontal="center" vertical="center"/>
    </xf>
    <xf numFmtId="0" fontId="328" fillId="0" borderId="0" xfId="33" applyFont="1" applyAlignment="1">
      <alignment horizontal="right" vertical="center"/>
    </xf>
    <xf numFmtId="0" fontId="293" fillId="0" borderId="0" xfId="33" applyFont="1" applyAlignment="1">
      <alignment horizontal="right"/>
    </xf>
    <xf numFmtId="182" fontId="328" fillId="0" borderId="0" xfId="33" applyNumberFormat="1" applyFont="1" applyAlignment="1">
      <alignment horizontal="center"/>
    </xf>
    <xf numFmtId="164" fontId="293" fillId="0" borderId="0" xfId="34" applyNumberFormat="1" applyFont="1" applyFill="1" applyBorder="1" applyAlignment="1" applyProtection="1">
      <alignment horizontal="center" vertical="center"/>
    </xf>
    <xf numFmtId="0" fontId="293" fillId="0" borderId="0" xfId="33" applyFont="1"/>
    <xf numFmtId="182" fontId="328" fillId="0" borderId="0" xfId="33" applyNumberFormat="1" applyFont="1" applyAlignment="1">
      <alignment vertical="center"/>
    </xf>
    <xf numFmtId="37" fontId="328" fillId="0" borderId="0" xfId="34" applyNumberFormat="1" applyFont="1" applyFill="1" applyBorder="1" applyAlignment="1" applyProtection="1">
      <alignment vertical="center"/>
    </xf>
    <xf numFmtId="37" fontId="328" fillId="0" borderId="0" xfId="33" applyNumberFormat="1" applyFont="1" applyAlignment="1">
      <alignment vertical="center"/>
    </xf>
    <xf numFmtId="182" fontId="328" fillId="0" borderId="0" xfId="33" applyNumberFormat="1" applyFont="1" applyAlignment="1">
      <alignment horizontal="center" vertical="center"/>
    </xf>
    <xf numFmtId="164" fontId="328" fillId="0" borderId="0" xfId="34" applyNumberFormat="1" applyFont="1" applyFill="1" applyBorder="1" applyAlignment="1" applyProtection="1"/>
    <xf numFmtId="164" fontId="288" fillId="0" borderId="0" xfId="34" applyNumberFormat="1" applyFont="1" applyFill="1" applyBorder="1" applyAlignment="1" applyProtection="1">
      <alignment horizontal="center" vertical="center"/>
    </xf>
    <xf numFmtId="0" fontId="46" fillId="0" borderId="0" xfId="0" applyFont="1" applyAlignment="1" applyProtection="1">
      <alignment horizontal="justify" vertical="top" wrapText="1"/>
      <protection locked="0"/>
    </xf>
    <xf numFmtId="0" fontId="41" fillId="0" borderId="0" xfId="0" applyFont="1" applyAlignment="1">
      <alignment horizontal="center" vertical="center" wrapText="1"/>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1" fillId="0" borderId="7" xfId="0" applyFont="1" applyBorder="1" applyAlignment="1">
      <alignment horizontal="center" vertical="center" wrapText="1"/>
    </xf>
    <xf numFmtId="0" fontId="46" fillId="5" borderId="77"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6" fillId="6" borderId="33" xfId="0" applyFont="1" applyFill="1" applyBorder="1" applyAlignment="1" applyProtection="1">
      <alignment horizontal="left" vertical="center"/>
      <protection locked="0"/>
    </xf>
    <xf numFmtId="0" fontId="46" fillId="6" borderId="34"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77" fontId="46" fillId="5" borderId="77" xfId="0" applyNumberFormat="1" applyFont="1" applyFill="1" applyBorder="1" applyAlignment="1" applyProtection="1">
      <alignment horizontal="left" vertical="center"/>
      <protection locked="0"/>
    </xf>
    <xf numFmtId="177" fontId="46" fillId="5" borderId="8" xfId="0" applyNumberFormat="1" applyFont="1" applyFill="1" applyBorder="1" applyAlignment="1" applyProtection="1">
      <alignment horizontal="left" vertical="center"/>
      <protection locked="0"/>
    </xf>
    <xf numFmtId="6" fontId="46" fillId="5" borderId="77" xfId="0" applyNumberFormat="1" applyFont="1" applyFill="1" applyBorder="1" applyAlignment="1" applyProtection="1">
      <alignment horizontal="center" vertical="center"/>
      <protection locked="0"/>
    </xf>
    <xf numFmtId="6" fontId="46" fillId="5" borderId="0" xfId="0" applyNumberFormat="1" applyFont="1" applyFill="1" applyAlignment="1" applyProtection="1">
      <alignment horizontal="center" vertical="center"/>
      <protection locked="0"/>
    </xf>
    <xf numFmtId="6" fontId="46" fillId="5" borderId="125" xfId="0" applyNumberFormat="1" applyFont="1" applyFill="1" applyBorder="1" applyAlignment="1" applyProtection="1">
      <alignment horizontal="center" vertical="center"/>
      <protection locked="0"/>
    </xf>
    <xf numFmtId="6" fontId="46" fillId="5" borderId="127"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42" fillId="4" borderId="75"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0" fontId="42" fillId="4" borderId="76" xfId="0" applyFont="1" applyFill="1" applyBorder="1" applyAlignment="1" applyProtection="1">
      <alignment horizontal="left" vertical="top" wrapText="1"/>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76" xfId="0"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8"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125" xfId="0" applyFont="1" applyFill="1" applyBorder="1" applyAlignment="1" applyProtection="1">
      <alignment horizontal="left" vertical="center"/>
      <protection locked="0"/>
    </xf>
    <xf numFmtId="0" fontId="46" fillId="5" borderId="126" xfId="0" applyFont="1" applyFill="1" applyBorder="1" applyAlignment="1" applyProtection="1">
      <alignment horizontal="left" vertical="center"/>
      <protection locked="0"/>
    </xf>
    <xf numFmtId="0" fontId="46" fillId="5" borderId="127" xfId="0" applyFont="1" applyFill="1" applyBorder="1" applyAlignment="1" applyProtection="1">
      <alignment horizontal="left" vertical="center"/>
      <protection locked="0"/>
    </xf>
    <xf numFmtId="0" fontId="55" fillId="8" borderId="53" xfId="0" applyFont="1" applyFill="1" applyBorder="1" applyAlignment="1">
      <alignment horizontal="center" vertical="center"/>
    </xf>
    <xf numFmtId="0" fontId="55" fillId="8" borderId="54" xfId="0" applyFont="1" applyFill="1" applyBorder="1" applyAlignment="1">
      <alignment horizontal="center" vertical="center"/>
    </xf>
    <xf numFmtId="0" fontId="55" fillId="8" borderId="55" xfId="0" applyFont="1" applyFill="1" applyBorder="1" applyAlignment="1">
      <alignment horizontal="center" vertical="center"/>
    </xf>
    <xf numFmtId="0" fontId="85" fillId="0" borderId="0" xfId="0" applyFont="1" applyAlignment="1">
      <alignment horizontal="justify" vertical="center" wrapText="1"/>
    </xf>
    <xf numFmtId="49" fontId="135" fillId="20" borderId="0" xfId="0" applyNumberFormat="1" applyFont="1" applyFill="1" applyAlignment="1">
      <alignment horizontal="center" vertical="center" wrapText="1"/>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75" xfId="2" applyNumberFormat="1" applyFont="1" applyFill="1" applyBorder="1" applyAlignment="1" applyProtection="1">
      <alignment horizontal="center" vertical="center"/>
    </xf>
    <xf numFmtId="42" fontId="13" fillId="0" borderId="76" xfId="2" applyNumberFormat="1" applyFont="1" applyFill="1" applyBorder="1" applyAlignment="1" applyProtection="1">
      <alignment horizontal="center" vertical="center"/>
    </xf>
    <xf numFmtId="0" fontId="104" fillId="5" borderId="75" xfId="0" applyFont="1" applyFill="1" applyBorder="1" applyAlignment="1" applyProtection="1">
      <alignment horizontal="left" vertical="center"/>
      <protection locked="0"/>
    </xf>
    <xf numFmtId="0" fontId="104" fillId="5" borderId="79" xfId="0" applyFont="1" applyFill="1" applyBorder="1" applyAlignment="1" applyProtection="1">
      <alignment horizontal="left" vertical="center"/>
      <protection locked="0"/>
    </xf>
    <xf numFmtId="0" fontId="104" fillId="5" borderId="76" xfId="0" applyFont="1" applyFill="1" applyBorder="1" applyAlignment="1" applyProtection="1">
      <alignment horizontal="left" vertical="center"/>
      <protection locked="0"/>
    </xf>
    <xf numFmtId="0" fontId="46" fillId="5" borderId="75" xfId="0" applyFont="1" applyFill="1" applyBorder="1" applyAlignment="1" applyProtection="1">
      <alignment horizontal="center" vertical="center"/>
      <protection locked="0"/>
    </xf>
    <xf numFmtId="0" fontId="46" fillId="5" borderId="76" xfId="0" applyFont="1" applyFill="1" applyBorder="1" applyAlignment="1" applyProtection="1">
      <alignment horizontal="center" vertical="center"/>
      <protection locked="0"/>
    </xf>
    <xf numFmtId="0" fontId="43" fillId="5" borderId="184"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85"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86"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169" fontId="46" fillId="5" borderId="75" xfId="0" applyNumberFormat="1" applyFont="1" applyFill="1" applyBorder="1" applyAlignment="1" applyProtection="1">
      <alignment horizontal="center" vertical="center"/>
      <protection locked="0"/>
    </xf>
    <xf numFmtId="0" fontId="46" fillId="0" borderId="76"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6" xfId="0" applyNumberFormat="1" applyFont="1" applyFill="1" applyBorder="1" applyAlignment="1" applyProtection="1">
      <alignment horizontal="left" vertical="center"/>
      <protection locked="0"/>
    </xf>
    <xf numFmtId="0" fontId="46" fillId="5" borderId="75"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0" borderId="126" xfId="0" applyFont="1" applyBorder="1" applyProtection="1">
      <protection locked="0"/>
    </xf>
    <xf numFmtId="0" fontId="46" fillId="0" borderId="127"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0" borderId="34" xfId="0" applyFont="1" applyBorder="1" applyProtection="1">
      <protection locked="0"/>
    </xf>
    <xf numFmtId="169" fontId="46" fillId="5" borderId="30" xfId="0" applyNumberFormat="1" applyFont="1" applyFill="1" applyBorder="1" applyAlignment="1" applyProtection="1">
      <alignment horizontal="left" vertical="center"/>
      <protection locked="0"/>
    </xf>
    <xf numFmtId="0" fontId="46" fillId="0" borderId="31" xfId="0" applyFont="1" applyBorder="1" applyAlignment="1" applyProtection="1">
      <alignment horizontal="left"/>
      <protection locked="0"/>
    </xf>
    <xf numFmtId="0" fontId="55" fillId="8" borderId="36" xfId="0" applyFont="1" applyFill="1" applyBorder="1" applyAlignment="1">
      <alignment horizontal="center" vertical="center"/>
    </xf>
    <xf numFmtId="0" fontId="55" fillId="8" borderId="2" xfId="0" applyFont="1" applyFill="1" applyBorder="1" applyAlignment="1">
      <alignment horizontal="center" vertical="center"/>
    </xf>
    <xf numFmtId="0" fontId="55" fillId="8" borderId="37" xfId="0" applyFont="1" applyFill="1" applyBorder="1" applyAlignment="1">
      <alignment horizontal="center" vertical="center"/>
    </xf>
    <xf numFmtId="0" fontId="46" fillId="5" borderId="33" xfId="0" applyFont="1" applyFill="1" applyBorder="1" applyAlignment="1" applyProtection="1">
      <alignment horizontal="left" vertical="center"/>
      <protection locked="0"/>
    </xf>
    <xf numFmtId="49" fontId="85" fillId="20" borderId="56" xfId="0" applyNumberFormat="1" applyFont="1" applyFill="1" applyBorder="1" applyAlignment="1">
      <alignment horizontal="center" vertical="center"/>
    </xf>
    <xf numFmtId="49" fontId="85" fillId="20" borderId="1" xfId="0" applyNumberFormat="1" applyFont="1" applyFill="1" applyBorder="1" applyAlignment="1">
      <alignment horizontal="center" vertical="center"/>
    </xf>
    <xf numFmtId="49" fontId="85" fillId="20" borderId="35" xfId="0" applyNumberFormat="1" applyFont="1" applyFill="1" applyBorder="1" applyAlignment="1">
      <alignment horizontal="center" vertical="center"/>
    </xf>
    <xf numFmtId="167" fontId="46" fillId="5" borderId="125" xfId="0" applyNumberFormat="1" applyFont="1" applyFill="1" applyBorder="1" applyAlignment="1" applyProtection="1">
      <alignment horizontal="left" vertical="center"/>
      <protection locked="0"/>
    </xf>
    <xf numFmtId="167" fontId="46" fillId="0" borderId="126" xfId="0" applyNumberFormat="1" applyFont="1" applyBorder="1" applyProtection="1">
      <protection locked="0"/>
    </xf>
    <xf numFmtId="167" fontId="46" fillId="0" borderId="127" xfId="0" applyNumberFormat="1" applyFont="1" applyBorder="1" applyProtection="1">
      <protection locked="0"/>
    </xf>
    <xf numFmtId="0" fontId="46" fillId="5" borderId="7" xfId="0" applyFont="1" applyFill="1" applyBorder="1" applyAlignment="1" applyProtection="1">
      <alignment horizontal="left" vertical="center"/>
      <protection locked="0"/>
    </xf>
    <xf numFmtId="0" fontId="46" fillId="0" borderId="13" xfId="0" applyFont="1" applyBorder="1" applyProtection="1">
      <protection locked="0"/>
    </xf>
    <xf numFmtId="0" fontId="46" fillId="0" borderId="0" xfId="0" applyFont="1" applyProtection="1">
      <protection locked="0"/>
    </xf>
    <xf numFmtId="0" fontId="46" fillId="0" borderId="82"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0" borderId="20" xfId="0" applyFont="1" applyBorder="1" applyProtection="1">
      <protection locked="0"/>
    </xf>
    <xf numFmtId="0" fontId="46" fillId="0" borderId="86" xfId="0" applyFont="1" applyBorder="1" applyProtection="1">
      <protection locked="0"/>
    </xf>
    <xf numFmtId="169" fontId="46" fillId="5" borderId="33" xfId="0" applyNumberFormat="1" applyFont="1" applyFill="1" applyBorder="1" applyAlignment="1" applyProtection="1">
      <alignment horizontal="center" vertical="center"/>
      <protection locked="0"/>
    </xf>
    <xf numFmtId="0" fontId="43" fillId="0" borderId="33" xfId="0" applyFont="1" applyBorder="1" applyAlignment="1">
      <alignment horizontal="left" vertical="top" wrapText="1"/>
    </xf>
    <xf numFmtId="0" fontId="43" fillId="0" borderId="58" xfId="0" applyFont="1" applyBorder="1" applyAlignment="1">
      <alignment horizontal="left" vertical="top" wrapText="1"/>
    </xf>
    <xf numFmtId="0" fontId="43" fillId="0" borderId="34" xfId="0" applyFont="1" applyBorder="1" applyAlignment="1">
      <alignment horizontal="left" vertical="top" wrapText="1"/>
    </xf>
    <xf numFmtId="0" fontId="43" fillId="5" borderId="33" xfId="0" applyFont="1" applyFill="1" applyBorder="1" applyAlignment="1" applyProtection="1">
      <alignment horizontal="left" vertical="top" wrapText="1"/>
      <protection locked="0"/>
    </xf>
    <xf numFmtId="0" fontId="43" fillId="5" borderId="8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Border="1" applyAlignment="1">
      <alignment horizontal="left" vertical="top" wrapText="1"/>
    </xf>
    <xf numFmtId="0" fontId="43" fillId="0" borderId="21" xfId="0" applyFont="1" applyBorder="1" applyAlignment="1">
      <alignment horizontal="left" vertical="top" wrapText="1"/>
    </xf>
    <xf numFmtId="0" fontId="43" fillId="0" borderId="31" xfId="0" applyFont="1" applyBorder="1" applyAlignment="1">
      <alignment horizontal="left" vertical="top" wrapText="1"/>
    </xf>
    <xf numFmtId="0" fontId="43" fillId="5" borderId="30" xfId="0" applyFont="1" applyFill="1" applyBorder="1" applyAlignment="1" applyProtection="1">
      <alignment horizontal="left" vertical="top" wrapText="1"/>
      <protection locked="0"/>
    </xf>
    <xf numFmtId="0" fontId="43" fillId="5" borderId="74" xfId="0" applyFont="1" applyFill="1" applyBorder="1" applyAlignment="1" applyProtection="1">
      <alignment horizontal="left" vertical="top" wrapText="1"/>
      <protection locked="0"/>
    </xf>
    <xf numFmtId="0" fontId="43" fillId="0" borderId="28" xfId="0" applyFont="1" applyBorder="1" applyAlignment="1">
      <alignment horizontal="left" vertical="top" wrapText="1"/>
    </xf>
    <xf numFmtId="0" fontId="43" fillId="0" borderId="57" xfId="0" applyFont="1" applyBorder="1" applyAlignment="1">
      <alignment horizontal="left" vertical="top" wrapText="1"/>
    </xf>
    <xf numFmtId="0" fontId="43" fillId="0" borderId="29" xfId="0" applyFont="1" applyBorder="1" applyAlignment="1">
      <alignment horizontal="left" vertical="top" wrapText="1"/>
    </xf>
    <xf numFmtId="0" fontId="43" fillId="5" borderId="28" xfId="0" applyFont="1" applyFill="1" applyBorder="1" applyAlignment="1" applyProtection="1">
      <alignment horizontal="left" vertical="top" wrapText="1"/>
      <protection locked="0"/>
    </xf>
    <xf numFmtId="0" fontId="43" fillId="5" borderId="90" xfId="0" applyFont="1" applyFill="1" applyBorder="1" applyAlignment="1" applyProtection="1">
      <alignment horizontal="left" vertical="top" wrapText="1"/>
      <protection locked="0"/>
    </xf>
    <xf numFmtId="0" fontId="46" fillId="0" borderId="77" xfId="0" applyFont="1" applyBorder="1" applyAlignment="1">
      <alignment horizontal="left" vertical="top" wrapText="1"/>
    </xf>
    <xf numFmtId="0" fontId="46" fillId="0" borderId="82" xfId="0" applyFont="1" applyBorder="1" applyAlignment="1">
      <alignment horizontal="left" vertical="top" wrapText="1"/>
    </xf>
    <xf numFmtId="0" fontId="46" fillId="0" borderId="7" xfId="0" applyFont="1" applyBorder="1" applyAlignment="1">
      <alignment horizontal="left" vertical="top" wrapText="1"/>
    </xf>
    <xf numFmtId="0" fontId="46" fillId="0" borderId="0" xfId="0" applyFont="1" applyAlignment="1">
      <alignment horizontal="left" vertical="top" wrapText="1"/>
    </xf>
    <xf numFmtId="0" fontId="46" fillId="0" borderId="9" xfId="0" applyFont="1" applyBorder="1" applyAlignment="1">
      <alignment horizontal="left" vertical="top" wrapText="1"/>
    </xf>
    <xf numFmtId="0" fontId="46" fillId="0" borderId="13" xfId="0" applyFont="1" applyBorder="1" applyAlignment="1">
      <alignment horizontal="left" vertical="top" wrapText="1"/>
    </xf>
    <xf numFmtId="0" fontId="46" fillId="0" borderId="77" xfId="0" applyFont="1" applyBorder="1" applyAlignment="1">
      <alignment horizontal="center" vertical="top" wrapText="1"/>
    </xf>
    <xf numFmtId="0" fontId="46" fillId="0" borderId="82" xfId="0" applyFont="1" applyBorder="1" applyAlignment="1">
      <alignment horizontal="center" vertical="top" wrapText="1"/>
    </xf>
    <xf numFmtId="0" fontId="46" fillId="0" borderId="78" xfId="0" applyFont="1" applyBorder="1" applyAlignment="1">
      <alignment horizontal="center" vertical="top" wrapText="1"/>
    </xf>
    <xf numFmtId="0" fontId="46" fillId="0" borderId="7" xfId="0" applyFont="1" applyBorder="1" applyAlignment="1">
      <alignment horizontal="center" vertical="top" wrapText="1"/>
    </xf>
    <xf numFmtId="0" fontId="46" fillId="0" borderId="0" xfId="0" applyFont="1" applyAlignment="1">
      <alignment horizontal="center" vertical="top" wrapText="1"/>
    </xf>
    <xf numFmtId="0" fontId="46" fillId="0" borderId="8" xfId="0" applyFont="1" applyBorder="1" applyAlignment="1">
      <alignment horizontal="center" vertical="top" wrapText="1"/>
    </xf>
    <xf numFmtId="0" fontId="46" fillId="0" borderId="81" xfId="0" applyFont="1" applyBorder="1" applyAlignment="1">
      <alignment horizontal="center" vertical="top" wrapText="1"/>
    </xf>
    <xf numFmtId="0" fontId="46" fillId="0" borderId="11" xfId="0" applyFont="1" applyBorder="1" applyAlignment="1">
      <alignment horizontal="center" vertical="top" wrapText="1"/>
    </xf>
    <xf numFmtId="0" fontId="46" fillId="0" borderId="12" xfId="0" applyFont="1" applyBorder="1" applyAlignment="1">
      <alignment horizontal="center" vertical="top" wrapText="1"/>
    </xf>
    <xf numFmtId="0" fontId="54" fillId="0" borderId="81" xfId="0" applyFont="1" applyBorder="1" applyAlignment="1">
      <alignment horizontal="center" vertical="top" wrapText="1"/>
    </xf>
    <xf numFmtId="0" fontId="54" fillId="0" borderId="11" xfId="0" applyFont="1" applyBorder="1" applyAlignment="1">
      <alignment horizontal="center" vertical="top" wrapText="1"/>
    </xf>
    <xf numFmtId="0" fontId="54" fillId="0" borderId="12" xfId="0" applyFont="1" applyBorder="1" applyAlignment="1">
      <alignment horizontal="center" vertical="top" wrapText="1"/>
    </xf>
    <xf numFmtId="0" fontId="84" fillId="0" borderId="77" xfId="0" applyFont="1" applyBorder="1" applyAlignment="1">
      <alignment horizontal="center" vertical="top" wrapText="1"/>
    </xf>
    <xf numFmtId="0" fontId="84" fillId="0" borderId="82" xfId="0" applyFont="1" applyBorder="1" applyAlignment="1">
      <alignment horizontal="center" vertical="top" wrapText="1"/>
    </xf>
    <xf numFmtId="0" fontId="84" fillId="0" borderId="78" xfId="0" applyFont="1" applyBorder="1" applyAlignment="1">
      <alignment horizontal="center" vertical="top" wrapText="1"/>
    </xf>
    <xf numFmtId="0" fontId="84" fillId="0" borderId="7" xfId="0" applyFont="1" applyBorder="1" applyAlignment="1">
      <alignment horizontal="center" vertical="top" wrapText="1"/>
    </xf>
    <xf numFmtId="0" fontId="84" fillId="0" borderId="0" xfId="0" applyFont="1" applyAlignment="1">
      <alignment horizontal="center" vertical="top" wrapText="1"/>
    </xf>
    <xf numFmtId="0" fontId="84" fillId="0" borderId="8" xfId="0" applyFont="1" applyBorder="1" applyAlignment="1">
      <alignment horizontal="center" vertical="top" wrapText="1"/>
    </xf>
    <xf numFmtId="0" fontId="43" fillId="0" borderId="26" xfId="0" applyFont="1" applyBorder="1" applyAlignment="1">
      <alignment horizontal="center" wrapText="1"/>
    </xf>
    <xf numFmtId="0" fontId="43" fillId="0" borderId="19" xfId="0" applyFont="1" applyBorder="1" applyAlignment="1">
      <alignment horizontal="center" wrapText="1"/>
    </xf>
    <xf numFmtId="0" fontId="43" fillId="0" borderId="39" xfId="0" applyFont="1" applyBorder="1" applyAlignment="1">
      <alignment horizontal="center" wrapText="1"/>
    </xf>
    <xf numFmtId="0" fontId="43" fillId="0" borderId="9" xfId="0" applyFont="1" applyBorder="1" applyAlignment="1">
      <alignment horizontal="center" wrapText="1"/>
    </xf>
    <xf numFmtId="0" fontId="43" fillId="0" borderId="13" xfId="0" applyFont="1" applyBorder="1" applyAlignment="1">
      <alignment horizontal="center" wrapText="1"/>
    </xf>
    <xf numFmtId="0" fontId="43" fillId="0" borderId="89" xfId="0" applyFont="1" applyBorder="1" applyAlignment="1">
      <alignment horizontal="center" wrapText="1"/>
    </xf>
    <xf numFmtId="0" fontId="46" fillId="0" borderId="13" xfId="0" applyFont="1" applyBorder="1" applyAlignment="1">
      <alignment horizontal="center"/>
    </xf>
    <xf numFmtId="0" fontId="46" fillId="0" borderId="14" xfId="0" applyFont="1" applyBorder="1" applyAlignment="1">
      <alignment horizontal="center"/>
    </xf>
    <xf numFmtId="0" fontId="46" fillId="0" borderId="75" xfId="0" applyFont="1" applyBorder="1" applyAlignment="1" applyProtection="1">
      <alignment horizontal="left" vertical="center" wrapText="1"/>
      <protection locked="0"/>
    </xf>
    <xf numFmtId="0" fontId="46" fillId="0" borderId="79" xfId="0" applyFont="1" applyBorder="1" applyAlignment="1" applyProtection="1">
      <alignment horizontal="left" vertical="center" wrapText="1"/>
      <protection locked="0"/>
    </xf>
    <xf numFmtId="0" fontId="46" fillId="0" borderId="76" xfId="0" applyFont="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Alignment="1">
      <alignment horizontal="right" vertical="center" wrapText="1"/>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0" fontId="41" fillId="0" borderId="0" xfId="0" applyFont="1" applyAlignment="1">
      <alignment horizontal="left" vertical="center" wrapText="1"/>
    </xf>
    <xf numFmtId="0" fontId="46" fillId="5" borderId="33"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center" vertical="center"/>
    </xf>
    <xf numFmtId="38" fontId="54" fillId="0" borderId="76" xfId="2" applyNumberFormat="1" applyFont="1" applyFill="1" applyBorder="1" applyAlignment="1" applyProtection="1">
      <alignment horizontal="center" vertical="center"/>
    </xf>
    <xf numFmtId="38" fontId="54" fillId="0" borderId="182" xfId="2" applyNumberFormat="1" applyFont="1" applyFill="1" applyBorder="1" applyAlignment="1" applyProtection="1">
      <alignment horizontal="center" vertical="center"/>
    </xf>
    <xf numFmtId="38" fontId="54" fillId="0" borderId="219" xfId="2" applyNumberFormat="1" applyFont="1" applyFill="1" applyBorder="1" applyAlignment="1" applyProtection="1">
      <alignment horizontal="center" vertical="center"/>
    </xf>
    <xf numFmtId="38" fontId="54" fillId="0" borderId="56" xfId="0" applyNumberFormat="1" applyFont="1" applyBorder="1" applyAlignment="1">
      <alignment horizontal="center" vertical="center"/>
    </xf>
    <xf numFmtId="38" fontId="54" fillId="0" borderId="35" xfId="0" applyNumberFormat="1" applyFont="1" applyBorder="1" applyAlignment="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6" fillId="5" borderId="125" xfId="0" applyFont="1" applyFill="1" applyBorder="1" applyAlignment="1" applyProtection="1">
      <alignment horizontal="left" vertical="center" wrapText="1"/>
      <protection locked="0"/>
    </xf>
    <xf numFmtId="0" fontId="46" fillId="5" borderId="127" xfId="0" applyFont="1" applyFill="1" applyBorder="1" applyAlignment="1" applyProtection="1">
      <alignment horizontal="left" vertical="center" wrapText="1"/>
      <protection locked="0"/>
    </xf>
    <xf numFmtId="0" fontId="46" fillId="0" borderId="77" xfId="0" applyFont="1" applyBorder="1" applyAlignment="1">
      <alignment vertical="center"/>
    </xf>
    <xf numFmtId="0" fontId="46" fillId="0" borderId="82" xfId="0" applyFont="1" applyBorder="1" applyAlignment="1">
      <alignment vertical="center"/>
    </xf>
    <xf numFmtId="0" fontId="46" fillId="0" borderId="78" xfId="0" applyFont="1" applyBorder="1" applyAlignment="1">
      <alignment vertical="center"/>
    </xf>
    <xf numFmtId="0" fontId="46" fillId="5" borderId="126" xfId="0" applyFont="1" applyFill="1" applyBorder="1" applyAlignment="1" applyProtection="1">
      <alignment horizontal="left" vertical="center" wrapText="1"/>
      <protection locked="0"/>
    </xf>
    <xf numFmtId="38" fontId="46" fillId="5" borderId="125" xfId="0" applyNumberFormat="1" applyFont="1" applyFill="1" applyBorder="1" applyAlignment="1" applyProtection="1">
      <alignment horizontal="right" vertical="center"/>
      <protection locked="0"/>
    </xf>
    <xf numFmtId="38" fontId="46" fillId="5" borderId="127" xfId="0" applyNumberFormat="1" applyFont="1" applyFill="1" applyBorder="1" applyAlignment="1" applyProtection="1">
      <alignment horizontal="right" vertical="center"/>
      <protection locked="0"/>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74" fillId="0" borderId="0" xfId="0" applyFont="1" applyAlignment="1">
      <alignment horizontal="center" vertical="center"/>
    </xf>
    <xf numFmtId="0" fontId="65" fillId="0" borderId="0" xfId="0" quotePrefix="1" applyFont="1" applyAlignment="1">
      <alignment horizontal="center" vertical="center"/>
    </xf>
    <xf numFmtId="3" fontId="42" fillId="0" borderId="0" xfId="0" applyNumberFormat="1" applyFont="1" applyAlignment="1">
      <alignment horizontal="center" vertical="center"/>
    </xf>
    <xf numFmtId="4" fontId="42" fillId="0" borderId="0" xfId="0" applyNumberFormat="1" applyFont="1" applyAlignment="1">
      <alignment horizontal="center" vertical="center"/>
    </xf>
    <xf numFmtId="3" fontId="46" fillId="10" borderId="33" xfId="0" applyNumberFormat="1" applyFont="1" applyFill="1" applyBorder="1" applyAlignment="1" applyProtection="1">
      <alignment horizontal="right" vertical="center"/>
      <protection locked="0"/>
    </xf>
    <xf numFmtId="3" fontId="46" fillId="10" borderId="34" xfId="0" applyNumberFormat="1" applyFont="1" applyFill="1" applyBorder="1" applyAlignment="1" applyProtection="1">
      <alignment horizontal="right" vertical="center"/>
      <protection locked="0"/>
    </xf>
    <xf numFmtId="38" fontId="46" fillId="6" borderId="75" xfId="2" applyNumberFormat="1" applyFont="1" applyFill="1" applyBorder="1" applyAlignment="1" applyProtection="1">
      <alignment horizontal="center" vertical="center"/>
      <protection locked="0"/>
    </xf>
    <xf numFmtId="38" fontId="46" fillId="6" borderId="76" xfId="2" applyNumberFormat="1" applyFont="1" applyFill="1" applyBorder="1" applyAlignment="1" applyProtection="1">
      <alignment horizontal="center" vertical="center"/>
      <protection locked="0"/>
    </xf>
    <xf numFmtId="37" fontId="42" fillId="0" borderId="74" xfId="0" applyNumberFormat="1" applyFont="1" applyBorder="1" applyAlignment="1">
      <alignment horizontal="center" vertical="center"/>
    </xf>
    <xf numFmtId="37" fontId="42" fillId="0" borderId="71" xfId="0" applyNumberFormat="1" applyFont="1" applyBorder="1" applyAlignment="1">
      <alignment horizontal="center" vertical="center"/>
    </xf>
    <xf numFmtId="166" fontId="46" fillId="0" borderId="74" xfId="0" applyNumberFormat="1" applyFont="1" applyBorder="1" applyAlignment="1">
      <alignment horizontal="center" vertical="center"/>
    </xf>
    <xf numFmtId="166" fontId="46" fillId="0" borderId="71" xfId="0" applyNumberFormat="1" applyFont="1" applyBorder="1" applyAlignment="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 fontId="46" fillId="0" borderId="74" xfId="0" applyNumberFormat="1" applyFont="1" applyBorder="1" applyAlignment="1">
      <alignment horizontal="center" vertical="center"/>
    </xf>
    <xf numFmtId="3" fontId="46" fillId="0" borderId="71" xfId="0" applyNumberFormat="1" applyFont="1" applyBorder="1" applyAlignment="1">
      <alignment horizontal="center" vertical="center"/>
    </xf>
    <xf numFmtId="38" fontId="46" fillId="6" borderId="30" xfId="2" applyNumberFormat="1" applyFont="1" applyFill="1" applyBorder="1" applyAlignment="1" applyProtection="1">
      <alignment horizontal="center" vertical="center"/>
      <protection locked="0"/>
    </xf>
    <xf numFmtId="38" fontId="46" fillId="6" borderId="31" xfId="2" applyNumberFormat="1" applyFont="1" applyFill="1" applyBorder="1" applyAlignment="1" applyProtection="1">
      <alignment horizontal="center" vertical="center"/>
      <protection locked="0"/>
    </xf>
    <xf numFmtId="0" fontId="46" fillId="5" borderId="75" xfId="0" applyFont="1" applyFill="1" applyBorder="1" applyAlignment="1" applyProtection="1">
      <alignment horizontal="left" vertical="center" wrapText="1"/>
      <protection locked="0"/>
    </xf>
    <xf numFmtId="0" fontId="46" fillId="5" borderId="76"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center" vertical="center"/>
      <protection locked="0"/>
    </xf>
    <xf numFmtId="0" fontId="46" fillId="5" borderId="34" xfId="0" applyFont="1" applyFill="1" applyBorder="1" applyAlignment="1" applyProtection="1">
      <alignment horizontal="center" vertical="center"/>
      <protection locked="0"/>
    </xf>
    <xf numFmtId="38" fontId="46" fillId="6" borderId="33" xfId="2" applyNumberFormat="1" applyFont="1" applyFill="1" applyBorder="1" applyAlignment="1" applyProtection="1">
      <alignment horizontal="center" vertical="center"/>
      <protection locked="0"/>
    </xf>
    <xf numFmtId="38" fontId="46" fillId="6" borderId="34" xfId="2" applyNumberFormat="1" applyFont="1" applyFill="1" applyBorder="1" applyAlignment="1" applyProtection="1">
      <alignment horizontal="center" vertical="center"/>
      <protection locked="0"/>
    </xf>
    <xf numFmtId="0" fontId="46" fillId="0" borderId="79" xfId="0" applyFont="1" applyBorder="1" applyAlignment="1">
      <alignment horizontal="center" vertical="center"/>
    </xf>
    <xf numFmtId="38" fontId="46" fillId="0" borderId="79" xfId="2" applyNumberFormat="1" applyFont="1" applyFill="1" applyBorder="1" applyAlignment="1" applyProtection="1">
      <alignment horizontal="center" vertical="center"/>
    </xf>
    <xf numFmtId="0" fontId="46" fillId="5" borderId="30" xfId="0" applyFont="1" applyFill="1" applyBorder="1" applyAlignment="1" applyProtection="1">
      <alignment horizontal="center" vertical="center"/>
      <protection locked="0"/>
    </xf>
    <xf numFmtId="0" fontId="46" fillId="5" borderId="31" xfId="0" applyFont="1" applyFill="1" applyBorder="1" applyAlignment="1" applyProtection="1">
      <alignment horizontal="center" vertical="center"/>
      <protection locked="0"/>
    </xf>
    <xf numFmtId="0" fontId="46" fillId="5" borderId="125" xfId="0" applyFont="1" applyFill="1" applyBorder="1" applyAlignment="1" applyProtection="1">
      <alignment horizontal="center" vertical="center"/>
      <protection locked="0"/>
    </xf>
    <xf numFmtId="0" fontId="46" fillId="5" borderId="127" xfId="0" applyFont="1" applyFill="1" applyBorder="1" applyAlignment="1" applyProtection="1">
      <alignment horizontal="center" vertical="center"/>
      <protection locked="0"/>
    </xf>
    <xf numFmtId="38" fontId="46" fillId="6" borderId="125" xfId="2" applyNumberFormat="1" applyFont="1" applyFill="1" applyBorder="1" applyAlignment="1" applyProtection="1">
      <alignment horizontal="center" vertical="center"/>
      <protection locked="0"/>
    </xf>
    <xf numFmtId="38" fontId="46" fillId="6" borderId="127" xfId="2" applyNumberFormat="1" applyFont="1" applyFill="1" applyBorder="1" applyAlignment="1" applyProtection="1">
      <alignment horizontal="center" vertical="center"/>
      <protection locked="0"/>
    </xf>
    <xf numFmtId="0" fontId="46" fillId="0" borderId="0" xfId="0" applyFont="1" applyAlignment="1">
      <alignment horizontal="center" vertical="center"/>
    </xf>
    <xf numFmtId="0" fontId="46" fillId="0" borderId="0" xfId="0" applyFont="1" applyAlignment="1">
      <alignment horizontal="center" wrapText="1"/>
    </xf>
    <xf numFmtId="0" fontId="46" fillId="0" borderId="13" xfId="0" applyFont="1" applyBorder="1" applyAlignment="1">
      <alignment horizontal="center" wrapText="1"/>
    </xf>
    <xf numFmtId="0" fontId="46" fillId="0" borderId="13" xfId="0" applyFont="1" applyBorder="1" applyAlignment="1">
      <alignment horizontal="left" vertical="center"/>
    </xf>
    <xf numFmtId="0" fontId="46" fillId="0" borderId="13" xfId="0" applyFont="1" applyBorder="1" applyAlignment="1">
      <alignment horizontal="center" vertical="center"/>
    </xf>
    <xf numFmtId="0" fontId="9" fillId="0" borderId="0" xfId="0" applyFont="1" applyAlignment="1">
      <alignment horizontal="left"/>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75" xfId="2" applyNumberFormat="1" applyFont="1" applyFill="1" applyBorder="1" applyAlignment="1" applyProtection="1">
      <alignment horizontal="right" vertical="center"/>
    </xf>
    <xf numFmtId="38" fontId="54" fillId="0" borderId="76" xfId="2" applyNumberFormat="1" applyFont="1" applyFill="1" applyBorder="1" applyAlignment="1" applyProtection="1">
      <alignment horizontal="right" vertical="center"/>
    </xf>
    <xf numFmtId="38" fontId="54" fillId="11" borderId="75" xfId="2" applyNumberFormat="1" applyFont="1" applyFill="1" applyBorder="1" applyAlignment="1" applyProtection="1">
      <alignment horizontal="right" vertical="center"/>
      <protection locked="0"/>
    </xf>
    <xf numFmtId="38" fontId="54" fillId="11" borderId="76" xfId="2" applyNumberFormat="1" applyFont="1" applyFill="1" applyBorder="1" applyAlignment="1" applyProtection="1">
      <alignment horizontal="right" vertical="center"/>
      <protection locked="0"/>
    </xf>
    <xf numFmtId="38" fontId="54" fillId="0" borderId="75" xfId="0" applyNumberFormat="1" applyFont="1" applyBorder="1" applyAlignment="1">
      <alignment horizontal="right" vertical="center"/>
    </xf>
    <xf numFmtId="38" fontId="54" fillId="0" borderId="76" xfId="0" applyNumberFormat="1" applyFont="1" applyBorder="1" applyAlignment="1">
      <alignment horizontal="right"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164" fontId="46" fillId="5" borderId="125" xfId="1" applyNumberFormat="1" applyFont="1" applyFill="1" applyBorder="1" applyAlignment="1" applyProtection="1">
      <alignment horizontal="right" vertical="center"/>
      <protection locked="0"/>
    </xf>
    <xf numFmtId="164" fontId="46" fillId="5" borderId="127" xfId="1" applyNumberFormat="1" applyFont="1" applyFill="1" applyBorder="1" applyAlignment="1" applyProtection="1">
      <alignment horizontal="right" vertical="center"/>
      <protection locked="0"/>
    </xf>
    <xf numFmtId="166" fontId="46" fillId="0" borderId="77" xfId="10" applyNumberFormat="1" applyFont="1" applyFill="1" applyBorder="1" applyAlignment="1" applyProtection="1">
      <alignment vertical="center"/>
    </xf>
    <xf numFmtId="166" fontId="46" fillId="0" borderId="82" xfId="10" applyNumberFormat="1" applyFont="1" applyFill="1" applyBorder="1" applyAlignment="1" applyProtection="1">
      <alignment vertical="center"/>
    </xf>
    <xf numFmtId="0" fontId="46" fillId="0" borderId="82" xfId="0" applyFont="1" applyBorder="1" applyAlignment="1">
      <alignment horizontal="center"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0" fontId="9" fillId="0" borderId="0" xfId="0" applyFont="1" applyAlignment="1">
      <alignment horizontal="left" vertical="center"/>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Border="1" applyAlignment="1">
      <alignment vertical="center"/>
    </xf>
    <xf numFmtId="0" fontId="46" fillId="0" borderId="13" xfId="0" applyFont="1" applyBorder="1" applyAlignment="1">
      <alignmen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166" fontId="46" fillId="5" borderId="125" xfId="10" applyNumberFormat="1" applyFont="1" applyFill="1" applyBorder="1" applyAlignment="1" applyProtection="1">
      <alignment horizontal="center" vertical="center"/>
      <protection locked="0"/>
    </xf>
    <xf numFmtId="166" fontId="46" fillId="5" borderId="127" xfId="10" applyNumberFormat="1" applyFont="1" applyFill="1" applyBorder="1" applyAlignment="1" applyProtection="1">
      <alignment horizontal="center" vertical="center"/>
      <protection locked="0"/>
    </xf>
    <xf numFmtId="3" fontId="46" fillId="5" borderId="125" xfId="1" applyNumberFormat="1" applyFont="1" applyFill="1" applyBorder="1" applyAlignment="1" applyProtection="1">
      <alignment horizontal="center" vertical="center"/>
      <protection locked="0"/>
    </xf>
    <xf numFmtId="3" fontId="46" fillId="5" borderId="127" xfId="1" applyNumberFormat="1" applyFont="1" applyFill="1" applyBorder="1" applyAlignment="1" applyProtection="1">
      <alignment horizontal="center" vertical="center"/>
      <protection locked="0"/>
    </xf>
    <xf numFmtId="0" fontId="42" fillId="10" borderId="30" xfId="0" applyFont="1" applyFill="1" applyBorder="1" applyAlignment="1" applyProtection="1">
      <alignment horizontal="left" vertical="center"/>
      <protection locked="0"/>
    </xf>
    <xf numFmtId="0" fontId="42" fillId="10" borderId="21" xfId="0" applyFont="1" applyFill="1" applyBorder="1" applyAlignment="1" applyProtection="1">
      <alignment horizontal="left" vertical="center"/>
      <protection locked="0"/>
    </xf>
    <xf numFmtId="0" fontId="42" fillId="10" borderId="3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10" borderId="26" xfId="0" applyFont="1" applyFill="1" applyBorder="1" applyAlignment="1" applyProtection="1">
      <alignment horizontal="left" vertical="center"/>
      <protection locked="0"/>
    </xf>
    <xf numFmtId="0" fontId="42" fillId="10" borderId="19" xfId="0" applyFont="1" applyFill="1" applyBorder="1" applyAlignment="1" applyProtection="1">
      <alignment horizontal="left" vertical="center"/>
      <protection locked="0"/>
    </xf>
    <xf numFmtId="0" fontId="42" fillId="10" borderId="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3" fontId="46" fillId="10" borderId="75" xfId="0" applyNumberFormat="1" applyFont="1" applyFill="1" applyBorder="1" applyAlignment="1" applyProtection="1">
      <alignment horizontal="left" vertical="center"/>
      <protection locked="0"/>
    </xf>
    <xf numFmtId="3" fontId="46" fillId="10" borderId="76" xfId="0" applyNumberFormat="1" applyFont="1" applyFill="1" applyBorder="1" applyAlignment="1" applyProtection="1">
      <alignment horizontal="left" vertical="center"/>
      <protection locked="0"/>
    </xf>
    <xf numFmtId="0" fontId="55" fillId="8" borderId="75" xfId="0" applyFont="1" applyFill="1" applyBorder="1" applyAlignment="1">
      <alignment horizontal="center" vertical="center"/>
    </xf>
    <xf numFmtId="0" fontId="55" fillId="8" borderId="79" xfId="0" applyFont="1" applyFill="1" applyBorder="1" applyAlignment="1">
      <alignment horizontal="center" vertical="center"/>
    </xf>
    <xf numFmtId="0" fontId="55" fillId="8" borderId="76" xfId="0" applyFont="1" applyFill="1" applyBorder="1" applyAlignment="1">
      <alignment horizontal="center" vertical="center"/>
    </xf>
    <xf numFmtId="0" fontId="87" fillId="12" borderId="0" xfId="0" applyFont="1" applyFill="1" applyAlignment="1">
      <alignment horizontal="center" vertical="center"/>
    </xf>
    <xf numFmtId="49" fontId="101" fillId="20" borderId="75" xfId="0" applyNumberFormat="1" applyFont="1" applyFill="1" applyBorder="1" applyAlignment="1">
      <alignment horizontal="center" vertical="center"/>
    </xf>
    <xf numFmtId="49" fontId="101" fillId="20" borderId="79" xfId="0" applyNumberFormat="1" applyFont="1" applyFill="1" applyBorder="1" applyAlignment="1">
      <alignment horizontal="center" vertical="center"/>
    </xf>
    <xf numFmtId="49" fontId="101" fillId="20" borderId="76" xfId="0" applyNumberFormat="1" applyFont="1" applyFill="1" applyBorder="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42" fillId="5" borderId="220" xfId="0" applyFont="1" applyFill="1" applyBorder="1" applyAlignment="1" applyProtection="1">
      <alignment horizontal="left" vertical="center"/>
      <protection locked="0"/>
    </xf>
    <xf numFmtId="0" fontId="42" fillId="5" borderId="126" xfId="0" applyFont="1" applyFill="1" applyBorder="1" applyAlignment="1" applyProtection="1">
      <alignment horizontal="left" vertical="center"/>
      <protection locked="0"/>
    </xf>
    <xf numFmtId="0" fontId="42" fillId="5" borderId="127" xfId="0" applyFont="1" applyFill="1" applyBorder="1" applyAlignment="1" applyProtection="1">
      <alignment horizontal="left" vertical="center"/>
      <protection locked="0"/>
    </xf>
    <xf numFmtId="0" fontId="26" fillId="0" borderId="0" xfId="0" applyFont="1" applyAlignment="1">
      <alignment horizontal="center"/>
    </xf>
    <xf numFmtId="0" fontId="26" fillId="0" borderId="0" xfId="0" applyFont="1" applyAlignment="1">
      <alignment horizontal="center" vertical="top" wrapText="1"/>
    </xf>
    <xf numFmtId="0" fontId="20" fillId="0" borderId="0" xfId="0" applyFont="1" applyAlignment="1">
      <alignment horizontal="center" vertical="center"/>
    </xf>
    <xf numFmtId="8" fontId="13" fillId="0" borderId="0" xfId="0" applyNumberFormat="1" applyFont="1" applyAlignment="1">
      <alignment horizontal="center"/>
    </xf>
    <xf numFmtId="8" fontId="13" fillId="0" borderId="20" xfId="0" applyNumberFormat="1" applyFont="1" applyBorder="1" applyAlignment="1">
      <alignment horizontal="center"/>
    </xf>
    <xf numFmtId="8" fontId="13" fillId="0" borderId="5" xfId="0" applyNumberFormat="1" applyFont="1" applyBorder="1" applyAlignment="1">
      <alignment horizontal="center"/>
    </xf>
    <xf numFmtId="8" fontId="13" fillId="0" borderId="19" xfId="0" applyNumberFormat="1" applyFont="1" applyBorder="1" applyAlignment="1">
      <alignment horizontal="center"/>
    </xf>
    <xf numFmtId="0" fontId="30" fillId="8" borderId="36" xfId="0" applyFont="1" applyFill="1" applyBorder="1" applyAlignment="1">
      <alignment horizontal="center" vertical="center"/>
    </xf>
    <xf numFmtId="0" fontId="30" fillId="8" borderId="2" xfId="0" applyFont="1" applyFill="1" applyBorder="1" applyAlignment="1">
      <alignment horizontal="center" vertical="center"/>
    </xf>
    <xf numFmtId="0" fontId="30"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7"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13" borderId="83" xfId="0" applyFont="1" applyFill="1" applyBorder="1" applyAlignment="1" applyProtection="1">
      <alignment horizontal="left" vertical="top" wrapText="1"/>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79" fillId="0" borderId="74" xfId="0" applyFont="1" applyBorder="1" applyAlignment="1">
      <alignment horizontal="left" vertical="center"/>
    </xf>
    <xf numFmtId="0" fontId="79" fillId="0" borderId="71" xfId="0" applyFont="1" applyBorder="1" applyAlignment="1">
      <alignment horizontal="left" vertical="center"/>
    </xf>
    <xf numFmtId="0" fontId="56" fillId="0" borderId="0" xfId="0" applyFont="1" applyAlignment="1">
      <alignment horizontal="center" vertical="top" wrapText="1"/>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8" fontId="54" fillId="0" borderId="1" xfId="0" applyNumberFormat="1" applyFont="1" applyBorder="1" applyAlignment="1">
      <alignment horizontal="center" vertical="center"/>
    </xf>
    <xf numFmtId="38" fontId="42" fillId="0" borderId="196" xfId="0" applyNumberFormat="1" applyFont="1" applyBorder="1" applyAlignment="1">
      <alignment horizontal="center" vertical="center"/>
    </xf>
    <xf numFmtId="38" fontId="42" fillId="0" borderId="197" xfId="0" applyNumberFormat="1" applyFont="1" applyBorder="1" applyAlignment="1">
      <alignment horizontal="center" vertical="center"/>
    </xf>
    <xf numFmtId="38" fontId="42" fillId="0" borderId="142" xfId="0" applyNumberFormat="1" applyFont="1" applyBorder="1" applyAlignment="1">
      <alignment horizontal="center" vertical="center"/>
    </xf>
    <xf numFmtId="38" fontId="46" fillId="0" borderId="36" xfId="0" applyNumberFormat="1" applyFont="1" applyBorder="1" applyAlignment="1">
      <alignment horizontal="center" vertical="center"/>
    </xf>
    <xf numFmtId="38" fontId="46" fillId="0" borderId="2" xfId="0" applyNumberFormat="1" applyFont="1" applyBorder="1" applyAlignment="1">
      <alignment horizontal="center" vertical="center"/>
    </xf>
    <xf numFmtId="38" fontId="46" fillId="0" borderId="37" xfId="0" applyNumberFormat="1" applyFont="1" applyBorder="1" applyAlignment="1">
      <alignment horizontal="center" vertical="center"/>
    </xf>
    <xf numFmtId="168" fontId="46" fillId="0" borderId="68" xfId="0" applyNumberFormat="1" applyFont="1" applyBorder="1" applyAlignment="1">
      <alignment horizontal="center" vertical="center"/>
    </xf>
    <xf numFmtId="168" fontId="46" fillId="0" borderId="69" xfId="0" applyNumberFormat="1" applyFont="1" applyBorder="1" applyAlignment="1">
      <alignment horizontal="center" vertical="center"/>
    </xf>
    <xf numFmtId="168" fontId="46" fillId="0" borderId="70" xfId="0" applyNumberFormat="1" applyFont="1" applyBorder="1" applyAlignment="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0" fontId="4" fillId="13" borderId="131" xfId="0" applyFont="1" applyFill="1" applyBorder="1" applyAlignment="1" applyProtection="1">
      <alignment horizontal="left" vertical="top" wrapText="1"/>
      <protection locked="0"/>
    </xf>
    <xf numFmtId="0" fontId="4" fillId="13" borderId="130" xfId="0" applyFont="1" applyFill="1" applyBorder="1" applyAlignment="1" applyProtection="1">
      <alignment horizontal="left" vertical="top" wrapText="1"/>
      <protection locked="0"/>
    </xf>
    <xf numFmtId="38" fontId="46" fillId="0" borderId="30" xfId="0" applyNumberFormat="1" applyFont="1" applyBorder="1" applyAlignment="1">
      <alignment horizontal="center" vertical="center"/>
    </xf>
    <xf numFmtId="38" fontId="46" fillId="0" borderId="31" xfId="0" applyNumberFormat="1" applyFont="1" applyBorder="1" applyAlignment="1">
      <alignment horizontal="center" vertical="center"/>
    </xf>
    <xf numFmtId="10" fontId="46" fillId="5" borderId="30" xfId="0" applyNumberFormat="1" applyFont="1" applyFill="1" applyBorder="1" applyAlignment="1" applyProtection="1">
      <alignment horizontal="center" vertical="center"/>
      <protection locked="0"/>
    </xf>
    <xf numFmtId="10" fontId="46" fillId="5" borderId="31" xfId="0" applyNumberFormat="1" applyFont="1" applyFill="1" applyBorder="1" applyAlignment="1" applyProtection="1">
      <alignment horizontal="center" vertical="center"/>
      <protection locked="0"/>
    </xf>
    <xf numFmtId="38" fontId="46" fillId="0" borderId="125" xfId="0" applyNumberFormat="1" applyFont="1" applyBorder="1" applyAlignment="1">
      <alignment horizontal="center" vertical="center"/>
    </xf>
    <xf numFmtId="38" fontId="46" fillId="0" borderId="126" xfId="0" applyNumberFormat="1" applyFont="1" applyBorder="1" applyAlignment="1">
      <alignment horizontal="center" vertical="center"/>
    </xf>
    <xf numFmtId="38" fontId="46" fillId="0" borderId="127" xfId="0" applyNumberFormat="1" applyFont="1" applyBorder="1" applyAlignment="1">
      <alignment horizontal="center" vertical="center"/>
    </xf>
    <xf numFmtId="0" fontId="50" fillId="0" borderId="62" xfId="0" applyFont="1" applyBorder="1" applyAlignment="1">
      <alignment horizontal="center" vertical="center" wrapText="1"/>
    </xf>
    <xf numFmtId="0" fontId="50" fillId="0" borderId="67"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0" xfId="0" applyFont="1" applyAlignment="1">
      <alignment horizontal="center" vertical="center" wrapText="1"/>
    </xf>
    <xf numFmtId="0" fontId="50" fillId="0" borderId="47" xfId="0" applyFont="1" applyBorder="1" applyAlignment="1">
      <alignment horizontal="center" vertical="center" wrapText="1"/>
    </xf>
    <xf numFmtId="0" fontId="50" fillId="0" borderId="139" xfId="0" applyFont="1" applyBorder="1" applyAlignment="1">
      <alignment horizontal="center" vertical="center" wrapText="1"/>
    </xf>
    <xf numFmtId="0" fontId="50" fillId="0" borderId="13" xfId="0" applyFont="1" applyBorder="1" applyAlignment="1">
      <alignment horizontal="center" vertical="center" wrapText="1"/>
    </xf>
    <xf numFmtId="0" fontId="50" fillId="0" borderId="151" xfId="0" applyFont="1" applyBorder="1" applyAlignment="1">
      <alignment horizontal="center" vertical="center" wrapText="1"/>
    </xf>
    <xf numFmtId="0" fontId="66" fillId="0" borderId="62" xfId="0" applyFont="1" applyBorder="1" applyAlignment="1">
      <alignment horizontal="center" vertical="center" wrapText="1"/>
    </xf>
    <xf numFmtId="0" fontId="66" fillId="0" borderId="63" xfId="0" applyFont="1" applyBorder="1" applyAlignment="1">
      <alignment horizontal="center" vertical="center" wrapText="1"/>
    </xf>
    <xf numFmtId="0" fontId="66" fillId="0" borderId="44" xfId="0" applyFont="1" applyBorder="1" applyAlignment="1">
      <alignment horizontal="center" vertical="center" wrapText="1"/>
    </xf>
    <xf numFmtId="0" fontId="66" fillId="0" borderId="47" xfId="0" applyFont="1" applyBorder="1" applyAlignment="1">
      <alignment horizontal="center" vertical="center" wrapText="1"/>
    </xf>
    <xf numFmtId="38" fontId="46" fillId="0" borderId="21" xfId="0" applyNumberFormat="1" applyFont="1" applyBorder="1" applyAlignment="1">
      <alignment horizontal="center" vertical="center"/>
    </xf>
    <xf numFmtId="38" fontId="46" fillId="0" borderId="33" xfId="0" applyNumberFormat="1" applyFont="1" applyBorder="1" applyAlignment="1">
      <alignment horizontal="center" vertical="center"/>
    </xf>
    <xf numFmtId="38" fontId="46" fillId="0" borderId="58" xfId="0" applyNumberFormat="1" applyFont="1" applyBorder="1" applyAlignment="1">
      <alignment horizontal="center" vertical="center"/>
    </xf>
    <xf numFmtId="38" fontId="46" fillId="0" borderId="34" xfId="0" applyNumberFormat="1" applyFont="1" applyBorder="1" applyAlignment="1">
      <alignment horizontal="center" vertical="center"/>
    </xf>
    <xf numFmtId="10" fontId="54" fillId="0" borderId="30" xfId="0" applyNumberFormat="1" applyFont="1" applyBorder="1" applyAlignment="1">
      <alignment horizontal="center" vertical="center"/>
    </xf>
    <xf numFmtId="10" fontId="54" fillId="0" borderId="31" xfId="0" applyNumberFormat="1" applyFont="1" applyBorder="1" applyAlignment="1">
      <alignment horizontal="center" vertical="center"/>
    </xf>
    <xf numFmtId="9" fontId="43" fillId="10" borderId="75" xfId="0" applyNumberFormat="1" applyFont="1" applyFill="1" applyBorder="1" applyAlignment="1" applyProtection="1">
      <alignment horizontal="center" vertical="center"/>
      <protection locked="0"/>
    </xf>
    <xf numFmtId="9" fontId="43" fillId="10" borderId="79" xfId="0" applyNumberFormat="1" applyFont="1" applyFill="1" applyBorder="1" applyAlignment="1" applyProtection="1">
      <alignment horizontal="center" vertical="center"/>
      <protection locked="0"/>
    </xf>
    <xf numFmtId="9" fontId="43" fillId="10" borderId="76" xfId="0" applyNumberFormat="1" applyFont="1" applyFill="1" applyBorder="1" applyAlignment="1" applyProtection="1">
      <alignment horizontal="center" vertical="center"/>
      <protection locked="0"/>
    </xf>
    <xf numFmtId="38" fontId="46" fillId="0" borderId="194" xfId="0" applyNumberFormat="1" applyFont="1" applyBorder="1" applyAlignment="1">
      <alignment horizontal="center" vertical="center"/>
    </xf>
    <xf numFmtId="38" fontId="46" fillId="0" borderId="195" xfId="0" applyNumberFormat="1" applyFont="1" applyBorder="1" applyAlignment="1">
      <alignment horizontal="center" vertical="center"/>
    </xf>
    <xf numFmtId="0" fontId="14" fillId="13" borderId="87"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0" fontId="43" fillId="10" borderId="77" xfId="0" applyFont="1" applyFill="1" applyBorder="1" applyAlignment="1" applyProtection="1">
      <alignment horizontal="center" vertical="center" wrapText="1"/>
      <protection locked="0"/>
    </xf>
    <xf numFmtId="0" fontId="43" fillId="10" borderId="82" xfId="0" applyFont="1" applyFill="1" applyBorder="1" applyAlignment="1" applyProtection="1">
      <alignment horizontal="center" vertical="center" wrapText="1"/>
      <protection locked="0"/>
    </xf>
    <xf numFmtId="0" fontId="43" fillId="10" borderId="78"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10" fontId="46" fillId="0" borderId="2" xfId="0" applyNumberFormat="1" applyFont="1" applyBorder="1" applyAlignment="1">
      <alignment horizontal="center" vertical="center"/>
    </xf>
    <xf numFmtId="38" fontId="46" fillId="0" borderId="77" xfId="0" applyNumberFormat="1" applyFont="1" applyBorder="1" applyAlignment="1">
      <alignment horizontal="center" vertical="center"/>
    </xf>
    <xf numFmtId="38" fontId="46" fillId="0" borderId="78" xfId="0" applyNumberFormat="1" applyFont="1" applyBorder="1" applyAlignment="1">
      <alignment horizontal="center" vertical="center"/>
    </xf>
    <xf numFmtId="0" fontId="50" fillId="0" borderId="7" xfId="0" applyFont="1" applyBorder="1" applyAlignment="1">
      <alignment horizontal="center" vertical="center" wrapText="1"/>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14" fillId="13" borderId="90"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4" fontId="46" fillId="0" borderId="79" xfId="1" applyNumberFormat="1" applyFont="1" applyFill="1" applyBorder="1" applyAlignment="1" applyProtection="1">
      <alignment horizontal="center" vertical="center"/>
    </xf>
    <xf numFmtId="4" fontId="46" fillId="0" borderId="79" xfId="1" applyNumberFormat="1" applyFont="1" applyFill="1" applyBorder="1" applyAlignment="1" applyProtection="1">
      <alignment vertical="center"/>
    </xf>
    <xf numFmtId="4" fontId="46" fillId="0" borderId="76" xfId="1" applyNumberFormat="1" applyFont="1" applyFill="1" applyBorder="1" applyAlignment="1" applyProtection="1">
      <alignment vertical="center"/>
    </xf>
    <xf numFmtId="0" fontId="54" fillId="0" borderId="62" xfId="0" applyFont="1" applyBorder="1" applyAlignment="1">
      <alignment horizontal="center" vertical="center" wrapText="1"/>
    </xf>
    <xf numFmtId="0" fontId="54" fillId="0" borderId="63"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64" xfId="0" applyFont="1" applyBorder="1" applyAlignment="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Border="1" applyAlignment="1">
      <alignment horizontal="center" vertical="center"/>
    </xf>
    <xf numFmtId="0" fontId="54" fillId="0" borderId="35" xfId="0" applyFont="1" applyBorder="1" applyAlignment="1">
      <alignment horizontal="center" vertical="center"/>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4" fontId="46" fillId="5" borderId="105" xfId="1" applyNumberFormat="1" applyFont="1" applyFill="1" applyBorder="1" applyAlignment="1" applyProtection="1">
      <alignment horizontal="right" vertical="center"/>
      <protection locked="0"/>
    </xf>
    <xf numFmtId="164" fontId="46" fillId="5" borderId="106" xfId="1" applyNumberFormat="1" applyFont="1" applyFill="1" applyBorder="1" applyAlignment="1" applyProtection="1">
      <alignment horizontal="right" vertical="center"/>
      <protection locked="0"/>
    </xf>
    <xf numFmtId="164" fontId="46" fillId="0" borderId="132" xfId="1" applyNumberFormat="1" applyFont="1" applyFill="1" applyBorder="1" applyAlignment="1" applyProtection="1">
      <alignment horizontal="right" vertical="center"/>
    </xf>
    <xf numFmtId="38" fontId="43" fillId="0" borderId="81"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38" fontId="54" fillId="0" borderId="77" xfId="0" applyNumberFormat="1" applyFont="1" applyBorder="1" applyAlignment="1">
      <alignment horizontal="center" vertical="center"/>
    </xf>
    <xf numFmtId="38" fontId="54" fillId="0" borderId="78" xfId="0" applyNumberFormat="1" applyFont="1" applyBorder="1" applyAlignment="1">
      <alignment horizontal="center" vertical="center"/>
    </xf>
    <xf numFmtId="38" fontId="54" fillId="0" borderId="7" xfId="0" applyNumberFormat="1" applyFont="1" applyBorder="1" applyAlignment="1">
      <alignment horizontal="center" vertical="center"/>
    </xf>
    <xf numFmtId="38" fontId="54" fillId="0" borderId="8" xfId="0" applyNumberFormat="1" applyFont="1" applyBorder="1" applyAlignment="1">
      <alignment horizontal="center" vertical="center"/>
    </xf>
    <xf numFmtId="38" fontId="54" fillId="0" borderId="9" xfId="0" applyNumberFormat="1" applyFont="1" applyBorder="1" applyAlignment="1">
      <alignment horizontal="center" vertical="center"/>
    </xf>
    <xf numFmtId="38" fontId="54" fillId="0" borderId="14" xfId="0" applyNumberFormat="1" applyFont="1" applyBorder="1" applyAlignment="1">
      <alignment horizontal="center" vertical="center"/>
    </xf>
    <xf numFmtId="38" fontId="43" fillId="0" borderId="77" xfId="0" applyNumberFormat="1" applyFont="1" applyBorder="1" applyAlignment="1">
      <alignment horizontal="center" vertical="center"/>
    </xf>
    <xf numFmtId="38" fontId="43" fillId="0" borderId="7" xfId="0" applyNumberFormat="1" applyFont="1" applyBorder="1" applyAlignment="1">
      <alignment horizontal="center" vertical="center"/>
    </xf>
    <xf numFmtId="38" fontId="43" fillId="0" borderId="9" xfId="0" applyNumberFormat="1" applyFont="1" applyBorder="1" applyAlignment="1">
      <alignment horizontal="center" vertical="center"/>
    </xf>
    <xf numFmtId="164" fontId="46" fillId="5" borderId="83" xfId="1" applyNumberFormat="1" applyFont="1" applyFill="1" applyBorder="1" applyAlignment="1" applyProtection="1">
      <alignment horizontal="right" vertical="center"/>
      <protection locked="0"/>
    </xf>
    <xf numFmtId="164" fontId="46" fillId="5" borderId="75" xfId="1" applyNumberFormat="1" applyFont="1" applyFill="1" applyBorder="1" applyAlignment="1" applyProtection="1">
      <alignment horizontal="right" vertical="center"/>
      <protection locked="0"/>
    </xf>
    <xf numFmtId="164" fontId="46" fillId="5" borderId="76" xfId="1" applyNumberFormat="1" applyFont="1" applyFill="1" applyBorder="1" applyAlignment="1" applyProtection="1">
      <alignment horizontal="right" vertical="center"/>
      <protection locked="0"/>
    </xf>
    <xf numFmtId="0" fontId="206" fillId="0" borderId="0" xfId="0" applyFont="1" applyAlignment="1">
      <alignment horizontal="center" wrapText="1"/>
    </xf>
    <xf numFmtId="0" fontId="206" fillId="0" borderId="13" xfId="0" applyFont="1" applyBorder="1" applyAlignment="1">
      <alignment horizontal="center" wrapText="1"/>
    </xf>
    <xf numFmtId="0" fontId="43" fillId="0" borderId="0" xfId="0" applyFont="1" applyAlignment="1">
      <alignment horizont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84" fillId="0" borderId="0" xfId="0" applyFont="1" applyAlignment="1">
      <alignment horizontal="center" wrapText="1"/>
    </xf>
    <xf numFmtId="164" fontId="46" fillId="0" borderId="0" xfId="1" applyNumberFormat="1" applyFont="1" applyFill="1" applyBorder="1" applyAlignment="1" applyProtection="1">
      <alignment horizontal="center" vertical="center"/>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86" xfId="0" applyFont="1" applyFill="1" applyBorder="1" applyAlignment="1" applyProtection="1">
      <alignment horizontal="left" vertical="center" wrapText="1"/>
      <protection locked="0"/>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113" fillId="0" borderId="7" xfId="1" applyNumberFormat="1" applyFont="1" applyFill="1" applyBorder="1" applyAlignment="1" applyProtection="1">
      <alignment horizontal="center" vertical="top" wrapText="1"/>
    </xf>
    <xf numFmtId="164" fontId="113" fillId="0" borderId="0" xfId="1" applyNumberFormat="1" applyFont="1" applyFill="1" applyAlignment="1" applyProtection="1">
      <alignment horizontal="center" vertical="top" wrapText="1"/>
    </xf>
    <xf numFmtId="164" fontId="113" fillId="0" borderId="8" xfId="1" applyNumberFormat="1" applyFont="1" applyFill="1" applyBorder="1" applyAlignment="1" applyProtection="1">
      <alignment horizontal="center" vertical="top" wrapText="1"/>
    </xf>
    <xf numFmtId="0" fontId="46" fillId="0" borderId="40" xfId="0" applyFont="1" applyBorder="1" applyAlignment="1">
      <alignment horizontal="center" vertical="center" wrapText="1"/>
    </xf>
    <xf numFmtId="4" fontId="63" fillId="0" borderId="42" xfId="0" applyNumberFormat="1" applyFont="1" applyBorder="1" applyAlignment="1">
      <alignment horizontal="right" vertical="center"/>
    </xf>
    <xf numFmtId="4" fontId="63" fillId="0" borderId="59" xfId="0" applyNumberFormat="1" applyFont="1" applyBorder="1" applyAlignment="1">
      <alignment horizontal="right" vertical="center"/>
    </xf>
    <xf numFmtId="4" fontId="63" fillId="0" borderId="20" xfId="1" applyNumberFormat="1" applyFont="1" applyFill="1" applyBorder="1" applyAlignment="1" applyProtection="1">
      <alignment horizontal="right" vertical="center"/>
    </xf>
    <xf numFmtId="0" fontId="52" fillId="0" borderId="20" xfId="0" applyFont="1" applyBorder="1" applyAlignment="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Border="1" applyAlignment="1">
      <alignment horizontal="left" vertical="center" wrapText="1"/>
    </xf>
    <xf numFmtId="0" fontId="54" fillId="0" borderId="42" xfId="0" applyFont="1" applyBorder="1" applyAlignment="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Border="1" applyAlignment="1">
      <alignment horizontal="left" vertical="center"/>
    </xf>
    <xf numFmtId="0" fontId="52" fillId="0" borderId="19" xfId="0" applyFont="1" applyBorder="1" applyAlignment="1">
      <alignment horizontal="left" vertical="center"/>
    </xf>
    <xf numFmtId="0" fontId="52" fillId="0" borderId="39" xfId="0" applyFont="1" applyBorder="1" applyAlignment="1">
      <alignment horizontal="left"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0" xfId="0" applyFont="1" applyAlignment="1">
      <alignment horizontal="left"/>
    </xf>
    <xf numFmtId="0" fontId="54" fillId="0" borderId="43" xfId="0" applyFont="1" applyBorder="1" applyAlignment="1">
      <alignment horizontal="center" vertical="center" wrapText="1"/>
    </xf>
    <xf numFmtId="0" fontId="54" fillId="0" borderId="42" xfId="0" applyFont="1" applyBorder="1" applyAlignment="1">
      <alignment horizontal="center" vertical="center" wrapText="1"/>
    </xf>
    <xf numFmtId="164" fontId="63" fillId="0" borderId="79" xfId="0" applyNumberFormat="1" applyFont="1" applyBorder="1" applyAlignment="1">
      <alignment horizontal="center" vertical="center"/>
    </xf>
    <xf numFmtId="164" fontId="63" fillId="0" borderId="76" xfId="0" applyNumberFormat="1" applyFont="1" applyBorder="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4" fillId="0" borderId="98" xfId="0" applyFont="1" applyBorder="1" applyAlignment="1">
      <alignment horizontal="center" vertical="center"/>
    </xf>
    <xf numFmtId="171" fontId="54" fillId="0" borderId="0" xfId="0" applyNumberFormat="1" applyFont="1" applyAlignment="1">
      <alignment horizontal="center" vertical="center"/>
    </xf>
    <xf numFmtId="164" fontId="46" fillId="5" borderId="176" xfId="1" applyNumberFormat="1" applyFont="1" applyFill="1" applyBorder="1" applyAlignment="1" applyProtection="1">
      <alignment horizontal="right" vertical="center"/>
      <protection locked="0"/>
    </xf>
    <xf numFmtId="164" fontId="46" fillId="5" borderId="177"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55" fillId="8" borderId="7" xfId="0" applyFont="1" applyFill="1" applyBorder="1" applyAlignment="1">
      <alignment horizontal="center" vertical="center"/>
    </xf>
    <xf numFmtId="0" fontId="55" fillId="8" borderId="0" xfId="0" applyFont="1" applyFill="1" applyAlignment="1">
      <alignment horizontal="center" vertical="center"/>
    </xf>
    <xf numFmtId="0" fontId="86" fillId="14" borderId="0" xfId="0" applyFont="1" applyFill="1" applyAlignment="1">
      <alignment horizontal="center" vertical="center"/>
    </xf>
    <xf numFmtId="49" fontId="135" fillId="20" borderId="0" xfId="0" applyNumberFormat="1" applyFont="1" applyFill="1" applyAlignment="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1"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87"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3" xfId="1" applyNumberFormat="1" applyFont="1" applyFill="1" applyBorder="1" applyAlignment="1" applyProtection="1">
      <alignment horizontal="left" vertical="top" wrapText="1"/>
    </xf>
    <xf numFmtId="0" fontId="167" fillId="8" borderId="7" xfId="13" applyFont="1" applyFill="1" applyBorder="1" applyAlignment="1">
      <alignment horizontal="center" vertical="center"/>
    </xf>
    <xf numFmtId="0" fontId="167" fillId="8" borderId="0" xfId="13" applyFont="1" applyFill="1" applyAlignment="1">
      <alignment horizontal="center" vertical="center"/>
    </xf>
    <xf numFmtId="0" fontId="10" fillId="13" borderId="75"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10" fillId="13" borderId="76" xfId="13" applyFont="1" applyFill="1" applyBorder="1" applyAlignment="1">
      <alignment horizontal="justify" vertical="top" wrapText="1"/>
    </xf>
    <xf numFmtId="0" fontId="9"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5"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5" fillId="10" borderId="76"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277" fillId="0" borderId="0" xfId="0" applyFont="1" applyAlignment="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4"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0" fillId="8" borderId="7" xfId="0" applyFont="1" applyFill="1" applyBorder="1" applyAlignment="1">
      <alignment horizontal="center" vertical="center"/>
    </xf>
    <xf numFmtId="0" fontId="30" fillId="8" borderId="0" xfId="0" applyFont="1" applyFill="1" applyAlignment="1">
      <alignment horizontal="center" vertical="center"/>
    </xf>
    <xf numFmtId="49" fontId="98" fillId="20" borderId="0" xfId="0" applyNumberFormat="1" applyFont="1" applyFill="1" applyAlignment="1">
      <alignment horizontal="center"/>
    </xf>
    <xf numFmtId="0" fontId="9" fillId="10" borderId="75" xfId="0" applyFont="1" applyFill="1" applyBorder="1" applyAlignment="1" applyProtection="1">
      <alignment horizontal="left" vertical="center"/>
      <protection locked="0"/>
    </xf>
    <xf numFmtId="0" fontId="9"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43" fillId="5" borderId="83" xfId="0" applyFont="1" applyFill="1" applyBorder="1" applyAlignment="1" applyProtection="1">
      <alignment horizontal="left" vertical="top" wrapText="1"/>
      <protection locked="0"/>
    </xf>
    <xf numFmtId="0" fontId="43" fillId="4" borderId="83" xfId="0" applyFont="1" applyFill="1" applyBorder="1" applyAlignment="1" applyProtection="1">
      <alignment horizontal="left" vertical="top" wrapText="1"/>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5" fillId="5" borderId="75"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5" fillId="5" borderId="76" xfId="0" applyNumberFormat="1" applyFont="1" applyFill="1" applyBorder="1" applyAlignment="1" applyProtection="1">
      <alignment horizontal="left" vertical="center" wrapText="1"/>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60" xfId="0" applyNumberFormat="1" applyFont="1" applyBorder="1" applyAlignment="1">
      <alignment horizontal="right" vertical="center"/>
    </xf>
    <xf numFmtId="3" fontId="13" fillId="0" borderId="132" xfId="0" applyNumberFormat="1" applyFont="1" applyBorder="1" applyAlignment="1">
      <alignment horizontal="right" vertical="center"/>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3" fontId="13" fillId="5" borderId="75" xfId="0" applyNumberFormat="1" applyFont="1" applyFill="1" applyBorder="1" applyAlignment="1" applyProtection="1">
      <alignment horizontal="center" vertical="center"/>
      <protection locked="0"/>
    </xf>
    <xf numFmtId="3" fontId="13" fillId="5" borderId="76" xfId="0" applyNumberFormat="1" applyFont="1" applyFill="1" applyBorder="1" applyAlignment="1" applyProtection="1">
      <alignment horizontal="center" vertical="center"/>
      <protection locked="0"/>
    </xf>
    <xf numFmtId="0" fontId="4" fillId="13" borderId="75"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4" fillId="13" borderId="76" xfId="0" applyFont="1" applyFill="1" applyBorder="1" applyAlignment="1" applyProtection="1">
      <alignment horizontal="left" vertical="top" wrapText="1"/>
      <protection locked="0"/>
    </xf>
    <xf numFmtId="3" fontId="13" fillId="5" borderId="30" xfId="0" applyNumberFormat="1" applyFont="1" applyFill="1" applyBorder="1" applyAlignment="1" applyProtection="1">
      <alignment horizontal="center" vertical="center"/>
      <protection locked="0"/>
    </xf>
    <xf numFmtId="3" fontId="13" fillId="5" borderId="31" xfId="0" applyNumberFormat="1" applyFont="1" applyFill="1" applyBorder="1" applyAlignment="1" applyProtection="1">
      <alignment horizontal="center" vertical="center"/>
      <protection locked="0"/>
    </xf>
    <xf numFmtId="0" fontId="13" fillId="5" borderId="30" xfId="0" applyFont="1" applyFill="1" applyBorder="1" applyAlignment="1" applyProtection="1">
      <alignment horizontal="center" vertical="center"/>
      <protection locked="0"/>
    </xf>
    <xf numFmtId="0" fontId="13" fillId="5" borderId="31" xfId="0" applyFont="1" applyFill="1" applyBorder="1" applyAlignment="1" applyProtection="1">
      <alignment horizontal="center" vertical="center"/>
      <protection locked="0"/>
    </xf>
    <xf numFmtId="0" fontId="13" fillId="5" borderId="125" xfId="0" applyFont="1" applyFill="1" applyBorder="1" applyAlignment="1" applyProtection="1">
      <alignment horizontal="center" vertical="center"/>
      <protection locked="0"/>
    </xf>
    <xf numFmtId="0" fontId="13" fillId="5" borderId="127" xfId="0" applyFont="1" applyFill="1" applyBorder="1" applyAlignment="1" applyProtection="1">
      <alignment horizontal="center" vertical="center"/>
      <protection locked="0"/>
    </xf>
    <xf numFmtId="3" fontId="13" fillId="10" borderId="33" xfId="0" applyNumberFormat="1" applyFont="1" applyFill="1" applyBorder="1" applyAlignment="1" applyProtection="1">
      <alignment horizontal="center" vertical="center"/>
      <protection locked="0"/>
    </xf>
    <xf numFmtId="3" fontId="13" fillId="10" borderId="34" xfId="0" applyNumberFormat="1" applyFont="1" applyFill="1" applyBorder="1" applyAlignment="1" applyProtection="1">
      <alignment horizontal="center" vertical="center"/>
      <protection locked="0"/>
    </xf>
    <xf numFmtId="0" fontId="98" fillId="0" borderId="19" xfId="0" applyFont="1" applyBorder="1" applyAlignment="1">
      <alignment horizontal="center" vertical="center" wrapText="1"/>
    </xf>
    <xf numFmtId="0" fontId="98" fillId="0" borderId="0" xfId="0" applyFont="1" applyAlignment="1">
      <alignment horizontal="center" vertical="center" wrapText="1"/>
    </xf>
    <xf numFmtId="0" fontId="105" fillId="0" borderId="0" xfId="0" applyFont="1" applyAlignment="1">
      <alignment horizontal="center" vertical="center" wrapText="1"/>
    </xf>
    <xf numFmtId="0" fontId="105" fillId="0" borderId="41" xfId="0" applyFont="1" applyBorder="1" applyAlignment="1">
      <alignment horizontal="center" vertical="center" wrapText="1"/>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1" fontId="172" fillId="0" borderId="40" xfId="0" applyNumberFormat="1" applyFont="1" applyBorder="1" applyAlignment="1">
      <alignment horizontal="center"/>
    </xf>
    <xf numFmtId="1" fontId="172" fillId="0" borderId="0" xfId="0" applyNumberFormat="1" applyFont="1" applyAlignment="1">
      <alignment horizontal="center"/>
    </xf>
    <xf numFmtId="1" fontId="172"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105" xfId="0" applyNumberFormat="1" applyFont="1" applyFill="1" applyBorder="1" applyAlignment="1" applyProtection="1">
      <alignment horizontal="right" vertical="center"/>
      <protection locked="0"/>
    </xf>
    <xf numFmtId="3" fontId="13" fillId="5" borderId="106" xfId="0" applyNumberFormat="1" applyFont="1" applyFill="1" applyBorder="1" applyAlignment="1" applyProtection="1">
      <alignment horizontal="right" vertical="center"/>
      <protection locked="0"/>
    </xf>
    <xf numFmtId="38" fontId="13" fillId="5" borderId="105" xfId="1" applyNumberFormat="1" applyFont="1" applyFill="1" applyBorder="1" applyAlignment="1" applyProtection="1">
      <alignment horizontal="right" vertical="center"/>
      <protection locked="0"/>
    </xf>
    <xf numFmtId="38" fontId="13" fillId="5" borderId="106" xfId="1" applyNumberFormat="1" applyFont="1" applyFill="1" applyBorder="1" applyAlignment="1" applyProtection="1">
      <alignment horizontal="right" vertical="center"/>
      <protection locked="0"/>
    </xf>
    <xf numFmtId="164" fontId="14" fillId="11" borderId="83" xfId="0"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81" fillId="0" borderId="56" xfId="0" applyNumberFormat="1" applyFont="1" applyBorder="1" applyAlignment="1">
      <alignment horizontal="center" vertical="center"/>
    </xf>
    <xf numFmtId="38" fontId="181" fillId="0" borderId="1" xfId="0" applyNumberFormat="1" applyFont="1" applyBorder="1" applyAlignment="1">
      <alignment horizontal="center" vertical="center"/>
    </xf>
    <xf numFmtId="38" fontId="181" fillId="0" borderId="35" xfId="0" applyNumberFormat="1" applyFont="1" applyBorder="1" applyAlignment="1">
      <alignment horizontal="center" vertical="center"/>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176" fillId="0" borderId="0" xfId="0" applyFont="1" applyAlignment="1">
      <alignment horizontal="right"/>
    </xf>
    <xf numFmtId="0" fontId="85" fillId="5" borderId="33" xfId="0" applyFont="1" applyFill="1" applyBorder="1" applyAlignment="1" applyProtection="1">
      <alignment horizontal="left" vertical="center"/>
      <protection locked="0"/>
    </xf>
    <xf numFmtId="0" fontId="85" fillId="5" borderId="34" xfId="0" applyFont="1" applyFill="1" applyBorder="1" applyAlignment="1" applyProtection="1">
      <alignment horizontal="left" vertical="center"/>
      <protection locked="0"/>
    </xf>
    <xf numFmtId="0" fontId="36" fillId="0" borderId="0" xfId="0" applyFont="1" applyAlignment="1">
      <alignment horizontal="left" vertical="top" wrapText="1"/>
    </xf>
    <xf numFmtId="0" fontId="43" fillId="0" borderId="7" xfId="0" applyFont="1" applyBorder="1" applyAlignment="1">
      <alignment horizontal="left" vertical="center" wrapText="1"/>
    </xf>
    <xf numFmtId="0" fontId="43"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96" fillId="0" borderId="0" xfId="0" applyFont="1" applyAlignment="1">
      <alignment horizont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43" fillId="10" borderId="75" xfId="0" applyFont="1" applyFill="1" applyBorder="1" applyAlignment="1" applyProtection="1">
      <alignment horizontal="left" vertical="center"/>
      <protection locked="0"/>
    </xf>
    <xf numFmtId="0" fontId="43" fillId="10" borderId="76" xfId="0" applyFont="1" applyFill="1" applyBorder="1" applyAlignment="1" applyProtection="1">
      <alignment horizontal="left" vertical="center"/>
      <protection locked="0"/>
    </xf>
    <xf numFmtId="0" fontId="111" fillId="0" borderId="0" xfId="0" applyFont="1" applyAlignment="1">
      <alignment horizontal="center" vertical="center" wrapText="1"/>
    </xf>
    <xf numFmtId="0" fontId="111"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82" xfId="0" applyFont="1" applyBorder="1" applyAlignment="1">
      <alignment horizontal="center" wrapText="1"/>
    </xf>
    <xf numFmtId="0" fontId="11" fillId="0" borderId="13" xfId="0" applyFont="1" applyBorder="1" applyAlignment="1">
      <alignment horizontal="center"/>
    </xf>
    <xf numFmtId="0" fontId="36" fillId="0" borderId="0" xfId="0" applyFont="1" applyAlignment="1">
      <alignment horizontal="center" textRotation="90" wrapText="1"/>
    </xf>
    <xf numFmtId="0" fontId="66" fillId="0" borderId="7" xfId="24" applyFont="1" applyBorder="1" applyAlignment="1">
      <alignment horizontal="center" vertical="top"/>
    </xf>
    <xf numFmtId="0" fontId="66" fillId="0" borderId="0" xfId="24" applyFont="1" applyAlignment="1">
      <alignment horizontal="center" vertical="top"/>
    </xf>
    <xf numFmtId="49" fontId="98" fillId="20" borderId="0" xfId="0" quotePrefix="1" applyNumberFormat="1" applyFont="1" applyFill="1" applyAlignment="1">
      <alignment horizontal="center" vertic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30" fillId="8" borderId="75" xfId="0" applyFont="1" applyFill="1" applyBorder="1" applyAlignment="1">
      <alignment horizontal="center" vertical="center"/>
    </xf>
    <xf numFmtId="0" fontId="30" fillId="8" borderId="79" xfId="0" applyFont="1" applyFill="1" applyBorder="1" applyAlignment="1">
      <alignment horizontal="center" vertical="center"/>
    </xf>
    <xf numFmtId="0" fontId="30" fillId="8" borderId="76" xfId="0" applyFont="1" applyFill="1" applyBorder="1" applyAlignment="1">
      <alignment horizontal="center" vertical="center"/>
    </xf>
    <xf numFmtId="3" fontId="79" fillId="0" borderId="0" xfId="0" applyNumberFormat="1" applyFont="1" applyAlignment="1">
      <alignment horizontal="left" vertical="top"/>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 fontId="13" fillId="0" borderId="61" xfId="0" applyNumberFormat="1" applyFont="1" applyBorder="1" applyAlignment="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0" fontId="12" fillId="0" borderId="0" xfId="0" applyFont="1" applyAlignment="1">
      <alignment horizontal="left" vertical="center" wrapText="1"/>
    </xf>
    <xf numFmtId="38" fontId="4"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 fontId="46" fillId="0" borderId="75" xfId="1" applyNumberFormat="1" applyFont="1" applyFill="1" applyBorder="1" applyAlignment="1" applyProtection="1">
      <alignment horizontal="center" vertical="center"/>
    </xf>
    <xf numFmtId="3" fontId="46" fillId="0" borderId="76" xfId="1" applyNumberFormat="1" applyFont="1" applyFill="1" applyBorder="1" applyAlignment="1" applyProtection="1">
      <alignment horizontal="center" vertical="center"/>
    </xf>
    <xf numFmtId="3" fontId="46" fillId="5" borderId="33" xfId="1" applyNumberFormat="1" applyFont="1" applyFill="1" applyBorder="1" applyAlignment="1" applyProtection="1">
      <alignment horizontal="center" vertical="center"/>
      <protection locked="0"/>
    </xf>
    <xf numFmtId="3" fontId="46" fillId="5" borderId="34" xfId="1" applyNumberFormat="1" applyFont="1" applyFill="1" applyBorder="1" applyAlignment="1" applyProtection="1">
      <alignment horizontal="center" vertical="center"/>
      <protection locked="0"/>
    </xf>
    <xf numFmtId="0" fontId="85" fillId="10" borderId="125" xfId="0" applyFont="1" applyFill="1" applyBorder="1" applyAlignment="1" applyProtection="1">
      <alignment horizontal="left" vertical="center"/>
      <protection locked="0"/>
    </xf>
    <xf numFmtId="0" fontId="85" fillId="10" borderId="127" xfId="0" applyFont="1" applyFill="1" applyBorder="1" applyAlignment="1" applyProtection="1">
      <alignment horizontal="left" vertical="center"/>
      <protection locked="0"/>
    </xf>
    <xf numFmtId="0" fontId="191" fillId="0" borderId="77" xfId="0" applyFont="1" applyBorder="1" applyAlignment="1">
      <alignment horizontal="center" vertical="center"/>
    </xf>
    <xf numFmtId="0" fontId="191" fillId="0" borderId="78" xfId="0" applyFont="1" applyBorder="1" applyAlignment="1">
      <alignment horizontal="center" vertical="center"/>
    </xf>
    <xf numFmtId="164" fontId="191" fillId="0" borderId="82"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2" fontId="176" fillId="0" borderId="9" xfId="0" applyNumberFormat="1" applyFont="1" applyBorder="1" applyAlignment="1">
      <alignment horizontal="center" vertical="top"/>
    </xf>
    <xf numFmtId="2" fontId="176" fillId="0" borderId="14" xfId="0" applyNumberFormat="1" applyFont="1" applyBorder="1" applyAlignment="1">
      <alignment horizontal="center" vertical="top"/>
    </xf>
    <xf numFmtId="0" fontId="78" fillId="0" borderId="0" xfId="0" applyFont="1" applyAlignment="1">
      <alignment horizontal="left" vertical="top" wrapText="1"/>
    </xf>
    <xf numFmtId="0" fontId="96" fillId="0" borderId="0" xfId="0" applyFont="1" applyAlignment="1">
      <alignment horizontal="center" vertical="center" wrapText="1"/>
    </xf>
    <xf numFmtId="0" fontId="4" fillId="13" borderId="125" xfId="0" applyFont="1" applyFill="1" applyBorder="1" applyAlignment="1" applyProtection="1">
      <alignment horizontal="left" vertical="top" wrapText="1"/>
      <protection locked="0"/>
    </xf>
    <xf numFmtId="0" fontId="4" fillId="13" borderId="126" xfId="0" applyFont="1" applyFill="1" applyBorder="1" applyAlignment="1" applyProtection="1">
      <alignment horizontal="left" vertical="top" wrapText="1"/>
      <protection locked="0"/>
    </xf>
    <xf numFmtId="0" fontId="4" fillId="13" borderId="127" xfId="0" applyFont="1" applyFill="1" applyBorder="1" applyAlignment="1" applyProtection="1">
      <alignment horizontal="left" vertical="top" wrapText="1"/>
      <protection locked="0"/>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4" fillId="0" borderId="81" xfId="0" applyFont="1" applyBorder="1" applyAlignment="1">
      <alignment horizont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14" fillId="0" borderId="83" xfId="0" applyFont="1" applyBorder="1" applyAlignment="1">
      <alignment horizontal="center" wrapText="1"/>
    </xf>
    <xf numFmtId="0" fontId="30" fillId="9" borderId="75" xfId="0" applyFont="1" applyFill="1" applyBorder="1" applyAlignment="1">
      <alignment horizontal="center" vertical="center"/>
    </xf>
    <xf numFmtId="0" fontId="0" fillId="0" borderId="79" xfId="0" applyBorder="1"/>
    <xf numFmtId="0" fontId="0" fillId="0" borderId="76" xfId="0" applyBorder="1"/>
    <xf numFmtId="0" fontId="83" fillId="12" borderId="0" xfId="0" applyFont="1" applyFill="1" applyAlignment="1">
      <alignment horizontal="center" vertical="center"/>
    </xf>
    <xf numFmtId="49" fontId="105" fillId="20" borderId="0" xfId="0" applyNumberFormat="1" applyFont="1" applyFill="1" applyAlignment="1">
      <alignment horizontal="center" vertical="center" wrapText="1"/>
    </xf>
    <xf numFmtId="0" fontId="105" fillId="20" borderId="0" xfId="0" applyFont="1" applyFill="1" applyAlignment="1">
      <alignment horizontal="center" vertical="center" wrapText="1"/>
    </xf>
    <xf numFmtId="0" fontId="10" fillId="5" borderId="75" xfId="33" applyFont="1" applyFill="1" applyBorder="1" applyAlignment="1" applyProtection="1">
      <alignment horizontal="left" vertical="top" wrapText="1"/>
      <protection locked="0"/>
    </xf>
    <xf numFmtId="0" fontId="10" fillId="5" borderId="79" xfId="33" applyFont="1" applyFill="1" applyBorder="1" applyAlignment="1" applyProtection="1">
      <alignment horizontal="left" vertical="top" wrapText="1"/>
      <protection locked="0"/>
    </xf>
    <xf numFmtId="0" fontId="10" fillId="5" borderId="76" xfId="33" applyFont="1" applyFill="1" applyBorder="1" applyAlignment="1" applyProtection="1">
      <alignment horizontal="left" vertical="top" wrapText="1"/>
      <protection locked="0"/>
    </xf>
    <xf numFmtId="0" fontId="10" fillId="13" borderId="75" xfId="33" applyFont="1" applyFill="1" applyBorder="1" applyAlignment="1">
      <alignment horizontal="left" vertical="center" wrapText="1"/>
    </xf>
    <xf numFmtId="0" fontId="10" fillId="13" borderId="79" xfId="33" applyFont="1" applyFill="1" applyBorder="1" applyAlignment="1">
      <alignment horizontal="left" vertical="center" wrapText="1"/>
    </xf>
    <xf numFmtId="0" fontId="10" fillId="13" borderId="76" xfId="33" applyFont="1" applyFill="1" applyBorder="1" applyAlignment="1">
      <alignment horizontal="left" vertical="center" wrapText="1"/>
    </xf>
    <xf numFmtId="0" fontId="26" fillId="13" borderId="75" xfId="33" applyFont="1" applyFill="1" applyBorder="1" applyAlignment="1">
      <alignment horizontal="center" vertical="center"/>
    </xf>
    <xf numFmtId="0" fontId="26" fillId="13" borderId="76" xfId="33" applyFont="1" applyFill="1" applyBorder="1" applyAlignment="1">
      <alignment horizontal="center" vertical="center"/>
    </xf>
    <xf numFmtId="0" fontId="10" fillId="0" borderId="0" xfId="33" applyFont="1" applyAlignment="1">
      <alignment horizontal="left" vertical="center" wrapText="1"/>
    </xf>
    <xf numFmtId="0" fontId="10" fillId="0" borderId="8" xfId="33" applyFont="1" applyBorder="1" applyAlignment="1">
      <alignment horizontal="left" vertical="center" wrapText="1"/>
    </xf>
    <xf numFmtId="0" fontId="26" fillId="5" borderId="128" xfId="33" applyFont="1" applyFill="1" applyBorder="1" applyAlignment="1" applyProtection="1">
      <alignment horizontal="center" vertical="center"/>
      <protection locked="0"/>
    </xf>
    <xf numFmtId="0" fontId="10" fillId="0" borderId="0" xfId="33" applyFont="1" applyAlignment="1">
      <alignment horizontal="justify" vertical="top" wrapText="1"/>
    </xf>
    <xf numFmtId="0" fontId="10" fillId="0" borderId="8" xfId="33" applyFont="1" applyBorder="1" applyAlignment="1">
      <alignment horizontal="justify" vertical="top" wrapText="1"/>
    </xf>
    <xf numFmtId="0" fontId="26" fillId="5" borderId="18" xfId="33" applyFont="1" applyFill="1" applyBorder="1" applyAlignment="1" applyProtection="1">
      <alignment horizontal="center" vertical="top"/>
      <protection locked="0"/>
    </xf>
    <xf numFmtId="0" fontId="26" fillId="13" borderId="83" xfId="33" applyFont="1" applyFill="1" applyBorder="1" applyAlignment="1">
      <alignment horizontal="center" vertical="center"/>
    </xf>
    <xf numFmtId="0" fontId="26" fillId="5" borderId="83" xfId="33" applyFont="1" applyFill="1" applyBorder="1" applyAlignment="1" applyProtection="1">
      <alignment horizontal="center" vertical="center"/>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6" fillId="5" borderId="17" xfId="33" applyFont="1" applyFill="1" applyBorder="1" applyAlignment="1" applyProtection="1">
      <alignment horizontal="center" vertical="top"/>
      <protection locked="0"/>
    </xf>
    <xf numFmtId="0" fontId="26" fillId="5" borderId="128" xfId="33" applyFont="1" applyFill="1" applyBorder="1" applyAlignment="1" applyProtection="1">
      <alignment horizontal="center" vertical="top"/>
      <protection locked="0"/>
    </xf>
    <xf numFmtId="0" fontId="26" fillId="5" borderId="125" xfId="33" applyFont="1" applyFill="1" applyBorder="1" applyAlignment="1" applyProtection="1">
      <alignment horizontal="center" vertical="top"/>
      <protection locked="0"/>
    </xf>
    <xf numFmtId="0" fontId="26" fillId="5" borderId="127" xfId="33" applyFont="1" applyFill="1" applyBorder="1" applyAlignment="1" applyProtection="1">
      <alignment horizontal="center" vertical="top"/>
      <protection locked="0"/>
    </xf>
    <xf numFmtId="0" fontId="10" fillId="0" borderId="0" xfId="33" applyFont="1" applyAlignment="1">
      <alignment vertical="center"/>
    </xf>
    <xf numFmtId="0" fontId="26" fillId="5" borderId="30" xfId="33" applyFont="1" applyFill="1" applyBorder="1" applyAlignment="1" applyProtection="1">
      <alignment horizontal="center" vertical="center"/>
      <protection locked="0"/>
    </xf>
    <xf numFmtId="0" fontId="26" fillId="5" borderId="31" xfId="33" applyFont="1" applyFill="1" applyBorder="1" applyAlignment="1" applyProtection="1">
      <alignment horizontal="center" vertical="center"/>
      <protection locked="0"/>
    </xf>
    <xf numFmtId="0" fontId="10" fillId="0" borderId="0" xfId="33" applyFont="1" applyAlignment="1">
      <alignment vertical="center" wrapText="1"/>
    </xf>
    <xf numFmtId="0" fontId="26" fillId="5" borderId="33" xfId="33" applyFont="1" applyFill="1" applyBorder="1" applyAlignment="1" applyProtection="1">
      <alignment horizontal="center" vertical="center"/>
      <protection locked="0"/>
    </xf>
    <xf numFmtId="0" fontId="26" fillId="5" borderId="34" xfId="33" applyFont="1" applyFill="1" applyBorder="1" applyAlignment="1" applyProtection="1">
      <alignment horizontal="center" vertical="center"/>
      <protection locked="0"/>
    </xf>
    <xf numFmtId="0" fontId="10" fillId="5" borderId="75" xfId="33" applyFont="1" applyFill="1" applyBorder="1" applyAlignment="1" applyProtection="1">
      <alignment horizontal="left" vertical="center" wrapText="1"/>
      <protection locked="0"/>
    </xf>
    <xf numFmtId="0" fontId="10" fillId="5" borderId="79" xfId="33" applyFont="1" applyFill="1" applyBorder="1" applyAlignment="1" applyProtection="1">
      <alignment horizontal="left" vertical="center" wrapText="1"/>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26" fillId="5" borderId="125" xfId="33" applyFont="1" applyFill="1" applyBorder="1" applyAlignment="1" applyProtection="1">
      <alignment horizontal="center" vertical="center"/>
      <protection locked="0"/>
    </xf>
    <xf numFmtId="0" fontId="26" fillId="5" borderId="127" xfId="33" applyFont="1" applyFill="1" applyBorder="1" applyAlignment="1" applyProtection="1">
      <alignment horizontal="center" vertical="center"/>
      <protection locked="0"/>
    </xf>
    <xf numFmtId="0" fontId="10" fillId="0" borderId="47" xfId="33" applyFont="1" applyBorder="1" applyAlignment="1">
      <alignment horizontal="left" vertical="top" wrapText="1"/>
    </xf>
    <xf numFmtId="0" fontId="26" fillId="5" borderId="45" xfId="33" applyFont="1" applyFill="1" applyBorder="1" applyAlignment="1" applyProtection="1">
      <alignment horizontal="center" vertical="top"/>
      <protection locked="0"/>
    </xf>
    <xf numFmtId="0" fontId="26" fillId="5" borderId="64" xfId="33" applyFont="1" applyFill="1" applyBorder="1" applyAlignment="1" applyProtection="1">
      <alignment horizontal="center" vertical="top"/>
      <protection locked="0"/>
    </xf>
    <xf numFmtId="0" fontId="10" fillId="13" borderId="207" xfId="33" applyFont="1" applyFill="1" applyBorder="1" applyAlignment="1">
      <alignment horizontal="left" vertical="center" wrapText="1"/>
    </xf>
    <xf numFmtId="0" fontId="10" fillId="13" borderId="210" xfId="33" applyFont="1" applyFill="1" applyBorder="1" applyAlignment="1">
      <alignment horizontal="left" vertical="center" wrapText="1"/>
    </xf>
    <xf numFmtId="0" fontId="10" fillId="13" borderId="211"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6" xfId="33" applyFont="1" applyBorder="1" applyAlignment="1">
      <alignment horizontal="left" vertical="top" wrapText="1"/>
    </xf>
    <xf numFmtId="0" fontId="10" fillId="5" borderId="207" xfId="33" applyFont="1" applyFill="1" applyBorder="1" applyAlignment="1" applyProtection="1">
      <alignment horizontal="left" vertical="top" wrapText="1"/>
      <protection locked="0"/>
    </xf>
    <xf numFmtId="0" fontId="10" fillId="5" borderId="210" xfId="33" applyFont="1" applyFill="1" applyBorder="1" applyAlignment="1" applyProtection="1">
      <alignment horizontal="left" vertical="top" wrapText="1"/>
      <protection locked="0"/>
    </xf>
    <xf numFmtId="0" fontId="10" fillId="5" borderId="211" xfId="33" applyFont="1" applyFill="1" applyBorder="1" applyAlignment="1" applyProtection="1">
      <alignment horizontal="left" vertical="top" wrapText="1"/>
      <protection locked="0"/>
    </xf>
    <xf numFmtId="0" fontId="26" fillId="5" borderId="75" xfId="33" applyFont="1" applyFill="1" applyBorder="1" applyAlignment="1" applyProtection="1">
      <alignment horizontal="center" vertical="center"/>
      <protection locked="0"/>
    </xf>
    <xf numFmtId="0" fontId="26" fillId="5" borderId="79" xfId="33" applyFont="1" applyFill="1" applyBorder="1" applyAlignment="1" applyProtection="1">
      <alignment horizontal="center" vertical="center"/>
      <protection locked="0"/>
    </xf>
    <xf numFmtId="0" fontId="26" fillId="5" borderId="76" xfId="33" applyFont="1" applyFill="1" applyBorder="1" applyAlignment="1" applyProtection="1">
      <alignment horizontal="center" vertical="center"/>
      <protection locked="0"/>
    </xf>
    <xf numFmtId="0" fontId="10" fillId="5" borderId="212" xfId="33" applyFont="1" applyFill="1" applyBorder="1" applyAlignment="1" applyProtection="1">
      <alignment horizontal="left" vertical="top" wrapText="1"/>
      <protection locked="0"/>
    </xf>
    <xf numFmtId="0" fontId="10" fillId="5" borderId="208" xfId="33" applyFont="1" applyFill="1" applyBorder="1" applyAlignment="1" applyProtection="1">
      <alignment horizontal="left" vertical="top" wrapText="1"/>
      <protection locked="0"/>
    </xf>
    <xf numFmtId="0" fontId="10" fillId="13" borderId="212" xfId="33" applyFont="1" applyFill="1" applyBorder="1" applyAlignment="1">
      <alignment horizontal="left" vertical="center" wrapText="1"/>
    </xf>
    <xf numFmtId="0" fontId="10" fillId="13" borderId="208" xfId="33" applyFont="1" applyFill="1" applyBorder="1" applyAlignment="1">
      <alignment horizontal="left" vertical="center" wrapText="1"/>
    </xf>
    <xf numFmtId="0" fontId="26" fillId="13" borderId="209" xfId="33" applyFont="1" applyFill="1" applyBorder="1" applyAlignment="1">
      <alignment horizontal="center" vertical="center"/>
    </xf>
    <xf numFmtId="0" fontId="10" fillId="13" borderId="209" xfId="33" applyFont="1" applyFill="1" applyBorder="1" applyAlignment="1">
      <alignment horizontal="left" vertical="center" wrapText="1"/>
    </xf>
    <xf numFmtId="0" fontId="26" fillId="13" borderId="77" xfId="33" applyFont="1" applyFill="1" applyBorder="1" applyAlignment="1">
      <alignment horizontal="center" vertical="center"/>
    </xf>
    <xf numFmtId="0" fontId="26" fillId="13" borderId="163" xfId="33" applyFont="1" applyFill="1" applyBorder="1" applyAlignment="1">
      <alignment horizontal="center" vertical="center"/>
    </xf>
    <xf numFmtId="0" fontId="26" fillId="5" borderId="213" xfId="33" applyFont="1" applyFill="1" applyBorder="1" applyAlignment="1" applyProtection="1">
      <alignment horizontal="center" vertical="center"/>
      <protection locked="0"/>
    </xf>
    <xf numFmtId="0" fontId="26" fillId="5" borderId="214" xfId="33" applyFont="1" applyFill="1" applyBorder="1" applyAlignment="1" applyProtection="1">
      <alignment horizontal="center" vertical="center"/>
      <protection locked="0"/>
    </xf>
    <xf numFmtId="0" fontId="26" fillId="5" borderId="26" xfId="33" applyFont="1" applyFill="1" applyBorder="1" applyAlignment="1" applyProtection="1">
      <alignment horizontal="center" vertical="top"/>
      <protection locked="0"/>
    </xf>
    <xf numFmtId="0" fontId="26" fillId="5" borderId="218" xfId="33" applyFont="1" applyFill="1" applyBorder="1" applyAlignment="1" applyProtection="1">
      <alignment horizontal="center" vertical="top"/>
      <protection locked="0"/>
    </xf>
    <xf numFmtId="0" fontId="10" fillId="5" borderId="125" xfId="33" applyFont="1" applyFill="1" applyBorder="1" applyAlignment="1" applyProtection="1">
      <alignment horizontal="left" vertical="center" wrapText="1"/>
      <protection locked="0"/>
    </xf>
    <xf numFmtId="0" fontId="10" fillId="5" borderId="216"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wrapText="1"/>
      <protection locked="0"/>
    </xf>
    <xf numFmtId="0" fontId="10" fillId="5" borderId="217" xfId="33" applyFont="1" applyFill="1" applyBorder="1" applyAlignment="1" applyProtection="1">
      <alignment horizontal="left" vertical="center" wrapText="1"/>
      <protection locked="0"/>
    </xf>
    <xf numFmtId="0" fontId="10" fillId="5" borderId="209" xfId="33" applyFont="1" applyFill="1" applyBorder="1" applyAlignment="1" applyProtection="1">
      <alignment horizontal="left" vertical="top" wrapText="1"/>
      <protection locked="0"/>
    </xf>
    <xf numFmtId="0" fontId="26" fillId="5" borderId="215" xfId="33" applyFont="1" applyFill="1" applyBorder="1" applyAlignment="1" applyProtection="1">
      <alignment horizontal="center" vertical="center"/>
      <protection locked="0"/>
    </xf>
    <xf numFmtId="0" fontId="10" fillId="5" borderId="125" xfId="33" applyFont="1" applyFill="1" applyBorder="1" applyAlignment="1" applyProtection="1">
      <alignment horizontal="left" vertical="top" wrapText="1"/>
      <protection locked="0"/>
    </xf>
    <xf numFmtId="0" fontId="10" fillId="5" borderId="126" xfId="33" applyFont="1" applyFill="1" applyBorder="1" applyAlignment="1" applyProtection="1">
      <alignment horizontal="left" vertical="top" wrapText="1"/>
      <protection locked="0"/>
    </xf>
    <xf numFmtId="0" fontId="10" fillId="5" borderId="127" xfId="33" applyFont="1" applyFill="1" applyBorder="1" applyAlignment="1" applyProtection="1">
      <alignment horizontal="left" vertical="top" wrapText="1"/>
      <protection locked="0"/>
    </xf>
    <xf numFmtId="0" fontId="10" fillId="5" borderId="18" xfId="33" applyFont="1" applyFill="1" applyBorder="1" applyAlignment="1" applyProtection="1">
      <alignment horizontal="left" vertical="top" wrapText="1"/>
      <protection locked="0"/>
    </xf>
    <xf numFmtId="0" fontId="4" fillId="5" borderId="75" xfId="33" applyFont="1" applyFill="1" applyBorder="1" applyAlignment="1" applyProtection="1">
      <alignment horizontal="left" vertical="center" wrapText="1"/>
      <protection locked="0"/>
    </xf>
    <xf numFmtId="0" fontId="4" fillId="5" borderId="79" xfId="33" applyFont="1" applyFill="1" applyBorder="1" applyAlignment="1" applyProtection="1">
      <alignment horizontal="left" vertical="center" wrapText="1"/>
      <protection locked="0"/>
    </xf>
    <xf numFmtId="0" fontId="4" fillId="5" borderId="76" xfId="33" applyFont="1" applyFill="1" applyBorder="1" applyAlignment="1" applyProtection="1">
      <alignment horizontal="left" vertical="center" wrapText="1"/>
      <protection locked="0"/>
    </xf>
    <xf numFmtId="0" fontId="26" fillId="5" borderId="33" xfId="33" applyFont="1" applyFill="1" applyBorder="1" applyAlignment="1" applyProtection="1">
      <alignment horizontal="center" vertical="top"/>
      <protection locked="0"/>
    </xf>
    <xf numFmtId="0" fontId="26" fillId="5" borderId="34" xfId="33" applyFont="1" applyFill="1" applyBorder="1" applyAlignment="1" applyProtection="1">
      <alignment horizontal="center" vertical="top"/>
      <protection locked="0"/>
    </xf>
    <xf numFmtId="0" fontId="256" fillId="0" borderId="0" xfId="33" applyFont="1" applyAlignment="1">
      <alignment horizontal="center"/>
    </xf>
    <xf numFmtId="38" fontId="110" fillId="0" borderId="75" xfId="33" applyNumberFormat="1" applyFont="1" applyBorder="1" applyAlignment="1">
      <alignment horizontal="center" vertical="center"/>
    </xf>
    <xf numFmtId="0" fontId="110" fillId="0" borderId="76" xfId="33" applyFont="1" applyBorder="1" applyAlignment="1">
      <alignment horizontal="center" vertical="center"/>
    </xf>
    <xf numFmtId="0" fontId="10" fillId="0" borderId="13" xfId="33" applyFont="1" applyBorder="1" applyAlignment="1">
      <alignment horizontal="center" vertical="center"/>
    </xf>
    <xf numFmtId="0" fontId="26" fillId="5" borderId="77" xfId="33" applyFont="1" applyFill="1" applyBorder="1" applyAlignment="1" applyProtection="1">
      <alignment horizontal="center" vertical="top"/>
      <protection locked="0"/>
    </xf>
    <xf numFmtId="0" fontId="26" fillId="5" borderId="78" xfId="33" applyFont="1" applyFill="1" applyBorder="1" applyAlignment="1" applyProtection="1">
      <alignment horizontal="center" vertical="top"/>
      <protection locked="0"/>
    </xf>
    <xf numFmtId="0" fontId="10" fillId="5" borderId="83" xfId="33" applyFont="1" applyFill="1" applyBorder="1" applyAlignment="1" applyProtection="1">
      <alignment horizontal="left" vertical="top" wrapText="1"/>
      <protection locked="0"/>
    </xf>
    <xf numFmtId="0" fontId="10" fillId="13" borderId="83" xfId="33" applyFont="1" applyFill="1" applyBorder="1" applyAlignment="1">
      <alignment horizontal="left" vertical="center" wrapText="1"/>
    </xf>
    <xf numFmtId="0" fontId="10" fillId="5" borderId="75" xfId="33" applyFont="1" applyFill="1" applyBorder="1" applyAlignment="1" applyProtection="1">
      <alignment horizontal="left" vertical="center"/>
      <protection locked="0"/>
    </xf>
    <xf numFmtId="0" fontId="10" fillId="5" borderId="79" xfId="33" applyFont="1" applyFill="1" applyBorder="1" applyAlignment="1" applyProtection="1">
      <alignment horizontal="left" vertical="center"/>
      <protection locked="0"/>
    </xf>
    <xf numFmtId="0" fontId="10" fillId="5" borderId="76" xfId="33" applyFont="1" applyFill="1" applyBorder="1" applyAlignment="1" applyProtection="1">
      <alignment horizontal="left" vertical="center"/>
      <protection locked="0"/>
    </xf>
    <xf numFmtId="0" fontId="26" fillId="13" borderId="81" xfId="33" applyFont="1" applyFill="1" applyBorder="1" applyAlignment="1">
      <alignment horizontal="center" vertical="center"/>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10" borderId="75" xfId="33" applyFont="1" applyFill="1" applyBorder="1" applyAlignment="1" applyProtection="1">
      <alignment horizontal="left" vertical="center" wrapText="1"/>
      <protection locked="0"/>
    </xf>
    <xf numFmtId="0" fontId="10" fillId="10" borderId="79" xfId="33" applyFont="1" applyFill="1" applyBorder="1" applyAlignment="1" applyProtection="1">
      <alignment horizontal="left" vertical="center" wrapText="1"/>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protection locked="0"/>
    </xf>
    <xf numFmtId="0" fontId="10" fillId="5" borderId="58" xfId="33" applyFont="1" applyFill="1" applyBorder="1" applyAlignment="1" applyProtection="1">
      <alignment horizontal="left" vertical="center"/>
      <protection locked="0"/>
    </xf>
    <xf numFmtId="0" fontId="10" fillId="5" borderId="34" xfId="33" applyFont="1" applyFill="1" applyBorder="1" applyAlignment="1" applyProtection="1">
      <alignment horizontal="left" vertical="center"/>
      <protection locked="0"/>
    </xf>
    <xf numFmtId="0" fontId="10" fillId="5" borderId="125" xfId="33" applyFont="1" applyFill="1" applyBorder="1" applyAlignment="1" applyProtection="1">
      <alignment vertical="top" wrapText="1"/>
      <protection locked="0"/>
    </xf>
    <xf numFmtId="0" fontId="10" fillId="5" borderId="126" xfId="33" applyFont="1" applyFill="1" applyBorder="1" applyAlignment="1" applyProtection="1">
      <alignment vertical="top" wrapText="1"/>
      <protection locked="0"/>
    </xf>
    <xf numFmtId="0" fontId="10" fillId="5" borderId="127" xfId="33" applyFont="1" applyFill="1" applyBorder="1" applyAlignment="1" applyProtection="1">
      <alignment vertical="top" wrapText="1"/>
      <protection locked="0"/>
    </xf>
    <xf numFmtId="0" fontId="10" fillId="5" borderId="77" xfId="33" applyFont="1" applyFill="1" applyBorder="1" applyAlignment="1" applyProtection="1">
      <alignment vertical="center"/>
      <protection locked="0"/>
    </xf>
    <xf numFmtId="0" fontId="10" fillId="5" borderId="82" xfId="33" applyFont="1" applyFill="1" applyBorder="1" applyAlignment="1" applyProtection="1">
      <alignment vertical="center"/>
      <protection locked="0"/>
    </xf>
    <xf numFmtId="0" fontId="10" fillId="5" borderId="78" xfId="33" applyFont="1" applyFill="1" applyBorder="1" applyAlignment="1" applyProtection="1">
      <alignment vertical="center"/>
      <protection locked="0"/>
    </xf>
    <xf numFmtId="0" fontId="26" fillId="0" borderId="0" xfId="33" applyFont="1" applyAlignment="1">
      <alignment horizontal="left" vertical="center"/>
    </xf>
    <xf numFmtId="0" fontId="10" fillId="5" borderId="30" xfId="33" applyFont="1" applyFill="1" applyBorder="1" applyAlignment="1" applyProtection="1">
      <alignment vertical="center"/>
      <protection locked="0"/>
    </xf>
    <xf numFmtId="0" fontId="10" fillId="5" borderId="21" xfId="33" applyFont="1" applyFill="1" applyBorder="1" applyAlignment="1" applyProtection="1">
      <alignment vertical="center"/>
      <protection locked="0"/>
    </xf>
    <xf numFmtId="0" fontId="10" fillId="5" borderId="31" xfId="33" applyFont="1" applyFill="1" applyBorder="1" applyAlignment="1" applyProtection="1">
      <alignment vertical="center"/>
      <protection locked="0"/>
    </xf>
    <xf numFmtId="0" fontId="10" fillId="5" borderId="125" xfId="33" applyFont="1" applyFill="1" applyBorder="1" applyAlignment="1" applyProtection="1">
      <alignment horizontal="left" vertical="center"/>
      <protection locked="0"/>
    </xf>
    <xf numFmtId="0" fontId="10" fillId="5" borderId="126" xfId="33" applyFont="1" applyFill="1" applyBorder="1" applyAlignment="1" applyProtection="1">
      <alignment horizontal="left" vertical="center"/>
      <protection locked="0"/>
    </xf>
    <xf numFmtId="0" fontId="10" fillId="5" borderId="127" xfId="33" applyFont="1" applyFill="1" applyBorder="1" applyAlignment="1" applyProtection="1">
      <alignment horizontal="left" vertical="center"/>
      <protection locked="0"/>
    </xf>
    <xf numFmtId="0" fontId="10" fillId="0" borderId="13" xfId="33" applyFont="1" applyBorder="1" applyAlignment="1">
      <alignment horizontal="left" vertical="center" wrapText="1"/>
    </xf>
    <xf numFmtId="0" fontId="26" fillId="5" borderId="75" xfId="33" applyFont="1" applyFill="1" applyBorder="1" applyAlignment="1" applyProtection="1">
      <alignment horizontal="center" vertical="center" wrapText="1"/>
      <protection locked="0"/>
    </xf>
    <xf numFmtId="0" fontId="26" fillId="5" borderId="79" xfId="33" applyFont="1" applyFill="1" applyBorder="1" applyAlignment="1" applyProtection="1">
      <alignment horizontal="center" vertical="center" wrapText="1"/>
      <protection locked="0"/>
    </xf>
    <xf numFmtId="0" fontId="26" fillId="5" borderId="76" xfId="33" applyFont="1" applyFill="1" applyBorder="1" applyAlignment="1" applyProtection="1">
      <alignment horizontal="center" vertical="center" wrapText="1"/>
      <protection locked="0"/>
    </xf>
    <xf numFmtId="0" fontId="26" fillId="13" borderId="79" xfId="33" applyFont="1" applyFill="1" applyBorder="1" applyAlignment="1">
      <alignment horizontal="center" vertical="center"/>
    </xf>
    <xf numFmtId="0" fontId="10" fillId="5" borderId="76" xfId="33" applyFont="1" applyFill="1" applyBorder="1" applyAlignment="1" applyProtection="1">
      <alignment horizontal="left" vertical="center" wrapText="1"/>
      <protection locked="0"/>
    </xf>
    <xf numFmtId="0" fontId="10" fillId="0" borderId="0" xfId="33" applyFont="1" applyAlignment="1">
      <alignment horizontal="right" vertical="center"/>
    </xf>
    <xf numFmtId="0" fontId="4" fillId="13" borderId="204" xfId="33" applyFont="1" applyFill="1" applyBorder="1" applyAlignment="1">
      <alignment horizontal="justify" vertical="top" wrapText="1"/>
    </xf>
    <xf numFmtId="0" fontId="4" fillId="13" borderId="205" xfId="33" applyFont="1" applyFill="1" applyBorder="1" applyAlignment="1">
      <alignment horizontal="justify" vertical="top" wrapText="1"/>
    </xf>
    <xf numFmtId="0" fontId="4" fillId="13" borderId="206" xfId="33" applyFont="1" applyFill="1" applyBorder="1" applyAlignment="1">
      <alignment horizontal="justify" vertical="top" wrapText="1"/>
    </xf>
    <xf numFmtId="0" fontId="26" fillId="13" borderId="207" xfId="33" applyFont="1" applyFill="1" applyBorder="1" applyAlignment="1">
      <alignment horizontal="center" vertical="center"/>
    </xf>
    <xf numFmtId="0" fontId="26" fillId="13" borderId="208" xfId="33" applyFont="1" applyFill="1" applyBorder="1" applyAlignment="1">
      <alignment horizontal="center" vertical="center"/>
    </xf>
    <xf numFmtId="0" fontId="4" fillId="13" borderId="202"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203" xfId="33" applyFont="1" applyFill="1" applyBorder="1" applyAlignment="1">
      <alignment horizontal="justify" vertical="top" wrapText="1"/>
    </xf>
    <xf numFmtId="0" fontId="110" fillId="0" borderId="0" xfId="33" applyFont="1" applyAlignment="1">
      <alignment horizontal="center" vertical="center" wrapText="1"/>
    </xf>
    <xf numFmtId="0" fontId="97" fillId="13" borderId="75" xfId="33" applyFont="1" applyFill="1" applyBorder="1" applyAlignment="1">
      <alignment horizontal="center" vertical="center"/>
    </xf>
    <xf numFmtId="0" fontId="97" fillId="13" borderId="83" xfId="33" applyFont="1" applyFill="1" applyBorder="1" applyAlignment="1">
      <alignment horizontal="center" vertical="center"/>
    </xf>
    <xf numFmtId="0" fontId="4" fillId="13" borderId="199" xfId="33" applyFont="1" applyFill="1" applyBorder="1" applyAlignment="1">
      <alignment horizontal="justify" vertical="top" wrapText="1"/>
    </xf>
    <xf numFmtId="0" fontId="4" fillId="13" borderId="200" xfId="33" applyFont="1" applyFill="1" applyBorder="1" applyAlignment="1">
      <alignment horizontal="justify" vertical="top" wrapText="1"/>
    </xf>
    <xf numFmtId="0" fontId="4" fillId="13" borderId="201" xfId="33" applyFont="1" applyFill="1" applyBorder="1" applyAlignment="1">
      <alignment horizontal="justify" vertical="top" wrapText="1"/>
    </xf>
    <xf numFmtId="0" fontId="30" fillId="8" borderId="75" xfId="33" applyFont="1" applyFill="1" applyBorder="1" applyAlignment="1">
      <alignment horizontal="center" vertical="center"/>
    </xf>
    <xf numFmtId="0" fontId="251" fillId="0" borderId="0" xfId="33" applyFont="1" applyAlignment="1">
      <alignment horizontal="center" vertical="center"/>
    </xf>
    <xf numFmtId="0" fontId="9" fillId="5" borderId="81" xfId="33" applyFont="1" applyFill="1" applyBorder="1" applyAlignment="1">
      <alignment horizontal="center" vertical="center" wrapText="1"/>
    </xf>
    <xf numFmtId="0" fontId="9" fillId="5" borderId="83" xfId="33" applyFont="1" applyFill="1" applyBorder="1" applyAlignment="1">
      <alignment horizontal="center" vertical="center" wrapText="1"/>
    </xf>
    <xf numFmtId="0" fontId="9" fillId="13" borderId="81" xfId="33" applyFont="1" applyFill="1" applyBorder="1" applyAlignment="1">
      <alignment horizontal="center" vertical="center" wrapText="1"/>
    </xf>
    <xf numFmtId="0" fontId="9" fillId="13" borderId="83" xfId="33" applyFont="1" applyFill="1" applyBorder="1" applyAlignment="1">
      <alignment horizontal="center" vertical="center" wrapText="1"/>
    </xf>
    <xf numFmtId="0" fontId="21" fillId="0" borderId="0" xfId="33" applyFont="1" applyAlignment="1">
      <alignment horizontal="left" vertical="center"/>
    </xf>
    <xf numFmtId="49" fontId="98" fillId="20" borderId="0" xfId="33" applyNumberFormat="1" applyFont="1" applyFill="1" applyAlignment="1">
      <alignment horizontal="center" vertical="center"/>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126"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6" xfId="33" applyFont="1" applyFill="1" applyBorder="1" applyAlignment="1" applyProtection="1">
      <alignment horizontal="left" vertical="center" wrapText="1"/>
      <protection locked="0"/>
    </xf>
    <xf numFmtId="10" fontId="10" fillId="5" borderId="77" xfId="10" applyNumberFormat="1" applyFont="1" applyFill="1" applyBorder="1" applyAlignment="1" applyProtection="1">
      <alignment horizontal="center" vertical="center" wrapText="1"/>
      <protection locked="0"/>
    </xf>
    <xf numFmtId="10" fontId="10" fillId="5" borderId="78" xfId="10" applyNumberFormat="1" applyFont="1" applyFill="1" applyBorder="1" applyAlignment="1" applyProtection="1">
      <alignment horizontal="center" vertical="center" wrapText="1"/>
      <protection locked="0"/>
    </xf>
    <xf numFmtId="10" fontId="10" fillId="5" borderId="33" xfId="10" applyNumberFormat="1" applyFont="1" applyFill="1" applyBorder="1" applyAlignment="1" applyProtection="1">
      <alignment horizontal="center" vertical="center" wrapText="1"/>
      <protection locked="0"/>
    </xf>
    <xf numFmtId="10" fontId="10" fillId="5" borderId="34" xfId="10" applyNumberFormat="1" applyFont="1" applyFill="1" applyBorder="1" applyAlignment="1" applyProtection="1">
      <alignment horizontal="center" vertical="center" wrapText="1"/>
      <protection locked="0"/>
    </xf>
    <xf numFmtId="10" fontId="10" fillId="5" borderId="125" xfId="10" applyNumberFormat="1" applyFont="1" applyFill="1" applyBorder="1" applyAlignment="1" applyProtection="1">
      <alignment horizontal="center" vertical="center" wrapText="1"/>
      <protection locked="0"/>
    </xf>
    <xf numFmtId="10" fontId="10" fillId="5" borderId="127" xfId="10" applyNumberFormat="1" applyFont="1" applyFill="1" applyBorder="1" applyAlignment="1" applyProtection="1">
      <alignment horizontal="center" vertical="center" wrapText="1"/>
      <protection locked="0"/>
    </xf>
    <xf numFmtId="0" fontId="10" fillId="5" borderId="75" xfId="33" applyFont="1" applyFill="1" applyBorder="1" applyAlignment="1" applyProtection="1">
      <alignment horizontal="left" vertical="top"/>
      <protection locked="0"/>
    </xf>
    <xf numFmtId="0" fontId="10" fillId="5" borderId="79" xfId="33" applyFont="1" applyFill="1" applyBorder="1" applyAlignment="1" applyProtection="1">
      <alignment horizontal="left" vertical="top"/>
      <protection locked="0"/>
    </xf>
    <xf numFmtId="0" fontId="10" fillId="5" borderId="82" xfId="33" applyFont="1" applyFill="1" applyBorder="1" applyAlignment="1" applyProtection="1">
      <alignment horizontal="left" vertical="top"/>
      <protection locked="0"/>
    </xf>
    <xf numFmtId="0" fontId="10" fillId="5" borderId="78" xfId="33" applyFont="1" applyFill="1" applyBorder="1" applyAlignment="1" applyProtection="1">
      <alignment horizontal="left" vertical="top"/>
      <protection locked="0"/>
    </xf>
    <xf numFmtId="0" fontId="5" fillId="13" borderId="30" xfId="37" applyFont="1" applyFill="1" applyBorder="1" applyAlignment="1">
      <alignment horizontal="center" vertical="top" wrapText="1"/>
    </xf>
    <xf numFmtId="0" fontId="5" fillId="13" borderId="31" xfId="37" applyFont="1" applyFill="1" applyBorder="1" applyAlignment="1">
      <alignment horizontal="center" vertical="top" wrapText="1"/>
    </xf>
    <xf numFmtId="0" fontId="5" fillId="13" borderId="33" xfId="37" applyFont="1" applyFill="1" applyBorder="1" applyAlignment="1">
      <alignment horizontal="center" vertical="top" wrapText="1"/>
    </xf>
    <xf numFmtId="0" fontId="5" fillId="13" borderId="34" xfId="37" applyFont="1" applyFill="1" applyBorder="1" applyAlignment="1">
      <alignment horizontal="center" vertical="top" wrapText="1"/>
    </xf>
    <xf numFmtId="0" fontId="266" fillId="0" borderId="75" xfId="37" applyFont="1" applyBorder="1" applyAlignment="1">
      <alignment horizontal="center" vertical="center" wrapText="1"/>
    </xf>
    <xf numFmtId="0" fontId="266" fillId="0" borderId="76" xfId="37" applyFont="1" applyBorder="1" applyAlignment="1">
      <alignment horizontal="center" vertical="center" wrapText="1"/>
    </xf>
    <xf numFmtId="0" fontId="228" fillId="0" borderId="0" xfId="37" applyFont="1" applyAlignment="1">
      <alignment horizontal="center" vertical="center" wrapText="1"/>
    </xf>
    <xf numFmtId="0" fontId="228" fillId="0" borderId="0" xfId="37" applyFont="1" applyAlignment="1">
      <alignment horizontal="center" vertical="center"/>
    </xf>
    <xf numFmtId="0" fontId="250" fillId="0" borderId="0" xfId="37" applyFont="1" applyAlignment="1">
      <alignment horizontal="center"/>
    </xf>
    <xf numFmtId="0" fontId="228" fillId="0" borderId="0" xfId="37" applyFont="1" applyAlignment="1">
      <alignment horizontal="center"/>
    </xf>
    <xf numFmtId="0" fontId="260" fillId="0" borderId="75" xfId="37" applyFont="1" applyBorder="1" applyAlignment="1">
      <alignment horizontal="center" vertical="center" wrapText="1"/>
    </xf>
    <xf numFmtId="0" fontId="260" fillId="0" borderId="76" xfId="37" applyFont="1" applyBorder="1" applyAlignment="1">
      <alignment horizontal="center" vertical="center" wrapText="1"/>
    </xf>
    <xf numFmtId="0" fontId="266" fillId="0" borderId="83" xfId="37" applyFont="1" applyBorder="1" applyAlignment="1">
      <alignment horizontal="center" vertical="center" wrapText="1"/>
    </xf>
    <xf numFmtId="0" fontId="10" fillId="13" borderId="75" xfId="37" applyFont="1" applyFill="1" applyBorder="1" applyAlignment="1">
      <alignment horizontal="left" vertical="top" wrapText="1"/>
    </xf>
    <xf numFmtId="0" fontId="10" fillId="13" borderId="79" xfId="37" applyFont="1" applyFill="1" applyBorder="1" applyAlignment="1">
      <alignment horizontal="left" vertical="top" wrapText="1"/>
    </xf>
    <xf numFmtId="0" fontId="10" fillId="13" borderId="76" xfId="37" applyFont="1" applyFill="1" applyBorder="1" applyAlignment="1">
      <alignment horizontal="left" vertical="top" wrapText="1"/>
    </xf>
    <xf numFmtId="0" fontId="140" fillId="20" borderId="7" xfId="37" applyFont="1" applyFill="1" applyBorder="1" applyAlignment="1">
      <alignment horizontal="left" vertical="top" wrapText="1"/>
    </xf>
    <xf numFmtId="0" fontId="140" fillId="20" borderId="0" xfId="37" applyFont="1" applyFill="1" applyAlignment="1">
      <alignment horizontal="left" vertical="top" wrapText="1"/>
    </xf>
    <xf numFmtId="0" fontId="131" fillId="0" borderId="0" xfId="37" applyFont="1" applyAlignment="1">
      <alignment horizontal="left" vertical="center" wrapText="1"/>
    </xf>
    <xf numFmtId="0" fontId="10" fillId="5" borderId="75" xfId="37" applyFont="1" applyFill="1" applyBorder="1" applyAlignment="1" applyProtection="1">
      <alignment horizontal="left" vertical="top" wrapText="1"/>
      <protection locked="0"/>
    </xf>
    <xf numFmtId="0" fontId="10" fillId="5" borderId="79" xfId="37" applyFont="1" applyFill="1" applyBorder="1" applyAlignment="1" applyProtection="1">
      <alignment horizontal="left" vertical="top" wrapText="1"/>
      <protection locked="0"/>
    </xf>
    <xf numFmtId="0" fontId="10" fillId="5" borderId="76" xfId="37" applyFont="1" applyFill="1" applyBorder="1" applyAlignment="1" applyProtection="1">
      <alignment horizontal="left" vertical="top" wrapText="1"/>
      <protection locked="0"/>
    </xf>
    <xf numFmtId="0" fontId="26" fillId="0" borderId="80" xfId="37" applyFont="1" applyBorder="1" applyAlignment="1">
      <alignment horizontal="center" vertical="center"/>
    </xf>
    <xf numFmtId="0" fontId="260" fillId="0" borderId="56" xfId="37" applyFont="1" applyBorder="1" applyAlignment="1">
      <alignment horizontal="center" vertical="center"/>
    </xf>
    <xf numFmtId="0" fontId="260" fillId="0" borderId="1" xfId="37" applyFont="1" applyBorder="1" applyAlignment="1">
      <alignment horizontal="center" vertical="center"/>
    </xf>
    <xf numFmtId="0" fontId="260" fillId="0" borderId="35" xfId="37" applyFont="1" applyBorder="1" applyAlignment="1">
      <alignment horizontal="center" vertical="center"/>
    </xf>
    <xf numFmtId="0" fontId="266" fillId="0" borderId="56" xfId="37" applyFont="1" applyBorder="1" applyAlignment="1">
      <alignment horizontal="center" vertical="center"/>
    </xf>
    <xf numFmtId="0" fontId="266" fillId="0" borderId="1" xfId="37" applyFont="1" applyBorder="1" applyAlignment="1">
      <alignment horizontal="center" vertical="center"/>
    </xf>
    <xf numFmtId="0" fontId="266" fillId="0" borderId="35" xfId="37" applyFont="1" applyBorder="1" applyAlignment="1">
      <alignment horizontal="center" vertical="center"/>
    </xf>
    <xf numFmtId="0" fontId="10" fillId="10" borderId="18" xfId="37" applyFont="1" applyFill="1" applyBorder="1" applyAlignment="1" applyProtection="1">
      <alignment horizontal="left" vertical="center"/>
      <protection locked="0"/>
    </xf>
    <xf numFmtId="0" fontId="10" fillId="10" borderId="18" xfId="37" applyFont="1" applyFill="1" applyBorder="1" applyAlignment="1" applyProtection="1">
      <alignment horizontal="center" vertical="center"/>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10" fillId="10" borderId="17" xfId="37" applyFont="1" applyFill="1" applyBorder="1" applyAlignment="1" applyProtection="1">
      <alignment horizontal="left" vertical="center"/>
      <protection locked="0"/>
    </xf>
    <xf numFmtId="0" fontId="10" fillId="10" borderId="17"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4" fillId="5" borderId="75" xfId="37" applyFill="1" applyBorder="1" applyAlignment="1" applyProtection="1">
      <alignment horizontal="left" vertical="top" wrapText="1"/>
      <protection locked="0"/>
    </xf>
    <xf numFmtId="0" fontId="4" fillId="5" borderId="79" xfId="37" applyFill="1" applyBorder="1" applyAlignment="1" applyProtection="1">
      <alignment horizontal="left" vertical="top" wrapText="1"/>
      <protection locked="0"/>
    </xf>
    <xf numFmtId="0" fontId="4" fillId="5" borderId="76" xfId="37" applyFill="1" applyBorder="1" applyAlignment="1" applyProtection="1">
      <alignment horizontal="left" vertical="top" wrapText="1"/>
      <protection locked="0"/>
    </xf>
    <xf numFmtId="0" fontId="10" fillId="0" borderId="0" xfId="37" applyFont="1" applyAlignment="1">
      <alignment horizontal="center"/>
    </xf>
    <xf numFmtId="0" fontId="10" fillId="10" borderId="128" xfId="37" applyFont="1" applyFill="1" applyBorder="1" applyAlignment="1" applyProtection="1">
      <alignment horizontal="left" vertical="center"/>
      <protection locked="0"/>
    </xf>
    <xf numFmtId="0" fontId="10" fillId="10" borderId="128" xfId="37" applyFont="1" applyFill="1" applyBorder="1" applyAlignment="1" applyProtection="1">
      <alignment horizontal="center" vertical="center"/>
      <protection locked="0"/>
    </xf>
    <xf numFmtId="0" fontId="10" fillId="10" borderId="125" xfId="37" applyFont="1" applyFill="1" applyBorder="1" applyAlignment="1" applyProtection="1">
      <alignment horizontal="center" vertical="center"/>
      <protection locked="0"/>
    </xf>
    <xf numFmtId="0" fontId="10" fillId="10" borderId="126" xfId="37" applyFont="1" applyFill="1" applyBorder="1" applyAlignment="1" applyProtection="1">
      <alignment horizontal="center" vertical="center"/>
      <protection locked="0"/>
    </xf>
    <xf numFmtId="0" fontId="10" fillId="10" borderId="127" xfId="37" applyFont="1" applyFill="1" applyBorder="1" applyAlignment="1" applyProtection="1">
      <alignment horizontal="center" vertical="center"/>
      <protection locked="0"/>
    </xf>
    <xf numFmtId="0" fontId="10" fillId="10" borderId="75" xfId="37" applyFont="1" applyFill="1" applyBorder="1" applyAlignment="1" applyProtection="1">
      <alignment horizontal="center"/>
      <protection locked="0"/>
    </xf>
    <xf numFmtId="0" fontId="10" fillId="10" borderId="79" xfId="37" applyFont="1" applyFill="1" applyBorder="1" applyAlignment="1" applyProtection="1">
      <alignment horizontal="center"/>
      <protection locked="0"/>
    </xf>
    <xf numFmtId="0" fontId="10" fillId="10" borderId="76" xfId="37" applyFont="1" applyFill="1" applyBorder="1" applyAlignment="1" applyProtection="1">
      <alignment horizontal="center"/>
      <protection locked="0"/>
    </xf>
    <xf numFmtId="0" fontId="26" fillId="10" borderId="75" xfId="37" applyFont="1" applyFill="1" applyBorder="1" applyAlignment="1" applyProtection="1">
      <alignment horizontal="center" vertical="center"/>
      <protection locked="0"/>
    </xf>
    <xf numFmtId="0" fontId="26" fillId="10" borderId="79" xfId="37" applyFont="1" applyFill="1" applyBorder="1" applyAlignment="1" applyProtection="1">
      <alignment horizontal="center" vertical="center"/>
      <protection locked="0"/>
    </xf>
    <xf numFmtId="0" fontId="26" fillId="10" borderId="76" xfId="37" applyFont="1" applyFill="1" applyBorder="1" applyAlignment="1" applyProtection="1">
      <alignment horizontal="center" vertical="center"/>
      <protection locked="0"/>
    </xf>
    <xf numFmtId="0" fontId="135" fillId="0" borderId="0" xfId="37" applyFont="1" applyAlignment="1">
      <alignment horizontal="center" vertical="center" wrapText="1"/>
    </xf>
    <xf numFmtId="0" fontId="110" fillId="0" borderId="43" xfId="37" applyFont="1" applyBorder="1" applyAlignment="1">
      <alignment horizontal="center" vertical="center" wrapText="1"/>
    </xf>
    <xf numFmtId="0" fontId="110" fillId="0" borderId="19" xfId="37" applyFont="1" applyBorder="1" applyAlignment="1">
      <alignment horizontal="center" vertical="center" wrapText="1"/>
    </xf>
    <xf numFmtId="0" fontId="110" fillId="0" borderId="39" xfId="37" applyFont="1" applyBorder="1" applyAlignment="1">
      <alignment horizontal="center" vertical="center" wrapText="1"/>
    </xf>
    <xf numFmtId="0" fontId="110" fillId="0" borderId="42" xfId="37" applyFont="1" applyBorder="1" applyAlignment="1">
      <alignment horizontal="center" vertical="center" wrapText="1"/>
    </xf>
    <xf numFmtId="0" fontId="110" fillId="0" borderId="20" xfId="37" applyFont="1" applyBorder="1" applyAlignment="1">
      <alignment horizontal="center" vertical="center" wrapText="1"/>
    </xf>
    <xf numFmtId="0" fontId="110" fillId="0" borderId="59" xfId="37" applyFont="1" applyBorder="1" applyAlignment="1">
      <alignment horizontal="center" vertical="center" wrapText="1"/>
    </xf>
    <xf numFmtId="0" fontId="10" fillId="0" borderId="13" xfId="37" applyFont="1" applyBorder="1" applyAlignment="1">
      <alignment horizontal="center" vertical="center"/>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10" fillId="10" borderId="75" xfId="37" applyFont="1" applyFill="1" applyBorder="1" applyAlignment="1" applyProtection="1">
      <alignment horizontal="left" vertical="center"/>
      <protection locked="0"/>
    </xf>
    <xf numFmtId="0" fontId="10" fillId="10" borderId="79" xfId="37" applyFont="1" applyFill="1" applyBorder="1" applyAlignment="1" applyProtection="1">
      <alignment horizontal="left" vertical="center"/>
      <protection locked="0"/>
    </xf>
    <xf numFmtId="0" fontId="10" fillId="10" borderId="76" xfId="37" applyFont="1" applyFill="1" applyBorder="1" applyAlignment="1" applyProtection="1">
      <alignment horizontal="left" vertical="center"/>
      <protection locked="0"/>
    </xf>
    <xf numFmtId="0" fontId="4" fillId="10" borderId="17" xfId="37" applyFill="1" applyBorder="1" applyAlignment="1" applyProtection="1">
      <alignment horizontal="left" vertical="top"/>
      <protection locked="0"/>
    </xf>
    <xf numFmtId="0" fontId="4" fillId="10" borderId="17" xfId="37" applyFill="1" applyBorder="1" applyAlignment="1" applyProtection="1">
      <alignment horizontal="left" vertical="top" wrapText="1"/>
      <protection locked="0"/>
    </xf>
    <xf numFmtId="4" fontId="10" fillId="10" borderId="17" xfId="37" applyNumberFormat="1" applyFont="1" applyFill="1" applyBorder="1" applyAlignment="1" applyProtection="1">
      <alignment horizontal="center" vertical="top"/>
      <protection locked="0"/>
    </xf>
    <xf numFmtId="3" fontId="10" fillId="10" borderId="17" xfId="37" applyNumberFormat="1" applyFont="1" applyFill="1" applyBorder="1" applyAlignment="1" applyProtection="1">
      <alignment horizontal="center" vertical="center"/>
      <protection locked="0"/>
    </xf>
    <xf numFmtId="0" fontId="4" fillId="10" borderId="18" xfId="37" applyFill="1" applyBorder="1" applyAlignment="1" applyProtection="1">
      <alignment horizontal="left" vertical="top"/>
      <protection locked="0"/>
    </xf>
    <xf numFmtId="0" fontId="4" fillId="10" borderId="18" xfId="37" applyFill="1" applyBorder="1" applyAlignment="1" applyProtection="1">
      <alignment horizontal="left" vertical="top" wrapText="1"/>
      <protection locked="0"/>
    </xf>
    <xf numFmtId="4" fontId="10" fillId="10" borderId="18" xfId="37" applyNumberFormat="1" applyFont="1" applyFill="1" applyBorder="1" applyAlignment="1" applyProtection="1">
      <alignment horizontal="center" vertical="top"/>
      <protection locked="0"/>
    </xf>
    <xf numFmtId="3" fontId="10" fillId="10" borderId="18" xfId="37" applyNumberFormat="1" applyFont="1" applyFill="1" applyBorder="1" applyAlignment="1" applyProtection="1">
      <alignment horizontal="center" vertical="center"/>
      <protection locked="0"/>
    </xf>
    <xf numFmtId="0" fontId="4" fillId="10" borderId="128" xfId="37" applyFill="1" applyBorder="1" applyAlignment="1" applyProtection="1">
      <alignment horizontal="left" vertical="top"/>
      <protection locked="0"/>
    </xf>
    <xf numFmtId="0" fontId="4" fillId="10" borderId="128" xfId="37" applyFill="1" applyBorder="1" applyAlignment="1" applyProtection="1">
      <alignment horizontal="left" vertical="top" wrapText="1"/>
      <protection locked="0"/>
    </xf>
    <xf numFmtId="4" fontId="10" fillId="10" borderId="128" xfId="37" applyNumberFormat="1" applyFont="1" applyFill="1" applyBorder="1" applyAlignment="1" applyProtection="1">
      <alignment horizontal="center" vertical="top"/>
      <protection locked="0"/>
    </xf>
    <xf numFmtId="3" fontId="10" fillId="10" borderId="128" xfId="37" applyNumberFormat="1" applyFont="1" applyFill="1" applyBorder="1" applyAlignment="1" applyProtection="1">
      <alignment horizontal="center" vertical="center"/>
      <protection locked="0"/>
    </xf>
    <xf numFmtId="0" fontId="135" fillId="0" borderId="0" xfId="37" applyFont="1" applyAlignment="1">
      <alignment horizontal="center" vertical="center"/>
    </xf>
    <xf numFmtId="0" fontId="10" fillId="0" borderId="0" xfId="37" applyFont="1" applyAlignment="1">
      <alignment horizontal="center" vertical="center" wrapText="1"/>
    </xf>
    <xf numFmtId="0" fontId="10" fillId="5" borderId="125" xfId="37" applyFont="1" applyFill="1" applyBorder="1" applyAlignment="1" applyProtection="1">
      <alignment horizontal="left" vertical="center"/>
      <protection locked="0"/>
    </xf>
    <xf numFmtId="0" fontId="10" fillId="5" borderId="126" xfId="37" applyFont="1" applyFill="1" applyBorder="1" applyAlignment="1" applyProtection="1">
      <alignment horizontal="left" vertical="center"/>
      <protection locked="0"/>
    </xf>
    <xf numFmtId="0" fontId="10" fillId="5" borderId="127" xfId="37" applyFont="1" applyFill="1" applyBorder="1" applyAlignment="1" applyProtection="1">
      <alignment horizontal="left" vertical="center"/>
      <protection locked="0"/>
    </xf>
    <xf numFmtId="175" fontId="10" fillId="5" borderId="128" xfId="37" applyNumberFormat="1" applyFont="1" applyFill="1" applyBorder="1" applyAlignment="1" applyProtection="1">
      <alignment horizontal="center" vertical="center"/>
      <protection locked="0"/>
    </xf>
    <xf numFmtId="0" fontId="10" fillId="5" borderId="33" xfId="37" applyFont="1" applyFill="1" applyBorder="1" applyAlignment="1" applyProtection="1">
      <alignment horizontal="left" vertical="center"/>
      <protection locked="0"/>
    </xf>
    <xf numFmtId="0" fontId="10" fillId="5" borderId="58" xfId="37" applyFont="1" applyFill="1" applyBorder="1" applyAlignment="1" applyProtection="1">
      <alignment horizontal="left" vertical="center"/>
      <protection locked="0"/>
    </xf>
    <xf numFmtId="0" fontId="10" fillId="5" borderId="34" xfId="37" applyFont="1" applyFill="1" applyBorder="1" applyAlignment="1" applyProtection="1">
      <alignment horizontal="left" vertical="center"/>
      <protection locked="0"/>
    </xf>
    <xf numFmtId="175" fontId="10" fillId="5" borderId="18" xfId="37" applyNumberFormat="1" applyFont="1" applyFill="1" applyBorder="1" applyAlignment="1" applyProtection="1">
      <alignment horizontal="center" vertical="center"/>
      <protection locked="0"/>
    </xf>
    <xf numFmtId="0" fontId="10" fillId="0" borderId="0" xfId="37" applyFont="1" applyAlignment="1">
      <alignment horizontal="center" wrapText="1"/>
    </xf>
    <xf numFmtId="10" fontId="10" fillId="10" borderId="30"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49" fontId="10" fillId="10" borderId="30" xfId="37" applyNumberFormat="1" applyFont="1" applyFill="1" applyBorder="1" applyAlignment="1" applyProtection="1">
      <alignment horizontal="left" vertical="center"/>
      <protection locked="0"/>
    </xf>
    <xf numFmtId="49" fontId="10" fillId="10" borderId="21" xfId="37" applyNumberFormat="1" applyFont="1" applyFill="1" applyBorder="1" applyAlignment="1" applyProtection="1">
      <alignment horizontal="left" vertical="center"/>
      <protection locked="0"/>
    </xf>
    <xf numFmtId="49" fontId="10" fillId="10" borderId="31" xfId="37" applyNumberFormat="1" applyFont="1" applyFill="1" applyBorder="1" applyAlignment="1" applyProtection="1">
      <alignment horizontal="left" vertical="center"/>
      <protection locked="0"/>
    </xf>
    <xf numFmtId="10" fontId="10" fillId="10" borderId="33" xfId="37" applyNumberFormat="1" applyFont="1" applyFill="1" applyBorder="1" applyAlignment="1" applyProtection="1">
      <alignment horizontal="center" vertical="center"/>
      <protection locked="0"/>
    </xf>
    <xf numFmtId="10" fontId="10" fillId="10" borderId="34" xfId="37" applyNumberFormat="1" applyFont="1" applyFill="1" applyBorder="1" applyAlignment="1" applyProtection="1">
      <alignment horizontal="center" vertical="center"/>
      <protection locked="0"/>
    </xf>
    <xf numFmtId="10" fontId="10" fillId="13" borderId="33" xfId="37" applyNumberFormat="1" applyFont="1" applyFill="1" applyBorder="1" applyAlignment="1">
      <alignment horizontal="center" vertical="center"/>
    </xf>
    <xf numFmtId="10" fontId="10" fillId="13" borderId="34" xfId="37" applyNumberFormat="1" applyFont="1" applyFill="1" applyBorder="1" applyAlignment="1">
      <alignment horizontal="center" vertical="center"/>
    </xf>
    <xf numFmtId="49" fontId="10" fillId="10" borderId="33" xfId="37" applyNumberFormat="1" applyFont="1" applyFill="1" applyBorder="1" applyAlignment="1" applyProtection="1">
      <alignment horizontal="left" vertical="center"/>
      <protection locked="0"/>
    </xf>
    <xf numFmtId="49" fontId="10" fillId="10" borderId="58" xfId="37" applyNumberFormat="1" applyFont="1" applyFill="1" applyBorder="1" applyAlignment="1" applyProtection="1">
      <alignment horizontal="left" vertical="center"/>
      <protection locked="0"/>
    </xf>
    <xf numFmtId="49" fontId="10" fillId="10" borderId="34" xfId="37" applyNumberFormat="1" applyFont="1" applyFill="1" applyBorder="1" applyAlignment="1" applyProtection="1">
      <alignment horizontal="left" vertical="center"/>
      <protection locked="0"/>
    </xf>
    <xf numFmtId="0" fontId="10" fillId="31" borderId="75" xfId="37" applyFont="1" applyFill="1" applyBorder="1" applyAlignment="1" applyProtection="1">
      <alignment horizontal="center" vertical="center" wrapText="1"/>
      <protection locked="0"/>
    </xf>
    <xf numFmtId="0" fontId="10" fillId="31" borderId="76" xfId="37" applyFont="1" applyFill="1" applyBorder="1" applyAlignment="1" applyProtection="1">
      <alignment horizontal="center" vertical="center" wrapText="1"/>
      <protection locked="0"/>
    </xf>
    <xf numFmtId="49" fontId="10" fillId="31" borderId="75" xfId="37" applyNumberFormat="1" applyFont="1" applyFill="1" applyBorder="1" applyAlignment="1" applyProtection="1">
      <alignment horizontal="left" vertical="center" wrapText="1"/>
      <protection locked="0"/>
    </xf>
    <xf numFmtId="49" fontId="10" fillId="31" borderId="79" xfId="37" applyNumberFormat="1" applyFont="1" applyFill="1" applyBorder="1" applyAlignment="1" applyProtection="1">
      <alignment horizontal="left" vertical="center" wrapText="1"/>
      <protection locked="0"/>
    </xf>
    <xf numFmtId="49" fontId="10" fillId="31" borderId="76" xfId="37" applyNumberFormat="1" applyFont="1" applyFill="1" applyBorder="1" applyAlignment="1" applyProtection="1">
      <alignment horizontal="left" vertical="center" wrapText="1"/>
      <protection locked="0"/>
    </xf>
    <xf numFmtId="0" fontId="131" fillId="0" borderId="13" xfId="37" applyFont="1" applyBorder="1" applyAlignment="1">
      <alignment horizontal="center" wrapText="1"/>
    </xf>
    <xf numFmtId="10" fontId="10" fillId="10" borderId="125" xfId="37" applyNumberFormat="1" applyFont="1" applyFill="1" applyBorder="1" applyAlignment="1" applyProtection="1">
      <alignment horizontal="center" vertical="center"/>
      <protection locked="0"/>
    </xf>
    <xf numFmtId="10" fontId="10" fillId="10" borderId="127" xfId="37" applyNumberFormat="1" applyFont="1" applyFill="1" applyBorder="1" applyAlignment="1" applyProtection="1">
      <alignment horizontal="center" vertical="center"/>
      <protection locked="0"/>
    </xf>
    <xf numFmtId="10" fontId="10" fillId="13" borderId="125" xfId="37" applyNumberFormat="1" applyFont="1" applyFill="1" applyBorder="1" applyAlignment="1">
      <alignment horizontal="center" vertical="center"/>
    </xf>
    <xf numFmtId="10" fontId="10" fillId="13" borderId="127" xfId="37" applyNumberFormat="1" applyFont="1" applyFill="1" applyBorder="1" applyAlignment="1">
      <alignment horizontal="center" vertical="center"/>
    </xf>
    <xf numFmtId="49" fontId="10" fillId="10" borderId="125" xfId="37" applyNumberFormat="1" applyFont="1" applyFill="1" applyBorder="1" applyAlignment="1" applyProtection="1">
      <alignment horizontal="left" vertical="center"/>
      <protection locked="0"/>
    </xf>
    <xf numFmtId="49" fontId="10" fillId="10" borderId="126" xfId="37" applyNumberFormat="1" applyFont="1" applyFill="1" applyBorder="1" applyAlignment="1" applyProtection="1">
      <alignment horizontal="left" vertical="center"/>
      <protection locked="0"/>
    </xf>
    <xf numFmtId="49" fontId="10" fillId="10" borderId="127" xfId="37" applyNumberFormat="1" applyFont="1" applyFill="1" applyBorder="1" applyAlignment="1" applyProtection="1">
      <alignment horizontal="left" vertical="center"/>
      <protection locked="0"/>
    </xf>
    <xf numFmtId="0" fontId="26" fillId="0" borderId="13" xfId="37" applyFont="1" applyBorder="1" applyAlignment="1">
      <alignment horizontal="left" vertical="top" wrapText="1"/>
    </xf>
    <xf numFmtId="0" fontId="4" fillId="10" borderId="125" xfId="37" applyFill="1" applyBorder="1" applyAlignment="1" applyProtection="1">
      <alignment horizontal="left" vertical="center" wrapText="1"/>
      <protection locked="0"/>
    </xf>
    <xf numFmtId="0" fontId="4" fillId="10" borderId="126" xfId="37" applyFill="1" applyBorder="1" applyAlignment="1" applyProtection="1">
      <alignment horizontal="left" vertical="center" wrapText="1"/>
      <protection locked="0"/>
    </xf>
    <xf numFmtId="0" fontId="4" fillId="10" borderId="127" xfId="37" applyFill="1" applyBorder="1" applyAlignment="1" applyProtection="1">
      <alignment horizontal="left" vertical="center" wrapText="1"/>
      <protection locked="0"/>
    </xf>
    <xf numFmtId="0" fontId="4" fillId="10" borderId="30" xfId="37" applyFill="1" applyBorder="1" applyAlignment="1" applyProtection="1">
      <alignment horizontal="left" vertical="center" wrapText="1"/>
      <protection locked="0"/>
    </xf>
    <xf numFmtId="0" fontId="4" fillId="10" borderId="21" xfId="37" applyFill="1" applyBorder="1" applyAlignment="1" applyProtection="1">
      <alignment horizontal="left" vertical="center" wrapText="1"/>
      <protection locked="0"/>
    </xf>
    <xf numFmtId="0" fontId="4" fillId="10" borderId="31" xfId="37" applyFill="1" applyBorder="1" applyAlignment="1" applyProtection="1">
      <alignment horizontal="left" vertical="center" wrapText="1"/>
      <protection locked="0"/>
    </xf>
    <xf numFmtId="0" fontId="4" fillId="10" borderId="33" xfId="37" applyFill="1" applyBorder="1" applyAlignment="1" applyProtection="1">
      <alignment horizontal="left" vertical="center" wrapText="1"/>
      <protection locked="0"/>
    </xf>
    <xf numFmtId="0" fontId="4" fillId="10" borderId="58" xfId="37" applyFill="1" applyBorder="1" applyAlignment="1" applyProtection="1">
      <alignment horizontal="left" vertical="center" wrapText="1"/>
      <protection locked="0"/>
    </xf>
    <xf numFmtId="0" fontId="4" fillId="10" borderId="34" xfId="37" applyFill="1" applyBorder="1" applyAlignment="1" applyProtection="1">
      <alignment horizontal="left" vertical="center" wrapText="1"/>
      <protection locked="0"/>
    </xf>
    <xf numFmtId="0" fontId="10" fillId="10" borderId="30" xfId="37" applyFont="1" applyFill="1" applyBorder="1" applyAlignment="1" applyProtection="1">
      <alignment horizontal="center" vertical="top" wrapText="1"/>
      <protection locked="0"/>
    </xf>
    <xf numFmtId="0" fontId="10" fillId="10" borderId="31" xfId="37" applyFont="1" applyFill="1" applyBorder="1" applyAlignment="1" applyProtection="1">
      <alignment horizontal="center" vertical="top" wrapText="1"/>
      <protection locked="0"/>
    </xf>
    <xf numFmtId="0" fontId="10" fillId="5" borderId="30" xfId="37" applyFont="1" applyFill="1" applyBorder="1" applyAlignment="1" applyProtection="1">
      <alignment horizontal="center" vertical="top"/>
      <protection locked="0"/>
    </xf>
    <xf numFmtId="0" fontId="10" fillId="5" borderId="31" xfId="37" applyFont="1" applyFill="1" applyBorder="1" applyAlignment="1" applyProtection="1">
      <alignment horizontal="center" vertical="top"/>
      <protection locked="0"/>
    </xf>
    <xf numFmtId="0" fontId="10" fillId="10" borderId="33" xfId="37" applyFont="1" applyFill="1" applyBorder="1" applyAlignment="1" applyProtection="1">
      <alignment horizontal="center" vertical="top" wrapText="1"/>
      <protection locked="0"/>
    </xf>
    <xf numFmtId="0" fontId="10" fillId="10" borderId="34" xfId="37" applyFont="1" applyFill="1" applyBorder="1" applyAlignment="1" applyProtection="1">
      <alignment horizontal="center" vertical="top" wrapText="1"/>
      <protection locked="0"/>
    </xf>
    <xf numFmtId="0" fontId="10" fillId="5" borderId="33" xfId="37" applyFont="1" applyFill="1" applyBorder="1" applyAlignment="1" applyProtection="1">
      <alignment horizontal="center" vertical="top"/>
      <protection locked="0"/>
    </xf>
    <xf numFmtId="0" fontId="10" fillId="5" borderId="34" xfId="37" applyFont="1" applyFill="1" applyBorder="1" applyAlignment="1" applyProtection="1">
      <alignment horizontal="center" vertical="top"/>
      <protection locked="0"/>
    </xf>
    <xf numFmtId="0" fontId="10" fillId="10" borderId="30" xfId="37" applyFont="1" applyFill="1" applyBorder="1" applyAlignment="1" applyProtection="1">
      <alignment horizontal="left" vertical="top" wrapText="1"/>
      <protection locked="0"/>
    </xf>
    <xf numFmtId="0" fontId="10" fillId="10" borderId="21" xfId="37" applyFont="1" applyFill="1" applyBorder="1" applyAlignment="1" applyProtection="1">
      <alignment horizontal="left" vertical="top" wrapText="1"/>
      <protection locked="0"/>
    </xf>
    <xf numFmtId="0" fontId="10" fillId="10" borderId="31" xfId="37" applyFont="1" applyFill="1" applyBorder="1" applyAlignment="1" applyProtection="1">
      <alignment horizontal="left" vertical="top" wrapText="1"/>
      <protection locked="0"/>
    </xf>
    <xf numFmtId="0" fontId="10" fillId="10" borderId="33" xfId="37" applyFont="1" applyFill="1" applyBorder="1" applyAlignment="1" applyProtection="1">
      <alignment horizontal="left" vertical="top" wrapText="1"/>
      <protection locked="0"/>
    </xf>
    <xf numFmtId="0" fontId="10" fillId="10" borderId="58" xfId="37" applyFont="1" applyFill="1" applyBorder="1" applyAlignment="1" applyProtection="1">
      <alignment horizontal="left" vertical="top" wrapText="1"/>
      <protection locked="0"/>
    </xf>
    <xf numFmtId="0" fontId="10" fillId="10" borderId="34" xfId="37" applyFont="1" applyFill="1" applyBorder="1" applyAlignment="1" applyProtection="1">
      <alignment horizontal="left" vertical="top" wrapText="1"/>
      <protection locked="0"/>
    </xf>
    <xf numFmtId="0" fontId="10" fillId="5" borderId="21" xfId="37" applyFont="1" applyFill="1" applyBorder="1" applyAlignment="1" applyProtection="1">
      <alignment horizontal="center" vertical="top"/>
      <protection locked="0"/>
    </xf>
    <xf numFmtId="0" fontId="10" fillId="5" borderId="58" xfId="37" applyFont="1" applyFill="1" applyBorder="1" applyAlignment="1" applyProtection="1">
      <alignment horizontal="center" vertical="top"/>
      <protection locked="0"/>
    </xf>
    <xf numFmtId="0" fontId="10" fillId="10" borderId="125" xfId="37" applyFont="1" applyFill="1" applyBorder="1" applyAlignment="1" applyProtection="1">
      <alignment horizontal="left" vertical="top" wrapText="1"/>
      <protection locked="0"/>
    </xf>
    <xf numFmtId="0" fontId="10" fillId="10" borderId="126" xfId="37" applyFont="1" applyFill="1" applyBorder="1" applyAlignment="1" applyProtection="1">
      <alignment horizontal="left" vertical="top" wrapText="1"/>
      <protection locked="0"/>
    </xf>
    <xf numFmtId="0" fontId="10" fillId="10" borderId="127" xfId="37" applyFont="1" applyFill="1" applyBorder="1" applyAlignment="1" applyProtection="1">
      <alignment horizontal="left" vertical="top" wrapText="1"/>
      <protection locked="0"/>
    </xf>
    <xf numFmtId="0" fontId="4" fillId="0" borderId="0" xfId="37" applyAlignment="1">
      <alignment horizontal="center" wrapText="1"/>
    </xf>
    <xf numFmtId="0" fontId="4" fillId="0" borderId="13" xfId="37" applyBorder="1" applyAlignment="1">
      <alignment horizontal="center" wrapText="1"/>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8" xfId="37" applyFont="1" applyBorder="1" applyAlignment="1">
      <alignment horizontal="center" wrapText="1"/>
    </xf>
    <xf numFmtId="0" fontId="9" fillId="0" borderId="13" xfId="37" applyFont="1" applyBorder="1" applyAlignment="1">
      <alignment horizontal="center" wrapText="1"/>
    </xf>
    <xf numFmtId="0" fontId="10" fillId="10" borderId="125" xfId="37" applyFont="1" applyFill="1" applyBorder="1" applyAlignment="1" applyProtection="1">
      <alignment horizontal="center" vertical="top" wrapText="1"/>
      <protection locked="0"/>
    </xf>
    <xf numFmtId="0" fontId="10" fillId="10" borderId="127" xfId="37" applyFont="1" applyFill="1" applyBorder="1" applyAlignment="1" applyProtection="1">
      <alignment horizontal="center" vertical="top" wrapText="1"/>
      <protection locked="0"/>
    </xf>
    <xf numFmtId="0" fontId="10" fillId="5" borderId="125" xfId="37" applyFont="1" applyFill="1" applyBorder="1" applyAlignment="1" applyProtection="1">
      <alignment horizontal="center" vertical="top"/>
      <protection locked="0"/>
    </xf>
    <xf numFmtId="0" fontId="10" fillId="5" borderId="127" xfId="37" applyFont="1" applyFill="1" applyBorder="1" applyAlignment="1" applyProtection="1">
      <alignment horizontal="center" vertical="top"/>
      <protection locked="0"/>
    </xf>
    <xf numFmtId="0" fontId="4" fillId="0" borderId="19" xfId="37" applyBorder="1" applyAlignment="1">
      <alignment horizontal="center" wrapText="1"/>
    </xf>
    <xf numFmtId="0" fontId="10" fillId="5" borderId="126" xfId="37" applyFont="1" applyFill="1" applyBorder="1" applyAlignment="1" applyProtection="1">
      <alignment horizontal="center" vertical="top"/>
      <protection locked="0"/>
    </xf>
    <xf numFmtId="0" fontId="5" fillId="13" borderId="125" xfId="37" applyFont="1" applyFill="1" applyBorder="1" applyAlignment="1">
      <alignment horizontal="center" vertical="top" wrapText="1"/>
    </xf>
    <xf numFmtId="0" fontId="5" fillId="13" borderId="127" xfId="37" applyFont="1" applyFill="1" applyBorder="1" applyAlignment="1">
      <alignment horizontal="center" vertical="top" wrapText="1"/>
    </xf>
    <xf numFmtId="0" fontId="10" fillId="5" borderId="83" xfId="37" applyFont="1" applyFill="1" applyBorder="1" applyAlignment="1" applyProtection="1">
      <alignment horizontal="left" vertical="center"/>
      <protection locked="0"/>
    </xf>
    <xf numFmtId="0" fontId="10" fillId="5" borderId="83" xfId="37" applyFont="1" applyFill="1" applyBorder="1" applyAlignment="1" applyProtection="1">
      <alignment horizontal="center" vertical="center"/>
      <protection locked="0"/>
    </xf>
    <xf numFmtId="0" fontId="10" fillId="0" borderId="0" xfId="37" applyFont="1" applyAlignment="1">
      <alignment horizontal="left" vertical="top" wrapText="1"/>
    </xf>
    <xf numFmtId="0" fontId="4" fillId="0" borderId="41" xfId="37" applyBorder="1" applyAlignment="1">
      <alignment horizontal="center" wrapText="1"/>
    </xf>
    <xf numFmtId="0" fontId="4" fillId="0" borderId="89" xfId="37" applyBorder="1" applyAlignment="1">
      <alignment horizontal="center" wrapText="1"/>
    </xf>
    <xf numFmtId="0" fontId="10" fillId="0" borderId="13" xfId="37" applyFont="1" applyBorder="1" applyAlignment="1">
      <alignment horizontal="center"/>
    </xf>
    <xf numFmtId="0" fontId="84" fillId="0" borderId="8" xfId="33" applyFont="1" applyBorder="1" applyAlignment="1">
      <alignment horizontal="center" vertical="center"/>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133" xfId="37" applyFont="1" applyFill="1" applyBorder="1" applyAlignment="1" applyProtection="1">
      <alignment horizontal="center" vertical="center"/>
      <protection locked="0"/>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10" fillId="13" borderId="178" xfId="37" applyFont="1" applyFill="1" applyBorder="1" applyAlignment="1">
      <alignment horizontal="center" vertical="center"/>
    </xf>
    <xf numFmtId="0" fontId="10" fillId="0" borderId="0" xfId="37" applyFont="1" applyAlignment="1">
      <alignment horizontal="left" vertical="center" wrapText="1"/>
    </xf>
    <xf numFmtId="10" fontId="26" fillId="0" borderId="75" xfId="37" applyNumberFormat="1" applyFont="1" applyBorder="1" applyAlignment="1">
      <alignment horizontal="center" vertical="center"/>
    </xf>
    <xf numFmtId="10" fontId="26" fillId="0" borderId="76" xfId="37" applyNumberFormat="1" applyFont="1" applyBorder="1" applyAlignment="1">
      <alignment horizontal="center" vertical="center"/>
    </xf>
    <xf numFmtId="3" fontId="10" fillId="0" borderId="125" xfId="37" applyNumberFormat="1" applyFont="1" applyBorder="1" applyAlignment="1">
      <alignment horizontal="center" vertical="center"/>
    </xf>
    <xf numFmtId="3" fontId="10" fillId="0" borderId="127" xfId="37" applyNumberFormat="1" applyFont="1" applyBorder="1" applyAlignment="1">
      <alignment horizontal="center" vertical="center"/>
    </xf>
    <xf numFmtId="3" fontId="10" fillId="0" borderId="126" xfId="37" applyNumberFormat="1" applyFont="1" applyBorder="1" applyAlignment="1">
      <alignment horizontal="center" vertical="center"/>
    </xf>
    <xf numFmtId="0" fontId="10" fillId="0" borderId="75" xfId="37" applyFont="1" applyBorder="1" applyAlignment="1">
      <alignment horizontal="center" vertical="center"/>
    </xf>
    <xf numFmtId="0" fontId="10" fillId="0" borderId="76" xfId="37" applyFont="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4" fontId="136" fillId="0" borderId="33" xfId="37" applyNumberFormat="1" applyFont="1" applyBorder="1" applyAlignment="1">
      <alignment horizontal="center" vertical="center"/>
    </xf>
    <xf numFmtId="4" fontId="136" fillId="0" borderId="34" xfId="37" applyNumberFormat="1" applyFont="1" applyBorder="1" applyAlignment="1">
      <alignment horizontal="center" vertical="center"/>
    </xf>
    <xf numFmtId="4" fontId="136" fillId="0" borderId="75" xfId="37" applyNumberFormat="1" applyFont="1" applyBorder="1" applyAlignment="1">
      <alignment horizontal="center" vertical="center"/>
    </xf>
    <xf numFmtId="4" fontId="136" fillId="0" borderId="79" xfId="37" applyNumberFormat="1" applyFont="1" applyBorder="1" applyAlignment="1">
      <alignment horizontal="center" vertical="center"/>
    </xf>
    <xf numFmtId="4" fontId="136" fillId="0" borderId="76" xfId="37" applyNumberFormat="1" applyFont="1" applyBorder="1" applyAlignment="1">
      <alignment horizontal="center" vertic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0" fontId="10" fillId="0" borderId="0" xfId="37" quotePrefix="1" applyFont="1" applyAlignment="1">
      <alignment horizontal="left" vertical="center" wrapText="1"/>
    </xf>
    <xf numFmtId="0" fontId="131" fillId="0" borderId="0" xfId="37" applyFont="1" applyAlignment="1">
      <alignment horizontal="center"/>
    </xf>
    <xf numFmtId="3" fontId="10" fillId="10" borderId="125" xfId="37" applyNumberFormat="1" applyFont="1" applyFill="1" applyBorder="1" applyAlignment="1" applyProtection="1">
      <alignment horizontal="center" vertical="center"/>
      <protection locked="0"/>
    </xf>
    <xf numFmtId="3" fontId="10" fillId="10" borderId="127" xfId="37" applyNumberFormat="1" applyFont="1" applyFill="1" applyBorder="1" applyAlignment="1" applyProtection="1">
      <alignment horizontal="center" vertical="center"/>
      <protection locked="0"/>
    </xf>
    <xf numFmtId="3" fontId="10" fillId="13" borderId="125" xfId="37" applyNumberFormat="1" applyFont="1" applyFill="1" applyBorder="1" applyAlignment="1">
      <alignment horizontal="center" vertical="center"/>
    </xf>
    <xf numFmtId="3" fontId="10" fillId="13" borderId="126" xfId="37" applyNumberFormat="1" applyFont="1" applyFill="1" applyBorder="1" applyAlignment="1">
      <alignment horizontal="center" vertical="center"/>
    </xf>
    <xf numFmtId="3" fontId="10" fillId="13" borderId="127" xfId="37" applyNumberFormat="1" applyFont="1" applyFill="1" applyBorder="1" applyAlignment="1">
      <alignment horizontal="center" vertical="center"/>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60" fillId="0" borderId="0" xfId="37" applyFont="1" applyAlignment="1">
      <alignment horizontal="left" vertical="center" wrapText="1"/>
    </xf>
    <xf numFmtId="49" fontId="135" fillId="20" borderId="0" xfId="37" applyNumberFormat="1" applyFont="1" applyFill="1" applyAlignment="1">
      <alignment horizontal="center" vertical="center"/>
    </xf>
    <xf numFmtId="0" fontId="26" fillId="0" borderId="8" xfId="37" applyFont="1" applyBorder="1" applyAlignment="1">
      <alignment horizontal="center" vertical="center" wrapText="1"/>
    </xf>
    <xf numFmtId="0" fontId="10" fillId="0" borderId="20" xfId="37" applyFont="1" applyBorder="1" applyAlignment="1">
      <alignment horizontal="center"/>
    </xf>
    <xf numFmtId="0" fontId="26" fillId="0" borderId="115" xfId="37" applyFont="1" applyBorder="1" applyAlignment="1">
      <alignment horizontal="center" vertical="center"/>
    </xf>
    <xf numFmtId="0" fontId="26" fillId="0" borderId="85" xfId="37" applyFont="1" applyBorder="1" applyAlignment="1">
      <alignment horizontal="center" vertical="center"/>
    </xf>
    <xf numFmtId="0" fontId="26" fillId="0" borderId="0" xfId="37" applyFont="1" applyAlignment="1">
      <alignment horizontal="center" vertical="center" wrapText="1"/>
    </xf>
    <xf numFmtId="0" fontId="91" fillId="0" borderId="0" xfId="37" applyFont="1" applyAlignment="1">
      <alignment horizontal="center" vertical="center" wrapText="1"/>
    </xf>
    <xf numFmtId="0" fontId="135" fillId="13" borderId="77" xfId="37" applyFont="1" applyFill="1" applyBorder="1" applyAlignment="1">
      <alignment horizontal="center" vertical="center"/>
    </xf>
    <xf numFmtId="0" fontId="135" fillId="13" borderId="82" xfId="37" applyFont="1" applyFill="1" applyBorder="1" applyAlignment="1">
      <alignment horizontal="center" vertical="center"/>
    </xf>
    <xf numFmtId="0" fontId="135" fillId="13" borderId="78" xfId="37" applyFont="1" applyFill="1" applyBorder="1" applyAlignment="1">
      <alignment horizontal="center" vertical="center"/>
    </xf>
    <xf numFmtId="0" fontId="135" fillId="13" borderId="9" xfId="37" applyFont="1" applyFill="1" applyBorder="1" applyAlignment="1">
      <alignment horizontal="center" vertical="center"/>
    </xf>
    <xf numFmtId="0" fontId="135" fillId="13" borderId="13" xfId="37" applyFont="1" applyFill="1" applyBorder="1" applyAlignment="1">
      <alignment horizontal="center" vertical="center"/>
    </xf>
    <xf numFmtId="0" fontId="135" fillId="13" borderId="14" xfId="37" applyFont="1" applyFill="1" applyBorder="1" applyAlignment="1">
      <alignment horizontal="center" vertical="center"/>
    </xf>
    <xf numFmtId="0" fontId="135" fillId="5" borderId="75" xfId="37" applyFont="1" applyFill="1" applyBorder="1" applyAlignment="1" applyProtection="1">
      <alignment horizontal="center" vertical="center"/>
      <protection locked="0"/>
    </xf>
    <xf numFmtId="0" fontId="135" fillId="5" borderId="79" xfId="37" applyFont="1" applyFill="1" applyBorder="1" applyAlignment="1" applyProtection="1">
      <alignment horizontal="center" vertical="center"/>
      <protection locked="0"/>
    </xf>
    <xf numFmtId="0" fontId="135" fillId="5" borderId="76" xfId="37" applyFont="1" applyFill="1" applyBorder="1" applyAlignment="1" applyProtection="1">
      <alignment horizontal="center" vertical="center"/>
      <protection locked="0"/>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266" fillId="0" borderId="115" xfId="37" applyFont="1" applyBorder="1" applyAlignment="1">
      <alignment horizontal="center" vertical="center"/>
    </xf>
    <xf numFmtId="0" fontId="266" fillId="0" borderId="85" xfId="37" applyFont="1" applyBorder="1" applyAlignment="1">
      <alignment horizontal="center" vertical="center"/>
    </xf>
    <xf numFmtId="0" fontId="135" fillId="13" borderId="75" xfId="37" applyFont="1" applyFill="1" applyBorder="1" applyAlignment="1">
      <alignment horizontal="center" vertical="center"/>
    </xf>
    <xf numFmtId="0" fontId="135" fillId="13" borderId="79" xfId="37" applyFont="1" applyFill="1" applyBorder="1" applyAlignment="1">
      <alignment horizontal="center" vertical="center"/>
    </xf>
    <xf numFmtId="0" fontId="135" fillId="13" borderId="76" xfId="37" applyFont="1" applyFill="1" applyBorder="1" applyAlignment="1">
      <alignment horizontal="center" vertical="center"/>
    </xf>
    <xf numFmtId="0" fontId="135" fillId="10" borderId="75" xfId="37" applyFont="1" applyFill="1" applyBorder="1" applyAlignment="1" applyProtection="1">
      <alignment horizontal="center" vertical="center"/>
      <protection locked="0"/>
    </xf>
    <xf numFmtId="0" fontId="135" fillId="10" borderId="79" xfId="37" applyFont="1" applyFill="1" applyBorder="1" applyAlignment="1" applyProtection="1">
      <alignment horizontal="center" vertical="center"/>
      <protection locked="0"/>
    </xf>
    <xf numFmtId="0" fontId="135" fillId="10" borderId="76" xfId="37" applyFont="1" applyFill="1" applyBorder="1" applyAlignment="1" applyProtection="1">
      <alignment horizontal="center" vertical="center"/>
      <protection locked="0"/>
    </xf>
    <xf numFmtId="0" fontId="135" fillId="0" borderId="75" xfId="37" applyFont="1" applyBorder="1" applyAlignment="1">
      <alignment horizontal="center" vertical="center"/>
    </xf>
    <xf numFmtId="0" fontId="135" fillId="0" borderId="76" xfId="37" applyFont="1" applyBorder="1" applyAlignment="1">
      <alignment horizontal="center" vertical="center"/>
    </xf>
    <xf numFmtId="0" fontId="115" fillId="0" borderId="75" xfId="37" applyFont="1" applyBorder="1" applyAlignment="1">
      <alignment horizontal="justify" vertical="center" wrapText="1"/>
    </xf>
    <xf numFmtId="0" fontId="115" fillId="0" borderId="79" xfId="37" applyFont="1" applyBorder="1" applyAlignment="1">
      <alignment horizontal="justify" vertical="center" wrapText="1"/>
    </xf>
    <xf numFmtId="0" fontId="4" fillId="0" borderId="67" xfId="37" applyBorder="1" applyAlignment="1">
      <alignment horizontal="center" wrapText="1"/>
    </xf>
    <xf numFmtId="0" fontId="10" fillId="10" borderId="27" xfId="37" applyFont="1" applyFill="1" applyBorder="1" applyAlignment="1" applyProtection="1">
      <alignment horizontal="left" vertical="center"/>
      <protection locked="0"/>
    </xf>
    <xf numFmtId="0" fontId="10" fillId="10" borderId="20" xfId="37" applyFont="1" applyFill="1" applyBorder="1" applyAlignment="1" applyProtection="1">
      <alignment horizontal="left" vertical="center"/>
      <protection locked="0"/>
    </xf>
    <xf numFmtId="0" fontId="10" fillId="10" borderId="33" xfId="37" applyFont="1" applyFill="1" applyBorder="1" applyAlignment="1" applyProtection="1">
      <alignment horizontal="left" vertical="center"/>
      <protection locked="0"/>
    </xf>
    <xf numFmtId="0" fontId="10" fillId="10" borderId="34" xfId="37" applyFont="1" applyFill="1" applyBorder="1" applyAlignment="1" applyProtection="1">
      <alignment horizontal="left" vertical="center"/>
      <protection locked="0"/>
    </xf>
    <xf numFmtId="0" fontId="10" fillId="5" borderId="75" xfId="37" applyFont="1" applyFill="1" applyBorder="1" applyAlignment="1" applyProtection="1">
      <alignment horizontal="left" vertical="center"/>
      <protection locked="0"/>
    </xf>
    <xf numFmtId="0" fontId="10" fillId="5" borderId="79" xfId="37" applyFont="1" applyFill="1" applyBorder="1" applyAlignment="1" applyProtection="1">
      <alignment horizontal="left" vertical="center"/>
      <protection locked="0"/>
    </xf>
    <xf numFmtId="0" fontId="10" fillId="5" borderId="76" xfId="37" applyFont="1" applyFill="1" applyBorder="1" applyAlignment="1" applyProtection="1">
      <alignment horizontal="left" vertical="center"/>
      <protection locked="0"/>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82"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0" fontId="212" fillId="0" borderId="141" xfId="33" applyFont="1" applyBorder="1" applyAlignment="1">
      <alignment horizontal="right" vertical="center"/>
    </xf>
    <xf numFmtId="0" fontId="210" fillId="28" borderId="21" xfId="33" applyFont="1" applyFill="1" applyBorder="1" applyAlignment="1">
      <alignment horizontal="center" vertical="center"/>
    </xf>
    <xf numFmtId="0" fontId="210" fillId="28" borderId="31" xfId="33" applyFont="1" applyFill="1" applyBorder="1" applyAlignment="1">
      <alignment horizontal="center" vertical="center"/>
    </xf>
    <xf numFmtId="37" fontId="210" fillId="13" borderId="126" xfId="34" applyNumberFormat="1" applyFont="1" applyFill="1" applyBorder="1" applyAlignment="1" applyProtection="1">
      <alignment horizontal="center" vertical="center"/>
    </xf>
    <xf numFmtId="37" fontId="210" fillId="13" borderId="127" xfId="34" applyNumberFormat="1" applyFont="1" applyFill="1" applyBorder="1" applyAlignment="1" applyProtection="1">
      <alignment horizontal="center" vertical="center"/>
    </xf>
    <xf numFmtId="37" fontId="210" fillId="28" borderId="17" xfId="33" applyNumberFormat="1" applyFont="1" applyFill="1" applyBorder="1" applyAlignment="1">
      <alignment horizontal="center" vertical="center"/>
    </xf>
    <xf numFmtId="0" fontId="210" fillId="28" borderId="58" xfId="33" applyFont="1" applyFill="1" applyBorder="1" applyAlignment="1">
      <alignment horizontal="center" vertical="center"/>
    </xf>
    <xf numFmtId="0" fontId="210" fillId="28" borderId="34" xfId="33" applyFont="1" applyFill="1" applyBorder="1" applyAlignment="1">
      <alignment horizontal="center" vertical="center"/>
    </xf>
    <xf numFmtId="37" fontId="210" fillId="28" borderId="18" xfId="33" applyNumberFormat="1" applyFont="1" applyFill="1" applyBorder="1" applyAlignment="1">
      <alignment horizontal="center" vertical="center"/>
    </xf>
    <xf numFmtId="0" fontId="210" fillId="0" borderId="0" xfId="33" applyFont="1" applyAlignment="1">
      <alignment horizontal="center"/>
    </xf>
    <xf numFmtId="0" fontId="212" fillId="29" borderId="75" xfId="33" applyFont="1" applyFill="1" applyBorder="1" applyAlignment="1">
      <alignment horizontal="left"/>
    </xf>
    <xf numFmtId="0" fontId="212" fillId="29" borderId="79" xfId="33" applyFont="1" applyFill="1" applyBorder="1" applyAlignment="1">
      <alignment horizontal="left"/>
    </xf>
    <xf numFmtId="0" fontId="212" fillId="29" borderId="76" xfId="33" applyFont="1" applyFill="1" applyBorder="1" applyAlignment="1">
      <alignment horizontal="left"/>
    </xf>
    <xf numFmtId="0" fontId="212" fillId="0" borderId="0" xfId="33" applyFont="1" applyAlignment="1">
      <alignment horizontal="right" vertical="center"/>
    </xf>
    <xf numFmtId="0" fontId="212" fillId="0" borderId="8" xfId="33" applyFont="1" applyBorder="1" applyAlignment="1">
      <alignment horizontal="right" vertical="center"/>
    </xf>
    <xf numFmtId="0" fontId="210" fillId="0" borderId="7" xfId="33" applyFont="1" applyBorder="1" applyAlignment="1">
      <alignment horizontal="center"/>
    </xf>
    <xf numFmtId="0" fontId="88" fillId="0" borderId="75" xfId="33" applyFont="1" applyBorder="1" applyAlignment="1">
      <alignment horizontal="center" wrapText="1"/>
    </xf>
    <xf numFmtId="0" fontId="88" fillId="0" borderId="76" xfId="33" applyFont="1" applyBorder="1" applyAlignment="1">
      <alignment horizontal="center" wrapText="1"/>
    </xf>
    <xf numFmtId="164" fontId="88" fillId="13" borderId="79" xfId="34" applyNumberFormat="1" applyFont="1" applyFill="1" applyBorder="1" applyAlignment="1" applyProtection="1">
      <alignment horizontal="center" wrapText="1"/>
    </xf>
    <xf numFmtId="164" fontId="88" fillId="13" borderId="76" xfId="34" applyNumberFormat="1" applyFont="1" applyFill="1" applyBorder="1" applyAlignment="1" applyProtection="1">
      <alignment horizontal="center" wrapText="1"/>
    </xf>
    <xf numFmtId="0" fontId="210" fillId="0" borderId="152" xfId="33" applyFont="1" applyBorder="1"/>
    <xf numFmtId="0" fontId="210" fillId="0" borderId="47" xfId="33" applyFont="1" applyBorder="1"/>
    <xf numFmtId="0" fontId="210" fillId="28" borderId="126" xfId="33" applyFont="1" applyFill="1" applyBorder="1" applyAlignment="1">
      <alignment horizontal="center" vertical="center"/>
    </xf>
    <xf numFmtId="0" fontId="210" fillId="28" borderId="127" xfId="33" applyFont="1" applyFill="1" applyBorder="1" applyAlignment="1">
      <alignment horizontal="center" vertical="center"/>
    </xf>
    <xf numFmtId="37" fontId="210" fillId="28" borderId="128" xfId="33" applyNumberFormat="1" applyFont="1" applyFill="1" applyBorder="1" applyAlignment="1">
      <alignment horizontal="center" vertical="center"/>
    </xf>
    <xf numFmtId="37" fontId="216" fillId="10" borderId="30" xfId="34" applyNumberFormat="1" applyFont="1" applyFill="1" applyBorder="1" applyAlignment="1" applyProtection="1">
      <alignment horizontal="center" vertical="center"/>
      <protection locked="0"/>
    </xf>
    <xf numFmtId="37" fontId="216" fillId="10" borderId="31" xfId="34" applyNumberFormat="1" applyFont="1" applyFill="1" applyBorder="1" applyAlignment="1" applyProtection="1">
      <alignment horizontal="center" vertical="center"/>
      <protection locked="0"/>
    </xf>
    <xf numFmtId="37" fontId="216" fillId="10" borderId="33" xfId="34" applyNumberFormat="1" applyFont="1" applyFill="1" applyBorder="1" applyAlignment="1" applyProtection="1">
      <alignment horizontal="center" vertical="center"/>
      <protection locked="0"/>
    </xf>
    <xf numFmtId="37" fontId="216" fillId="10" borderId="34" xfId="34" applyNumberFormat="1" applyFont="1" applyFill="1" applyBorder="1" applyAlignment="1" applyProtection="1">
      <alignment horizontal="center" vertical="center"/>
      <protection locked="0"/>
    </xf>
    <xf numFmtId="0" fontId="214" fillId="0" borderId="0" xfId="33" applyFont="1" applyAlignment="1">
      <alignment horizontal="center" vertical="center" wrapText="1"/>
    </xf>
    <xf numFmtId="37" fontId="216" fillId="10" borderId="125" xfId="34" applyNumberFormat="1" applyFont="1" applyFill="1" applyBorder="1" applyAlignment="1" applyProtection="1">
      <alignment horizontal="center" vertical="center"/>
      <protection locked="0"/>
    </xf>
    <xf numFmtId="37" fontId="216" fillId="10" borderId="127" xfId="34" applyNumberFormat="1" applyFont="1" applyFill="1" applyBorder="1" applyAlignment="1" applyProtection="1">
      <alignment horizontal="center" vertical="center"/>
      <protection locked="0"/>
    </xf>
    <xf numFmtId="0" fontId="210" fillId="0" borderId="0" xfId="33" applyFont="1" applyAlignment="1">
      <alignment horizontal="right" vertical="center"/>
    </xf>
    <xf numFmtId="0" fontId="210" fillId="0" borderId="8" xfId="33" applyFont="1" applyBorder="1" applyAlignment="1">
      <alignment horizontal="right" vertical="center"/>
    </xf>
    <xf numFmtId="166" fontId="210" fillId="28" borderId="182" xfId="35" applyNumberFormat="1" applyFont="1" applyFill="1" applyBorder="1" applyAlignment="1">
      <alignment horizontal="center" vertical="center"/>
    </xf>
    <xf numFmtId="166" fontId="210" fillId="28" borderId="150" xfId="35" applyNumberFormat="1" applyFont="1" applyFill="1" applyBorder="1" applyAlignment="1">
      <alignment horizontal="center" vertical="center"/>
    </xf>
    <xf numFmtId="0" fontId="211" fillId="0" borderId="75" xfId="33" applyFont="1" applyBorder="1" applyAlignment="1">
      <alignment horizontal="left"/>
    </xf>
    <xf numFmtId="0" fontId="211" fillId="0" borderId="79" xfId="33" applyFont="1" applyBorder="1" applyAlignment="1">
      <alignment horizontal="left"/>
    </xf>
    <xf numFmtId="0" fontId="211" fillId="0" borderId="76" xfId="33" applyFont="1" applyBorder="1" applyAlignment="1">
      <alignment horizontal="left"/>
    </xf>
    <xf numFmtId="0" fontId="211" fillId="10" borderId="83" xfId="33" applyFont="1" applyFill="1" applyBorder="1" applyAlignment="1">
      <alignment horizontal="center"/>
    </xf>
    <xf numFmtId="0" fontId="211" fillId="28" borderId="75" xfId="33" applyFont="1" applyFill="1" applyBorder="1" applyAlignment="1">
      <alignment horizontal="center"/>
    </xf>
    <xf numFmtId="0" fontId="211" fillId="28" borderId="79" xfId="33" applyFont="1" applyFill="1" applyBorder="1" applyAlignment="1">
      <alignment horizontal="center"/>
    </xf>
    <xf numFmtId="0" fontId="211" fillId="28" borderId="76" xfId="33" applyFont="1" applyFill="1" applyBorder="1" applyAlignment="1">
      <alignment horizontal="center"/>
    </xf>
    <xf numFmtId="164" fontId="88" fillId="0" borderId="77" xfId="34" applyNumberFormat="1" applyFont="1" applyFill="1" applyBorder="1" applyAlignment="1">
      <alignment horizontal="center" wrapText="1"/>
    </xf>
    <xf numFmtId="164" fontId="88" fillId="0" borderId="78" xfId="34" applyNumberFormat="1" applyFont="1" applyFill="1" applyBorder="1" applyAlignment="1">
      <alignment horizontal="center" wrapText="1"/>
    </xf>
    <xf numFmtId="164" fontId="210" fillId="10" borderId="30" xfId="34" applyNumberFormat="1" applyFont="1" applyFill="1" applyBorder="1" applyAlignment="1" applyProtection="1">
      <alignment horizontal="center" vertical="center"/>
      <protection locked="0"/>
    </xf>
    <xf numFmtId="164" fontId="210" fillId="10" borderId="180" xfId="34" applyNumberFormat="1" applyFont="1" applyFill="1" applyBorder="1" applyAlignment="1" applyProtection="1">
      <alignment horizontal="center" vertical="center"/>
      <protection locked="0"/>
    </xf>
    <xf numFmtId="0" fontId="210" fillId="10" borderId="33" xfId="33" applyFont="1" applyFill="1" applyBorder="1" applyAlignment="1" applyProtection="1">
      <alignment horizontal="center" vertical="center"/>
      <protection locked="0"/>
    </xf>
    <xf numFmtId="0" fontId="210" fillId="10" borderId="181" xfId="33" applyFont="1" applyFill="1" applyBorder="1" applyAlignment="1" applyProtection="1">
      <alignment horizontal="center" vertical="center"/>
      <protection locked="0"/>
    </xf>
    <xf numFmtId="0" fontId="210" fillId="0" borderId="13" xfId="33" applyFont="1" applyBorder="1" applyAlignment="1">
      <alignment horizontal="center" vertical="center"/>
    </xf>
    <xf numFmtId="0" fontId="210" fillId="0" borderId="79" xfId="33" applyFont="1" applyBorder="1" applyAlignment="1">
      <alignment horizontal="center" vertical="center"/>
    </xf>
    <xf numFmtId="43" fontId="210" fillId="28" borderId="33" xfId="34" applyFont="1" applyFill="1" applyBorder="1" applyAlignment="1">
      <alignment horizontal="center" vertical="center"/>
    </xf>
    <xf numFmtId="43" fontId="210" fillId="28" borderId="181" xfId="34" applyFont="1" applyFill="1" applyBorder="1" applyAlignment="1">
      <alignment horizontal="center" vertical="center"/>
    </xf>
    <xf numFmtId="0" fontId="212" fillId="0" borderId="134" xfId="33" applyFont="1" applyBorder="1" applyAlignment="1">
      <alignment horizontal="left" vertical="center"/>
    </xf>
    <xf numFmtId="0" fontId="212" fillId="0" borderId="135" xfId="33" applyFont="1" applyBorder="1" applyAlignment="1">
      <alignment horizontal="left" vertical="center"/>
    </xf>
    <xf numFmtId="0" fontId="212" fillId="0" borderId="149" xfId="33" applyFont="1" applyBorder="1" applyAlignment="1">
      <alignment horizontal="left" vertical="center"/>
    </xf>
    <xf numFmtId="0" fontId="101" fillId="0" borderId="44" xfId="33" applyFont="1" applyBorder="1" applyAlignment="1">
      <alignment horizontal="center" vertical="center" wrapText="1"/>
    </xf>
    <xf numFmtId="0" fontId="101" fillId="0" borderId="0" xfId="33" applyFont="1" applyAlignment="1">
      <alignment horizontal="center" vertical="center"/>
    </xf>
    <xf numFmtId="0" fontId="101" fillId="0" borderId="44" xfId="33" applyFont="1" applyBorder="1" applyAlignment="1">
      <alignment horizontal="center" vertical="center"/>
    </xf>
    <xf numFmtId="164" fontId="210" fillId="0" borderId="125" xfId="34" applyNumberFormat="1" applyFont="1" applyBorder="1" applyAlignment="1">
      <alignment horizontal="left" vertical="center"/>
    </xf>
    <xf numFmtId="164" fontId="210" fillId="0" borderId="126" xfId="34" applyNumberFormat="1" applyFont="1" applyBorder="1" applyAlignment="1">
      <alignment horizontal="left" vertical="center"/>
    </xf>
    <xf numFmtId="0" fontId="211" fillId="10" borderId="104" xfId="33" applyFont="1" applyFill="1" applyBorder="1" applyAlignment="1">
      <alignment horizontal="center"/>
    </xf>
    <xf numFmtId="0" fontId="211" fillId="10" borderId="129" xfId="33" applyFont="1" applyFill="1" applyBorder="1" applyAlignment="1">
      <alignment horizontal="center"/>
    </xf>
    <xf numFmtId="164" fontId="210" fillId="10" borderId="30" xfId="34" applyNumberFormat="1" applyFont="1" applyFill="1" applyBorder="1" applyAlignment="1" applyProtection="1">
      <alignment horizontal="left" vertical="center"/>
      <protection locked="0"/>
    </xf>
    <xf numFmtId="164" fontId="210" fillId="10" borderId="21" xfId="34" applyNumberFormat="1" applyFont="1" applyFill="1" applyBorder="1" applyAlignment="1" applyProtection="1">
      <alignment horizontal="left" vertical="center"/>
      <protection locked="0"/>
    </xf>
    <xf numFmtId="0" fontId="211" fillId="28" borderId="139" xfId="33" applyFont="1" applyFill="1" applyBorder="1" applyAlignment="1">
      <alignment horizontal="center" wrapText="1"/>
    </xf>
    <xf numFmtId="0" fontId="211" fillId="28" borderId="151" xfId="33" applyFont="1" applyFill="1" applyBorder="1" applyAlignment="1">
      <alignment horizontal="center" wrapText="1"/>
    </xf>
    <xf numFmtId="0" fontId="211" fillId="28" borderId="140" xfId="33" applyFont="1" applyFill="1" applyBorder="1" applyAlignment="1">
      <alignment horizontal="center" wrapText="1"/>
    </xf>
    <xf numFmtId="0" fontId="211" fillId="28" borderId="150" xfId="33" applyFont="1" applyFill="1" applyBorder="1" applyAlignment="1">
      <alignment horizontal="center" wrapText="1"/>
    </xf>
    <xf numFmtId="14" fontId="210" fillId="0" borderId="33" xfId="34" applyNumberFormat="1" applyFont="1" applyBorder="1" applyAlignment="1">
      <alignment horizontal="left" vertical="center"/>
    </xf>
    <xf numFmtId="14" fontId="210" fillId="0" borderId="58" xfId="34" applyNumberFormat="1" applyFont="1" applyBorder="1" applyAlignment="1">
      <alignment horizontal="left" vertical="center"/>
    </xf>
    <xf numFmtId="164" fontId="210" fillId="28" borderId="125" xfId="34" applyNumberFormat="1" applyFont="1" applyFill="1" applyBorder="1" applyAlignment="1">
      <alignment horizontal="center" vertical="center"/>
    </xf>
    <xf numFmtId="164" fontId="210" fillId="28" borderId="179" xfId="34" applyNumberFormat="1" applyFont="1" applyFill="1" applyBorder="1" applyAlignment="1">
      <alignment horizontal="center" vertical="center"/>
    </xf>
    <xf numFmtId="164" fontId="210" fillId="10" borderId="75" xfId="34" applyNumberFormat="1" applyFont="1" applyFill="1" applyBorder="1" applyAlignment="1" applyProtection="1">
      <alignment horizontal="center" vertical="center"/>
      <protection locked="0"/>
    </xf>
    <xf numFmtId="164" fontId="210" fillId="10" borderId="148" xfId="34" applyNumberFormat="1" applyFont="1" applyFill="1" applyBorder="1" applyAlignment="1" applyProtection="1">
      <alignment horizontal="center" vertical="center"/>
      <protection locked="0"/>
    </xf>
    <xf numFmtId="0" fontId="212" fillId="0" borderId="136" xfId="33" applyFont="1" applyBorder="1" applyAlignment="1">
      <alignment horizontal="left" vertical="center"/>
    </xf>
    <xf numFmtId="0" fontId="212" fillId="0" borderId="79" xfId="33" applyFont="1" applyBorder="1" applyAlignment="1">
      <alignment horizontal="left" vertical="center"/>
    </xf>
    <xf numFmtId="0" fontId="212" fillId="0" borderId="148" xfId="33" applyFont="1" applyBorder="1" applyAlignment="1">
      <alignment horizontal="left" vertical="center"/>
    </xf>
    <xf numFmtId="164" fontId="212" fillId="10" borderId="75" xfId="34" applyNumberFormat="1" applyFont="1" applyFill="1" applyBorder="1" applyAlignment="1" applyProtection="1">
      <alignment horizontal="center" vertical="center"/>
      <protection locked="0"/>
    </xf>
    <xf numFmtId="164" fontId="212" fillId="10" borderId="148" xfId="34" applyNumberFormat="1" applyFont="1" applyFill="1" applyBorder="1" applyAlignment="1" applyProtection="1">
      <alignment horizontal="center" vertical="center"/>
      <protection locked="0"/>
    </xf>
    <xf numFmtId="164" fontId="210" fillId="10" borderId="125" xfId="34" applyNumberFormat="1" applyFont="1" applyFill="1" applyBorder="1" applyAlignment="1" applyProtection="1">
      <alignment horizontal="center" vertical="center"/>
      <protection locked="0"/>
    </xf>
    <xf numFmtId="164" fontId="210" fillId="10" borderId="179" xfId="34" applyNumberFormat="1" applyFont="1" applyFill="1" applyBorder="1" applyAlignment="1" applyProtection="1">
      <alignment horizontal="center" vertical="center"/>
      <protection locked="0"/>
    </xf>
    <xf numFmtId="164" fontId="210" fillId="11" borderId="30" xfId="34" applyNumberFormat="1" applyFont="1" applyFill="1" applyBorder="1" applyAlignment="1" applyProtection="1">
      <alignment horizontal="center" vertical="center"/>
      <protection locked="0"/>
    </xf>
    <xf numFmtId="164" fontId="210" fillId="11" borderId="180" xfId="34" applyNumberFormat="1" applyFont="1" applyFill="1" applyBorder="1" applyAlignment="1" applyProtection="1">
      <alignment horizontal="center" vertical="center"/>
      <protection locked="0"/>
    </xf>
    <xf numFmtId="0" fontId="42" fillId="5" borderId="75"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5" fillId="0" borderId="0" xfId="0" applyFont="1" applyAlignment="1">
      <alignment horizontal="left" vertical="top" wrapText="1"/>
    </xf>
    <xf numFmtId="0" fontId="5" fillId="5" borderId="75"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5" borderId="76" xfId="0" applyFont="1" applyFill="1" applyBorder="1" applyAlignment="1" applyProtection="1">
      <alignment horizontal="left" vertical="center"/>
      <protection locked="0"/>
    </xf>
    <xf numFmtId="0" fontId="15" fillId="0" borderId="0" xfId="0" applyFont="1" applyAlignment="1">
      <alignment horizontal="left" vertical="top" wrapText="1"/>
    </xf>
    <xf numFmtId="0" fontId="5" fillId="0" borderId="0" xfId="0" applyFont="1" applyAlignment="1">
      <alignment horizontal="left" wrapText="1"/>
    </xf>
    <xf numFmtId="0" fontId="11" fillId="13" borderId="36" xfId="0" applyFont="1" applyFill="1" applyBorder="1" applyAlignment="1">
      <alignment horizontal="center" vertical="center"/>
    </xf>
    <xf numFmtId="0" fontId="11" fillId="13" borderId="37" xfId="0" applyFont="1" applyFill="1" applyBorder="1" applyAlignment="1">
      <alignment horizontal="center" vertical="center"/>
    </xf>
    <xf numFmtId="0" fontId="5" fillId="0" borderId="0" xfId="0" applyFont="1" applyAlignment="1">
      <alignment horizontal="center" wrapText="1"/>
    </xf>
    <xf numFmtId="3" fontId="5" fillId="5" borderId="109" xfId="1" applyNumberFormat="1" applyFont="1" applyFill="1" applyBorder="1" applyAlignment="1" applyProtection="1">
      <alignment horizontal="center" vertical="center"/>
      <protection locked="0"/>
    </xf>
    <xf numFmtId="3" fontId="5" fillId="5" borderId="110" xfId="1" applyNumberFormat="1" applyFont="1" applyFill="1" applyBorder="1" applyAlignment="1" applyProtection="1">
      <alignment horizontal="center" vertical="center"/>
      <protection locked="0"/>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11" fillId="13" borderId="75" xfId="0" applyFont="1" applyFill="1" applyBorder="1" applyAlignment="1">
      <alignment horizontal="center" vertical="center"/>
    </xf>
    <xf numFmtId="0" fontId="11" fillId="13" borderId="76" xfId="0" applyFont="1" applyFill="1" applyBorder="1" applyAlignment="1">
      <alignment horizontal="center" vertical="center"/>
    </xf>
    <xf numFmtId="0" fontId="5" fillId="0" borderId="0" xfId="0" applyFont="1" applyAlignment="1">
      <alignment horizontal="left" vertical="center" wrapText="1"/>
    </xf>
    <xf numFmtId="0" fontId="15" fillId="5" borderId="75"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3" fillId="0" borderId="13" xfId="0" applyFont="1" applyBorder="1" applyAlignment="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5" fillId="0" borderId="0" xfId="0" applyFont="1" applyAlignment="1">
      <alignment horizontal="center" vertical="top" wrapText="1"/>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5" xfId="0" applyFont="1" applyFill="1" applyBorder="1" applyAlignment="1">
      <alignment horizontal="left" vertical="top" wrapText="1"/>
    </xf>
    <xf numFmtId="0" fontId="5" fillId="13" borderId="79" xfId="0" applyFont="1" applyFill="1" applyBorder="1" applyAlignment="1">
      <alignment horizontal="left" vertical="top" wrapText="1"/>
    </xf>
    <xf numFmtId="0" fontId="5" fillId="13" borderId="76" xfId="0" applyFont="1" applyFill="1" applyBorder="1" applyAlignment="1">
      <alignment horizontal="left" vertical="top" wrapText="1"/>
    </xf>
    <xf numFmtId="0" fontId="15" fillId="5" borderId="16" xfId="0" applyFont="1" applyFill="1" applyBorder="1" applyAlignment="1" applyProtection="1">
      <alignment horizontal="left" vertical="center"/>
      <protection locked="0"/>
    </xf>
    <xf numFmtId="0" fontId="15" fillId="5" borderId="17" xfId="0" applyFont="1" applyFill="1" applyBorder="1" applyAlignment="1" applyProtection="1">
      <alignment horizontal="left" vertical="center"/>
      <protection locked="0"/>
    </xf>
    <xf numFmtId="0" fontId="15" fillId="5" borderId="18" xfId="0" applyFont="1" applyFill="1" applyBorder="1" applyAlignment="1" applyProtection="1">
      <alignment horizontal="left" vertical="center"/>
      <protection locked="0"/>
    </xf>
    <xf numFmtId="0" fontId="11" fillId="5" borderId="83" xfId="0" applyFont="1" applyFill="1" applyBorder="1" applyAlignment="1" applyProtection="1">
      <alignment horizontal="left" vertical="center"/>
      <protection locked="0"/>
    </xf>
    <xf numFmtId="0" fontId="11" fillId="5" borderId="81" xfId="0" applyFont="1" applyFill="1" applyBorder="1" applyAlignment="1" applyProtection="1">
      <alignment horizontal="left" vertical="center"/>
      <protection locked="0"/>
    </xf>
    <xf numFmtId="0" fontId="91" fillId="0" borderId="0" xfId="0" applyFont="1" applyAlignment="1">
      <alignment horizontal="center" wrapText="1"/>
    </xf>
    <xf numFmtId="0" fontId="91" fillId="0" borderId="13" xfId="0" applyFont="1" applyBorder="1" applyAlignment="1">
      <alignment horizontal="center" wrapText="1"/>
    </xf>
    <xf numFmtId="3" fontId="5" fillId="13" borderId="109" xfId="1" applyNumberFormat="1" applyFont="1" applyFill="1" applyBorder="1" applyAlignment="1" applyProtection="1">
      <alignment horizontal="center" vertical="center"/>
    </xf>
    <xf numFmtId="3" fontId="5" fillId="13" borderId="110" xfId="1" applyNumberFormat="1" applyFont="1" applyFill="1" applyBorder="1" applyAlignment="1" applyProtection="1">
      <alignment horizontal="center" vertical="center"/>
    </xf>
    <xf numFmtId="0" fontId="43" fillId="5" borderId="75"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5" borderId="76" xfId="0" applyFont="1" applyFill="1" applyBorder="1" applyAlignment="1" applyProtection="1">
      <alignment horizontal="left" vertical="top" wrapText="1"/>
      <protection locked="0"/>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37" fontId="9" fillId="0" borderId="75" xfId="0" applyNumberFormat="1" applyFont="1" applyBorder="1" applyAlignment="1">
      <alignment horizontal="left" vertical="center" wrapText="1"/>
    </xf>
    <xf numFmtId="37" fontId="9" fillId="0" borderId="76" xfId="0" applyNumberFormat="1" applyFont="1" applyBorder="1" applyAlignment="1">
      <alignment horizontal="left" vertical="center" wrapText="1"/>
    </xf>
    <xf numFmtId="0" fontId="20" fillId="5" borderId="125" xfId="0" applyFont="1" applyFill="1" applyBorder="1" applyAlignment="1" applyProtection="1">
      <alignment horizontal="left"/>
      <protection locked="0"/>
    </xf>
    <xf numFmtId="0" fontId="20" fillId="5" borderId="126" xfId="0" applyFont="1" applyFill="1" applyBorder="1" applyAlignment="1" applyProtection="1">
      <alignment horizontal="left"/>
      <protection locked="0"/>
    </xf>
    <xf numFmtId="0" fontId="20" fillId="5" borderId="127"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42" fillId="5" borderId="75" xfId="0" applyFont="1" applyFill="1" applyBorder="1" applyAlignment="1" applyProtection="1">
      <alignment horizontal="center" vertical="center"/>
      <protection locked="0"/>
    </xf>
    <xf numFmtId="0" fontId="42" fillId="5" borderId="76" xfId="0" applyFont="1" applyFill="1" applyBorder="1" applyAlignment="1" applyProtection="1">
      <alignment horizontal="center" vertical="center"/>
      <protection locked="0"/>
    </xf>
    <xf numFmtId="0" fontId="42" fillId="13" borderId="30" xfId="0" applyFont="1" applyFill="1" applyBorder="1" applyAlignment="1">
      <alignment horizontal="center" vertical="center"/>
    </xf>
    <xf numFmtId="0" fontId="42"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8" xfId="0" applyFont="1" applyBorder="1" applyAlignment="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15" fillId="13" borderId="94" xfId="0" applyFont="1" applyFill="1" applyBorder="1" applyAlignment="1">
      <alignment horizontal="center" vertical="top"/>
    </xf>
    <xf numFmtId="0" fontId="15" fillId="13" borderId="22" xfId="0" applyFont="1" applyFill="1" applyBorder="1" applyAlignment="1">
      <alignment horizontal="center" vertical="top"/>
    </xf>
    <xf numFmtId="0" fontId="15" fillId="5" borderId="94"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76" xfId="0" applyFont="1" applyFill="1" applyBorder="1" applyAlignment="1" applyProtection="1">
      <alignment horizontal="left" vertical="center"/>
      <protection locked="0"/>
    </xf>
    <xf numFmtId="0" fontId="43" fillId="13" borderId="30" xfId="0" applyFont="1" applyFill="1" applyBorder="1" applyAlignment="1">
      <alignment horizontal="justify" vertical="top" wrapText="1"/>
    </xf>
    <xf numFmtId="0" fontId="43" fillId="13" borderId="21" xfId="0" applyFont="1" applyFill="1" applyBorder="1" applyAlignment="1">
      <alignment horizontal="justify" vertical="top" wrapText="1"/>
    </xf>
    <xf numFmtId="0" fontId="43" fillId="13" borderId="31" xfId="0" applyFont="1" applyFill="1" applyBorder="1" applyAlignment="1">
      <alignment horizontal="justify" vertical="top" wrapText="1"/>
    </xf>
    <xf numFmtId="0" fontId="43" fillId="13" borderId="33" xfId="0" applyFont="1" applyFill="1" applyBorder="1" applyAlignment="1">
      <alignment horizontal="justify" vertical="top" wrapText="1"/>
    </xf>
    <xf numFmtId="0" fontId="43" fillId="13" borderId="58" xfId="0" applyFont="1" applyFill="1" applyBorder="1" applyAlignment="1">
      <alignment horizontal="justify" vertical="top" wrapText="1"/>
    </xf>
    <xf numFmtId="0" fontId="43" fillId="13" borderId="34" xfId="0" applyFont="1" applyFill="1" applyBorder="1" applyAlignment="1">
      <alignment horizontal="justify" vertical="top" wrapText="1"/>
    </xf>
    <xf numFmtId="175" fontId="11" fillId="10" borderId="75" xfId="0" applyNumberFormat="1" applyFont="1" applyFill="1" applyBorder="1" applyAlignment="1" applyProtection="1">
      <alignment horizontal="center" vertical="center"/>
      <protection locked="0"/>
    </xf>
    <xf numFmtId="175" fontId="11" fillId="10" borderId="76" xfId="0" applyNumberFormat="1" applyFont="1" applyFill="1" applyBorder="1" applyAlignment="1" applyProtection="1">
      <alignment horizontal="center"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5" fillId="13" borderId="83" xfId="0" applyFont="1" applyFill="1" applyBorder="1" applyAlignment="1">
      <alignment horizontal="left" vertical="top" wrapText="1"/>
    </xf>
    <xf numFmtId="0" fontId="114" fillId="0" borderId="0" xfId="0" applyFont="1" applyAlignment="1">
      <alignment horizontal="center" vertical="center"/>
    </xf>
    <xf numFmtId="0" fontId="24"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43" fillId="13" borderId="28" xfId="0" applyFont="1" applyFill="1" applyBorder="1" applyAlignment="1">
      <alignment horizontal="justify" vertical="top" wrapText="1"/>
    </xf>
    <xf numFmtId="0" fontId="43" fillId="13" borderId="57" xfId="0" applyFont="1" applyFill="1" applyBorder="1" applyAlignment="1">
      <alignment horizontal="justify" vertical="top" wrapText="1"/>
    </xf>
    <xf numFmtId="0" fontId="43" fillId="13" borderId="29" xfId="0" applyFont="1" applyFill="1" applyBorder="1" applyAlignment="1">
      <alignment horizontal="justify" vertical="top" wrapText="1"/>
    </xf>
    <xf numFmtId="0" fontId="94" fillId="0" borderId="82" xfId="0" applyFont="1" applyBorder="1" applyAlignment="1">
      <alignment horizontal="center" vertical="center" wrapText="1"/>
    </xf>
    <xf numFmtId="0" fontId="94" fillId="0" borderId="78" xfId="0" applyFont="1" applyBorder="1" applyAlignment="1">
      <alignment horizontal="center" vertical="center" wrapText="1"/>
    </xf>
    <xf numFmtId="49" fontId="98" fillId="20" borderId="0" xfId="0" applyNumberFormat="1" applyFont="1" applyFill="1" applyAlignment="1">
      <alignment horizontal="center" vertical="center"/>
    </xf>
    <xf numFmtId="0" fontId="15" fillId="5" borderId="81"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5" fillId="0" borderId="13" xfId="0" applyFont="1" applyBorder="1" applyAlignment="1">
      <alignment horizontal="center" wrapText="1"/>
    </xf>
    <xf numFmtId="0" fontId="15" fillId="13" borderId="75" xfId="0" applyFont="1" applyFill="1" applyBorder="1" applyAlignment="1">
      <alignment horizontal="left" vertical="center"/>
    </xf>
    <xf numFmtId="0" fontId="15" fillId="13" borderId="76" xfId="0" applyFont="1" applyFill="1" applyBorder="1" applyAlignment="1">
      <alignment horizontal="left" vertical="center"/>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20" fillId="13" borderId="33" xfId="0" applyFont="1" applyFill="1" applyBorder="1" applyAlignment="1">
      <alignment horizontal="left"/>
    </xf>
    <xf numFmtId="0" fontId="20" fillId="13" borderId="58" xfId="0" applyFont="1" applyFill="1" applyBorder="1" applyAlignment="1">
      <alignment horizontal="left"/>
    </xf>
    <xf numFmtId="0" fontId="20" fillId="13" borderId="34" xfId="0" applyFont="1" applyFill="1" applyBorder="1" applyAlignment="1">
      <alignment horizontal="left"/>
    </xf>
    <xf numFmtId="0" fontId="150" fillId="0" borderId="0" xfId="0" applyFont="1" applyAlignment="1">
      <alignment horizontal="center" vertical="center"/>
    </xf>
    <xf numFmtId="0" fontId="8" fillId="0" borderId="0" xfId="0" applyFont="1" applyAlignment="1">
      <alignment horizontal="center"/>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0" fontId="5" fillId="5" borderId="127" xfId="0" applyFont="1" applyFill="1" applyBorder="1" applyAlignment="1" applyProtection="1">
      <alignment horizontal="left" vertical="top" wrapText="1"/>
      <protection locked="0"/>
    </xf>
    <xf numFmtId="0" fontId="43" fillId="5" borderId="125" xfId="0" applyFont="1" applyFill="1" applyBorder="1" applyAlignment="1" applyProtection="1">
      <alignment horizontal="left" vertical="top" wrapText="1"/>
      <protection locked="0"/>
    </xf>
    <xf numFmtId="0" fontId="43" fillId="5" borderId="126" xfId="0" applyFont="1" applyFill="1" applyBorder="1" applyAlignment="1" applyProtection="1">
      <alignment horizontal="left" vertical="top" wrapText="1"/>
      <protection locked="0"/>
    </xf>
    <xf numFmtId="0" fontId="43" fillId="5" borderId="127" xfId="0" applyFont="1" applyFill="1" applyBorder="1" applyAlignment="1" applyProtection="1">
      <alignment horizontal="left" vertical="top" wrapText="1"/>
      <protection locked="0"/>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3" xfId="0" applyFont="1" applyFill="1" applyBorder="1" applyAlignment="1" applyProtection="1">
      <alignment horizontal="left" vertical="center" wrapText="1"/>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81"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15" fillId="13" borderId="81" xfId="0" applyFont="1" applyFill="1" applyBorder="1" applyAlignment="1">
      <alignment horizontal="center" vertical="top"/>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43" fillId="10" borderId="75" xfId="0" applyFont="1" applyFill="1" applyBorder="1" applyAlignment="1" applyProtection="1">
      <alignment horizontal="left" vertical="top" wrapText="1"/>
      <protection locked="0"/>
    </xf>
    <xf numFmtId="0" fontId="43" fillId="10" borderId="79" xfId="0" applyFont="1" applyFill="1" applyBorder="1" applyAlignment="1" applyProtection="1">
      <alignment horizontal="left" vertical="top" wrapText="1"/>
      <protection locked="0"/>
    </xf>
    <xf numFmtId="0" fontId="43" fillId="10" borderId="76" xfId="0" applyFont="1" applyFill="1" applyBorder="1" applyAlignment="1" applyProtection="1">
      <alignment horizontal="left" vertical="top" wrapText="1"/>
      <protection locked="0"/>
    </xf>
    <xf numFmtId="0" fontId="15" fillId="13" borderId="94"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81" xfId="0" applyFont="1" applyFill="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11" fillId="13" borderId="77" xfId="0" applyFont="1" applyFill="1" applyBorder="1" applyAlignment="1">
      <alignment horizontal="center" vertical="center"/>
    </xf>
    <xf numFmtId="0" fontId="15" fillId="5" borderId="125" xfId="0" applyFont="1" applyFill="1" applyBorder="1" applyAlignment="1" applyProtection="1">
      <alignment horizontal="left" vertical="center"/>
      <protection locked="0"/>
    </xf>
    <xf numFmtId="0" fontId="15" fillId="5" borderId="126" xfId="0" applyFont="1" applyFill="1" applyBorder="1" applyAlignment="1" applyProtection="1">
      <alignment horizontal="left" vertical="center"/>
      <protection locked="0"/>
    </xf>
    <xf numFmtId="0" fontId="15" fillId="5" borderId="127"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93" fillId="20" borderId="62" xfId="0" applyFont="1" applyFill="1" applyBorder="1" applyAlignment="1">
      <alignment horizontal="center" vertical="center" wrapText="1"/>
    </xf>
    <xf numFmtId="0" fontId="193" fillId="20" borderId="67" xfId="0" applyFont="1" applyFill="1" applyBorder="1" applyAlignment="1">
      <alignment horizontal="center" vertical="center" wrapText="1"/>
    </xf>
    <xf numFmtId="0" fontId="193" fillId="20" borderId="63" xfId="0" applyFont="1" applyFill="1" applyBorder="1" applyAlignment="1">
      <alignment horizontal="center" vertical="center" wrapText="1"/>
    </xf>
    <xf numFmtId="0" fontId="193" fillId="20" borderId="44" xfId="0" applyFont="1" applyFill="1" applyBorder="1" applyAlignment="1">
      <alignment horizontal="center" vertical="center" wrapText="1"/>
    </xf>
    <xf numFmtId="0" fontId="193" fillId="20" borderId="0" xfId="0" applyFont="1" applyFill="1" applyAlignment="1">
      <alignment horizontal="center" vertical="center" wrapText="1"/>
    </xf>
    <xf numFmtId="0" fontId="193" fillId="20" borderId="47" xfId="0" applyFont="1" applyFill="1" applyBorder="1" applyAlignment="1">
      <alignment horizontal="center" vertical="center" wrapText="1"/>
    </xf>
    <xf numFmtId="0" fontId="193" fillId="20" borderId="45" xfId="0" applyFont="1" applyFill="1" applyBorder="1" applyAlignment="1">
      <alignment horizontal="center" vertical="center" wrapText="1"/>
    </xf>
    <xf numFmtId="0" fontId="193" fillId="20" borderId="80" xfId="0" applyFont="1" applyFill="1" applyBorder="1" applyAlignment="1">
      <alignment horizontal="center" vertical="center" wrapText="1"/>
    </xf>
    <xf numFmtId="0" fontId="193" fillId="20" borderId="64" xfId="0" applyFont="1" applyFill="1" applyBorder="1" applyAlignment="1">
      <alignment horizontal="center" vertical="center" wrapText="1"/>
    </xf>
    <xf numFmtId="0" fontId="50" fillId="0" borderId="19" xfId="0" applyFont="1" applyBorder="1" applyAlignment="1">
      <alignment horizontal="center" vertical="top" wrapText="1"/>
    </xf>
    <xf numFmtId="0" fontId="50" fillId="0" borderId="0" xfId="0" applyFont="1" applyAlignment="1">
      <alignment horizontal="center" vertical="top" wrapText="1"/>
    </xf>
    <xf numFmtId="0" fontId="50" fillId="0" borderId="13" xfId="0" applyFont="1" applyBorder="1" applyAlignment="1">
      <alignment horizontal="center" vertical="top" wrapText="1"/>
    </xf>
    <xf numFmtId="0" fontId="98" fillId="0" borderId="0" xfId="0" applyFont="1" applyAlignment="1">
      <alignment horizontal="center" wrapText="1"/>
    </xf>
    <xf numFmtId="0" fontId="98" fillId="0" borderId="20" xfId="0" applyFont="1" applyBorder="1" applyAlignment="1">
      <alignment horizontal="center" wrapText="1"/>
    </xf>
    <xf numFmtId="0" fontId="43" fillId="0" borderId="43" xfId="0" applyFont="1" applyBorder="1" applyAlignment="1">
      <alignment horizontal="center" vertical="center"/>
    </xf>
    <xf numFmtId="0" fontId="43" fillId="0" borderId="19" xfId="0" applyFont="1" applyBorder="1" applyAlignment="1">
      <alignment horizontal="center" vertical="center"/>
    </xf>
    <xf numFmtId="0" fontId="43" fillId="0" borderId="39" xfId="0" applyFont="1" applyBorder="1" applyAlignment="1">
      <alignment horizontal="center" vertical="center"/>
    </xf>
    <xf numFmtId="0" fontId="43" fillId="0" borderId="0" xfId="0" quotePrefix="1" applyFont="1" applyAlignment="1">
      <alignment horizontal="left" vertical="center"/>
    </xf>
    <xf numFmtId="0" fontId="5" fillId="0" borderId="13" xfId="0" applyFont="1" applyBorder="1" applyAlignment="1">
      <alignment horizontal="left" wrapText="1"/>
    </xf>
    <xf numFmtId="3" fontId="45" fillId="0" borderId="0" xfId="0" applyNumberFormat="1" applyFont="1" applyAlignment="1">
      <alignment horizontal="center" vertical="center"/>
    </xf>
    <xf numFmtId="0" fontId="101" fillId="20" borderId="0" xfId="0" applyFont="1" applyFill="1" applyAlignment="1">
      <alignment horizontal="left" vertical="top" wrapText="1"/>
    </xf>
    <xf numFmtId="0" fontId="42" fillId="0" borderId="0" xfId="0" applyFont="1" applyAlignment="1">
      <alignment horizontal="center" vertical="center"/>
    </xf>
    <xf numFmtId="0" fontId="149" fillId="0" borderId="0" xfId="0" applyFont="1" applyAlignment="1">
      <alignment horizontal="left" vertical="top" wrapText="1"/>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3" fontId="146" fillId="0" borderId="75" xfId="0" applyNumberFormat="1" applyFont="1" applyBorder="1" applyAlignment="1">
      <alignment horizontal="center" vertical="center" wrapText="1"/>
    </xf>
    <xf numFmtId="3" fontId="146" fillId="0" borderId="76" xfId="0" applyNumberFormat="1" applyFont="1" applyBorder="1" applyAlignment="1">
      <alignment horizontal="center" vertical="center" wrapText="1"/>
    </xf>
    <xf numFmtId="0" fontId="45" fillId="0" borderId="0" xfId="0" applyFont="1" applyAlignment="1">
      <alignment horizontal="center" vertical="center" wrapText="1"/>
    </xf>
    <xf numFmtId="0" fontId="45" fillId="0" borderId="20" xfId="0" applyFont="1" applyBorder="1" applyAlignment="1">
      <alignment horizontal="center" vertical="center" wrapText="1"/>
    </xf>
    <xf numFmtId="0" fontId="94" fillId="0" borderId="0" xfId="0" applyFont="1" applyAlignment="1">
      <alignment horizontal="left" vertical="top" wrapText="1"/>
    </xf>
    <xf numFmtId="3" fontId="160" fillId="0" borderId="43" xfId="0" applyNumberFormat="1" applyFont="1" applyBorder="1" applyAlignment="1">
      <alignment horizontal="center" vertical="center" wrapText="1"/>
    </xf>
    <xf numFmtId="3" fontId="160" fillId="0" borderId="39" xfId="0" applyNumberFormat="1" applyFont="1" applyBorder="1" applyAlignment="1">
      <alignment horizontal="center" vertical="center" wrapText="1"/>
    </xf>
    <xf numFmtId="3" fontId="160" fillId="0" borderId="42" xfId="0" applyNumberFormat="1" applyFont="1" applyBorder="1" applyAlignment="1">
      <alignment horizontal="center" vertical="center" wrapText="1"/>
    </xf>
    <xf numFmtId="3" fontId="160" fillId="0" borderId="59" xfId="0" applyNumberFormat="1" applyFont="1" applyBorder="1" applyAlignment="1">
      <alignment horizontal="center" vertical="center" wrapText="1"/>
    </xf>
    <xf numFmtId="0" fontId="181" fillId="0" borderId="43" xfId="0" applyFont="1" applyBorder="1" applyAlignment="1">
      <alignment horizontal="center" vertical="center" wrapText="1"/>
    </xf>
    <xf numFmtId="0" fontId="181" fillId="0" borderId="39" xfId="0" applyFont="1" applyBorder="1" applyAlignment="1">
      <alignment horizontal="center" vertical="center" wrapText="1"/>
    </xf>
    <xf numFmtId="0" fontId="181" fillId="0" borderId="42" xfId="0" applyFont="1" applyBorder="1" applyAlignment="1">
      <alignment horizontal="center" vertical="center" wrapText="1"/>
    </xf>
    <xf numFmtId="0" fontId="181" fillId="0" borderId="59" xfId="0" applyFont="1" applyBorder="1" applyAlignment="1">
      <alignment horizontal="center" vertical="center" wrapText="1"/>
    </xf>
    <xf numFmtId="6" fontId="6" fillId="13" borderId="77" xfId="0" applyNumberFormat="1" applyFont="1" applyFill="1" applyBorder="1" applyAlignment="1">
      <alignment horizontal="center" vertical="center"/>
    </xf>
    <xf numFmtId="6" fontId="6" fillId="13" borderId="78" xfId="0" applyNumberFormat="1" applyFont="1" applyFill="1" applyBorder="1" applyAlignment="1">
      <alignment horizontal="center" vertical="center"/>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84" fillId="0" borderId="43" xfId="0" applyFont="1" applyBorder="1" applyAlignment="1">
      <alignment horizontal="center" vertical="center"/>
    </xf>
    <xf numFmtId="0" fontId="84"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59" xfId="0" applyFont="1" applyBorder="1" applyAlignment="1">
      <alignment horizontal="center" vertical="center"/>
    </xf>
    <xf numFmtId="0" fontId="237" fillId="0" borderId="0" xfId="0" applyFont="1" applyAlignment="1">
      <alignment horizontal="left" vertical="top" wrapText="1"/>
    </xf>
    <xf numFmtId="0" fontId="113" fillId="20" borderId="0" xfId="0" applyFont="1" applyFill="1" applyAlignment="1">
      <alignment horizontal="left"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5" fillId="5" borderId="116" xfId="0" applyFont="1" applyFill="1" applyBorder="1" applyAlignment="1" applyProtection="1">
      <alignment horizontal="left" vertical="top" wrapText="1"/>
      <protection locked="0"/>
    </xf>
    <xf numFmtId="0" fontId="5" fillId="5" borderId="117" xfId="0" applyFont="1" applyFill="1" applyBorder="1" applyAlignment="1" applyProtection="1">
      <alignment horizontal="left" vertical="top" wrapText="1"/>
      <protection locked="0"/>
    </xf>
    <xf numFmtId="0" fontId="5" fillId="5" borderId="118" xfId="0" applyFont="1" applyFill="1" applyBorder="1" applyAlignment="1" applyProtection="1">
      <alignment horizontal="left" vertical="top" wrapText="1"/>
      <protection locked="0"/>
    </xf>
    <xf numFmtId="0" fontId="208" fillId="0" borderId="13" xfId="0" applyFont="1" applyBorder="1" applyAlignment="1">
      <alignment horizontal="center"/>
    </xf>
    <xf numFmtId="10" fontId="14" fillId="10" borderId="125" xfId="0" applyNumberFormat="1" applyFont="1" applyFill="1" applyBorder="1" applyAlignment="1" applyProtection="1">
      <alignment horizontal="center" vertical="center"/>
      <protection locked="0"/>
    </xf>
    <xf numFmtId="10" fontId="14" fillId="10" borderId="126" xfId="0" applyNumberFormat="1" applyFont="1" applyFill="1" applyBorder="1" applyAlignment="1" applyProtection="1">
      <alignment horizontal="center" vertical="center"/>
      <protection locked="0"/>
    </xf>
    <xf numFmtId="10" fontId="14" fillId="10" borderId="127" xfId="0" applyNumberFormat="1" applyFont="1" applyFill="1" applyBorder="1" applyAlignment="1" applyProtection="1">
      <alignment horizontal="center" vertical="center"/>
      <protection locked="0"/>
    </xf>
    <xf numFmtId="0" fontId="105" fillId="5" borderId="77" xfId="0" applyFont="1" applyFill="1" applyBorder="1" applyAlignment="1" applyProtection="1">
      <alignment horizontal="center" vertical="center"/>
      <protection locked="0"/>
    </xf>
    <xf numFmtId="0" fontId="105" fillId="5" borderId="82" xfId="0" applyFont="1" applyFill="1" applyBorder="1" applyAlignment="1" applyProtection="1">
      <alignment horizontal="center" vertical="center"/>
      <protection locked="0"/>
    </xf>
    <xf numFmtId="0" fontId="105" fillId="5" borderId="78" xfId="0" applyFont="1" applyFill="1" applyBorder="1" applyAlignment="1" applyProtection="1">
      <alignment horizontal="center" vertical="center"/>
      <protection locked="0"/>
    </xf>
    <xf numFmtId="0" fontId="105" fillId="5" borderId="9" xfId="0" applyFont="1" applyFill="1" applyBorder="1" applyAlignment="1" applyProtection="1">
      <alignment horizontal="center" vertical="center"/>
      <protection locked="0"/>
    </xf>
    <xf numFmtId="0" fontId="105" fillId="5" borderId="13" xfId="0" applyFont="1" applyFill="1" applyBorder="1" applyAlignment="1" applyProtection="1">
      <alignment horizontal="center" vertical="center"/>
      <protection locked="0"/>
    </xf>
    <xf numFmtId="0" fontId="105" fillId="5" borderId="14" xfId="0" applyFont="1" applyFill="1" applyBorder="1" applyAlignment="1" applyProtection="1">
      <alignment horizontal="center" vertical="center"/>
      <protection locked="0"/>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50" fillId="0" borderId="40" xfId="0" applyFont="1" applyBorder="1" applyAlignment="1">
      <alignment horizontal="left" vertical="top" wrapText="1"/>
    </xf>
    <xf numFmtId="0" fontId="50" fillId="0" borderId="0" xfId="0" applyFont="1" applyAlignment="1">
      <alignment horizontal="left" vertical="top" wrapText="1"/>
    </xf>
    <xf numFmtId="0" fontId="50" fillId="0" borderId="8" xfId="0" applyFont="1" applyBorder="1" applyAlignment="1">
      <alignment horizontal="left" vertical="top" wrapText="1"/>
    </xf>
    <xf numFmtId="0" fontId="43" fillId="13" borderId="30" xfId="0" applyFont="1" applyFill="1" applyBorder="1" applyAlignment="1">
      <alignment horizontal="left" vertical="top" wrapText="1"/>
    </xf>
    <xf numFmtId="0" fontId="43" fillId="13" borderId="21" xfId="0" applyFont="1" applyFill="1" applyBorder="1" applyAlignment="1">
      <alignment horizontal="left" vertical="top" wrapText="1"/>
    </xf>
    <xf numFmtId="0" fontId="43" fillId="13" borderId="71" xfId="0" applyFont="1" applyFill="1" applyBorder="1" applyAlignment="1">
      <alignment horizontal="left" vertical="top" wrapText="1"/>
    </xf>
    <xf numFmtId="0" fontId="46" fillId="13" borderId="52" xfId="0" applyFont="1" applyFill="1" applyBorder="1" applyAlignment="1">
      <alignment horizontal="center" vertical="center"/>
    </xf>
    <xf numFmtId="0" fontId="46" fillId="13" borderId="23" xfId="0" applyFont="1" applyFill="1" applyBorder="1" applyAlignment="1">
      <alignment horizontal="center" vertical="center"/>
    </xf>
    <xf numFmtId="0" fontId="43" fillId="0" borderId="87" xfId="0" applyFont="1" applyBorder="1" applyAlignment="1">
      <alignment horizontal="center" vertical="center"/>
    </xf>
    <xf numFmtId="0" fontId="43"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5" fillId="5" borderId="128" xfId="0" applyFont="1" applyFill="1" applyBorder="1" applyAlignment="1" applyProtection="1">
      <alignment horizontal="left" vertical="center"/>
      <protection locked="0"/>
    </xf>
    <xf numFmtId="175" fontId="5" fillId="5" borderId="128" xfId="0" applyNumberFormat="1" applyFont="1" applyFill="1" applyBorder="1" applyAlignment="1" applyProtection="1">
      <alignment horizontal="center" vertical="center"/>
      <protection locked="0"/>
    </xf>
    <xf numFmtId="0" fontId="50" fillId="0" borderId="88" xfId="0" applyFont="1" applyBorder="1" applyAlignment="1">
      <alignment horizontal="left" vertical="top" wrapText="1"/>
    </xf>
    <xf numFmtId="0" fontId="50" fillId="0" borderId="13" xfId="0" applyFont="1" applyBorder="1" applyAlignment="1">
      <alignment horizontal="left" vertical="top" wrapText="1"/>
    </xf>
    <xf numFmtId="0" fontId="50" fillId="0" borderId="14" xfId="0" applyFont="1" applyBorder="1" applyAlignment="1">
      <alignment horizontal="left" vertical="top" wrapText="1"/>
    </xf>
    <xf numFmtId="0" fontId="43" fillId="10" borderId="125" xfId="0" applyFont="1" applyFill="1" applyBorder="1" applyAlignment="1" applyProtection="1">
      <alignment horizontal="center" vertical="top" wrapText="1"/>
      <protection locked="0"/>
    </xf>
    <xf numFmtId="0" fontId="43" fillId="10" borderId="130" xfId="0" applyFont="1" applyFill="1" applyBorder="1" applyAlignment="1" applyProtection="1">
      <alignment horizontal="center" vertical="top" wrapText="1"/>
      <protection locked="0"/>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3" borderId="33" xfId="0" applyFont="1" applyFill="1" applyBorder="1" applyAlignment="1">
      <alignment horizontal="left" vertical="top" wrapText="1"/>
    </xf>
    <xf numFmtId="0" fontId="43" fillId="13" borderId="58" xfId="0" applyFont="1" applyFill="1" applyBorder="1" applyAlignment="1">
      <alignment horizontal="left" vertical="top" wrapText="1"/>
    </xf>
    <xf numFmtId="0" fontId="43" fillId="13" borderId="73" xfId="0" applyFont="1" applyFill="1" applyBorder="1" applyAlignment="1">
      <alignment horizontal="left" vertical="top" wrapText="1"/>
    </xf>
    <xf numFmtId="0" fontId="9" fillId="13" borderId="87"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13" fillId="0" borderId="153" xfId="0" applyFont="1" applyBorder="1" applyAlignment="1">
      <alignment horizontal="center" vertical="center" wrapText="1"/>
    </xf>
    <xf numFmtId="0" fontId="113" fillId="0" borderId="154" xfId="0" applyFont="1" applyBorder="1" applyAlignment="1">
      <alignment horizontal="center" vertical="center" wrapText="1"/>
    </xf>
    <xf numFmtId="0" fontId="113" fillId="0" borderId="155" xfId="0" applyFont="1" applyBorder="1" applyAlignment="1">
      <alignment horizontal="center" vertical="center" wrapText="1"/>
    </xf>
    <xf numFmtId="0" fontId="113" fillId="0" borderId="156" xfId="0" applyFont="1" applyBorder="1" applyAlignment="1">
      <alignment horizontal="center" vertical="center" wrapText="1"/>
    </xf>
    <xf numFmtId="0" fontId="113" fillId="0" borderId="0" xfId="0" applyFont="1" applyAlignment="1">
      <alignment horizontal="center" vertical="center" wrapText="1"/>
    </xf>
    <xf numFmtId="0" fontId="113" fillId="0" borderId="157" xfId="0" applyFont="1" applyBorder="1" applyAlignment="1">
      <alignment horizontal="center" vertical="center" wrapText="1"/>
    </xf>
    <xf numFmtId="0" fontId="113" fillId="0" borderId="158" xfId="0" applyFont="1" applyBorder="1" applyAlignment="1">
      <alignment horizontal="center" vertical="center" wrapText="1"/>
    </xf>
    <xf numFmtId="0" fontId="113" fillId="0" borderId="159" xfId="0" applyFont="1" applyBorder="1" applyAlignment="1">
      <alignment horizontal="center" vertical="center" wrapText="1"/>
    </xf>
    <xf numFmtId="0" fontId="113" fillId="0" borderId="160" xfId="0" applyFont="1" applyBorder="1" applyAlignment="1">
      <alignment horizontal="center" vertical="center" wrapText="1"/>
    </xf>
    <xf numFmtId="0" fontId="43" fillId="13" borderId="50" xfId="0" applyFont="1" applyFill="1" applyBorder="1" applyAlignment="1">
      <alignment horizontal="left" vertical="top" wrapText="1"/>
    </xf>
    <xf numFmtId="0" fontId="43" fillId="13" borderId="38" xfId="0" applyFont="1" applyFill="1" applyBorder="1" applyAlignment="1">
      <alignment horizontal="left" vertical="top" wrapText="1"/>
    </xf>
    <xf numFmtId="38" fontId="9" fillId="13" borderId="94"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0" fontId="46" fillId="5" borderId="51" xfId="0" applyFont="1" applyFill="1" applyBorder="1" applyAlignment="1" applyProtection="1">
      <alignment horizontal="center" vertical="center"/>
      <protection locked="0"/>
    </xf>
    <xf numFmtId="0" fontId="46" fillId="5" borderId="52" xfId="0"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0" fontId="43" fillId="13" borderId="75" xfId="0" applyFont="1" applyFill="1" applyBorder="1" applyAlignment="1">
      <alignment horizontal="left" vertical="top" wrapText="1"/>
    </xf>
    <xf numFmtId="0" fontId="43" fillId="13" borderId="79" xfId="0" applyFont="1" applyFill="1" applyBorder="1" applyAlignment="1">
      <alignment horizontal="left" vertical="top" wrapText="1"/>
    </xf>
    <xf numFmtId="0" fontId="43" fillId="13" borderId="76" xfId="0" applyFont="1" applyFill="1" applyBorder="1" applyAlignment="1">
      <alignment horizontal="left" vertical="top" wrapText="1"/>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113" fillId="0" borderId="75" xfId="0" applyFont="1" applyBorder="1" applyAlignment="1">
      <alignment horizontal="center" vertical="center" wrapText="1"/>
    </xf>
    <xf numFmtId="0" fontId="113" fillId="0" borderId="79" xfId="0" applyFont="1" applyBorder="1" applyAlignment="1">
      <alignment horizontal="center" vertical="center" wrapText="1"/>
    </xf>
    <xf numFmtId="0" fontId="113" fillId="0" borderId="76" xfId="0" applyFont="1" applyBorder="1" applyAlignment="1">
      <alignment horizontal="center" vertical="center" wrapText="1"/>
    </xf>
    <xf numFmtId="0" fontId="50" fillId="0" borderId="42" xfId="0" applyFont="1" applyBorder="1" applyAlignment="1">
      <alignment horizontal="left" vertical="top" wrapText="1"/>
    </xf>
    <xf numFmtId="0" fontId="50" fillId="0" borderId="20" xfId="0" applyFont="1" applyBorder="1" applyAlignment="1">
      <alignment horizontal="left" vertical="top" wrapText="1"/>
    </xf>
    <xf numFmtId="0" fontId="50" fillId="0" borderId="86"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10" fillId="20" borderId="7" xfId="0" applyFont="1" applyFill="1" applyBorder="1" applyAlignment="1">
      <alignment horizontal="center" vertical="center" wrapText="1"/>
    </xf>
    <xf numFmtId="0" fontId="110"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50" fillId="0" borderId="43" xfId="0" applyFont="1" applyBorder="1" applyAlignment="1">
      <alignment horizontal="left" vertical="top" wrapText="1"/>
    </xf>
    <xf numFmtId="0" fontId="50" fillId="0" borderId="19" xfId="0" applyFont="1" applyBorder="1" applyAlignment="1">
      <alignment horizontal="left" vertical="top" wrapText="1"/>
    </xf>
    <xf numFmtId="0" fontId="50" fillId="0" borderId="32" xfId="0" applyFont="1" applyBorder="1" applyAlignment="1">
      <alignment horizontal="left" vertical="top" wrapText="1"/>
    </xf>
    <xf numFmtId="0" fontId="11" fillId="0" borderId="38" xfId="0" applyFont="1" applyBorder="1" applyAlignment="1">
      <alignment horizontal="center" vertical="center" wrapText="1"/>
    </xf>
    <xf numFmtId="0" fontId="43" fillId="10" borderId="30" xfId="0" applyFont="1" applyFill="1" applyBorder="1" applyAlignment="1" applyProtection="1">
      <alignment vertical="center" wrapText="1"/>
      <protection locked="0"/>
    </xf>
    <xf numFmtId="0" fontId="43" fillId="10" borderId="21" xfId="0" applyFont="1" applyFill="1" applyBorder="1" applyAlignment="1" applyProtection="1">
      <alignment vertical="center" wrapText="1"/>
      <protection locked="0"/>
    </xf>
    <xf numFmtId="0" fontId="43" fillId="10" borderId="31" xfId="0" applyFont="1" applyFill="1" applyBorder="1" applyAlignment="1" applyProtection="1">
      <alignment vertical="center" wrapText="1"/>
      <protection locked="0"/>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4" fontId="70" fillId="0" borderId="75" xfId="0" applyNumberFormat="1" applyFont="1" applyBorder="1" applyAlignment="1">
      <alignment horizontal="center" vertical="center"/>
    </xf>
    <xf numFmtId="4" fontId="70" fillId="0" borderId="79" xfId="0" applyNumberFormat="1" applyFont="1" applyBorder="1" applyAlignment="1">
      <alignment horizontal="center" vertical="center"/>
    </xf>
    <xf numFmtId="4" fontId="70" fillId="0" borderId="76" xfId="0" applyNumberFormat="1" applyFont="1" applyBorder="1" applyAlignment="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0" fontId="17" fillId="0" borderId="0" xfId="0" applyFont="1" applyAlignment="1">
      <alignment horizontal="center"/>
    </xf>
    <xf numFmtId="0" fontId="46" fillId="5" borderId="73" xfId="0" applyFont="1" applyFill="1" applyBorder="1" applyAlignment="1" applyProtection="1">
      <alignment horizontal="center" vertical="center"/>
      <protection locked="0"/>
    </xf>
    <xf numFmtId="0" fontId="43" fillId="0" borderId="0" xfId="0" applyFont="1" applyAlignment="1">
      <alignment horizontal="left" vertical="top" wrapText="1"/>
    </xf>
    <xf numFmtId="0" fontId="14" fillId="0" borderId="13" xfId="0" applyFont="1" applyBorder="1" applyAlignment="1">
      <alignment horizontal="center" vertical="center"/>
    </xf>
    <xf numFmtId="38" fontId="43" fillId="0" borderId="0" xfId="0" applyNumberFormat="1" applyFont="1" applyAlignment="1">
      <alignment horizontal="center" vertical="center"/>
    </xf>
    <xf numFmtId="38" fontId="84" fillId="0" borderId="0" xfId="0" applyNumberFormat="1" applyFont="1" applyAlignment="1">
      <alignment horizontal="center" vertical="center"/>
    </xf>
    <xf numFmtId="0" fontId="79" fillId="20" borderId="77" xfId="0" applyFont="1" applyFill="1" applyBorder="1" applyAlignment="1">
      <alignment horizontal="center" vertical="center" wrapText="1"/>
    </xf>
    <xf numFmtId="0" fontId="79" fillId="20" borderId="82" xfId="0" applyFont="1" applyFill="1" applyBorder="1" applyAlignment="1">
      <alignment horizontal="center" vertical="center" wrapText="1"/>
    </xf>
    <xf numFmtId="0" fontId="79" fillId="20" borderId="78" xfId="0" applyFont="1" applyFill="1" applyBorder="1" applyAlignment="1">
      <alignment horizontal="center" vertical="center" wrapText="1"/>
    </xf>
    <xf numFmtId="0" fontId="79" fillId="20" borderId="7" xfId="0" applyFont="1" applyFill="1" applyBorder="1" applyAlignment="1">
      <alignment horizontal="center" vertical="center" wrapText="1"/>
    </xf>
    <xf numFmtId="0" fontId="79" fillId="20" borderId="0" xfId="0" applyFont="1" applyFill="1" applyAlignment="1">
      <alignment horizontal="center" vertical="center" wrapText="1"/>
    </xf>
    <xf numFmtId="0" fontId="79" fillId="20" borderId="8" xfId="0" applyFont="1" applyFill="1" applyBorder="1" applyAlignment="1">
      <alignment horizontal="center" vertical="center" wrapText="1"/>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0" fontId="9" fillId="0" borderId="75" xfId="0" applyFont="1" applyBorder="1" applyAlignment="1">
      <alignment horizontal="center" vertical="center"/>
    </xf>
    <xf numFmtId="0" fontId="9" fillId="0" borderId="76" xfId="0" applyFont="1" applyBorder="1" applyAlignment="1">
      <alignment horizontal="center" vertical="center"/>
    </xf>
    <xf numFmtId="0" fontId="43" fillId="13" borderId="28" xfId="0" applyFont="1" applyFill="1" applyBorder="1" applyAlignment="1">
      <alignment horizontal="left" vertical="top" wrapText="1"/>
    </xf>
    <xf numFmtId="0" fontId="43" fillId="13" borderId="57" xfId="0" applyFont="1" applyFill="1" applyBorder="1" applyAlignment="1">
      <alignment horizontal="left" vertical="top" wrapText="1"/>
    </xf>
    <xf numFmtId="0" fontId="43" fillId="13" borderId="72" xfId="0" applyFont="1" applyFill="1" applyBorder="1" applyAlignment="1">
      <alignment horizontal="left" vertical="top" wrapText="1"/>
    </xf>
    <xf numFmtId="0" fontId="43" fillId="13" borderId="51" xfId="0" applyFont="1" applyFill="1" applyBorder="1" applyAlignment="1">
      <alignment horizontal="left" vertical="top" wrapText="1"/>
    </xf>
    <xf numFmtId="0" fontId="43" fillId="13" borderId="52" xfId="0" applyFont="1" applyFill="1" applyBorder="1" applyAlignment="1">
      <alignment horizontal="left" vertical="top" wrapText="1"/>
    </xf>
    <xf numFmtId="0" fontId="15" fillId="0" borderId="113" xfId="0" applyFont="1" applyBorder="1" applyAlignment="1">
      <alignment horizontal="center" vertical="top" wrapText="1"/>
    </xf>
    <xf numFmtId="0" fontId="15" fillId="0" borderId="78" xfId="0" applyFont="1" applyBorder="1" applyAlignment="1">
      <alignment horizontal="center" vertical="top" wrapText="1"/>
    </xf>
    <xf numFmtId="0" fontId="45" fillId="0" borderId="13" xfId="0" applyFont="1" applyBorder="1" applyAlignment="1">
      <alignment horizontal="center" vertical="center" wrapText="1"/>
    </xf>
    <xf numFmtId="0" fontId="43" fillId="0" borderId="75" xfId="0" applyFont="1" applyBorder="1" applyAlignment="1">
      <alignment horizontal="center" vertical="center"/>
    </xf>
    <xf numFmtId="0" fontId="43" fillId="0" borderId="76" xfId="0" applyFont="1" applyBorder="1" applyAlignment="1">
      <alignment horizontal="center" vertical="center"/>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3" fillId="0" borderId="13" xfId="0" applyFont="1" applyBorder="1" applyAlignment="1">
      <alignment horizontal="center"/>
    </xf>
    <xf numFmtId="0" fontId="50" fillId="0" borderId="113" xfId="0" applyFont="1" applyBorder="1" applyAlignment="1">
      <alignment horizontal="left" vertical="top" wrapText="1"/>
    </xf>
    <xf numFmtId="0" fontId="50" fillId="0" borderId="82" xfId="0" applyFont="1" applyBorder="1" applyAlignment="1">
      <alignment horizontal="left" vertical="top" wrapText="1"/>
    </xf>
    <xf numFmtId="49" fontId="101" fillId="20" borderId="0" xfId="0" applyNumberFormat="1" applyFont="1" applyFill="1" applyAlignment="1">
      <alignment horizontal="center" vertical="center"/>
    </xf>
    <xf numFmtId="0" fontId="45" fillId="0" borderId="0" xfId="0" applyFont="1" applyAlignment="1">
      <alignment horizontal="center"/>
    </xf>
    <xf numFmtId="0" fontId="234" fillId="0" borderId="7" xfId="0" applyFont="1" applyBorder="1" applyAlignment="1">
      <alignment horizontal="center" vertical="center"/>
    </xf>
    <xf numFmtId="0" fontId="234" fillId="0" borderId="0" xfId="0" applyFont="1" applyAlignment="1">
      <alignment horizontal="center" vertical="center"/>
    </xf>
    <xf numFmtId="0" fontId="105" fillId="10" borderId="77" xfId="0" applyFont="1" applyFill="1" applyBorder="1" applyAlignment="1" applyProtection="1">
      <alignment horizontal="center" vertical="center"/>
      <protection locked="0"/>
    </xf>
    <xf numFmtId="0" fontId="105" fillId="10" borderId="82" xfId="0" applyFont="1" applyFill="1" applyBorder="1" applyAlignment="1" applyProtection="1">
      <alignment horizontal="center" vertical="center"/>
      <protection locked="0"/>
    </xf>
    <xf numFmtId="0" fontId="105" fillId="10" borderId="78" xfId="0" applyFont="1" applyFill="1" applyBorder="1" applyAlignment="1" applyProtection="1">
      <alignment horizontal="center" vertical="center"/>
      <protection locked="0"/>
    </xf>
    <xf numFmtId="0" fontId="105" fillId="10" borderId="9" xfId="0" applyFont="1" applyFill="1" applyBorder="1" applyAlignment="1" applyProtection="1">
      <alignment horizontal="center" vertical="center"/>
      <protection locked="0"/>
    </xf>
    <xf numFmtId="0" fontId="105" fillId="10" borderId="13" xfId="0" applyFont="1" applyFill="1" applyBorder="1" applyAlignment="1" applyProtection="1">
      <alignment horizontal="center" vertical="center"/>
      <protection locked="0"/>
    </xf>
    <xf numFmtId="0" fontId="105" fillId="10" borderId="14" xfId="0" applyFont="1" applyFill="1" applyBorder="1" applyAlignment="1" applyProtection="1">
      <alignment horizontal="center" vertical="center"/>
      <protection locked="0"/>
    </xf>
    <xf numFmtId="0" fontId="157" fillId="0" borderId="0" xfId="0" applyFont="1" applyAlignment="1">
      <alignment horizontal="center" vertical="top" wrapText="1"/>
    </xf>
    <xf numFmtId="0" fontId="43" fillId="5" borderId="116" xfId="0" applyFont="1" applyFill="1" applyBorder="1" applyAlignment="1" applyProtection="1">
      <alignment horizontal="left" vertical="top" wrapText="1"/>
      <protection locked="0"/>
    </xf>
    <xf numFmtId="0" fontId="43" fillId="5" borderId="117" xfId="0" applyFont="1" applyFill="1" applyBorder="1" applyAlignment="1" applyProtection="1">
      <alignment horizontal="left" vertical="top" wrapText="1"/>
      <protection locked="0"/>
    </xf>
    <xf numFmtId="0" fontId="43" fillId="5" borderId="118" xfId="0" applyFont="1" applyFill="1" applyBorder="1" applyAlignment="1" applyProtection="1">
      <alignment horizontal="left" vertical="top" wrapText="1"/>
      <protection locked="0"/>
    </xf>
    <xf numFmtId="0" fontId="156" fillId="0" borderId="0" xfId="0" applyFont="1" applyAlignment="1">
      <alignment horizontal="center" vertical="top" wrapText="1"/>
    </xf>
    <xf numFmtId="0" fontId="169"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75" fontId="5" fillId="5" borderId="18" xfId="0" applyNumberFormat="1" applyFont="1" applyFill="1" applyBorder="1" applyAlignment="1" applyProtection="1">
      <alignment horizontal="center" vertical="center"/>
      <protection locked="0"/>
    </xf>
    <xf numFmtId="10" fontId="91" fillId="0" borderId="74" xfId="0" applyNumberFormat="1" applyFont="1" applyBorder="1" applyAlignment="1">
      <alignment horizontal="center" vertical="center"/>
    </xf>
    <xf numFmtId="10" fontId="91"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125" xfId="0" applyNumberFormat="1" applyFont="1" applyFill="1" applyBorder="1" applyAlignment="1">
      <alignment horizontal="center" vertical="center"/>
    </xf>
    <xf numFmtId="10" fontId="14" fillId="13" borderId="126" xfId="0" applyNumberFormat="1" applyFont="1" applyFill="1" applyBorder="1" applyAlignment="1">
      <alignment horizontal="center" vertical="center"/>
    </xf>
    <xf numFmtId="10" fontId="14" fillId="13" borderId="127" xfId="0" applyNumberFormat="1" applyFont="1" applyFill="1" applyBorder="1" applyAlignment="1">
      <alignment horizontal="center" vertical="center"/>
    </xf>
    <xf numFmtId="49" fontId="43" fillId="10" borderId="75"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49" fontId="43" fillId="10" borderId="76" xfId="0" applyNumberFormat="1" applyFont="1" applyFill="1" applyBorder="1" applyAlignment="1" applyProtection="1">
      <alignment horizontal="left" vertical="center" wrapText="1"/>
      <protection locked="0"/>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38" fontId="4" fillId="0" borderId="75" xfId="0" applyNumberFormat="1" applyFont="1" applyBorder="1" applyAlignment="1">
      <alignment horizontal="center" vertical="center"/>
    </xf>
    <xf numFmtId="38" fontId="4" fillId="0" borderId="76" xfId="0" applyNumberFormat="1" applyFont="1" applyBorder="1" applyAlignment="1">
      <alignment horizontal="center" vertical="center"/>
    </xf>
    <xf numFmtId="0" fontId="5" fillId="5" borderId="75" xfId="0" applyFont="1" applyFill="1" applyBorder="1" applyAlignment="1" applyProtection="1">
      <alignment horizontal="left" vertical="top" wrapText="1"/>
      <protection locked="0"/>
    </xf>
    <xf numFmtId="0" fontId="5" fillId="5" borderId="79" xfId="0" applyFont="1" applyFill="1" applyBorder="1" applyAlignment="1" applyProtection="1">
      <alignment horizontal="left" vertical="top" wrapText="1"/>
      <protection locked="0"/>
    </xf>
    <xf numFmtId="0" fontId="5" fillId="5" borderId="76" xfId="0" applyFont="1" applyFill="1" applyBorder="1" applyAlignment="1" applyProtection="1">
      <alignment horizontal="left" vertical="top" wrapText="1"/>
      <protection locked="0"/>
    </xf>
    <xf numFmtId="0" fontId="5" fillId="0" borderId="13" xfId="0" applyFont="1" applyBorder="1" applyAlignment="1">
      <alignment horizontal="left" vertical="center" wrapText="1"/>
    </xf>
    <xf numFmtId="10" fontId="105" fillId="0" borderId="74" xfId="0" applyNumberFormat="1" applyFont="1" applyBorder="1" applyAlignment="1">
      <alignment horizontal="center" vertical="center"/>
    </xf>
    <xf numFmtId="10" fontId="105" fillId="0" borderId="71" xfId="0" applyNumberFormat="1" applyFont="1" applyBorder="1" applyAlignment="1">
      <alignment horizontal="center" vertical="center"/>
    </xf>
    <xf numFmtId="0" fontId="200"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6" fillId="0" borderId="74" xfId="0" applyNumberFormat="1" applyFont="1" applyBorder="1" applyAlignment="1">
      <alignment horizontal="center" vertical="center"/>
    </xf>
    <xf numFmtId="3" fontId="146" fillId="0" borderId="71" xfId="0" applyNumberFormat="1" applyFont="1" applyBorder="1" applyAlignment="1">
      <alignment horizontal="center" vertical="center"/>
    </xf>
    <xf numFmtId="0" fontId="113" fillId="0" borderId="74" xfId="0" applyFont="1" applyBorder="1" applyAlignment="1">
      <alignment horizontal="center" vertical="center"/>
    </xf>
    <xf numFmtId="0" fontId="113" fillId="0" borderId="71" xfId="0" applyFont="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3" fontId="9" fillId="10" borderId="75" xfId="0" applyNumberFormat="1" applyFont="1" applyFill="1" applyBorder="1" applyAlignment="1" applyProtection="1">
      <alignment horizontal="left" vertical="center"/>
      <protection locked="0"/>
    </xf>
    <xf numFmtId="3" fontId="9" fillId="10" borderId="76" xfId="0" applyNumberFormat="1" applyFont="1" applyFill="1" applyBorder="1" applyAlignment="1" applyProtection="1">
      <alignment horizontal="left" vertical="center"/>
      <protection locked="0"/>
    </xf>
    <xf numFmtId="3" fontId="9" fillId="13" borderId="75" xfId="0" applyNumberFormat="1" applyFont="1" applyFill="1" applyBorder="1" applyAlignment="1">
      <alignment horizontal="center" vertical="center"/>
    </xf>
    <xf numFmtId="3" fontId="9" fillId="13" borderId="76" xfId="0" applyNumberFormat="1" applyFont="1" applyFill="1" applyBorder="1" applyAlignment="1">
      <alignment horizontal="center" vertical="center"/>
    </xf>
    <xf numFmtId="38" fontId="4" fillId="0" borderId="79" xfId="0" applyNumberFormat="1" applyFont="1" applyBorder="1" applyAlignment="1">
      <alignment horizontal="center" vertical="center"/>
    </xf>
    <xf numFmtId="4" fontId="70" fillId="0" borderId="33" xfId="0" applyNumberFormat="1" applyFont="1" applyBorder="1" applyAlignment="1">
      <alignment horizontal="center" vertical="center"/>
    </xf>
    <xf numFmtId="4" fontId="70"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11" fillId="0" borderId="0" xfId="0" applyFont="1" applyAlignment="1">
      <alignment horizontal="center" wrapText="1"/>
    </xf>
    <xf numFmtId="0" fontId="111" fillId="0" borderId="13" xfId="0" applyFont="1" applyBorder="1" applyAlignment="1">
      <alignment horizontal="center" wrapText="1"/>
    </xf>
    <xf numFmtId="0" fontId="43" fillId="10" borderId="125" xfId="0" applyFont="1" applyFill="1" applyBorder="1" applyAlignment="1" applyProtection="1">
      <alignment horizontal="left" vertical="center" wrapText="1"/>
      <protection locked="0"/>
    </xf>
    <xf numFmtId="0" fontId="43" fillId="10" borderId="126" xfId="0" applyFont="1" applyFill="1" applyBorder="1" applyAlignment="1" applyProtection="1">
      <alignment horizontal="left" vertical="center" wrapText="1"/>
      <protection locked="0"/>
    </xf>
    <xf numFmtId="0" fontId="43" fillId="10" borderId="127" xfId="0" applyFont="1" applyFill="1" applyBorder="1" applyAlignment="1" applyProtection="1">
      <alignment horizontal="left" vertical="center" wrapText="1"/>
      <protection locked="0"/>
    </xf>
    <xf numFmtId="0" fontId="104" fillId="0" borderId="0" xfId="0" applyFont="1" applyAlignment="1">
      <alignment horizontal="center" vertical="center" wrapText="1"/>
    </xf>
    <xf numFmtId="0" fontId="46" fillId="5" borderId="48" xfId="0" applyFont="1" applyFill="1" applyBorder="1" applyAlignment="1" applyProtection="1">
      <alignment horizontal="center" vertical="center"/>
      <protection locked="0"/>
    </xf>
    <xf numFmtId="0" fontId="46" fillId="5" borderId="49" xfId="0" applyFont="1" applyFill="1" applyBorder="1" applyAlignment="1" applyProtection="1">
      <alignment horizontal="center" vertical="center"/>
      <protection locked="0"/>
    </xf>
    <xf numFmtId="0" fontId="46" fillId="5" borderId="28" xfId="0" applyFont="1" applyFill="1" applyBorder="1" applyAlignment="1" applyProtection="1">
      <alignment horizontal="center" vertical="center"/>
      <protection locked="0"/>
    </xf>
    <xf numFmtId="0" fontId="46"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46" fillId="13" borderId="87" xfId="0" applyFont="1" applyFill="1" applyBorder="1" applyAlignment="1">
      <alignment horizontal="center" vertical="center"/>
    </xf>
    <xf numFmtId="0" fontId="46" fillId="13" borderId="34" xfId="0" applyFont="1" applyFill="1" applyBorder="1" applyAlignment="1">
      <alignment horizontal="center" vertical="center"/>
    </xf>
    <xf numFmtId="0" fontId="46" fillId="13" borderId="49" xfId="0" applyFont="1" applyFill="1" applyBorder="1" applyAlignment="1">
      <alignment horizontal="center" vertical="center"/>
    </xf>
    <xf numFmtId="0" fontId="46" fillId="13" borderId="24" xfId="0" applyFont="1" applyFill="1" applyBorder="1" applyAlignment="1">
      <alignment horizontal="center" vertical="center"/>
    </xf>
    <xf numFmtId="0" fontId="98" fillId="0" borderId="0" xfId="0" applyFont="1" applyAlignment="1">
      <alignment horizontal="center" vertical="center"/>
    </xf>
    <xf numFmtId="38" fontId="9" fillId="5" borderId="94"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11" fillId="0" borderId="0" xfId="0" applyFont="1" applyAlignment="1">
      <alignment horizontal="left" vertical="top" wrapText="1"/>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6" fillId="13" borderId="90" xfId="0" applyFont="1" applyFill="1" applyBorder="1" applyAlignment="1">
      <alignment horizontal="center" vertical="center"/>
    </xf>
    <xf numFmtId="0" fontId="46" fillId="13" borderId="29" xfId="0"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9" xfId="0" applyFont="1" applyBorder="1" applyAlignment="1">
      <alignment horizontal="center" wrapText="1"/>
    </xf>
    <xf numFmtId="0" fontId="43" fillId="10" borderId="125" xfId="0" applyFont="1" applyFill="1" applyBorder="1" applyAlignment="1" applyProtection="1">
      <alignment vertical="center" wrapText="1"/>
      <protection locked="0"/>
    </xf>
    <xf numFmtId="0" fontId="43" fillId="10" borderId="126" xfId="0" applyFont="1" applyFill="1" applyBorder="1" applyAlignment="1" applyProtection="1">
      <alignment vertical="center" wrapText="1"/>
      <protection locked="0"/>
    </xf>
    <xf numFmtId="0" fontId="43" fillId="10" borderId="127" xfId="0" applyFont="1" applyFill="1" applyBorder="1" applyAlignment="1" applyProtection="1">
      <alignment vertical="center" wrapText="1"/>
      <protection locked="0"/>
    </xf>
    <xf numFmtId="0" fontId="15" fillId="5" borderId="125" xfId="0" applyFont="1" applyFill="1" applyBorder="1" applyAlignment="1" applyProtection="1">
      <alignment vertical="center"/>
      <protection locked="0"/>
    </xf>
    <xf numFmtId="0" fontId="15" fillId="5" borderId="127" xfId="0" applyFont="1" applyFill="1" applyBorder="1" applyAlignment="1" applyProtection="1">
      <alignment vertical="center"/>
      <protection locked="0"/>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3" fillId="10" borderId="26" xfId="0" applyFont="1" applyFill="1" applyBorder="1" applyAlignment="1" applyProtection="1">
      <alignment horizontal="left" vertical="top" wrapText="1"/>
      <protection locked="0"/>
    </xf>
    <xf numFmtId="0" fontId="43" fillId="10" borderId="19" xfId="0" applyFont="1" applyFill="1" applyBorder="1" applyAlignment="1" applyProtection="1">
      <alignment horizontal="left" vertical="top" wrapText="1"/>
      <protection locked="0"/>
    </xf>
    <xf numFmtId="0" fontId="43" fillId="10" borderId="32" xfId="0" applyFont="1" applyFill="1" applyBorder="1" applyAlignment="1" applyProtection="1">
      <alignment horizontal="left" vertical="top" wrapText="1"/>
      <protection locked="0"/>
    </xf>
    <xf numFmtId="0" fontId="43" fillId="10" borderId="7" xfId="0" applyFont="1" applyFill="1" applyBorder="1" applyAlignment="1" applyProtection="1">
      <alignment horizontal="left" vertical="top" wrapText="1"/>
      <protection locked="0"/>
    </xf>
    <xf numFmtId="0" fontId="43" fillId="10" borderId="0" xfId="0" applyFont="1" applyFill="1" applyAlignment="1" applyProtection="1">
      <alignment horizontal="left" vertical="top" wrapText="1"/>
      <protection locked="0"/>
    </xf>
    <xf numFmtId="0" fontId="43" fillId="10" borderId="8" xfId="0" applyFont="1" applyFill="1" applyBorder="1" applyAlignment="1" applyProtection="1">
      <alignment horizontal="left" vertical="top" wrapText="1"/>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86" xfId="0" applyFont="1" applyFill="1" applyBorder="1" applyAlignment="1" applyProtection="1">
      <alignment horizontal="left" vertical="top" wrapText="1"/>
      <protection locked="0"/>
    </xf>
    <xf numFmtId="0" fontId="43" fillId="10" borderId="9" xfId="0" applyFont="1" applyFill="1" applyBorder="1" applyAlignment="1" applyProtection="1">
      <alignment horizontal="left" vertical="top" wrapText="1"/>
      <protection locked="0"/>
    </xf>
    <xf numFmtId="0" fontId="43" fillId="10" borderId="13" xfId="0" applyFont="1" applyFill="1" applyBorder="1" applyAlignment="1" applyProtection="1">
      <alignment horizontal="left" vertical="top" wrapText="1"/>
      <protection locked="0"/>
    </xf>
    <xf numFmtId="0" fontId="43" fillId="10" borderId="14" xfId="0" applyFont="1" applyFill="1" applyBorder="1" applyAlignment="1" applyProtection="1">
      <alignment horizontal="left" vertical="top" wrapText="1"/>
      <protection locked="0"/>
    </xf>
    <xf numFmtId="0" fontId="43" fillId="0" borderId="8" xfId="0" applyFont="1" applyBorder="1" applyAlignment="1">
      <alignment horizontal="left" vertical="center" wrapText="1"/>
    </xf>
    <xf numFmtId="38" fontId="9" fillId="5" borderId="81" xfId="0" applyNumberFormat="1" applyFont="1" applyFill="1" applyBorder="1" applyAlignment="1" applyProtection="1">
      <alignment horizontal="center" vertical="center"/>
      <protection locked="0"/>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81" xfId="0" applyNumberFormat="1" applyFont="1" applyFill="1" applyBorder="1" applyAlignment="1">
      <alignment horizontal="center" vertical="center"/>
    </xf>
    <xf numFmtId="38" fontId="9" fillId="13" borderId="22" xfId="0" applyNumberFormat="1" applyFont="1" applyFill="1" applyBorder="1" applyAlignment="1">
      <alignment horizontal="center" vertical="center"/>
    </xf>
    <xf numFmtId="0" fontId="234" fillId="0" borderId="9" xfId="0" applyFont="1" applyBorder="1" applyAlignment="1">
      <alignment horizontal="center" vertical="center"/>
    </xf>
    <xf numFmtId="0" fontId="234" fillId="0" borderId="13" xfId="0" applyFont="1" applyBorder="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76" fillId="0" borderId="9" xfId="0" applyFont="1" applyBorder="1" applyAlignment="1">
      <alignment horizontal="center" vertical="center" wrapText="1"/>
    </xf>
    <xf numFmtId="0" fontId="76" fillId="0" borderId="13" xfId="0" applyFont="1" applyBorder="1" applyAlignment="1">
      <alignment horizontal="center" vertical="center" wrapText="1"/>
    </xf>
    <xf numFmtId="0" fontId="70" fillId="20" borderId="7" xfId="0" applyFont="1" applyFill="1" applyBorder="1" applyAlignment="1">
      <alignment horizontal="center" vertical="center" wrapText="1"/>
    </xf>
    <xf numFmtId="0" fontId="70" fillId="20" borderId="0" xfId="0" applyFont="1" applyFill="1" applyAlignment="1">
      <alignment horizontal="center" vertical="center" wrapText="1"/>
    </xf>
    <xf numFmtId="0" fontId="79" fillId="20" borderId="0" xfId="0" applyFont="1" applyFill="1" applyAlignment="1">
      <alignment horizontal="left" vertical="center" wrapText="1"/>
    </xf>
    <xf numFmtId="0" fontId="43" fillId="10" borderId="33" xfId="0" applyFont="1" applyFill="1" applyBorder="1" applyAlignment="1" applyProtection="1">
      <alignment vertical="center" wrapText="1"/>
      <protection locked="0"/>
    </xf>
    <xf numFmtId="0" fontId="43" fillId="10" borderId="58" xfId="0" applyFont="1" applyFill="1" applyBorder="1" applyAlignment="1" applyProtection="1">
      <alignment vertical="center" wrapText="1"/>
      <protection locked="0"/>
    </xf>
    <xf numFmtId="0" fontId="43"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15" fillId="13" borderId="125" xfId="0" applyFont="1" applyFill="1" applyBorder="1" applyAlignment="1">
      <alignment horizontal="center" vertical="center"/>
    </xf>
    <xf numFmtId="0" fontId="15" fillId="13" borderId="127" xfId="0" applyFont="1" applyFill="1" applyBorder="1" applyAlignment="1">
      <alignment horizontal="center" vertical="center"/>
    </xf>
    <xf numFmtId="0" fontId="6" fillId="0" borderId="0" xfId="13" applyFont="1" applyAlignment="1">
      <alignment horizontal="center"/>
    </xf>
    <xf numFmtId="6" fontId="6" fillId="0" borderId="0" xfId="13" applyNumberFormat="1" applyFont="1" applyAlignment="1">
      <alignment horizontal="center"/>
    </xf>
    <xf numFmtId="0" fontId="117" fillId="0" borderId="0" xfId="13" applyFont="1"/>
    <xf numFmtId="0" fontId="116" fillId="0" borderId="0" xfId="13" applyFont="1"/>
    <xf numFmtId="0" fontId="116" fillId="0" borderId="0" xfId="13" applyFont="1" applyAlignment="1">
      <alignment horizontal="center"/>
    </xf>
    <xf numFmtId="0" fontId="10" fillId="0" borderId="0" xfId="13" applyFont="1" applyAlignment="1">
      <alignment horizontal="justify" vertical="top" wrapText="1"/>
    </xf>
    <xf numFmtId="0" fontId="116" fillId="0" borderId="0" xfId="13" applyFont="1" applyAlignment="1">
      <alignment horizontal="justify" vertical="top" wrapText="1"/>
    </xf>
    <xf numFmtId="0" fontId="134"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131" fillId="10" borderId="0" xfId="13" applyFont="1" applyFill="1" applyAlignment="1">
      <alignment horizontal="left" vertical="top" wrapText="1"/>
    </xf>
    <xf numFmtId="0" fontId="10" fillId="7" borderId="0" xfId="13" applyFont="1" applyFill="1" applyAlignment="1">
      <alignment horizontal="justify" vertical="top" wrapText="1"/>
    </xf>
    <xf numFmtId="0" fontId="134" fillId="0" borderId="0" xfId="13" applyFont="1" applyAlignment="1">
      <alignment horizontal="left" vertical="top" wrapText="1"/>
    </xf>
    <xf numFmtId="0" fontId="10" fillId="0" borderId="0" xfId="13" applyFont="1" applyAlignment="1">
      <alignment vertical="top" wrapText="1"/>
    </xf>
    <xf numFmtId="0" fontId="10" fillId="10" borderId="0" xfId="13" applyFont="1" applyFill="1" applyAlignment="1">
      <alignment horizontal="left" vertical="top"/>
    </xf>
    <xf numFmtId="0" fontId="134" fillId="0" borderId="0" xfId="13" applyFont="1" applyAlignment="1">
      <alignment horizontal="left"/>
    </xf>
    <xf numFmtId="0" fontId="134" fillId="0" borderId="0" xfId="13" applyFont="1"/>
    <xf numFmtId="0" fontId="136" fillId="0" borderId="0" xfId="13" applyFont="1" applyAlignment="1">
      <alignment horizontal="justify" vertical="top" wrapText="1"/>
    </xf>
    <xf numFmtId="0" fontId="131" fillId="10" borderId="40" xfId="13" applyFont="1" applyFill="1" applyBorder="1" applyAlignment="1">
      <alignment horizontal="left" vertical="top" wrapText="1"/>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4" fillId="0" borderId="0" xfId="10" applyFont="1" applyAlignment="1" applyProtection="1">
      <alignment horizontal="justify" vertical="top" wrapText="1"/>
    </xf>
    <xf numFmtId="0" fontId="115" fillId="0" borderId="0" xfId="13" applyFont="1" applyAlignment="1">
      <alignment horizontal="justify" vertical="top" wrapText="1"/>
    </xf>
    <xf numFmtId="0" fontId="116" fillId="10" borderId="38" xfId="13" applyFont="1" applyFill="1" applyBorder="1" applyAlignment="1">
      <alignment horizontal="left" vertical="center"/>
    </xf>
    <xf numFmtId="0" fontId="116" fillId="0" borderId="0" xfId="13" applyFont="1" applyAlignment="1">
      <alignment horizontal="left" vertical="center"/>
    </xf>
    <xf numFmtId="0" fontId="116" fillId="10" borderId="0" xfId="13" applyFont="1" applyFill="1" applyAlignment="1">
      <alignment horizontal="left" vertical="center"/>
    </xf>
    <xf numFmtId="0" fontId="116" fillId="10" borderId="20" xfId="13" applyFont="1" applyFill="1" applyBorder="1" applyAlignment="1">
      <alignment horizontal="left" vertical="center"/>
    </xf>
    <xf numFmtId="0" fontId="116" fillId="10" borderId="21" xfId="13" applyFont="1" applyFill="1" applyBorder="1" applyAlignment="1">
      <alignment horizontal="left" vertical="center"/>
    </xf>
    <xf numFmtId="0" fontId="116" fillId="10" borderId="74" xfId="13" applyFont="1" applyFill="1" applyBorder="1" applyAlignment="1">
      <alignment horizontal="left"/>
    </xf>
    <xf numFmtId="0" fontId="116" fillId="10" borderId="71" xfId="13" applyFont="1" applyFill="1" applyBorder="1" applyAlignment="1">
      <alignment horizontal="left"/>
    </xf>
    <xf numFmtId="0" fontId="116" fillId="5" borderId="0" xfId="0" applyFont="1" applyFill="1" applyAlignment="1">
      <alignment horizontal="left" vertical="center"/>
    </xf>
    <xf numFmtId="180" fontId="116" fillId="0" borderId="0" xfId="13" applyNumberFormat="1" applyFont="1" applyAlignment="1">
      <alignment horizontal="left" vertical="center"/>
    </xf>
    <xf numFmtId="4" fontId="116" fillId="0" borderId="0" xfId="13" applyNumberFormat="1" applyFont="1" applyAlignment="1">
      <alignment horizontal="left" vertical="center"/>
    </xf>
    <xf numFmtId="0" fontId="127" fillId="0" borderId="40" xfId="13" applyFont="1" applyBorder="1" applyAlignment="1">
      <alignment horizontal="right"/>
    </xf>
    <xf numFmtId="0" fontId="127" fillId="0" borderId="0" xfId="13" applyFont="1" applyAlignment="1">
      <alignment horizontal="right"/>
    </xf>
    <xf numFmtId="165" fontId="26" fillId="0" borderId="75" xfId="13" applyNumberFormat="1" applyFont="1" applyBorder="1" applyAlignment="1">
      <alignment horizontal="center" vertical="center"/>
    </xf>
    <xf numFmtId="165" fontId="26" fillId="0" borderId="76" xfId="13" applyNumberFormat="1" applyFont="1" applyBorder="1" applyAlignment="1">
      <alignment horizontal="center" vertical="center"/>
    </xf>
    <xf numFmtId="0" fontId="148" fillId="0" borderId="0" xfId="13" applyFont="1" applyAlignment="1">
      <alignment horizontal="center" vertical="center"/>
    </xf>
    <xf numFmtId="0" fontId="224"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6" fillId="10" borderId="0" xfId="13" applyFont="1" applyFill="1" applyAlignment="1">
      <alignment horizontal="center" vertical="center" wrapText="1"/>
    </xf>
    <xf numFmtId="0" fontId="4" fillId="10" borderId="20" xfId="13" applyFill="1" applyBorder="1" applyAlignment="1">
      <alignment horizontal="left"/>
    </xf>
    <xf numFmtId="188" fontId="4" fillId="10" borderId="21" xfId="13" applyNumberFormat="1" applyFill="1" applyBorder="1" applyAlignment="1">
      <alignment horizontal="left" vertical="center"/>
    </xf>
    <xf numFmtId="0" fontId="4" fillId="10" borderId="13" xfId="13" applyFill="1" applyBorder="1" applyAlignment="1">
      <alignment horizontal="left" vertical="top"/>
    </xf>
    <xf numFmtId="0" fontId="4" fillId="0" borderId="0" xfId="13" applyAlignment="1">
      <alignment horizontal="left" wrapText="1"/>
    </xf>
    <xf numFmtId="0" fontId="9" fillId="10" borderId="13" xfId="13" applyFont="1" applyFill="1" applyBorder="1" applyAlignment="1">
      <alignment horizontal="left"/>
    </xf>
    <xf numFmtId="0" fontId="26" fillId="0" borderId="0" xfId="13" applyFont="1" applyAlignment="1">
      <alignment horizontal="center"/>
    </xf>
    <xf numFmtId="0" fontId="4" fillId="10" borderId="0" xfId="13" applyFill="1" applyAlignment="1">
      <alignment horizontal="left" vertical="top" wrapText="1"/>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111" xfId="13" applyFill="1" applyBorder="1" applyAlignment="1">
      <alignment horizontal="left" vertical="top" wrapText="1"/>
    </xf>
    <xf numFmtId="0" fontId="4" fillId="10" borderId="88" xfId="13" applyFill="1" applyBorder="1" applyAlignment="1">
      <alignment horizontal="left" vertical="top" wrapText="1"/>
    </xf>
    <xf numFmtId="164" fontId="210" fillId="13" borderId="30" xfId="34" applyNumberFormat="1" applyFont="1" applyFill="1" applyBorder="1" applyAlignment="1" applyProtection="1">
      <alignment horizontal="center" vertical="center"/>
      <protection locked="0"/>
    </xf>
    <xf numFmtId="164" fontId="210" fillId="13" borderId="180" xfId="34" applyNumberFormat="1" applyFont="1" applyFill="1" applyBorder="1" applyAlignment="1" applyProtection="1">
      <alignment horizontal="center" vertical="center"/>
      <protection locked="0"/>
    </xf>
    <xf numFmtId="164" fontId="210" fillId="13" borderId="125" xfId="34" applyNumberFormat="1" applyFont="1" applyFill="1" applyBorder="1" applyAlignment="1" applyProtection="1">
      <alignment horizontal="center" vertical="center"/>
      <protection locked="0"/>
    </xf>
    <xf numFmtId="164" fontId="210" fillId="13" borderId="179" xfId="34" applyNumberFormat="1" applyFont="1" applyFill="1" applyBorder="1" applyAlignment="1" applyProtection="1">
      <alignment horizontal="center" vertical="center"/>
      <protection locked="0"/>
    </xf>
    <xf numFmtId="164" fontId="212" fillId="13" borderId="75" xfId="34" applyNumberFormat="1" applyFont="1" applyFill="1" applyBorder="1" applyAlignment="1" applyProtection="1">
      <alignment horizontal="center" vertical="center"/>
      <protection locked="0"/>
    </xf>
    <xf numFmtId="164" fontId="212" fillId="13" borderId="148" xfId="34" applyNumberFormat="1" applyFont="1" applyFill="1" applyBorder="1" applyAlignment="1" applyProtection="1">
      <alignment horizontal="center" vertical="center"/>
      <protection locked="0"/>
    </xf>
    <xf numFmtId="164" fontId="210" fillId="13" borderId="75" xfId="34" applyNumberFormat="1" applyFont="1" applyFill="1" applyBorder="1" applyAlignment="1" applyProtection="1">
      <alignment horizontal="center" vertical="center"/>
      <protection locked="0"/>
    </xf>
    <xf numFmtId="164" fontId="210" fillId="13" borderId="148" xfId="34" applyNumberFormat="1" applyFont="1" applyFill="1" applyBorder="1" applyAlignment="1" applyProtection="1">
      <alignment horizontal="center" vertical="center"/>
      <protection locked="0"/>
    </xf>
    <xf numFmtId="0" fontId="210" fillId="13" borderId="33" xfId="33" applyFont="1" applyFill="1" applyBorder="1" applyAlignment="1" applyProtection="1">
      <alignment horizontal="center" vertical="center"/>
      <protection locked="0"/>
    </xf>
    <xf numFmtId="0" fontId="210" fillId="13" borderId="181" xfId="33" applyFont="1" applyFill="1" applyBorder="1" applyAlignment="1" applyProtection="1">
      <alignment horizontal="center" vertical="center"/>
      <protection locked="0"/>
    </xf>
    <xf numFmtId="37" fontId="216" fillId="13" borderId="33" xfId="34" applyNumberFormat="1" applyFont="1" applyFill="1" applyBorder="1" applyAlignment="1" applyProtection="1">
      <alignment horizontal="center" vertical="center"/>
      <protection locked="0"/>
    </xf>
    <xf numFmtId="37" fontId="216" fillId="13" borderId="34" xfId="34" applyNumberFormat="1" applyFont="1" applyFill="1" applyBorder="1" applyAlignment="1" applyProtection="1">
      <alignment horizontal="center" vertical="center"/>
      <protection locked="0"/>
    </xf>
    <xf numFmtId="37" fontId="216" fillId="13" borderId="30" xfId="34" applyNumberFormat="1" applyFont="1" applyFill="1" applyBorder="1" applyAlignment="1" applyProtection="1">
      <alignment horizontal="center" vertical="center"/>
      <protection locked="0"/>
    </xf>
    <xf numFmtId="37" fontId="216" fillId="13" borderId="31" xfId="34" applyNumberFormat="1" applyFont="1" applyFill="1" applyBorder="1" applyAlignment="1" applyProtection="1">
      <alignment horizontal="center" vertical="center"/>
      <protection locked="0"/>
    </xf>
    <xf numFmtId="0" fontId="211" fillId="13" borderId="83" xfId="33" applyFont="1" applyFill="1" applyBorder="1" applyAlignment="1">
      <alignment horizontal="center"/>
    </xf>
    <xf numFmtId="37" fontId="210" fillId="11" borderId="58" xfId="34" applyNumberFormat="1" applyFont="1" applyFill="1" applyBorder="1" applyAlignment="1" applyProtection="1">
      <alignment horizontal="center" vertical="center"/>
      <protection locked="0"/>
    </xf>
    <xf numFmtId="37" fontId="210" fillId="11" borderId="34" xfId="34" applyNumberFormat="1" applyFont="1" applyFill="1" applyBorder="1" applyAlignment="1" applyProtection="1">
      <alignment horizontal="center" vertical="center"/>
      <protection locked="0"/>
    </xf>
    <xf numFmtId="37" fontId="210" fillId="11" borderId="21" xfId="34" applyNumberFormat="1" applyFont="1" applyFill="1" applyBorder="1" applyAlignment="1" applyProtection="1">
      <alignment horizontal="center" vertical="center"/>
      <protection locked="0"/>
    </xf>
    <xf numFmtId="37" fontId="210" fillId="11" borderId="31" xfId="34" applyNumberFormat="1" applyFont="1" applyFill="1" applyBorder="1" applyAlignment="1" applyProtection="1">
      <alignment horizontal="center" vertical="center"/>
      <protection locked="0"/>
    </xf>
    <xf numFmtId="164" fontId="88" fillId="11" borderId="79" xfId="34" applyNumberFormat="1" applyFont="1" applyFill="1" applyBorder="1" applyAlignment="1">
      <alignment horizontal="center" wrapText="1"/>
    </xf>
    <xf numFmtId="164" fontId="88" fillId="11" borderId="76" xfId="34" applyNumberFormat="1" applyFont="1" applyFill="1" applyBorder="1" applyAlignment="1">
      <alignment horizontal="center" wrapText="1"/>
    </xf>
    <xf numFmtId="37" fontId="210" fillId="11" borderId="126" xfId="34" applyNumberFormat="1" applyFont="1" applyFill="1" applyBorder="1" applyAlignment="1" applyProtection="1">
      <alignment horizontal="center" vertical="center"/>
      <protection locked="0"/>
    </xf>
    <xf numFmtId="37" fontId="210" fillId="11" borderId="127" xfId="34" applyNumberFormat="1" applyFont="1" applyFill="1" applyBorder="1" applyAlignment="1" applyProtection="1">
      <alignment horizontal="center" vertical="center"/>
      <protection locked="0"/>
    </xf>
    <xf numFmtId="37" fontId="216" fillId="13" borderId="125" xfId="34" applyNumberFormat="1" applyFont="1" applyFill="1" applyBorder="1" applyAlignment="1" applyProtection="1">
      <alignment horizontal="center" vertical="center"/>
      <protection locked="0"/>
    </xf>
    <xf numFmtId="37" fontId="216" fillId="13" borderId="127" xfId="34" applyNumberFormat="1" applyFont="1" applyFill="1" applyBorder="1" applyAlignment="1" applyProtection="1">
      <alignment horizontal="center" vertical="center"/>
      <protection locked="0"/>
    </xf>
    <xf numFmtId="164" fontId="210" fillId="0" borderId="30" xfId="34" applyNumberFormat="1" applyFont="1" applyBorder="1" applyAlignment="1">
      <alignment horizontal="left" vertical="center"/>
    </xf>
    <xf numFmtId="164" fontId="210" fillId="0" borderId="21" xfId="34" applyNumberFormat="1" applyFont="1" applyBorder="1" applyAlignment="1">
      <alignment horizontal="left" vertical="center"/>
    </xf>
    <xf numFmtId="14" fontId="210" fillId="13" borderId="33" xfId="34" applyNumberFormat="1" applyFont="1" applyFill="1" applyBorder="1" applyAlignment="1" applyProtection="1">
      <alignment horizontal="left" vertical="center"/>
      <protection locked="0"/>
    </xf>
    <xf numFmtId="14" fontId="210" fillId="13" borderId="58" xfId="34" applyNumberFormat="1" applyFont="1" applyFill="1" applyBorder="1" applyAlignment="1" applyProtection="1">
      <alignment horizontal="left" vertical="center"/>
      <protection locked="0"/>
    </xf>
    <xf numFmtId="0" fontId="211" fillId="13" borderId="104" xfId="33" applyFont="1" applyFill="1" applyBorder="1" applyAlignment="1">
      <alignment horizontal="center"/>
    </xf>
    <xf numFmtId="0" fontId="211" fillId="13" borderId="129" xfId="33" applyFont="1" applyFill="1" applyBorder="1" applyAlignment="1">
      <alignment horizontal="center"/>
    </xf>
    <xf numFmtId="0" fontId="4" fillId="0" borderId="0" xfId="13" applyAlignment="1">
      <alignment horizontal="justify" vertical="top" wrapText="1"/>
    </xf>
    <xf numFmtId="0" fontId="160" fillId="0" borderId="56" xfId="13" applyFont="1" applyBorder="1" applyAlignment="1">
      <alignment horizontal="right" vertical="center"/>
    </xf>
    <xf numFmtId="0" fontId="160" fillId="0" borderId="1" xfId="13" applyFont="1" applyBorder="1" applyAlignment="1">
      <alignment horizontal="right" vertical="center"/>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4" fillId="0" borderId="0" xfId="13" applyFont="1" applyAlignment="1">
      <alignment horizontal="left" vertic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0" fontId="4" fillId="10" borderId="90"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7"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4" fillId="0" borderId="0" xfId="13" applyFont="1" applyAlignment="1">
      <alignment horizontal="center" wrapText="1"/>
    </xf>
    <xf numFmtId="0" fontId="116" fillId="0" borderId="56" xfId="13" applyFont="1" applyBorder="1" applyAlignment="1">
      <alignment horizontal="center" vertical="center"/>
    </xf>
    <xf numFmtId="0" fontId="116" fillId="0" borderId="1" xfId="13" applyFont="1" applyBorder="1" applyAlignment="1">
      <alignment horizontal="center" vertical="center"/>
    </xf>
    <xf numFmtId="0" fontId="116"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73" xfId="13" applyBorder="1" applyAlignment="1">
      <alignment horizontal="center" vertical="center"/>
    </xf>
    <xf numFmtId="0" fontId="4" fillId="0" borderId="174" xfId="13" applyBorder="1" applyAlignment="1">
      <alignment horizontal="center" vertical="center"/>
    </xf>
    <xf numFmtId="0" fontId="4" fillId="0" borderId="17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1" xfId="13" applyFont="1" applyBorder="1" applyAlignment="1">
      <alignment horizontal="center" wrapText="1"/>
    </xf>
    <xf numFmtId="0" fontId="5" fillId="0" borderId="47" xfId="13" applyFont="1" applyBorder="1" applyAlignment="1">
      <alignment horizontal="center" wrapText="1"/>
    </xf>
    <xf numFmtId="3" fontId="4" fillId="10" borderId="87"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90" xfId="13" applyNumberFormat="1" applyFill="1" applyBorder="1" applyAlignment="1">
      <alignment horizontal="center" vertical="center"/>
    </xf>
    <xf numFmtId="3" fontId="4" fillId="10" borderId="72" xfId="13" applyNumberFormat="1" applyFill="1" applyBorder="1" applyAlignment="1">
      <alignment horizontal="center" vertical="center"/>
    </xf>
    <xf numFmtId="3" fontId="160" fillId="0" borderId="0" xfId="13" applyNumberFormat="1" applyFont="1" applyAlignment="1">
      <alignment horizontal="center" vertical="center"/>
    </xf>
    <xf numFmtId="0" fontId="200" fillId="0" borderId="0" xfId="0" applyFont="1" applyAlignment="1">
      <alignment horizontal="center" vertical="center" wrapText="1"/>
    </xf>
    <xf numFmtId="0" fontId="50" fillId="0" borderId="128" xfId="0" applyFont="1" applyBorder="1" applyAlignment="1">
      <alignment horizontal="center" vertical="center" wrapText="1"/>
    </xf>
    <xf numFmtId="0" fontId="50" fillId="0" borderId="17" xfId="0" applyFont="1" applyBorder="1" applyAlignment="1">
      <alignment horizontal="center" vertical="center" wrapText="1"/>
    </xf>
    <xf numFmtId="0" fontId="48" fillId="0" borderId="81" xfId="0" applyFont="1" applyBorder="1" applyAlignment="1">
      <alignment horizontal="center" wrapText="1"/>
    </xf>
    <xf numFmtId="0" fontId="48" fillId="0" borderId="11" xfId="0" applyFont="1" applyBorder="1" applyAlignment="1">
      <alignment horizontal="center" wrapText="1"/>
    </xf>
    <xf numFmtId="9" fontId="43" fillId="0" borderId="18" xfId="10" applyFont="1" applyFill="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7" xfId="10" applyFont="1" applyFill="1" applyBorder="1" applyAlignment="1" applyProtection="1">
      <alignment horizontal="center" vertical="center"/>
    </xf>
    <xf numFmtId="9" fontId="43" fillId="20" borderId="18" xfId="10" applyFont="1" applyFill="1" applyBorder="1" applyAlignment="1" applyProtection="1">
      <alignment horizontal="center" vertical="center"/>
    </xf>
    <xf numFmtId="3" fontId="43" fillId="0" borderId="0" xfId="10" applyNumberFormat="1" applyFont="1" applyFill="1" applyBorder="1" applyAlignment="1" applyProtection="1">
      <alignment horizontal="center" vertical="center"/>
    </xf>
    <xf numFmtId="3" fontId="43" fillId="20" borderId="17" xfId="10" applyNumberFormat="1" applyFont="1" applyFill="1" applyBorder="1" applyAlignment="1" applyProtection="1">
      <alignment horizontal="center" vertical="center"/>
    </xf>
    <xf numFmtId="3" fontId="43" fillId="20" borderId="33" xfId="10" applyNumberFormat="1" applyFont="1" applyFill="1" applyBorder="1" applyAlignment="1" applyProtection="1">
      <alignment horizontal="center" vertical="center"/>
    </xf>
    <xf numFmtId="3" fontId="43" fillId="20" borderId="34" xfId="10" applyNumberFormat="1" applyFont="1" applyFill="1" applyBorder="1" applyAlignment="1" applyProtection="1">
      <alignment horizontal="center" vertical="center"/>
    </xf>
    <xf numFmtId="9" fontId="43" fillId="0" borderId="128" xfId="10" applyFont="1" applyFill="1" applyBorder="1" applyAlignment="1" applyProtection="1">
      <alignment horizontal="center" vertical="center"/>
    </xf>
    <xf numFmtId="3" fontId="43" fillId="0" borderId="83" xfId="10" applyNumberFormat="1" applyFont="1" applyFill="1" applyBorder="1" applyAlignment="1" applyProtection="1">
      <alignment horizontal="center" vertical="center"/>
    </xf>
    <xf numFmtId="3" fontId="43" fillId="0" borderId="14" xfId="10" applyNumberFormat="1" applyFont="1" applyBorder="1" applyAlignment="1" applyProtection="1">
      <alignment horizontal="center" vertical="center"/>
    </xf>
    <xf numFmtId="3" fontId="43" fillId="0" borderId="9" xfId="10" applyNumberFormat="1" applyFont="1" applyBorder="1" applyAlignment="1" applyProtection="1">
      <alignment horizontal="center" vertical="center"/>
    </xf>
    <xf numFmtId="3" fontId="43" fillId="20" borderId="128" xfId="10" applyNumberFormat="1" applyFont="1" applyFill="1" applyBorder="1" applyAlignment="1" applyProtection="1">
      <alignment horizontal="center" vertical="center"/>
    </xf>
    <xf numFmtId="9" fontId="43" fillId="0" borderId="128" xfId="10" applyFont="1" applyBorder="1" applyAlignment="1" applyProtection="1">
      <alignment horizontal="center" vertical="center"/>
    </xf>
    <xf numFmtId="9" fontId="43" fillId="0" borderId="83" xfId="10" applyFont="1" applyFill="1" applyBorder="1" applyAlignment="1" applyProtection="1">
      <alignment horizontal="center" vertical="center"/>
    </xf>
    <xf numFmtId="3" fontId="43" fillId="20" borderId="22" xfId="10" applyNumberFormat="1" applyFont="1" applyFill="1" applyBorder="1" applyAlignment="1" applyProtection="1">
      <alignment horizontal="center" vertical="center"/>
    </xf>
    <xf numFmtId="9" fontId="43" fillId="20" borderId="75" xfId="10" applyFont="1" applyFill="1" applyBorder="1" applyAlignment="1" applyProtection="1">
      <alignment horizontal="center" vertical="center"/>
    </xf>
    <xf numFmtId="9" fontId="43" fillId="20" borderId="76" xfId="10" applyFont="1" applyFill="1" applyBorder="1" applyAlignment="1" applyProtection="1">
      <alignment horizontal="center" vertical="center"/>
    </xf>
    <xf numFmtId="3" fontId="43" fillId="20" borderId="36" xfId="1" applyNumberFormat="1" applyFont="1" applyFill="1" applyBorder="1" applyAlignment="1" applyProtection="1">
      <alignment horizontal="center" vertical="center"/>
    </xf>
    <xf numFmtId="3" fontId="43" fillId="20" borderId="37" xfId="1" applyNumberFormat="1" applyFont="1" applyFill="1" applyBorder="1" applyAlignment="1" applyProtection="1">
      <alignment horizontal="center" vertical="center"/>
    </xf>
    <xf numFmtId="9" fontId="43" fillId="20" borderId="128" xfId="10" applyFont="1" applyFill="1" applyBorder="1" applyAlignment="1" applyProtection="1">
      <alignment horizontal="center" vertical="center"/>
    </xf>
    <xf numFmtId="3" fontId="43" fillId="20" borderId="75" xfId="1" applyNumberFormat="1" applyFont="1" applyFill="1" applyBorder="1" applyAlignment="1" applyProtection="1">
      <alignment horizontal="center" vertical="center"/>
    </xf>
    <xf numFmtId="3" fontId="43" fillId="20" borderId="76" xfId="1" applyNumberFormat="1" applyFont="1" applyFill="1" applyBorder="1" applyAlignment="1" applyProtection="1">
      <alignment horizontal="center" vertical="center"/>
    </xf>
    <xf numFmtId="3" fontId="43" fillId="0" borderId="33" xfId="1" applyNumberFormat="1" applyFont="1" applyFill="1" applyBorder="1" applyAlignment="1" applyProtection="1">
      <alignment horizontal="center" vertical="center"/>
    </xf>
    <xf numFmtId="3" fontId="43" fillId="0" borderId="34" xfId="1" applyNumberFormat="1" applyFont="1" applyFill="1" applyBorder="1" applyAlignment="1" applyProtection="1">
      <alignment horizontal="center" vertical="center"/>
    </xf>
    <xf numFmtId="3" fontId="43" fillId="20" borderId="75" xfId="0" applyNumberFormat="1" applyFont="1" applyFill="1" applyBorder="1" applyAlignment="1">
      <alignment horizontal="center" vertical="center"/>
    </xf>
    <xf numFmtId="3" fontId="43" fillId="20" borderId="76" xfId="0" applyNumberFormat="1" applyFont="1" applyFill="1" applyBorder="1" applyAlignment="1">
      <alignment horizontal="center" vertical="center"/>
    </xf>
    <xf numFmtId="38" fontId="43" fillId="0" borderId="128"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3" fontId="43" fillId="0" borderId="26" xfId="1" applyNumberFormat="1" applyFont="1" applyFill="1" applyBorder="1" applyAlignment="1" applyProtection="1">
      <alignment horizontal="center" vertical="center"/>
    </xf>
    <xf numFmtId="3" fontId="43" fillId="0" borderId="32" xfId="1" applyNumberFormat="1" applyFont="1" applyFill="1" applyBorder="1" applyAlignment="1" applyProtection="1">
      <alignment horizontal="center" vertical="center"/>
    </xf>
    <xf numFmtId="3" fontId="43" fillId="20" borderId="30" xfId="1" applyNumberFormat="1" applyFont="1" applyFill="1" applyBorder="1" applyAlignment="1" applyProtection="1">
      <alignment horizontal="center" vertical="center"/>
    </xf>
    <xf numFmtId="3" fontId="43" fillId="20" borderId="31" xfId="1" applyNumberFormat="1" applyFont="1" applyFill="1" applyBorder="1" applyAlignment="1" applyProtection="1">
      <alignment horizontal="center" vertical="center"/>
    </xf>
    <xf numFmtId="0" fontId="43" fillId="0" borderId="30" xfId="0" applyFont="1" applyBorder="1" applyAlignment="1">
      <alignment horizontal="center"/>
    </xf>
    <xf numFmtId="0" fontId="43" fillId="0" borderId="31" xfId="0" applyFont="1" applyBorder="1" applyAlignment="1">
      <alignment horizontal="center"/>
    </xf>
    <xf numFmtId="0" fontId="43" fillId="0" borderId="33" xfId="0" applyFont="1" applyBorder="1" applyAlignment="1">
      <alignment horizontal="center"/>
    </xf>
    <xf numFmtId="0" fontId="43" fillId="0" borderId="34" xfId="0" applyFont="1" applyBorder="1" applyAlignment="1">
      <alignment horizontal="center"/>
    </xf>
    <xf numFmtId="3" fontId="43" fillId="20" borderId="7" xfId="1" applyNumberFormat="1" applyFont="1" applyFill="1" applyBorder="1" applyAlignment="1" applyProtection="1">
      <alignment horizontal="center" vertical="center"/>
    </xf>
    <xf numFmtId="3" fontId="43" fillId="20" borderId="8" xfId="1" applyNumberFormat="1" applyFont="1" applyFill="1" applyBorder="1" applyAlignment="1" applyProtection="1">
      <alignment horizontal="center" vertical="center"/>
    </xf>
    <xf numFmtId="3" fontId="43" fillId="0" borderId="30" xfId="1" applyNumberFormat="1" applyFont="1" applyFill="1" applyBorder="1" applyAlignment="1" applyProtection="1">
      <alignment horizontal="center" vertical="center"/>
    </xf>
    <xf numFmtId="3" fontId="43" fillId="0" borderId="31" xfId="1" applyNumberFormat="1" applyFont="1" applyFill="1" applyBorder="1" applyAlignment="1" applyProtection="1">
      <alignment horizontal="center" vertical="center"/>
    </xf>
    <xf numFmtId="9" fontId="43" fillId="0" borderId="30" xfId="0" applyNumberFormat="1" applyFont="1" applyBorder="1" applyAlignment="1">
      <alignment horizontal="center"/>
    </xf>
    <xf numFmtId="9" fontId="43" fillId="0" borderId="31" xfId="0" applyNumberFormat="1" applyFont="1" applyBorder="1" applyAlignment="1">
      <alignment horizontal="center"/>
    </xf>
    <xf numFmtId="9" fontId="43" fillId="0" borderId="33" xfId="0" applyNumberFormat="1" applyFont="1" applyBorder="1" applyAlignment="1">
      <alignment horizontal="center"/>
    </xf>
    <xf numFmtId="9" fontId="43" fillId="0" borderId="34" xfId="0" applyNumberFormat="1" applyFont="1" applyBorder="1" applyAlignment="1">
      <alignment horizontal="center"/>
    </xf>
    <xf numFmtId="3" fontId="43" fillId="0" borderId="75" xfId="1" applyNumberFormat="1" applyFont="1" applyFill="1" applyBorder="1" applyAlignment="1" applyProtection="1">
      <alignment horizontal="center" vertical="center"/>
    </xf>
    <xf numFmtId="3" fontId="43" fillId="0" borderId="76" xfId="1" applyNumberFormat="1" applyFont="1" applyFill="1" applyBorder="1" applyAlignment="1" applyProtection="1">
      <alignment horizontal="center" vertical="center"/>
    </xf>
    <xf numFmtId="3" fontId="43" fillId="0" borderId="125" xfId="1" applyNumberFormat="1" applyFont="1" applyFill="1" applyBorder="1" applyAlignment="1" applyProtection="1">
      <alignment horizontal="center" vertical="center"/>
    </xf>
    <xf numFmtId="3" fontId="43" fillId="0" borderId="127" xfId="1" applyNumberFormat="1" applyFont="1" applyFill="1" applyBorder="1" applyAlignment="1" applyProtection="1">
      <alignment horizontal="center" vertical="center"/>
    </xf>
    <xf numFmtId="0" fontId="45" fillId="0" borderId="36" xfId="0" applyFont="1" applyBorder="1" applyAlignment="1">
      <alignment horizontal="center" vertical="center"/>
    </xf>
    <xf numFmtId="0" fontId="45" fillId="0" borderId="2" xfId="0" applyFont="1" applyBorder="1" applyAlignment="1">
      <alignment horizontal="center" vertical="center"/>
    </xf>
    <xf numFmtId="0" fontId="45" fillId="0" borderId="37" xfId="0" applyFont="1" applyBorder="1" applyAlignment="1">
      <alignment horizontal="center" vertical="center"/>
    </xf>
    <xf numFmtId="3" fontId="43" fillId="20" borderId="75" xfId="10" applyNumberFormat="1" applyFont="1" applyFill="1" applyBorder="1" applyAlignment="1" applyProtection="1">
      <alignment horizontal="center" vertical="center"/>
    </xf>
    <xf numFmtId="3" fontId="43" fillId="20" borderId="76" xfId="10" applyNumberFormat="1" applyFont="1" applyFill="1" applyBorder="1" applyAlignment="1" applyProtection="1">
      <alignment horizontal="center" vertical="center"/>
    </xf>
    <xf numFmtId="9" fontId="43" fillId="0" borderId="75" xfId="0" applyNumberFormat="1" applyFont="1" applyBorder="1" applyAlignment="1">
      <alignment horizontal="center"/>
    </xf>
    <xf numFmtId="9" fontId="43" fillId="0" borderId="76" xfId="0" applyNumberFormat="1" applyFont="1" applyBorder="1" applyAlignment="1">
      <alignment horizontal="center"/>
    </xf>
    <xf numFmtId="0" fontId="205" fillId="0" borderId="82" xfId="0" applyFont="1" applyBorder="1" applyAlignment="1">
      <alignment horizontal="center"/>
    </xf>
    <xf numFmtId="9" fontId="43" fillId="0" borderId="125" xfId="0" applyNumberFormat="1" applyFont="1" applyBorder="1" applyAlignment="1">
      <alignment horizontal="center"/>
    </xf>
    <xf numFmtId="9" fontId="43" fillId="0" borderId="127" xfId="0" applyNumberFormat="1" applyFont="1" applyBorder="1" applyAlignment="1">
      <alignment horizontal="center"/>
    </xf>
    <xf numFmtId="0" fontId="103" fillId="0" borderId="0" xfId="0" applyFont="1" applyAlignment="1">
      <alignment horizontal="left" vertical="top"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1" t="s">
        <v>914</v>
      </c>
    </row>
    <row r="2" spans="1:6" ht="15" customHeight="1">
      <c r="A2" s="652" t="str">
        <f>'Part I-Project Identification'!F26</f>
        <v>Retreat at Madison Place</v>
      </c>
    </row>
    <row r="3" spans="1:6" ht="15" customHeight="1">
      <c r="A3" s="652" t="str">
        <f>CONCATENATE('Part I-Project Identification'!F27,", ", 'Part I-Project Identification'!J27," County")</f>
        <v>Decatur, DeKalb County</v>
      </c>
    </row>
    <row r="4" spans="1:6" ht="12" customHeight="1">
      <c r="A4" s="1057"/>
    </row>
    <row r="5" spans="1:6" ht="72" customHeight="1">
      <c r="A5" s="3023" t="s">
        <v>3969</v>
      </c>
      <c r="B5" s="3024" t="s">
        <v>3770</v>
      </c>
      <c r="C5" s="3024"/>
      <c r="D5" s="3024"/>
      <c r="E5" s="3024"/>
      <c r="F5" s="3024"/>
    </row>
    <row r="6" spans="1:6" ht="6.6" customHeight="1">
      <c r="A6" s="3023"/>
      <c r="B6" s="3024"/>
      <c r="C6" s="3024"/>
      <c r="D6" s="3024"/>
      <c r="E6" s="3024"/>
      <c r="F6" s="3024"/>
    </row>
    <row r="7" spans="1:6" ht="72" customHeight="1">
      <c r="A7" s="3023"/>
      <c r="B7" s="3024"/>
      <c r="C7" s="3024"/>
      <c r="D7" s="3024"/>
      <c r="E7" s="3024"/>
      <c r="F7" s="3024"/>
    </row>
    <row r="8" spans="1:6" ht="6.6" customHeight="1">
      <c r="A8" s="3023"/>
    </row>
    <row r="9" spans="1:6" ht="72" customHeight="1">
      <c r="A9" s="3023"/>
    </row>
    <row r="10" spans="1:6" ht="6.6" customHeight="1">
      <c r="A10" s="3023"/>
    </row>
    <row r="11" spans="1:6" ht="72" customHeight="1">
      <c r="A11" s="3023"/>
    </row>
    <row r="12" spans="1:6" ht="6.6" customHeight="1">
      <c r="A12" s="3023"/>
    </row>
    <row r="13" spans="1:6" ht="72" customHeight="1">
      <c r="A13" s="3023"/>
    </row>
    <row r="14" spans="1:6" ht="6.6" customHeight="1">
      <c r="A14" s="3023"/>
    </row>
    <row r="15" spans="1:6" ht="72" customHeight="1">
      <c r="A15" s="3023"/>
    </row>
    <row r="16" spans="1:6" ht="6.6" customHeight="1">
      <c r="A16" s="3023"/>
    </row>
    <row r="17" spans="1:1" ht="72" customHeight="1">
      <c r="A17" s="3023"/>
    </row>
    <row r="18" spans="1:1" ht="6.6" customHeight="1">
      <c r="A18" s="3023"/>
    </row>
    <row r="19" spans="1:1" ht="72" customHeight="1">
      <c r="A19" s="3023"/>
    </row>
    <row r="20" spans="1:1" ht="6.6" customHeight="1">
      <c r="A20" s="3023"/>
    </row>
    <row r="21" spans="1:1" ht="72" customHeight="1">
      <c r="A21" s="3023"/>
    </row>
    <row r="22" spans="1:1" ht="6.6" customHeight="1">
      <c r="A22" s="3023"/>
    </row>
    <row r="23" spans="1:1" ht="72" customHeight="1">
      <c r="A23" s="3023"/>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79" zoomScale="145" zoomScaleNormal="145" workbookViewId="0">
      <selection activeCell="I271" sqref="I271"/>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72" width="9.33203125" style="356"/>
    <col min="173" max="173" width="12.5546875" style="356" customWidth="1"/>
    <col min="174" max="174" width="8.33203125" style="356" customWidth="1"/>
    <col min="175" max="178" width="7.33203125" style="356" customWidth="1"/>
    <col min="179" max="179" width="8.33203125" style="356" customWidth="1"/>
    <col min="180" max="183" width="7.33203125" style="356" customWidth="1"/>
    <col min="184" max="193" width="9.33203125" style="356"/>
    <col min="194" max="194" width="8.33203125" style="356" customWidth="1"/>
    <col min="195" max="198" width="7.33203125" style="356" customWidth="1"/>
    <col min="199" max="203" width="9.33203125" style="356"/>
    <col min="204" max="204" width="8.33203125" style="356" customWidth="1"/>
    <col min="205" max="208" width="7.33203125" style="356" customWidth="1"/>
    <col min="209" max="288" width="9.33203125" style="356"/>
    <col min="289" max="293" width="11.33203125" style="356" customWidth="1"/>
    <col min="294" max="308" width="9.33203125" style="356"/>
    <col min="309" max="309" width="10.33203125" style="356" customWidth="1"/>
    <col min="310" max="313" width="10" style="356" customWidth="1"/>
    <col min="314" max="317" width="9.33203125" style="356"/>
    <col min="318" max="318" width="9.33203125" style="1640"/>
    <col min="319" max="322" width="9.33203125" style="356"/>
    <col min="323" max="323" width="9.33203125" style="1640"/>
    <col min="324" max="327" width="11.44140625" style="356" customWidth="1"/>
    <col min="328" max="328" width="11.44140625" style="1640" customWidth="1"/>
    <col min="329" max="332" width="11.44140625" style="356" customWidth="1"/>
    <col min="333" max="333" width="11.44140625" style="1640" customWidth="1"/>
    <col min="334" max="348" width="9.33203125" style="1640"/>
    <col min="349" max="353" width="11" style="1640" customWidth="1"/>
    <col min="354" max="354" width="9.33203125" style="1640"/>
    <col min="355" max="360" width="9.33203125" style="356"/>
    <col min="361" max="361" width="9.33203125" style="360"/>
    <col min="362" max="376" width="9.33203125" style="356"/>
    <col min="377" max="378" width="9.33203125" style="360"/>
    <col min="379" max="385" width="10.33203125" style="356" customWidth="1"/>
    <col min="386" max="388" width="9.33203125" style="356"/>
    <col min="389" max="389" width="10.44140625" style="356" customWidth="1"/>
    <col min="390" max="393" width="10.33203125" style="356" customWidth="1"/>
    <col min="394" max="411" width="9.33203125" style="356"/>
    <col min="412" max="414" width="9.33203125" style="115"/>
    <col min="415" max="415" width="9.33203125" style="2499"/>
    <col min="416" max="416" width="9.33203125" style="2503"/>
    <col min="417" max="528" width="9.33203125" style="115"/>
    <col min="529" max="16384" width="9.33203125" style="62"/>
  </cols>
  <sheetData>
    <row r="1" spans="1:528" s="1621" customFormat="1" ht="12.75" hidden="1" customHeight="1">
      <c r="B1" s="1621" t="s">
        <v>4285</v>
      </c>
      <c r="C1" s="1621" t="s">
        <v>164</v>
      </c>
      <c r="D1" s="1621" t="s">
        <v>166</v>
      </c>
      <c r="E1" s="1621" t="s">
        <v>4286</v>
      </c>
      <c r="F1" s="1621" t="s">
        <v>4287</v>
      </c>
      <c r="G1" s="1621" t="s">
        <v>4288</v>
      </c>
      <c r="H1" s="1621" t="s">
        <v>4289</v>
      </c>
      <c r="I1" s="1621" t="s">
        <v>4290</v>
      </c>
      <c r="J1" s="1621" t="s">
        <v>4291</v>
      </c>
      <c r="K1" s="1621" t="s">
        <v>3049</v>
      </c>
      <c r="L1" s="1621" t="s">
        <v>4292</v>
      </c>
      <c r="M1" s="1621" t="s">
        <v>4293</v>
      </c>
      <c r="N1" s="1621" t="s">
        <v>4294</v>
      </c>
      <c r="O1" s="1621" t="s">
        <v>4295</v>
      </c>
      <c r="P1" s="1621" t="s">
        <v>362</v>
      </c>
      <c r="Q1" s="1621" t="s">
        <v>4296</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356"/>
      <c r="JX1" s="356"/>
      <c r="JY1" s="356"/>
      <c r="JZ1" s="356"/>
      <c r="KA1" s="356"/>
      <c r="KB1" s="356"/>
      <c r="KC1" s="356"/>
      <c r="KD1" s="356"/>
      <c r="KE1" s="356"/>
      <c r="KF1" s="356"/>
      <c r="KG1" s="356"/>
      <c r="KH1" s="356"/>
      <c r="KI1" s="356"/>
      <c r="KJ1" s="356"/>
      <c r="KK1" s="356"/>
      <c r="KL1" s="356"/>
      <c r="KM1" s="356"/>
      <c r="KN1" s="356"/>
      <c r="KO1" s="356"/>
      <c r="KP1" s="356"/>
      <c r="KQ1" s="356"/>
      <c r="KR1" s="356"/>
      <c r="KS1" s="356"/>
      <c r="KT1" s="356"/>
      <c r="KU1" s="356"/>
      <c r="KV1" s="356"/>
      <c r="KW1" s="356"/>
      <c r="KX1" s="356"/>
      <c r="KY1" s="356"/>
      <c r="KZ1" s="356"/>
      <c r="LA1" s="356"/>
      <c r="LB1" s="356"/>
      <c r="LC1" s="356"/>
      <c r="LD1" s="356"/>
      <c r="LE1" s="356"/>
      <c r="LF1" s="1640"/>
      <c r="LG1" s="356"/>
      <c r="LH1" s="356"/>
      <c r="LI1" s="356"/>
      <c r="LJ1" s="356"/>
      <c r="LK1" s="1640"/>
      <c r="LL1" s="356"/>
      <c r="LM1" s="356"/>
      <c r="LN1" s="356"/>
      <c r="LO1" s="356"/>
      <c r="LP1" s="1640"/>
      <c r="LQ1" s="356"/>
      <c r="LR1" s="356"/>
      <c r="LS1" s="356"/>
      <c r="LT1" s="356"/>
      <c r="LU1" s="1640"/>
      <c r="LV1" s="1640"/>
      <c r="LW1" s="1640"/>
      <c r="LX1" s="1640"/>
      <c r="LY1" s="1640"/>
      <c r="LZ1" s="1640"/>
      <c r="MA1" s="1640"/>
      <c r="MB1" s="1640"/>
      <c r="MC1" s="1640"/>
      <c r="MD1" s="1640"/>
      <c r="ME1" s="1640"/>
      <c r="MF1" s="1640"/>
      <c r="MG1" s="1640"/>
      <c r="MH1" s="1640"/>
      <c r="MI1" s="1640"/>
      <c r="MJ1" s="1640"/>
      <c r="MK1" s="1640"/>
      <c r="ML1" s="1640"/>
      <c r="MM1" s="1640"/>
      <c r="MN1" s="1640"/>
      <c r="MO1" s="1640"/>
      <c r="MP1" s="1640"/>
      <c r="MQ1" s="356"/>
      <c r="MR1" s="356"/>
      <c r="MS1" s="356"/>
      <c r="MT1" s="356"/>
      <c r="MU1" s="356"/>
      <c r="MV1" s="356"/>
      <c r="MW1" s="360"/>
      <c r="MX1" s="356"/>
      <c r="MY1" s="356"/>
      <c r="MZ1" s="356"/>
      <c r="NA1" s="356"/>
      <c r="NB1" s="356"/>
      <c r="NC1" s="356"/>
      <c r="ND1" s="356"/>
      <c r="NE1" s="356"/>
      <c r="NF1" s="356"/>
      <c r="NG1" s="356"/>
      <c r="NH1" s="356"/>
      <c r="NI1" s="356"/>
      <c r="NJ1" s="356"/>
      <c r="NK1" s="356"/>
      <c r="NL1" s="356"/>
      <c r="NM1" s="360"/>
      <c r="NN1" s="360"/>
      <c r="NO1" s="356"/>
      <c r="NP1" s="356"/>
      <c r="NQ1" s="356"/>
      <c r="NR1" s="356"/>
      <c r="NS1" s="356"/>
      <c r="NT1" s="356"/>
      <c r="NU1" s="356"/>
      <c r="NV1" s="356"/>
      <c r="NW1" s="356"/>
      <c r="NX1" s="356"/>
      <c r="NY1" s="356"/>
      <c r="NZ1" s="356"/>
      <c r="OA1" s="356"/>
      <c r="OB1" s="356"/>
      <c r="OC1" s="356"/>
      <c r="OD1" s="356"/>
      <c r="OE1" s="356"/>
      <c r="OF1" s="356"/>
      <c r="OG1" s="356"/>
      <c r="OH1" s="356"/>
      <c r="OI1" s="356"/>
      <c r="OJ1" s="356"/>
      <c r="OK1" s="356"/>
      <c r="OL1" s="356"/>
      <c r="OM1" s="356"/>
      <c r="ON1" s="356"/>
      <c r="OO1" s="356"/>
      <c r="OP1" s="356"/>
      <c r="OQ1" s="356"/>
      <c r="OR1" s="356"/>
      <c r="OS1" s="356"/>
      <c r="OT1" s="356"/>
      <c r="OU1" s="356"/>
      <c r="OV1" s="115"/>
      <c r="OW1" s="115"/>
      <c r="OX1" s="115"/>
      <c r="OY1" s="2499"/>
      <c r="OZ1" s="2503">
        <v>1</v>
      </c>
      <c r="PA1" s="1848"/>
      <c r="PB1" s="1848"/>
      <c r="PC1" s="1848"/>
      <c r="PD1" s="1848"/>
      <c r="PE1" s="1848"/>
      <c r="PF1" s="1848"/>
      <c r="PG1" s="1848"/>
      <c r="PH1" s="1848"/>
      <c r="PI1" s="1848"/>
      <c r="PJ1" s="1848"/>
      <c r="PK1" s="1848"/>
      <c r="PL1" s="1848"/>
      <c r="PM1" s="1848"/>
      <c r="PN1" s="1848"/>
      <c r="PO1" s="1848"/>
      <c r="PP1" s="1848"/>
      <c r="PQ1" s="1848"/>
    </row>
    <row r="2" spans="1:528" s="69" customFormat="1" ht="14.1" customHeight="1">
      <c r="A2" s="3662" t="str">
        <f>CONCATENATE("PART FOUR - PROJECTED REVENUES &amp; EXPENSES","  -  ",'Part I-Project Identification'!$O$7," ",'Part I-Project Identification'!$F$26,", ",'Part I-Project Identification'!F27,", ",'Part I-Project Identification'!J27," County")</f>
        <v>PART FOUR - PROJECTED REVENUES &amp; EXPENSES  -  2025-0 Retreat at Madison Place, Decatur, DeKalb County</v>
      </c>
      <c r="B2" s="3663"/>
      <c r="C2" s="3663"/>
      <c r="D2" s="3663"/>
      <c r="E2" s="3663"/>
      <c r="F2" s="3663"/>
      <c r="G2" s="3663"/>
      <c r="H2" s="3663"/>
      <c r="I2" s="3663"/>
      <c r="J2" s="3663"/>
      <c r="K2" s="3663"/>
      <c r="L2" s="3663"/>
      <c r="M2" s="3663"/>
      <c r="N2" s="3663"/>
      <c r="O2" s="3663"/>
      <c r="P2" s="3663"/>
      <c r="Q2" s="3664"/>
      <c r="T2" s="1354" t="str">
        <f>A2</f>
        <v>PART FOUR - PROJECTED REVENUES &amp; EXPENSES  -  2025-0 Retreat at Madison Place, Decatur, DeKalb County</v>
      </c>
      <c r="U2" s="1354"/>
      <c r="V2" s="1354"/>
      <c r="W2" s="1354"/>
      <c r="X2" s="358"/>
      <c r="Y2" s="358"/>
      <c r="Z2" s="358"/>
      <c r="AA2" s="358"/>
      <c r="AB2" s="358"/>
      <c r="AC2" s="358"/>
      <c r="AD2" s="358"/>
      <c r="AE2" s="358"/>
      <c r="AF2" s="358"/>
      <c r="AG2" s="358"/>
      <c r="AH2" s="358"/>
      <c r="AI2" s="358"/>
      <c r="AJ2" s="358"/>
      <c r="AK2" s="358"/>
      <c r="AL2" s="358"/>
      <c r="AM2" s="358"/>
      <c r="AN2" s="358"/>
      <c r="AO2" s="358"/>
      <c r="AP2" s="358"/>
      <c r="AQ2" s="358"/>
      <c r="AR2" s="358"/>
      <c r="AS2" s="358"/>
      <c r="AT2" s="358"/>
      <c r="AU2" s="358"/>
      <c r="AV2" s="358"/>
      <c r="AW2" s="358"/>
      <c r="AX2" s="358"/>
      <c r="AY2" s="358"/>
      <c r="AZ2" s="358"/>
      <c r="BA2" s="358"/>
      <c r="BB2" s="358"/>
      <c r="BC2" s="358"/>
      <c r="BD2" s="358"/>
      <c r="BE2" s="358"/>
      <c r="BF2" s="358"/>
      <c r="BG2" s="358"/>
      <c r="BH2" s="358"/>
      <c r="BI2" s="358"/>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58"/>
      <c r="HS2" s="358"/>
      <c r="HT2" s="358"/>
      <c r="HU2" s="358"/>
      <c r="HV2" s="358"/>
      <c r="HW2" s="358"/>
      <c r="HX2" s="358"/>
      <c r="HY2" s="358"/>
      <c r="HZ2" s="358"/>
      <c r="IA2" s="358"/>
      <c r="IB2" s="358"/>
      <c r="IC2" s="358"/>
      <c r="ID2" s="358"/>
      <c r="IE2" s="358"/>
      <c r="IF2" s="358"/>
      <c r="IG2" s="358"/>
      <c r="IH2" s="358"/>
      <c r="II2" s="358"/>
      <c r="IJ2" s="358"/>
      <c r="IK2" s="358"/>
      <c r="IL2" s="358"/>
      <c r="IM2" s="358"/>
      <c r="IN2" s="358"/>
      <c r="IO2" s="358"/>
      <c r="IP2" s="358"/>
      <c r="IQ2" s="358"/>
      <c r="IR2" s="358"/>
      <c r="IS2" s="358"/>
      <c r="IT2" s="358"/>
      <c r="IU2" s="358"/>
      <c r="IV2" s="358"/>
      <c r="IW2" s="358"/>
      <c r="IX2" s="358"/>
      <c r="IY2" s="358"/>
      <c r="IZ2" s="358"/>
      <c r="JA2" s="358"/>
      <c r="JB2" s="358"/>
      <c r="JC2" s="358"/>
      <c r="JD2" s="358"/>
      <c r="JE2" s="358"/>
      <c r="JF2" s="358"/>
      <c r="JG2" s="1784"/>
      <c r="JH2" s="1784"/>
      <c r="JI2" s="1784"/>
      <c r="JJ2" s="1784"/>
      <c r="JK2" s="1784"/>
      <c r="JL2" s="1784"/>
      <c r="JM2" s="1784"/>
      <c r="JN2" s="1784"/>
      <c r="JO2" s="1784"/>
      <c r="JP2" s="1784"/>
      <c r="JQ2" s="1784"/>
      <c r="JR2" s="1784"/>
      <c r="JS2" s="1784"/>
      <c r="JT2" s="1784"/>
      <c r="JU2" s="1784"/>
      <c r="JV2" s="1784"/>
      <c r="JW2" s="1784"/>
      <c r="JX2" s="1784"/>
      <c r="JY2" s="1784"/>
      <c r="JZ2" s="1784"/>
      <c r="KA2" s="1784"/>
      <c r="KB2" s="1784"/>
      <c r="KC2" s="1784"/>
      <c r="KD2" s="1784"/>
      <c r="KE2" s="1784"/>
      <c r="KF2" s="1784"/>
      <c r="KG2" s="1784"/>
      <c r="KH2" s="1784"/>
      <c r="KI2" s="1784"/>
      <c r="KJ2" s="1784"/>
      <c r="KK2" s="1784"/>
      <c r="KL2" s="1784"/>
      <c r="KM2" s="1784"/>
      <c r="KN2" s="1784"/>
      <c r="KO2" s="1784"/>
      <c r="KP2" s="1784"/>
      <c r="KQ2" s="1784"/>
      <c r="KR2" s="1784"/>
      <c r="KS2" s="1784"/>
      <c r="KT2" s="1784"/>
      <c r="KU2" s="1784"/>
      <c r="KV2" s="1784"/>
      <c r="KW2" s="1784"/>
      <c r="KX2" s="1784"/>
      <c r="KY2" s="1784"/>
      <c r="KZ2" s="1784"/>
      <c r="LA2" s="1784"/>
      <c r="LB2" s="1784"/>
      <c r="LC2" s="1784"/>
      <c r="LD2" s="1784"/>
      <c r="LE2" s="1784"/>
      <c r="LF2" s="1784"/>
      <c r="LG2" s="1784"/>
      <c r="LH2" s="1784"/>
      <c r="LI2" s="1784"/>
      <c r="LJ2" s="1784"/>
      <c r="LK2" s="1784"/>
      <c r="LL2" s="1784"/>
      <c r="LM2" s="1784"/>
      <c r="LN2" s="1784"/>
      <c r="LO2" s="1784"/>
      <c r="LP2" s="1784"/>
      <c r="LQ2" s="1784"/>
      <c r="LR2" s="1784"/>
      <c r="LS2" s="1784"/>
      <c r="LT2" s="1784"/>
      <c r="LU2" s="1784"/>
      <c r="LV2" s="358"/>
      <c r="LW2" s="358"/>
      <c r="LX2" s="1639"/>
      <c r="LY2" s="358"/>
      <c r="LZ2" s="358"/>
      <c r="MA2" s="358"/>
      <c r="MB2" s="358"/>
      <c r="MC2" s="1639"/>
      <c r="MD2" s="358"/>
      <c r="ME2" s="358"/>
      <c r="MF2" s="358"/>
      <c r="MG2" s="358"/>
      <c r="MH2" s="1639"/>
      <c r="MI2" s="358"/>
      <c r="MJ2" s="358"/>
      <c r="MK2" s="358"/>
      <c r="ML2" s="358"/>
      <c r="MM2" s="1639"/>
      <c r="MN2" s="358"/>
      <c r="MO2" s="358"/>
      <c r="MP2" s="358"/>
      <c r="MQ2" s="358"/>
      <c r="MR2" s="358"/>
      <c r="MS2" s="358"/>
      <c r="MT2" s="358"/>
      <c r="MU2" s="358"/>
      <c r="MV2" s="358"/>
      <c r="MW2" s="358"/>
      <c r="MX2" s="358"/>
      <c r="MY2" s="358"/>
      <c r="MZ2" s="358"/>
      <c r="NA2" s="358"/>
      <c r="NB2" s="358"/>
      <c r="NC2" s="358"/>
      <c r="ND2" s="358"/>
      <c r="NE2" s="358"/>
      <c r="NF2" s="358"/>
      <c r="NG2" s="358"/>
      <c r="NH2" s="358"/>
      <c r="NI2" s="358"/>
      <c r="NJ2" s="358"/>
      <c r="NK2" s="358"/>
      <c r="NL2" s="358"/>
      <c r="NM2" s="358"/>
      <c r="NN2" s="358"/>
      <c r="NO2" s="358"/>
      <c r="NP2" s="358"/>
      <c r="NQ2" s="358"/>
      <c r="NR2" s="358"/>
      <c r="NS2" s="358"/>
      <c r="NT2" s="358"/>
      <c r="NU2" s="358"/>
      <c r="NV2" s="358"/>
      <c r="NW2" s="358"/>
      <c r="NX2" s="358"/>
      <c r="NY2" s="358"/>
      <c r="NZ2" s="358"/>
      <c r="OA2" s="358"/>
      <c r="OB2" s="358"/>
      <c r="OC2" s="358"/>
      <c r="OD2" s="358"/>
      <c r="OE2" s="358"/>
      <c r="OF2" s="358"/>
      <c r="OG2" s="358"/>
      <c r="OH2" s="358"/>
      <c r="OI2" s="358"/>
      <c r="OJ2" s="358"/>
      <c r="OK2" s="358"/>
      <c r="OL2" s="358"/>
      <c r="OM2" s="358"/>
      <c r="ON2" s="358"/>
      <c r="OO2" s="358"/>
      <c r="OP2" s="358"/>
      <c r="OQ2" s="358"/>
      <c r="OR2" s="358"/>
      <c r="OS2" s="358"/>
      <c r="OT2" s="358"/>
      <c r="OU2" s="358"/>
      <c r="OV2" s="72"/>
      <c r="OW2" s="72"/>
      <c r="OX2" s="72"/>
      <c r="OY2" s="2501"/>
      <c r="OZ2" s="2504">
        <v>2</v>
      </c>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c r="RZ2" s="72"/>
      <c r="SA2" s="72"/>
      <c r="SB2" s="72"/>
      <c r="SC2" s="72"/>
      <c r="SD2" s="72"/>
      <c r="SE2" s="72"/>
      <c r="SF2" s="72"/>
      <c r="SG2" s="72"/>
      <c r="SH2" s="72"/>
      <c r="SI2" s="72"/>
      <c r="SJ2" s="72"/>
      <c r="SK2" s="72"/>
      <c r="SL2" s="72"/>
      <c r="SM2" s="72"/>
      <c r="SN2" s="72"/>
      <c r="SO2" s="72"/>
      <c r="SP2" s="72"/>
      <c r="SQ2" s="72"/>
      <c r="SR2" s="72"/>
      <c r="SS2" s="72"/>
      <c r="ST2" s="72"/>
      <c r="SU2" s="72"/>
      <c r="SV2" s="72"/>
      <c r="SW2" s="72"/>
      <c r="SX2" s="72"/>
      <c r="SY2" s="72"/>
      <c r="SZ2" s="72"/>
      <c r="TA2" s="72"/>
      <c r="TB2" s="72"/>
      <c r="TC2" s="72"/>
      <c r="TD2" s="72"/>
      <c r="TE2" s="72"/>
      <c r="TF2" s="72"/>
      <c r="TG2" s="72"/>
      <c r="TH2" s="72"/>
    </row>
    <row r="3" spans="1:528" ht="4.5" customHeight="1">
      <c r="X3" s="359"/>
      <c r="Y3" s="359"/>
      <c r="Z3" s="359"/>
      <c r="AA3" s="359"/>
      <c r="AB3" s="359"/>
      <c r="AC3" s="359"/>
      <c r="AD3" s="359"/>
      <c r="AE3" s="359"/>
      <c r="AF3" s="359"/>
      <c r="AG3" s="359"/>
      <c r="AH3" s="359"/>
      <c r="AI3" s="359"/>
      <c r="AJ3" s="359"/>
      <c r="AK3" s="359"/>
      <c r="AL3" s="359"/>
      <c r="AM3" s="359"/>
      <c r="AN3" s="359"/>
      <c r="AO3" s="359"/>
      <c r="AP3" s="359"/>
      <c r="AQ3" s="359"/>
      <c r="AR3" s="359"/>
      <c r="AS3" s="359"/>
      <c r="AT3" s="359"/>
      <c r="AU3" s="359"/>
      <c r="AV3" s="359"/>
      <c r="AW3" s="359"/>
      <c r="AX3" s="359"/>
      <c r="AY3" s="359"/>
      <c r="AZ3" s="359"/>
      <c r="BA3" s="359"/>
      <c r="BB3" s="359"/>
      <c r="BC3" s="359"/>
      <c r="BD3" s="359"/>
      <c r="BE3" s="359"/>
      <c r="BF3" s="359"/>
      <c r="BG3" s="359"/>
      <c r="BH3" s="359"/>
      <c r="BI3" s="359"/>
      <c r="BJ3" s="359"/>
      <c r="BK3" s="359"/>
      <c r="BL3" s="359"/>
      <c r="BM3" s="359"/>
      <c r="BN3" s="359"/>
      <c r="BO3" s="359"/>
      <c r="BP3" s="359"/>
      <c r="BQ3" s="359"/>
      <c r="BR3" s="359"/>
      <c r="BS3" s="359"/>
      <c r="BT3" s="359"/>
      <c r="BU3" s="359"/>
      <c r="BV3" s="359"/>
      <c r="BW3" s="359"/>
      <c r="BX3" s="359"/>
      <c r="BY3" s="359"/>
      <c r="BZ3" s="359"/>
      <c r="CA3" s="359"/>
      <c r="CB3" s="359"/>
      <c r="CC3" s="359"/>
      <c r="CD3" s="359"/>
      <c r="CE3" s="359"/>
      <c r="CF3" s="359"/>
      <c r="CG3" s="359"/>
      <c r="CH3" s="359"/>
      <c r="CI3" s="359"/>
      <c r="CJ3" s="359"/>
      <c r="CK3" s="359"/>
      <c r="CL3" s="359"/>
      <c r="CM3" s="359"/>
      <c r="CN3" s="359"/>
      <c r="CO3" s="359"/>
      <c r="CP3" s="359"/>
      <c r="CQ3" s="359"/>
      <c r="CR3" s="359"/>
      <c r="CS3" s="359"/>
      <c r="CT3" s="359"/>
      <c r="CU3" s="359"/>
      <c r="CV3" s="359"/>
      <c r="CW3" s="359"/>
      <c r="CX3" s="359"/>
      <c r="CY3" s="359"/>
      <c r="CZ3" s="359"/>
      <c r="DA3" s="359"/>
      <c r="DB3" s="359"/>
      <c r="DC3" s="359"/>
      <c r="DD3" s="359"/>
      <c r="DE3" s="359"/>
      <c r="DF3" s="359"/>
      <c r="DG3" s="359"/>
      <c r="DH3" s="359"/>
      <c r="DI3" s="359"/>
      <c r="DJ3" s="359"/>
      <c r="DK3" s="359"/>
      <c r="DL3" s="359"/>
      <c r="DM3" s="359"/>
      <c r="DN3" s="359"/>
      <c r="DO3" s="359"/>
      <c r="DP3" s="359"/>
      <c r="DQ3" s="359"/>
      <c r="DR3" s="359"/>
      <c r="DS3" s="359"/>
      <c r="DT3" s="359"/>
      <c r="DU3" s="359"/>
      <c r="DV3" s="359"/>
      <c r="DW3" s="359"/>
      <c r="DX3" s="359"/>
      <c r="DY3" s="359"/>
      <c r="DZ3" s="359"/>
      <c r="EA3" s="359"/>
      <c r="EB3" s="359"/>
      <c r="EC3" s="359"/>
      <c r="ED3" s="359"/>
      <c r="EE3" s="359"/>
      <c r="EF3" s="359"/>
      <c r="EG3" s="359"/>
      <c r="EH3" s="359"/>
      <c r="EI3" s="359"/>
      <c r="EJ3" s="359"/>
      <c r="EK3" s="359"/>
      <c r="EL3" s="359"/>
      <c r="EM3" s="359"/>
      <c r="EN3" s="359"/>
      <c r="EO3" s="359"/>
      <c r="EP3" s="359"/>
      <c r="EQ3" s="359"/>
      <c r="ER3" s="359"/>
      <c r="ES3" s="359"/>
      <c r="ET3" s="359"/>
      <c r="EU3" s="359"/>
      <c r="EV3" s="359"/>
      <c r="EW3" s="359"/>
      <c r="EX3" s="359"/>
      <c r="EY3" s="359"/>
      <c r="EZ3" s="359"/>
      <c r="FA3" s="359"/>
      <c r="FB3" s="359"/>
      <c r="FC3" s="359"/>
      <c r="FD3" s="359"/>
      <c r="FE3" s="359"/>
      <c r="FF3" s="359"/>
      <c r="FG3" s="359"/>
      <c r="FH3" s="359"/>
      <c r="FI3" s="359"/>
      <c r="FJ3" s="359"/>
      <c r="FK3" s="359"/>
      <c r="FL3" s="359"/>
      <c r="FM3" s="359"/>
      <c r="FN3" s="359"/>
      <c r="FO3" s="359"/>
      <c r="FP3" s="359"/>
      <c r="FQ3" s="359"/>
      <c r="FR3" s="359"/>
      <c r="FS3" s="359"/>
      <c r="FT3" s="359"/>
      <c r="FU3" s="359"/>
      <c r="FV3" s="359"/>
      <c r="FW3" s="359"/>
      <c r="FX3" s="359"/>
      <c r="FY3" s="359"/>
      <c r="FZ3" s="359"/>
      <c r="GA3" s="359"/>
      <c r="GB3" s="359"/>
      <c r="GC3" s="359"/>
      <c r="GD3" s="359"/>
      <c r="GE3" s="359"/>
      <c r="GF3" s="359"/>
      <c r="GG3" s="359"/>
      <c r="GH3" s="359"/>
      <c r="GI3" s="359"/>
      <c r="GJ3" s="359"/>
      <c r="GK3" s="359"/>
      <c r="GL3" s="359"/>
      <c r="GM3" s="359"/>
      <c r="GN3" s="359"/>
      <c r="GO3" s="359"/>
      <c r="GP3" s="359"/>
      <c r="GQ3" s="359"/>
      <c r="GR3" s="359"/>
      <c r="GS3" s="359"/>
      <c r="GT3" s="359"/>
      <c r="GU3" s="359"/>
      <c r="GV3" s="359"/>
      <c r="GW3" s="359"/>
      <c r="GX3" s="359"/>
      <c r="GY3" s="359"/>
      <c r="GZ3" s="359"/>
      <c r="HA3" s="359"/>
      <c r="HB3" s="359"/>
      <c r="HC3" s="359"/>
      <c r="HD3" s="359"/>
      <c r="HE3" s="359"/>
      <c r="HF3" s="359"/>
      <c r="HG3" s="359"/>
      <c r="HH3" s="359"/>
      <c r="HI3" s="359"/>
      <c r="HJ3" s="359"/>
      <c r="HK3" s="359"/>
      <c r="HL3" s="359"/>
      <c r="HM3" s="359"/>
      <c r="HN3" s="359"/>
      <c r="HO3" s="359"/>
      <c r="HP3" s="359"/>
      <c r="HQ3" s="359"/>
      <c r="HR3" s="359"/>
      <c r="HS3" s="359"/>
      <c r="HT3" s="359"/>
      <c r="HU3" s="359"/>
      <c r="HV3" s="359"/>
      <c r="HW3" s="359"/>
      <c r="HX3" s="359"/>
      <c r="HY3" s="359"/>
      <c r="HZ3" s="359"/>
      <c r="IA3" s="359"/>
      <c r="IB3" s="359"/>
      <c r="IC3" s="359"/>
      <c r="ID3" s="359"/>
      <c r="IE3" s="359"/>
      <c r="IF3" s="359"/>
      <c r="IG3" s="359"/>
      <c r="IH3" s="359"/>
      <c r="II3" s="359"/>
      <c r="IJ3" s="359"/>
      <c r="IK3" s="359"/>
      <c r="IL3" s="359"/>
      <c r="IM3" s="359"/>
      <c r="IN3" s="359"/>
      <c r="IO3" s="359"/>
      <c r="IP3" s="359"/>
      <c r="IQ3" s="359"/>
      <c r="IR3" s="359"/>
      <c r="IS3" s="359"/>
      <c r="IT3" s="359"/>
      <c r="IU3" s="359"/>
      <c r="IV3" s="359"/>
      <c r="IW3" s="359"/>
      <c r="IX3" s="359"/>
      <c r="IY3" s="359"/>
      <c r="IZ3" s="359"/>
      <c r="JA3" s="359"/>
      <c r="JB3" s="359"/>
      <c r="JC3" s="359"/>
      <c r="JD3" s="359"/>
      <c r="JE3" s="359"/>
      <c r="JF3" s="359"/>
      <c r="JG3" s="359"/>
      <c r="JH3" s="359"/>
      <c r="JI3" s="2468"/>
      <c r="JJ3" s="2468"/>
      <c r="JK3" s="2468"/>
      <c r="JL3" s="2468"/>
      <c r="JM3" s="2468"/>
      <c r="JN3" s="2468"/>
      <c r="JO3" s="2468"/>
      <c r="JP3" s="2468"/>
      <c r="JQ3" s="2468"/>
      <c r="JR3" s="2468"/>
      <c r="JS3" s="2468"/>
      <c r="JT3" s="2468"/>
      <c r="JU3" s="2468"/>
      <c r="JV3" s="2468"/>
      <c r="JW3" s="2468"/>
      <c r="JX3" s="2468"/>
      <c r="JY3" s="2468"/>
      <c r="JZ3" s="2468"/>
      <c r="KA3" s="2468"/>
      <c r="KB3" s="2468"/>
      <c r="KC3" s="2468"/>
      <c r="KD3" s="2468"/>
      <c r="KE3" s="2468"/>
      <c r="KF3" s="2468"/>
      <c r="KG3" s="2468"/>
      <c r="KH3" s="2468"/>
      <c r="KI3" s="2468"/>
      <c r="KJ3" s="2468"/>
      <c r="KK3" s="2468"/>
      <c r="KL3" s="2468"/>
      <c r="KM3" s="2468"/>
      <c r="KN3" s="2468"/>
      <c r="KO3" s="2468"/>
      <c r="KP3" s="2468"/>
      <c r="KQ3" s="2468"/>
      <c r="KR3" s="2468"/>
      <c r="KS3" s="2468"/>
      <c r="KT3" s="2468"/>
      <c r="KU3" s="2468"/>
      <c r="KV3" s="2468"/>
      <c r="KW3" s="2468"/>
      <c r="KX3" s="2468"/>
      <c r="KY3" s="2468"/>
      <c r="KZ3" s="2468"/>
      <c r="LA3" s="2468"/>
      <c r="LB3" s="2468"/>
      <c r="LC3" s="2468"/>
      <c r="LD3" s="2468"/>
      <c r="LE3" s="2468"/>
      <c r="LF3" s="2468"/>
      <c r="LG3" s="2468"/>
      <c r="LH3" s="2468"/>
      <c r="LI3" s="2468"/>
      <c r="LJ3" s="2468"/>
      <c r="LK3" s="2468"/>
      <c r="LL3" s="2468"/>
      <c r="LM3" s="2468"/>
      <c r="LN3" s="2468"/>
      <c r="LO3" s="2468"/>
      <c r="LP3" s="2468"/>
      <c r="LQ3" s="2468"/>
      <c r="LR3" s="2468"/>
      <c r="LS3" s="2468"/>
      <c r="LT3" s="2468"/>
      <c r="LU3" s="2468"/>
      <c r="LV3" s="359"/>
      <c r="LW3" s="359"/>
      <c r="LX3" s="359"/>
      <c r="LY3" s="359"/>
      <c r="LZ3" s="359"/>
      <c r="MA3" s="359"/>
      <c r="MB3" s="359"/>
      <c r="MC3" s="359"/>
      <c r="MD3" s="359"/>
      <c r="ME3" s="359"/>
      <c r="MF3" s="359"/>
      <c r="MG3" s="359"/>
      <c r="MH3" s="359"/>
      <c r="MI3" s="359"/>
      <c r="MJ3" s="359"/>
      <c r="MK3" s="359"/>
      <c r="ML3" s="359"/>
      <c r="MM3" s="359"/>
      <c r="MN3" s="359"/>
      <c r="MO3" s="359"/>
      <c r="MP3" s="356"/>
      <c r="MU3" s="359"/>
      <c r="MV3" s="359"/>
      <c r="MW3" s="359"/>
      <c r="MX3" s="359"/>
      <c r="MY3" s="359"/>
      <c r="MZ3" s="359"/>
      <c r="NA3" s="359"/>
      <c r="NB3" s="359"/>
      <c r="NC3" s="359"/>
      <c r="ND3" s="359"/>
      <c r="NE3" s="359"/>
      <c r="NF3" s="359"/>
      <c r="NG3" s="359"/>
      <c r="NH3" s="359"/>
      <c r="NI3" s="359"/>
      <c r="NJ3" s="359"/>
      <c r="NK3" s="359"/>
      <c r="NL3" s="359"/>
      <c r="NM3" s="359"/>
      <c r="NN3" s="359"/>
      <c r="OZ3" s="2503">
        <v>3</v>
      </c>
    </row>
    <row r="4" spans="1:528" s="69" customFormat="1" ht="12.6" customHeight="1">
      <c r="A4" s="4" t="s">
        <v>572</v>
      </c>
      <c r="B4" s="4" t="s">
        <v>2176</v>
      </c>
      <c r="C4" s="1"/>
      <c r="D4" s="1421" t="s">
        <v>3989</v>
      </c>
      <c r="E4" s="1421"/>
      <c r="F4" s="1421"/>
      <c r="G4" s="1421"/>
      <c r="H4" s="1421"/>
      <c r="I4" s="1421"/>
      <c r="J4" s="1421"/>
      <c r="K4" s="93"/>
      <c r="L4" s="93"/>
      <c r="M4" s="93"/>
      <c r="O4" s="153" t="s">
        <v>533</v>
      </c>
      <c r="P4" s="3665" t="str">
        <f>'Part I-Project Identification'!$O$29</f>
        <v>Atlanta-Sandy Springs-Marietta</v>
      </c>
      <c r="Q4" s="3665"/>
      <c r="T4" s="4" t="str">
        <f>B4</f>
        <v>RENT SCHEDULE</v>
      </c>
      <c r="U4" s="139"/>
      <c r="X4" s="1409"/>
      <c r="Y4" s="1409"/>
      <c r="Z4" s="1409"/>
      <c r="AA4" s="1409"/>
      <c r="AB4" s="1409"/>
      <c r="AC4" s="1409"/>
      <c r="AD4" s="1409"/>
      <c r="AE4" s="1409"/>
      <c r="AF4" s="1409"/>
      <c r="AG4" s="1409"/>
      <c r="AH4" s="1409"/>
      <c r="AI4" s="1409"/>
      <c r="AJ4" s="1409"/>
      <c r="AK4" s="1409"/>
      <c r="AL4" s="1409"/>
      <c r="AM4" s="1409"/>
      <c r="AN4" s="1409"/>
      <c r="AO4" s="1409"/>
      <c r="AP4" s="1409"/>
      <c r="AQ4" s="1409"/>
      <c r="AR4" s="1409"/>
      <c r="AS4" s="1409"/>
      <c r="AT4" s="1409"/>
      <c r="AU4" s="1409"/>
      <c r="AV4" s="1409"/>
      <c r="AW4" s="1409"/>
      <c r="AX4" s="1409"/>
      <c r="AY4" s="1409"/>
      <c r="AZ4" s="1409"/>
      <c r="BA4" s="1409"/>
      <c r="BB4" s="1409"/>
      <c r="BC4" s="1409"/>
      <c r="BD4" s="1409"/>
      <c r="BE4" s="1409"/>
      <c r="BF4" s="1409"/>
      <c r="BG4" s="1409"/>
      <c r="BH4" s="1409"/>
      <c r="BI4" s="1409"/>
      <c r="BJ4" s="1409"/>
      <c r="BK4" s="1409"/>
      <c r="BL4" s="1409"/>
      <c r="BM4" s="1409"/>
      <c r="BN4" s="1409"/>
      <c r="BO4" s="1409"/>
      <c r="BP4" s="1409"/>
      <c r="BQ4" s="1409"/>
      <c r="BR4" s="1409"/>
      <c r="BS4" s="1409"/>
      <c r="BT4" s="1409"/>
      <c r="BU4" s="1409"/>
      <c r="BV4" s="1409"/>
      <c r="BW4" s="1409"/>
      <c r="BX4" s="1409"/>
      <c r="BY4" s="1409"/>
      <c r="BZ4" s="1409"/>
      <c r="CA4" s="1409"/>
      <c r="CB4" s="1409"/>
      <c r="CC4" s="1409"/>
      <c r="CD4" s="1409"/>
      <c r="CE4" s="1409"/>
      <c r="CF4" s="1409"/>
      <c r="CG4" s="1409"/>
      <c r="CH4" s="1409"/>
      <c r="CI4" s="1409"/>
      <c r="CJ4" s="1409"/>
      <c r="CK4" s="1409"/>
      <c r="CL4" s="1409"/>
      <c r="CM4" s="1409"/>
      <c r="CN4" s="1409"/>
      <c r="CO4" s="1409"/>
      <c r="CP4" s="1409"/>
      <c r="CQ4" s="1409"/>
      <c r="CR4" s="1409"/>
      <c r="CS4" s="1409"/>
      <c r="CT4" s="1409"/>
      <c r="CU4" s="1409"/>
      <c r="CV4" s="1409"/>
      <c r="CW4" s="1409"/>
      <c r="CX4" s="1409"/>
      <c r="CY4" s="1409"/>
      <c r="CZ4" s="1409"/>
      <c r="DA4" s="1409"/>
      <c r="DB4" s="1409"/>
      <c r="DC4" s="1409"/>
      <c r="DD4" s="1409"/>
      <c r="DE4" s="1409"/>
      <c r="DF4" s="1409"/>
      <c r="DG4" s="1409"/>
      <c r="DH4" s="1409"/>
      <c r="DI4" s="1409"/>
      <c r="DJ4" s="1409"/>
      <c r="DK4" s="1409"/>
      <c r="DL4" s="1409"/>
      <c r="DM4" s="1409"/>
      <c r="DN4" s="1409"/>
      <c r="DO4" s="1409"/>
      <c r="DP4" s="1409"/>
      <c r="DQ4" s="1409"/>
      <c r="DR4" s="1409"/>
      <c r="DS4" s="1409"/>
      <c r="DT4" s="1409"/>
      <c r="DU4" s="1409"/>
      <c r="DV4" s="1409"/>
      <c r="DW4" s="1409"/>
      <c r="DX4" s="1409"/>
      <c r="DY4" s="1409"/>
      <c r="DZ4" s="1409"/>
      <c r="EA4" s="1409"/>
      <c r="EB4" s="1409"/>
      <c r="EC4" s="1409"/>
      <c r="ED4" s="1409"/>
      <c r="EE4" s="1409"/>
      <c r="EF4" s="1409"/>
      <c r="EG4" s="1409"/>
      <c r="EH4" s="1409"/>
      <c r="EI4" s="1409"/>
      <c r="EJ4" s="1409"/>
      <c r="EK4" s="1409"/>
      <c r="EL4" s="1409"/>
      <c r="EM4" s="1409"/>
      <c r="EN4" s="1409"/>
      <c r="EO4" s="1409"/>
      <c r="EP4" s="1409"/>
      <c r="EQ4" s="1409"/>
      <c r="ER4" s="1409"/>
      <c r="ES4" s="1409"/>
      <c r="ET4" s="1409"/>
      <c r="EU4" s="1409"/>
      <c r="EV4" s="1409"/>
      <c r="EW4" s="1409"/>
      <c r="EX4" s="1409"/>
      <c r="EY4" s="1409"/>
      <c r="EZ4" s="1409"/>
      <c r="FA4" s="1409"/>
      <c r="FB4" s="1409"/>
      <c r="FC4" s="1409"/>
      <c r="FD4" s="1409"/>
      <c r="FE4" s="1409"/>
      <c r="FF4" s="1409"/>
      <c r="FG4" s="1409"/>
      <c r="FH4" s="1409"/>
      <c r="FI4" s="1409"/>
      <c r="FJ4" s="1409"/>
      <c r="FK4" s="1409"/>
      <c r="FL4" s="1409"/>
      <c r="FM4" s="1409"/>
      <c r="FN4" s="1409"/>
      <c r="FO4" s="1409"/>
      <c r="FP4" s="1409"/>
      <c r="FQ4" s="1409"/>
      <c r="FR4" s="1409"/>
      <c r="FS4" s="1409"/>
      <c r="FT4" s="1409"/>
      <c r="FU4" s="1409"/>
      <c r="FV4" s="1409"/>
      <c r="FW4" s="1409"/>
      <c r="FX4" s="1409"/>
      <c r="FY4" s="1409"/>
      <c r="FZ4" s="1409"/>
      <c r="GA4" s="1409"/>
      <c r="GB4" s="1409"/>
      <c r="GC4" s="1409"/>
      <c r="GD4" s="1409"/>
      <c r="GE4" s="1409"/>
      <c r="GF4" s="1409"/>
      <c r="GG4" s="1409"/>
      <c r="GH4" s="1409"/>
      <c r="GI4" s="1409"/>
      <c r="GJ4" s="1409"/>
      <c r="GK4" s="1409"/>
      <c r="GL4" s="1409"/>
      <c r="GM4" s="1409"/>
      <c r="GN4" s="1409"/>
      <c r="GO4" s="1409"/>
      <c r="GP4" s="1409"/>
      <c r="GQ4" s="1409"/>
      <c r="GR4" s="1409"/>
      <c r="GS4" s="1409"/>
      <c r="GT4" s="1409"/>
      <c r="GU4" s="1409"/>
      <c r="GV4" s="1409"/>
      <c r="GW4" s="1409"/>
      <c r="GX4" s="1409"/>
      <c r="GY4" s="1409"/>
      <c r="GZ4" s="1409"/>
      <c r="HA4" s="1409"/>
      <c r="HB4" s="1409"/>
      <c r="HC4" s="1409"/>
      <c r="HD4" s="1409"/>
      <c r="HE4" s="1409"/>
      <c r="HF4" s="1409"/>
      <c r="HG4" s="1409"/>
      <c r="HH4" s="1409"/>
      <c r="HI4" s="1409"/>
      <c r="HJ4" s="1409"/>
      <c r="HK4" s="1409"/>
      <c r="HL4" s="1409"/>
      <c r="HM4" s="1409"/>
      <c r="HN4" s="1409"/>
      <c r="HO4" s="1409"/>
      <c r="HP4" s="1409"/>
      <c r="HQ4" s="1409"/>
      <c r="HR4" s="1409"/>
      <c r="HS4" s="1409"/>
      <c r="HT4" s="1409"/>
      <c r="HU4" s="1409"/>
      <c r="HV4" s="1409"/>
      <c r="HW4" s="1409"/>
      <c r="HX4" s="1409"/>
      <c r="HY4" s="1409"/>
      <c r="HZ4" s="1409"/>
      <c r="IA4" s="1409"/>
      <c r="IB4" s="1409"/>
      <c r="IC4" s="1409"/>
      <c r="ID4" s="1409"/>
      <c r="IE4" s="1409"/>
      <c r="IF4" s="1409"/>
      <c r="IG4" s="1409"/>
      <c r="IH4" s="1409"/>
      <c r="II4" s="1409"/>
      <c r="IJ4" s="1409"/>
      <c r="IK4" s="1409"/>
      <c r="IL4" s="1409"/>
      <c r="IM4" s="1409"/>
      <c r="IN4" s="1409"/>
      <c r="IO4" s="1409"/>
      <c r="IP4" s="1409"/>
      <c r="IQ4" s="1409"/>
      <c r="IR4" s="1409"/>
      <c r="IS4" s="1409"/>
      <c r="IT4" s="1409"/>
      <c r="IU4" s="1409"/>
      <c r="IV4" s="1409"/>
      <c r="IW4" s="1409"/>
      <c r="IX4" s="1409"/>
      <c r="IY4" s="1409"/>
      <c r="IZ4" s="1409"/>
      <c r="JA4" s="1409"/>
      <c r="JB4" s="1409"/>
      <c r="JC4" s="1409"/>
      <c r="JD4" s="1409"/>
      <c r="JE4" s="1409"/>
      <c r="JF4" s="1409"/>
      <c r="JG4" s="1409"/>
      <c r="JH4" s="1409"/>
      <c r="JI4" s="2469"/>
      <c r="JJ4" s="2469"/>
      <c r="JK4" s="2469"/>
      <c r="JL4" s="2469"/>
      <c r="JM4" s="2469"/>
      <c r="JN4" s="2468" t="s">
        <v>456</v>
      </c>
      <c r="JO4" s="2468" t="s">
        <v>2238</v>
      </c>
      <c r="JP4" s="2468" t="s">
        <v>2239</v>
      </c>
      <c r="JQ4" s="2468" t="s">
        <v>2240</v>
      </c>
      <c r="JR4" s="2468" t="s">
        <v>2241</v>
      </c>
      <c r="JS4" s="2468" t="s">
        <v>456</v>
      </c>
      <c r="JT4" s="2468" t="s">
        <v>2238</v>
      </c>
      <c r="JU4" s="2468" t="s">
        <v>2239</v>
      </c>
      <c r="JV4" s="2468" t="s">
        <v>2240</v>
      </c>
      <c r="JW4" s="2468" t="s">
        <v>2241</v>
      </c>
      <c r="JX4" s="2469"/>
      <c r="JY4" s="2469"/>
      <c r="JZ4" s="2469"/>
      <c r="KA4" s="2469"/>
      <c r="KB4" s="2469"/>
      <c r="KC4" s="2469"/>
      <c r="KD4" s="2469"/>
      <c r="KE4" s="2469"/>
      <c r="KF4" s="2469"/>
      <c r="KG4" s="2469"/>
      <c r="KH4" s="2468" t="s">
        <v>456</v>
      </c>
      <c r="KI4" s="2468" t="s">
        <v>2238</v>
      </c>
      <c r="KJ4" s="2468" t="s">
        <v>2239</v>
      </c>
      <c r="KK4" s="2468" t="s">
        <v>2240</v>
      </c>
      <c r="KL4" s="2468" t="s">
        <v>2241</v>
      </c>
      <c r="KM4" s="2468" t="s">
        <v>456</v>
      </c>
      <c r="KN4" s="2468" t="s">
        <v>2238</v>
      </c>
      <c r="KO4" s="2468" t="s">
        <v>2239</v>
      </c>
      <c r="KP4" s="2468" t="s">
        <v>2240</v>
      </c>
      <c r="KQ4" s="2468" t="s">
        <v>2241</v>
      </c>
      <c r="KR4" s="2468" t="s">
        <v>456</v>
      </c>
      <c r="KS4" s="2468" t="s">
        <v>2238</v>
      </c>
      <c r="KT4" s="2468" t="s">
        <v>2239</v>
      </c>
      <c r="KU4" s="2468" t="s">
        <v>2240</v>
      </c>
      <c r="KV4" s="2468" t="s">
        <v>2241</v>
      </c>
      <c r="KW4" s="2468" t="s">
        <v>456</v>
      </c>
      <c r="KX4" s="2468" t="s">
        <v>2238</v>
      </c>
      <c r="KY4" s="2468" t="s">
        <v>2239</v>
      </c>
      <c r="KZ4" s="2468" t="s">
        <v>2240</v>
      </c>
      <c r="LA4" s="2468" t="s">
        <v>2241</v>
      </c>
      <c r="LB4" s="2468" t="s">
        <v>456</v>
      </c>
      <c r="LC4" s="2468" t="s">
        <v>2238</v>
      </c>
      <c r="LD4" s="2468" t="s">
        <v>2239</v>
      </c>
      <c r="LE4" s="2468" t="s">
        <v>2240</v>
      </c>
      <c r="LF4" s="2468" t="s">
        <v>2241</v>
      </c>
      <c r="LG4" s="2468" t="s">
        <v>456</v>
      </c>
      <c r="LH4" s="2468" t="s">
        <v>2238</v>
      </c>
      <c r="LI4" s="2468" t="s">
        <v>2239</v>
      </c>
      <c r="LJ4" s="2468" t="s">
        <v>2240</v>
      </c>
      <c r="LK4" s="2468" t="s">
        <v>2241</v>
      </c>
      <c r="LL4" s="2468" t="s">
        <v>456</v>
      </c>
      <c r="LM4" s="2468" t="s">
        <v>2238</v>
      </c>
      <c r="LN4" s="2468" t="s">
        <v>2239</v>
      </c>
      <c r="LO4" s="2468" t="s">
        <v>2240</v>
      </c>
      <c r="LP4" s="2468" t="s">
        <v>2241</v>
      </c>
      <c r="LQ4" s="2468" t="s">
        <v>456</v>
      </c>
      <c r="LR4" s="2468" t="s">
        <v>2238</v>
      </c>
      <c r="LS4" s="2468" t="s">
        <v>2239</v>
      </c>
      <c r="LT4" s="2468" t="s">
        <v>2240</v>
      </c>
      <c r="LU4" s="2468" t="s">
        <v>2241</v>
      </c>
      <c r="LV4" s="2468" t="s">
        <v>456</v>
      </c>
      <c r="LW4" s="2468" t="s">
        <v>2238</v>
      </c>
      <c r="LX4" s="2468" t="s">
        <v>2239</v>
      </c>
      <c r="LY4" s="2468" t="s">
        <v>2240</v>
      </c>
      <c r="LZ4" s="2468" t="s">
        <v>2241</v>
      </c>
      <c r="MA4" s="2468" t="s">
        <v>456</v>
      </c>
      <c r="MB4" s="2468" t="s">
        <v>2238</v>
      </c>
      <c r="MC4" s="2468" t="s">
        <v>2239</v>
      </c>
      <c r="MD4" s="2468" t="s">
        <v>2240</v>
      </c>
      <c r="ME4" s="2468" t="s">
        <v>2241</v>
      </c>
      <c r="MF4" s="2468" t="s">
        <v>456</v>
      </c>
      <c r="MG4" s="2468" t="s">
        <v>2238</v>
      </c>
      <c r="MH4" s="2468" t="s">
        <v>2239</v>
      </c>
      <c r="MI4" s="2468" t="s">
        <v>2240</v>
      </c>
      <c r="MJ4" s="2468" t="s">
        <v>2241</v>
      </c>
      <c r="MK4" s="2468" t="s">
        <v>456</v>
      </c>
      <c r="ML4" s="2468" t="s">
        <v>2238</v>
      </c>
      <c r="MM4" s="2468" t="s">
        <v>2239</v>
      </c>
      <c r="MN4" s="2468" t="s">
        <v>2240</v>
      </c>
      <c r="MO4" s="2468" t="s">
        <v>2241</v>
      </c>
      <c r="MP4" s="1409"/>
      <c r="MQ4" s="1409"/>
      <c r="MR4" s="1409"/>
      <c r="MS4" s="1409"/>
      <c r="MT4" s="1409"/>
      <c r="MU4" s="1409"/>
      <c r="MV4" s="1409"/>
      <c r="MW4" s="1409"/>
      <c r="MX4" s="1409"/>
      <c r="MY4" s="1409"/>
      <c r="MZ4" s="1409"/>
      <c r="NA4" s="1409"/>
      <c r="NB4" s="1409"/>
      <c r="NC4" s="1409"/>
      <c r="ND4" s="1409"/>
      <c r="NE4" s="1409"/>
      <c r="NF4" s="1409"/>
      <c r="NG4" s="1409"/>
      <c r="NH4" s="1409"/>
      <c r="NI4" s="1409"/>
      <c r="NJ4" s="1409"/>
      <c r="NK4" s="1409"/>
      <c r="NL4" s="1409"/>
      <c r="NM4" s="1409"/>
      <c r="NN4" s="1409"/>
      <c r="NO4" s="3644" t="s">
        <v>2961</v>
      </c>
      <c r="NP4" s="3644" t="s">
        <v>2962</v>
      </c>
      <c r="NQ4" s="3644" t="s">
        <v>2963</v>
      </c>
      <c r="NR4" s="3644" t="s">
        <v>2964</v>
      </c>
      <c r="NS4" s="3644" t="s">
        <v>2965</v>
      </c>
      <c r="NT4" s="1409"/>
      <c r="NU4" s="1409"/>
      <c r="NV4" s="1409"/>
      <c r="NW4" s="1409"/>
      <c r="NX4" s="1409"/>
      <c r="NY4" s="1409"/>
      <c r="NZ4" s="1409"/>
      <c r="OA4" s="1409"/>
      <c r="OB4" s="1409"/>
      <c r="OC4" s="1409"/>
      <c r="OD4" s="358"/>
      <c r="OE4" s="358"/>
      <c r="OF4" s="358"/>
      <c r="OG4" s="358"/>
      <c r="OH4" s="358"/>
      <c r="OI4" s="358"/>
      <c r="OJ4" s="358"/>
      <c r="OK4" s="358"/>
      <c r="OL4" s="358"/>
      <c r="OM4" s="358"/>
      <c r="ON4" s="358"/>
      <c r="OO4" s="358"/>
      <c r="OP4" s="358"/>
      <c r="OQ4" s="358"/>
      <c r="OR4" s="358"/>
      <c r="OS4" s="358"/>
      <c r="OT4" s="358"/>
      <c r="OU4" s="358"/>
      <c r="OV4" s="72"/>
      <c r="OW4" s="72"/>
      <c r="OX4" s="72"/>
      <c r="OY4" s="2501"/>
      <c r="OZ4" s="2504">
        <v>4</v>
      </c>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c r="RZ4" s="72"/>
      <c r="SA4" s="72"/>
      <c r="SB4" s="72"/>
      <c r="SC4" s="72"/>
      <c r="SD4" s="72"/>
      <c r="SE4" s="72"/>
      <c r="SF4" s="72"/>
      <c r="SG4" s="72"/>
      <c r="SH4" s="72"/>
      <c r="SI4" s="72"/>
      <c r="SJ4" s="72"/>
      <c r="SK4" s="72"/>
      <c r="SL4" s="72"/>
      <c r="SM4" s="72"/>
      <c r="SN4" s="72"/>
      <c r="SO4" s="72"/>
      <c r="SP4" s="72"/>
      <c r="SQ4" s="72"/>
      <c r="SR4" s="72"/>
      <c r="SS4" s="72"/>
      <c r="ST4" s="72"/>
      <c r="SU4" s="72"/>
      <c r="SV4" s="72"/>
      <c r="SW4" s="72"/>
      <c r="SX4" s="72"/>
      <c r="SY4" s="72"/>
      <c r="SZ4" s="72"/>
      <c r="TA4" s="72"/>
      <c r="TB4" s="72"/>
      <c r="TC4" s="72"/>
      <c r="TD4" s="72"/>
      <c r="TE4" s="72"/>
      <c r="TF4" s="72"/>
      <c r="TG4" s="72"/>
      <c r="TH4" s="72"/>
    </row>
    <row r="5" spans="1:528" s="69" customFormat="1" ht="3" customHeight="1" thickBot="1">
      <c r="B5" s="4"/>
      <c r="C5" s="1"/>
      <c r="D5" s="1421"/>
      <c r="E5" s="1421"/>
      <c r="F5" s="1421"/>
      <c r="G5" s="1421"/>
      <c r="H5" s="1421"/>
      <c r="I5" s="1421"/>
      <c r="J5" s="1421"/>
      <c r="K5" s="1"/>
      <c r="L5" s="1"/>
      <c r="M5" s="1"/>
      <c r="N5" s="1"/>
      <c r="P5" s="1412"/>
      <c r="Q5" s="3660" t="s">
        <v>3117</v>
      </c>
      <c r="R5" s="813"/>
      <c r="S5" s="336"/>
      <c r="T5" s="336"/>
      <c r="U5" s="336"/>
      <c r="W5" s="337"/>
      <c r="X5" s="3644" t="s">
        <v>3559</v>
      </c>
      <c r="Y5" s="3644" t="s">
        <v>3560</v>
      </c>
      <c r="Z5" s="3644" t="s">
        <v>3561</v>
      </c>
      <c r="AA5" s="3644" t="s">
        <v>3562</v>
      </c>
      <c r="AB5" s="3644" t="s">
        <v>3563</v>
      </c>
      <c r="AC5" s="3644" t="s">
        <v>3564</v>
      </c>
      <c r="AD5" s="3644" t="s">
        <v>3565</v>
      </c>
      <c r="AE5" s="3644" t="s">
        <v>3566</v>
      </c>
      <c r="AF5" s="3644" t="s">
        <v>3567</v>
      </c>
      <c r="AG5" s="3644" t="s">
        <v>3568</v>
      </c>
      <c r="AH5" s="3644" t="s">
        <v>860</v>
      </c>
      <c r="AI5" s="3644" t="s">
        <v>704</v>
      </c>
      <c r="AJ5" s="3644" t="s">
        <v>705</v>
      </c>
      <c r="AK5" s="3644" t="s">
        <v>706</v>
      </c>
      <c r="AL5" s="3644" t="s">
        <v>707</v>
      </c>
      <c r="AM5" s="3644" t="s">
        <v>861</v>
      </c>
      <c r="AN5" s="3644" t="s">
        <v>2124</v>
      </c>
      <c r="AO5" s="3644" t="s">
        <v>2125</v>
      </c>
      <c r="AP5" s="3644" t="s">
        <v>2126</v>
      </c>
      <c r="AQ5" s="3644" t="s">
        <v>2127</v>
      </c>
      <c r="AR5" s="3644" t="s">
        <v>3570</v>
      </c>
      <c r="AS5" s="3644" t="s">
        <v>3571</v>
      </c>
      <c r="AT5" s="3644" t="s">
        <v>3572</v>
      </c>
      <c r="AU5" s="3644" t="s">
        <v>3573</v>
      </c>
      <c r="AV5" s="3644" t="s">
        <v>3569</v>
      </c>
      <c r="AW5" s="3644" t="s">
        <v>862</v>
      </c>
      <c r="AX5" s="3644" t="s">
        <v>2128</v>
      </c>
      <c r="AY5" s="3644" t="s">
        <v>2129</v>
      </c>
      <c r="AZ5" s="3644" t="s">
        <v>2130</v>
      </c>
      <c r="BA5" s="3644" t="s">
        <v>2131</v>
      </c>
      <c r="BB5" s="3644" t="s">
        <v>3574</v>
      </c>
      <c r="BC5" s="3644" t="s">
        <v>3575</v>
      </c>
      <c r="BD5" s="3644" t="s">
        <v>3576</v>
      </c>
      <c r="BE5" s="3644" t="s">
        <v>3577</v>
      </c>
      <c r="BF5" s="3644" t="s">
        <v>3578</v>
      </c>
      <c r="BG5" s="3644" t="s">
        <v>123</v>
      </c>
      <c r="BH5" s="3644" t="s">
        <v>2132</v>
      </c>
      <c r="BI5" s="3644" t="s">
        <v>2133</v>
      </c>
      <c r="BJ5" s="3644" t="s">
        <v>2134</v>
      </c>
      <c r="BK5" s="3644" t="s">
        <v>1079</v>
      </c>
      <c r="BL5" s="3644" t="s">
        <v>3579</v>
      </c>
      <c r="BM5" s="3644" t="s">
        <v>3580</v>
      </c>
      <c r="BN5" s="3644" t="s">
        <v>3581</v>
      </c>
      <c r="BO5" s="3644" t="s">
        <v>3582</v>
      </c>
      <c r="BP5" s="3644" t="s">
        <v>3583</v>
      </c>
      <c r="BQ5" s="3644" t="s">
        <v>516</v>
      </c>
      <c r="BR5" s="3644" t="s">
        <v>517</v>
      </c>
      <c r="BS5" s="3644" t="s">
        <v>534</v>
      </c>
      <c r="BT5" s="3644" t="s">
        <v>535</v>
      </c>
      <c r="BU5" s="3644" t="s">
        <v>536</v>
      </c>
      <c r="BV5" s="3644" t="s">
        <v>3584</v>
      </c>
      <c r="BW5" s="3644" t="s">
        <v>3585</v>
      </c>
      <c r="BX5" s="3644" t="s">
        <v>3586</v>
      </c>
      <c r="BY5" s="3644" t="s">
        <v>3587</v>
      </c>
      <c r="BZ5" s="3644" t="s">
        <v>3588</v>
      </c>
      <c r="CA5" s="3644" t="s">
        <v>537</v>
      </c>
      <c r="CB5" s="3644" t="s">
        <v>538</v>
      </c>
      <c r="CC5" s="3644" t="s">
        <v>539</v>
      </c>
      <c r="CD5" s="3644" t="s">
        <v>540</v>
      </c>
      <c r="CE5" s="3644" t="s">
        <v>541</v>
      </c>
      <c r="CF5" s="3644" t="s">
        <v>542</v>
      </c>
      <c r="CG5" s="3644" t="s">
        <v>543</v>
      </c>
      <c r="CH5" s="3644" t="s">
        <v>871</v>
      </c>
      <c r="CI5" s="3644" t="s">
        <v>872</v>
      </c>
      <c r="CJ5" s="3644" t="s">
        <v>873</v>
      </c>
      <c r="CK5" s="3644" t="s">
        <v>3594</v>
      </c>
      <c r="CL5" s="3644" t="s">
        <v>3595</v>
      </c>
      <c r="CM5" s="3644" t="s">
        <v>3596</v>
      </c>
      <c r="CN5" s="3644" t="s">
        <v>3597</v>
      </c>
      <c r="CO5" s="3644" t="s">
        <v>3598</v>
      </c>
      <c r="CP5" s="3644" t="s">
        <v>3589</v>
      </c>
      <c r="CQ5" s="3644" t="s">
        <v>3590</v>
      </c>
      <c r="CR5" s="3644" t="s">
        <v>3591</v>
      </c>
      <c r="CS5" s="3644" t="s">
        <v>3592</v>
      </c>
      <c r="CT5" s="3644" t="s">
        <v>3593</v>
      </c>
      <c r="CU5" s="3644" t="s">
        <v>3599</v>
      </c>
      <c r="CV5" s="3644" t="s">
        <v>3600</v>
      </c>
      <c r="CW5" s="3644" t="s">
        <v>3601</v>
      </c>
      <c r="CX5" s="3644" t="s">
        <v>3602</v>
      </c>
      <c r="CY5" s="3644" t="s">
        <v>3603</v>
      </c>
      <c r="CZ5" s="3644" t="s">
        <v>465</v>
      </c>
      <c r="DA5" s="3644" t="s">
        <v>466</v>
      </c>
      <c r="DB5" s="3644" t="s">
        <v>467</v>
      </c>
      <c r="DC5" s="3644" t="s">
        <v>468</v>
      </c>
      <c r="DD5" s="3644" t="s">
        <v>469</v>
      </c>
      <c r="DE5" s="3644" t="s">
        <v>3604</v>
      </c>
      <c r="DF5" s="3644" t="s">
        <v>3605</v>
      </c>
      <c r="DG5" s="3644" t="s">
        <v>3606</v>
      </c>
      <c r="DH5" s="3644" t="s">
        <v>3607</v>
      </c>
      <c r="DI5" s="3644" t="s">
        <v>3608</v>
      </c>
      <c r="DJ5" s="3644" t="s">
        <v>821</v>
      </c>
      <c r="DK5" s="3644" t="s">
        <v>822</v>
      </c>
      <c r="DL5" s="3644" t="s">
        <v>823</v>
      </c>
      <c r="DM5" s="3644" t="s">
        <v>824</v>
      </c>
      <c r="DN5" s="3644" t="s">
        <v>825</v>
      </c>
      <c r="DO5" s="3644" t="s">
        <v>826</v>
      </c>
      <c r="DP5" s="3644" t="s">
        <v>827</v>
      </c>
      <c r="DQ5" s="3644" t="s">
        <v>828</v>
      </c>
      <c r="DR5" s="3644" t="s">
        <v>829</v>
      </c>
      <c r="DS5" s="3644" t="s">
        <v>830</v>
      </c>
      <c r="DT5" s="3644" t="s">
        <v>3609</v>
      </c>
      <c r="DU5" s="3644" t="s">
        <v>3610</v>
      </c>
      <c r="DV5" s="3644" t="s">
        <v>3611</v>
      </c>
      <c r="DW5" s="3644" t="s">
        <v>3612</v>
      </c>
      <c r="DX5" s="3644" t="s">
        <v>3613</v>
      </c>
      <c r="DY5" s="3644" t="s">
        <v>3614</v>
      </c>
      <c r="DZ5" s="3644" t="s">
        <v>3615</v>
      </c>
      <c r="EA5" s="3644" t="s">
        <v>3616</v>
      </c>
      <c r="EB5" s="3644" t="s">
        <v>3617</v>
      </c>
      <c r="EC5" s="3644" t="s">
        <v>3618</v>
      </c>
      <c r="ED5" s="3644" t="s">
        <v>5004</v>
      </c>
      <c r="EE5" s="3644" t="s">
        <v>5005</v>
      </c>
      <c r="EF5" s="3644" t="s">
        <v>5006</v>
      </c>
      <c r="EG5" s="3644" t="s">
        <v>5007</v>
      </c>
      <c r="EH5" s="3644" t="s">
        <v>5008</v>
      </c>
      <c r="EI5" s="3644" t="s">
        <v>5009</v>
      </c>
      <c r="EJ5" s="3644" t="s">
        <v>5010</v>
      </c>
      <c r="EK5" s="3644" t="s">
        <v>5011</v>
      </c>
      <c r="EL5" s="3644" t="s">
        <v>5012</v>
      </c>
      <c r="EM5" s="3644" t="s">
        <v>5013</v>
      </c>
      <c r="EN5" s="3644" t="s">
        <v>5014</v>
      </c>
      <c r="EO5" s="3644" t="s">
        <v>5015</v>
      </c>
      <c r="EP5" s="3644" t="s">
        <v>5016</v>
      </c>
      <c r="EQ5" s="3644" t="s">
        <v>5017</v>
      </c>
      <c r="ER5" s="3644" t="s">
        <v>5018</v>
      </c>
      <c r="ES5" s="3644" t="s">
        <v>5019</v>
      </c>
      <c r="ET5" s="3644" t="s">
        <v>5020</v>
      </c>
      <c r="EU5" s="3644" t="s">
        <v>5021</v>
      </c>
      <c r="EV5" s="3644" t="s">
        <v>5022</v>
      </c>
      <c r="EW5" s="3644" t="s">
        <v>5023</v>
      </c>
      <c r="EX5" s="3644" t="s">
        <v>5024</v>
      </c>
      <c r="EY5" s="3644" t="s">
        <v>5025</v>
      </c>
      <c r="EZ5" s="3644" t="s">
        <v>5026</v>
      </c>
      <c r="FA5" s="3644" t="s">
        <v>5027</v>
      </c>
      <c r="FB5" s="3644" t="s">
        <v>5028</v>
      </c>
      <c r="FC5" s="3644" t="s">
        <v>5029</v>
      </c>
      <c r="FD5" s="3644" t="s">
        <v>5030</v>
      </c>
      <c r="FE5" s="3644" t="s">
        <v>5031</v>
      </c>
      <c r="FF5" s="3644" t="s">
        <v>5032</v>
      </c>
      <c r="FG5" s="3644" t="s">
        <v>5033</v>
      </c>
      <c r="FH5" s="3644" t="s">
        <v>5034</v>
      </c>
      <c r="FI5" s="3644" t="s">
        <v>5035</v>
      </c>
      <c r="FJ5" s="3644" t="s">
        <v>5036</v>
      </c>
      <c r="FK5" s="3644" t="s">
        <v>5037</v>
      </c>
      <c r="FL5" s="3644" t="s">
        <v>5038</v>
      </c>
      <c r="FM5" s="3644" t="s">
        <v>2228</v>
      </c>
      <c r="FN5" s="3644" t="s">
        <v>2229</v>
      </c>
      <c r="FO5" s="3644" t="s">
        <v>2230</v>
      </c>
      <c r="FP5" s="3644" t="s">
        <v>2231</v>
      </c>
      <c r="FQ5" s="3644" t="s">
        <v>2232</v>
      </c>
      <c r="FR5" s="3644" t="s">
        <v>3619</v>
      </c>
      <c r="FS5" s="3644" t="s">
        <v>3620</v>
      </c>
      <c r="FT5" s="3644" t="s">
        <v>3621</v>
      </c>
      <c r="FU5" s="3644" t="s">
        <v>3622</v>
      </c>
      <c r="FV5" s="3644" t="s">
        <v>3623</v>
      </c>
      <c r="FW5" s="3644" t="s">
        <v>3624</v>
      </c>
      <c r="FX5" s="3644" t="s">
        <v>3625</v>
      </c>
      <c r="FY5" s="3644" t="s">
        <v>3626</v>
      </c>
      <c r="FZ5" s="3644" t="s">
        <v>3627</v>
      </c>
      <c r="GA5" s="3644" t="s">
        <v>3628</v>
      </c>
      <c r="GB5" s="3644" t="s">
        <v>111</v>
      </c>
      <c r="GC5" s="3644" t="s">
        <v>1082</v>
      </c>
      <c r="GD5" s="3644" t="s">
        <v>1083</v>
      </c>
      <c r="GE5" s="3644" t="s">
        <v>1138</v>
      </c>
      <c r="GF5" s="3644" t="s">
        <v>1139</v>
      </c>
      <c r="GG5" s="3644" t="s">
        <v>126</v>
      </c>
      <c r="GH5" s="3644" t="s">
        <v>1140</v>
      </c>
      <c r="GI5" s="3644" t="s">
        <v>1141</v>
      </c>
      <c r="GJ5" s="3644" t="s">
        <v>1142</v>
      </c>
      <c r="GK5" s="3644" t="s">
        <v>1143</v>
      </c>
      <c r="GL5" s="3644" t="s">
        <v>3629</v>
      </c>
      <c r="GM5" s="3644" t="s">
        <v>3630</v>
      </c>
      <c r="GN5" s="3644" t="s">
        <v>3631</v>
      </c>
      <c r="GO5" s="3644" t="s">
        <v>3632</v>
      </c>
      <c r="GP5" s="3644" t="s">
        <v>3633</v>
      </c>
      <c r="GQ5" s="3644" t="s">
        <v>125</v>
      </c>
      <c r="GR5" s="3644" t="s">
        <v>852</v>
      </c>
      <c r="GS5" s="3644" t="s">
        <v>853</v>
      </c>
      <c r="GT5" s="3644" t="s">
        <v>854</v>
      </c>
      <c r="GU5" s="3644" t="s">
        <v>855</v>
      </c>
      <c r="GV5" s="3644" t="s">
        <v>3634</v>
      </c>
      <c r="GW5" s="3644" t="s">
        <v>3635</v>
      </c>
      <c r="GX5" s="3644" t="s">
        <v>3636</v>
      </c>
      <c r="GY5" s="3644" t="s">
        <v>3637</v>
      </c>
      <c r="GZ5" s="3644" t="s">
        <v>3638</v>
      </c>
      <c r="HA5" s="3644" t="s">
        <v>124</v>
      </c>
      <c r="HB5" s="3644" t="s">
        <v>856</v>
      </c>
      <c r="HC5" s="3644" t="s">
        <v>857</v>
      </c>
      <c r="HD5" s="3644" t="s">
        <v>858</v>
      </c>
      <c r="HE5" s="3644" t="s">
        <v>859</v>
      </c>
      <c r="HF5" s="3644" t="s">
        <v>751</v>
      </c>
      <c r="HG5" s="3644" t="s">
        <v>752</v>
      </c>
      <c r="HH5" s="3644" t="s">
        <v>753</v>
      </c>
      <c r="HI5" s="3644" t="s">
        <v>754</v>
      </c>
      <c r="HJ5" s="3644" t="s">
        <v>755</v>
      </c>
      <c r="HK5" s="3644" t="s">
        <v>895</v>
      </c>
      <c r="HL5" s="3644" t="s">
        <v>896</v>
      </c>
      <c r="HM5" s="3644" t="s">
        <v>897</v>
      </c>
      <c r="HN5" s="3644" t="s">
        <v>898</v>
      </c>
      <c r="HO5" s="3644" t="s">
        <v>2227</v>
      </c>
      <c r="HP5" s="3644" t="s">
        <v>1342</v>
      </c>
      <c r="HQ5" s="3644" t="s">
        <v>1343</v>
      </c>
      <c r="HR5" s="3644" t="s">
        <v>1344</v>
      </c>
      <c r="HS5" s="3644" t="s">
        <v>1345</v>
      </c>
      <c r="HT5" s="3644" t="s">
        <v>1346</v>
      </c>
      <c r="HU5" s="3644" t="s">
        <v>410</v>
      </c>
      <c r="HV5" s="3644" t="s">
        <v>411</v>
      </c>
      <c r="HW5" s="3644" t="s">
        <v>412</v>
      </c>
      <c r="HX5" s="3644" t="s">
        <v>413</v>
      </c>
      <c r="HY5" s="3644" t="s">
        <v>414</v>
      </c>
      <c r="HZ5" s="3644" t="s">
        <v>14</v>
      </c>
      <c r="IA5" s="3644" t="s">
        <v>15</v>
      </c>
      <c r="IB5" s="3644" t="s">
        <v>16</v>
      </c>
      <c r="IC5" s="3644" t="s">
        <v>17</v>
      </c>
      <c r="ID5" s="3644" t="s">
        <v>18</v>
      </c>
      <c r="IE5" s="3644" t="s">
        <v>214</v>
      </c>
      <c r="IF5" s="3644" t="s">
        <v>215</v>
      </c>
      <c r="IG5" s="3644" t="s">
        <v>216</v>
      </c>
      <c r="IH5" s="3644" t="s">
        <v>1675</v>
      </c>
      <c r="II5" s="3644" t="s">
        <v>1676</v>
      </c>
      <c r="IJ5" s="3644" t="s">
        <v>1677</v>
      </c>
      <c r="IK5" s="3644" t="s">
        <v>549</v>
      </c>
      <c r="IL5" s="3644" t="s">
        <v>550</v>
      </c>
      <c r="IM5" s="3644" t="s">
        <v>551</v>
      </c>
      <c r="IN5" s="3644" t="s">
        <v>552</v>
      </c>
      <c r="IO5" s="3644" t="s">
        <v>19</v>
      </c>
      <c r="IP5" s="3644" t="s">
        <v>20</v>
      </c>
      <c r="IQ5" s="3644" t="s">
        <v>21</v>
      </c>
      <c r="IR5" s="3644" t="s">
        <v>22</v>
      </c>
      <c r="IS5" s="3644" t="s">
        <v>23</v>
      </c>
      <c r="IT5" s="3644" t="s">
        <v>464</v>
      </c>
      <c r="IU5" s="3644" t="s">
        <v>406</v>
      </c>
      <c r="IV5" s="3644" t="s">
        <v>407</v>
      </c>
      <c r="IW5" s="3644" t="s">
        <v>408</v>
      </c>
      <c r="IX5" s="3644" t="s">
        <v>409</v>
      </c>
      <c r="IY5" s="3644" t="s">
        <v>2036</v>
      </c>
      <c r="IZ5" s="3644" t="s">
        <v>2037</v>
      </c>
      <c r="JA5" s="3644" t="s">
        <v>2038</v>
      </c>
      <c r="JB5" s="3644" t="s">
        <v>1383</v>
      </c>
      <c r="JC5" s="3644" t="s">
        <v>1384</v>
      </c>
      <c r="JD5" s="3644" t="s">
        <v>24</v>
      </c>
      <c r="JE5" s="3644" t="s">
        <v>25</v>
      </c>
      <c r="JF5" s="3644" t="s">
        <v>26</v>
      </c>
      <c r="JG5" s="3644" t="s">
        <v>27</v>
      </c>
      <c r="JH5" s="3644" t="s">
        <v>28</v>
      </c>
      <c r="JI5" s="2469"/>
      <c r="JJ5" s="2469"/>
      <c r="JK5" s="2469"/>
      <c r="JL5" s="2469"/>
      <c r="JM5" s="2469"/>
      <c r="JN5" s="2469"/>
      <c r="JO5" s="2469"/>
      <c r="JP5" s="2469"/>
      <c r="JQ5" s="2469"/>
      <c r="JR5" s="2469"/>
      <c r="JS5" s="2469"/>
      <c r="JT5" s="2469"/>
      <c r="JU5" s="2469"/>
      <c r="JV5" s="2469"/>
      <c r="JW5" s="2469"/>
      <c r="JX5" s="2469"/>
      <c r="JY5" s="2469"/>
      <c r="JZ5" s="2469"/>
      <c r="KA5" s="2469"/>
      <c r="KB5" s="2469"/>
      <c r="KC5" s="2469"/>
      <c r="KD5" s="2469"/>
      <c r="KE5" s="2469"/>
      <c r="KF5" s="2469"/>
      <c r="KG5" s="2469"/>
      <c r="KH5" s="2469"/>
      <c r="KI5" s="2469"/>
      <c r="KJ5" s="2469"/>
      <c r="KK5" s="2469"/>
      <c r="KL5" s="2469"/>
      <c r="KM5" s="2469"/>
      <c r="KN5" s="2469"/>
      <c r="KO5" s="2469"/>
      <c r="KP5" s="2469"/>
      <c r="KQ5" s="2469"/>
      <c r="KR5" s="2469"/>
      <c r="KS5" s="2469"/>
      <c r="KT5" s="2469"/>
      <c r="KU5" s="2469"/>
      <c r="KV5" s="2469"/>
      <c r="KW5" s="2469"/>
      <c r="KX5" s="2469"/>
      <c r="KY5" s="2469"/>
      <c r="KZ5" s="2469"/>
      <c r="LA5" s="2469"/>
      <c r="LB5" s="2469"/>
      <c r="LC5" s="2469"/>
      <c r="LD5" s="2469"/>
      <c r="LE5" s="2469"/>
      <c r="LF5" s="2469"/>
      <c r="LG5" s="2469"/>
      <c r="LH5" s="2469"/>
      <c r="LI5" s="2469"/>
      <c r="LJ5" s="2469"/>
      <c r="LK5" s="2469"/>
      <c r="LL5" s="2469"/>
      <c r="LM5" s="2469"/>
      <c r="LN5" s="2469"/>
      <c r="LO5" s="2469"/>
      <c r="LP5" s="2469"/>
      <c r="LQ5" s="2469"/>
      <c r="LR5" s="2469"/>
      <c r="LS5" s="2469"/>
      <c r="LT5" s="2469"/>
      <c r="LU5" s="2469"/>
      <c r="LV5" s="1409"/>
      <c r="LW5" s="1409"/>
      <c r="LX5" s="1409"/>
      <c r="LY5" s="1409"/>
      <c r="LZ5" s="1409"/>
      <c r="MA5" s="1409"/>
      <c r="MB5" s="1409"/>
      <c r="MC5" s="1409"/>
      <c r="MD5" s="1409"/>
      <c r="ME5" s="1409"/>
      <c r="MF5" s="1409"/>
      <c r="MG5" s="1409"/>
      <c r="MH5" s="1409"/>
      <c r="MI5" s="1409"/>
      <c r="MJ5" s="1409"/>
      <c r="MK5" s="1409"/>
      <c r="ML5" s="1409"/>
      <c r="MM5" s="1409"/>
      <c r="MN5" s="1409"/>
      <c r="MO5" s="1409"/>
      <c r="MP5" s="3644" t="s">
        <v>1516</v>
      </c>
      <c r="MQ5" s="3644" t="s">
        <v>2314</v>
      </c>
      <c r="MR5" s="3644" t="s">
        <v>2315</v>
      </c>
      <c r="MS5" s="3644" t="s">
        <v>363</v>
      </c>
      <c r="MT5" s="3644" t="s">
        <v>364</v>
      </c>
      <c r="MU5" s="3644" t="s">
        <v>365</v>
      </c>
      <c r="MV5" s="3644" t="s">
        <v>366</v>
      </c>
      <c r="MW5" s="3644" t="s">
        <v>367</v>
      </c>
      <c r="MX5" s="3644" t="s">
        <v>368</v>
      </c>
      <c r="MY5" s="3644" t="s">
        <v>369</v>
      </c>
      <c r="MZ5" s="3644" t="s">
        <v>195</v>
      </c>
      <c r="NA5" s="3644" t="s">
        <v>196</v>
      </c>
      <c r="NB5" s="3644" t="s">
        <v>197</v>
      </c>
      <c r="NC5" s="3644" t="s">
        <v>198</v>
      </c>
      <c r="ND5" s="3644" t="s">
        <v>199</v>
      </c>
      <c r="NE5" s="3644" t="s">
        <v>200</v>
      </c>
      <c r="NF5" s="3644" t="s">
        <v>201</v>
      </c>
      <c r="NG5" s="3644" t="s">
        <v>202</v>
      </c>
      <c r="NH5" s="3644" t="s">
        <v>203</v>
      </c>
      <c r="NI5" s="3644" t="s">
        <v>204</v>
      </c>
      <c r="NJ5" s="3644" t="s">
        <v>205</v>
      </c>
      <c r="NK5" s="3644" t="s">
        <v>206</v>
      </c>
      <c r="NL5" s="3644" t="s">
        <v>207</v>
      </c>
      <c r="NM5" s="3644" t="s">
        <v>208</v>
      </c>
      <c r="NN5" s="3644" t="s">
        <v>209</v>
      </c>
      <c r="NO5" s="3644"/>
      <c r="NP5" s="3644"/>
      <c r="NQ5" s="3644"/>
      <c r="NR5" s="3644"/>
      <c r="NS5" s="3644"/>
      <c r="NT5" s="1409"/>
      <c r="NU5" s="1409"/>
      <c r="NV5" s="1409"/>
      <c r="NW5" s="1409"/>
      <c r="NX5" s="1409"/>
      <c r="NY5" s="1409"/>
      <c r="NZ5" s="1409"/>
      <c r="OA5" s="1409"/>
      <c r="OB5" s="1409"/>
      <c r="OC5" s="1409"/>
      <c r="OD5" s="358"/>
      <c r="OE5" s="358"/>
      <c r="OF5" s="358"/>
      <c r="OG5" s="358"/>
      <c r="OH5" s="358"/>
      <c r="OI5" s="358"/>
      <c r="OJ5" s="358"/>
      <c r="OK5" s="358"/>
      <c r="OL5" s="358"/>
      <c r="OM5" s="358"/>
      <c r="ON5" s="358"/>
      <c r="OO5" s="358"/>
      <c r="OP5" s="358"/>
      <c r="OQ5" s="358"/>
      <c r="OR5" s="358"/>
      <c r="OS5" s="358"/>
      <c r="OT5" s="358"/>
      <c r="OU5" s="358"/>
      <c r="OV5" s="72"/>
      <c r="OW5" s="72"/>
      <c r="OX5" s="72"/>
      <c r="OY5" s="2501"/>
      <c r="OZ5" s="2504">
        <v>5</v>
      </c>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c r="RZ5" s="72"/>
      <c r="SA5" s="72"/>
      <c r="SB5" s="72"/>
      <c r="SC5" s="72"/>
      <c r="SD5" s="72"/>
      <c r="SE5" s="72"/>
      <c r="SF5" s="72"/>
      <c r="SG5" s="72"/>
      <c r="SH5" s="72"/>
      <c r="SI5" s="72"/>
      <c r="SJ5" s="72"/>
      <c r="SK5" s="72"/>
      <c r="SL5" s="72"/>
      <c r="SM5" s="72"/>
      <c r="SN5" s="72"/>
      <c r="SO5" s="72"/>
      <c r="SP5" s="72"/>
      <c r="SQ5" s="72"/>
      <c r="SR5" s="72"/>
      <c r="SS5" s="72"/>
      <c r="ST5" s="72"/>
      <c r="SU5" s="72"/>
      <c r="SV5" s="72"/>
      <c r="SW5" s="72"/>
      <c r="SX5" s="72"/>
      <c r="SY5" s="72"/>
      <c r="SZ5" s="72"/>
      <c r="TA5" s="72"/>
      <c r="TB5" s="72"/>
      <c r="TC5" s="72"/>
      <c r="TD5" s="72"/>
      <c r="TE5" s="72"/>
      <c r="TF5" s="72"/>
      <c r="TG5" s="72"/>
      <c r="TH5" s="72"/>
    </row>
    <row r="6" spans="1:528" s="69" customFormat="1" ht="12.6" customHeight="1" thickBot="1">
      <c r="A6" s="3656" t="str">
        <f>IF(A58&gt;0,"Finish Row!","")</f>
        <v/>
      </c>
      <c r="B6" s="141" t="s">
        <v>3990</v>
      </c>
      <c r="D6" s="1421"/>
      <c r="E6" s="1421"/>
      <c r="F6" s="1421"/>
      <c r="G6" s="2531" t="s">
        <v>194</v>
      </c>
      <c r="H6" s="3657" t="s">
        <v>3992</v>
      </c>
      <c r="I6" s="3658"/>
      <c r="J6" s="3658"/>
      <c r="K6" s="671" t="s">
        <v>3049</v>
      </c>
      <c r="L6" s="3659" t="str">
        <f>'Part I-Project Identification'!$A$6</f>
        <v>May 31, 2025</v>
      </c>
      <c r="M6" s="3659"/>
      <c r="N6" s="3659"/>
      <c r="O6" s="1619" t="s">
        <v>3974</v>
      </c>
      <c r="P6" s="1411">
        <v>114200</v>
      </c>
      <c r="Q6" s="3660"/>
      <c r="R6" s="813"/>
      <c r="S6" s="72"/>
      <c r="U6" s="72"/>
      <c r="X6" s="3644"/>
      <c r="Y6" s="3644"/>
      <c r="Z6" s="3644"/>
      <c r="AA6" s="3644"/>
      <c r="AB6" s="3644"/>
      <c r="AC6" s="3644"/>
      <c r="AD6" s="3644"/>
      <c r="AE6" s="3644"/>
      <c r="AF6" s="3644"/>
      <c r="AG6" s="3644"/>
      <c r="AH6" s="3644"/>
      <c r="AI6" s="3644"/>
      <c r="AJ6" s="3644"/>
      <c r="AK6" s="3644"/>
      <c r="AL6" s="3644"/>
      <c r="AM6" s="3644"/>
      <c r="AN6" s="3644"/>
      <c r="AO6" s="3644"/>
      <c r="AP6" s="3644"/>
      <c r="AQ6" s="3644"/>
      <c r="AR6" s="3644"/>
      <c r="AS6" s="3644"/>
      <c r="AT6" s="3644"/>
      <c r="AU6" s="3644"/>
      <c r="AV6" s="3644"/>
      <c r="AW6" s="3644"/>
      <c r="AX6" s="3644"/>
      <c r="AY6" s="3644"/>
      <c r="AZ6" s="3644"/>
      <c r="BA6" s="3644"/>
      <c r="BB6" s="3644"/>
      <c r="BC6" s="3644"/>
      <c r="BD6" s="3644"/>
      <c r="BE6" s="3644"/>
      <c r="BF6" s="3644"/>
      <c r="BG6" s="3644"/>
      <c r="BH6" s="3644"/>
      <c r="BI6" s="3644"/>
      <c r="BJ6" s="3644"/>
      <c r="BK6" s="3644"/>
      <c r="BL6" s="3644"/>
      <c r="BM6" s="3644"/>
      <c r="BN6" s="3644"/>
      <c r="BO6" s="3644"/>
      <c r="BP6" s="3644"/>
      <c r="BQ6" s="3644"/>
      <c r="BR6" s="3644"/>
      <c r="BS6" s="3644"/>
      <c r="BT6" s="3644"/>
      <c r="BU6" s="3644"/>
      <c r="BV6" s="3644"/>
      <c r="BW6" s="3644"/>
      <c r="BX6" s="3644"/>
      <c r="BY6" s="3644"/>
      <c r="BZ6" s="3644"/>
      <c r="CA6" s="3644"/>
      <c r="CB6" s="3644"/>
      <c r="CC6" s="3644"/>
      <c r="CD6" s="3644"/>
      <c r="CE6" s="3644"/>
      <c r="CF6" s="3644"/>
      <c r="CG6" s="3644"/>
      <c r="CH6" s="3644"/>
      <c r="CI6" s="3644"/>
      <c r="CJ6" s="3644"/>
      <c r="CK6" s="3644"/>
      <c r="CL6" s="3644"/>
      <c r="CM6" s="3644"/>
      <c r="CN6" s="3644"/>
      <c r="CO6" s="3644"/>
      <c r="CP6" s="3644"/>
      <c r="CQ6" s="3644"/>
      <c r="CR6" s="3644"/>
      <c r="CS6" s="3644"/>
      <c r="CT6" s="3644"/>
      <c r="CU6" s="3644"/>
      <c r="CV6" s="3644"/>
      <c r="CW6" s="3644"/>
      <c r="CX6" s="3644"/>
      <c r="CY6" s="3644"/>
      <c r="CZ6" s="3644"/>
      <c r="DA6" s="3644"/>
      <c r="DB6" s="3644"/>
      <c r="DC6" s="3644"/>
      <c r="DD6" s="3644"/>
      <c r="DE6" s="3644"/>
      <c r="DF6" s="3644"/>
      <c r="DG6" s="3644"/>
      <c r="DH6" s="3644"/>
      <c r="DI6" s="3644"/>
      <c r="DJ6" s="3644"/>
      <c r="DK6" s="3644"/>
      <c r="DL6" s="3644"/>
      <c r="DM6" s="3644"/>
      <c r="DN6" s="3644"/>
      <c r="DO6" s="3644"/>
      <c r="DP6" s="3644"/>
      <c r="DQ6" s="3644"/>
      <c r="DR6" s="3644"/>
      <c r="DS6" s="3644"/>
      <c r="DT6" s="3644"/>
      <c r="DU6" s="3644"/>
      <c r="DV6" s="3644"/>
      <c r="DW6" s="3644"/>
      <c r="DX6" s="3644"/>
      <c r="DY6" s="3644"/>
      <c r="DZ6" s="3644"/>
      <c r="EA6" s="3644"/>
      <c r="EB6" s="3644"/>
      <c r="EC6" s="3644"/>
      <c r="ED6" s="3644"/>
      <c r="EE6" s="3644"/>
      <c r="EF6" s="3644"/>
      <c r="EG6" s="3644"/>
      <c r="EH6" s="3644"/>
      <c r="EI6" s="3644"/>
      <c r="EJ6" s="3644"/>
      <c r="EK6" s="3644"/>
      <c r="EL6" s="3644"/>
      <c r="EM6" s="3644"/>
      <c r="EN6" s="3644"/>
      <c r="EO6" s="3644"/>
      <c r="EP6" s="3644"/>
      <c r="EQ6" s="3644"/>
      <c r="ER6" s="3644"/>
      <c r="ES6" s="3644"/>
      <c r="ET6" s="3644"/>
      <c r="EU6" s="3644"/>
      <c r="EV6" s="3644"/>
      <c r="EW6" s="3644"/>
      <c r="EX6" s="3644"/>
      <c r="EY6" s="3644"/>
      <c r="EZ6" s="3644"/>
      <c r="FA6" s="3644"/>
      <c r="FB6" s="3644"/>
      <c r="FC6" s="3644"/>
      <c r="FD6" s="3644"/>
      <c r="FE6" s="3644"/>
      <c r="FF6" s="3644"/>
      <c r="FG6" s="3644"/>
      <c r="FH6" s="3644"/>
      <c r="FI6" s="3644"/>
      <c r="FJ6" s="3644"/>
      <c r="FK6" s="3644"/>
      <c r="FL6" s="3644"/>
      <c r="FM6" s="3644"/>
      <c r="FN6" s="3644"/>
      <c r="FO6" s="3644"/>
      <c r="FP6" s="3644"/>
      <c r="FQ6" s="3644"/>
      <c r="FR6" s="3644"/>
      <c r="FS6" s="3644"/>
      <c r="FT6" s="3644"/>
      <c r="FU6" s="3644"/>
      <c r="FV6" s="3644"/>
      <c r="FW6" s="3644"/>
      <c r="FX6" s="3644"/>
      <c r="FY6" s="3644"/>
      <c r="FZ6" s="3644"/>
      <c r="GA6" s="3644"/>
      <c r="GB6" s="3644"/>
      <c r="GC6" s="3644"/>
      <c r="GD6" s="3644"/>
      <c r="GE6" s="3644"/>
      <c r="GF6" s="3644"/>
      <c r="GG6" s="3644"/>
      <c r="GH6" s="3644"/>
      <c r="GI6" s="3644"/>
      <c r="GJ6" s="3644"/>
      <c r="GK6" s="3644"/>
      <c r="GL6" s="3644"/>
      <c r="GM6" s="3644"/>
      <c r="GN6" s="3644"/>
      <c r="GO6" s="3644"/>
      <c r="GP6" s="3644"/>
      <c r="GQ6" s="3644"/>
      <c r="GR6" s="3644"/>
      <c r="GS6" s="3644"/>
      <c r="GT6" s="3644"/>
      <c r="GU6" s="3644"/>
      <c r="GV6" s="3644"/>
      <c r="GW6" s="3644"/>
      <c r="GX6" s="3644"/>
      <c r="GY6" s="3644"/>
      <c r="GZ6" s="3644"/>
      <c r="HA6" s="3644"/>
      <c r="HB6" s="3644"/>
      <c r="HC6" s="3644"/>
      <c r="HD6" s="3644"/>
      <c r="HE6" s="3644"/>
      <c r="HF6" s="3644"/>
      <c r="HG6" s="3644"/>
      <c r="HH6" s="3644"/>
      <c r="HI6" s="3644"/>
      <c r="HJ6" s="3644"/>
      <c r="HK6" s="3644"/>
      <c r="HL6" s="3644"/>
      <c r="HM6" s="3644"/>
      <c r="HN6" s="3644"/>
      <c r="HO6" s="3644"/>
      <c r="HP6" s="3644"/>
      <c r="HQ6" s="3644"/>
      <c r="HR6" s="3644"/>
      <c r="HS6" s="3644"/>
      <c r="HT6" s="3644"/>
      <c r="HU6" s="3644"/>
      <c r="HV6" s="3644"/>
      <c r="HW6" s="3644"/>
      <c r="HX6" s="3644"/>
      <c r="HY6" s="3644"/>
      <c r="HZ6" s="3644"/>
      <c r="IA6" s="3644"/>
      <c r="IB6" s="3644"/>
      <c r="IC6" s="3644"/>
      <c r="ID6" s="3644"/>
      <c r="IE6" s="3644"/>
      <c r="IF6" s="3644"/>
      <c r="IG6" s="3644"/>
      <c r="IH6" s="3644"/>
      <c r="II6" s="3644"/>
      <c r="IJ6" s="3644"/>
      <c r="IK6" s="3644"/>
      <c r="IL6" s="3644"/>
      <c r="IM6" s="3644"/>
      <c r="IN6" s="3644"/>
      <c r="IO6" s="3644"/>
      <c r="IP6" s="3644"/>
      <c r="IQ6" s="3644"/>
      <c r="IR6" s="3644"/>
      <c r="IS6" s="3644"/>
      <c r="IT6" s="3644"/>
      <c r="IU6" s="3644"/>
      <c r="IV6" s="3644"/>
      <c r="IW6" s="3644"/>
      <c r="IX6" s="3644"/>
      <c r="IY6" s="3644"/>
      <c r="IZ6" s="3644"/>
      <c r="JA6" s="3644"/>
      <c r="JB6" s="3644"/>
      <c r="JC6" s="3644"/>
      <c r="JD6" s="3644"/>
      <c r="JE6" s="3644"/>
      <c r="JF6" s="3644"/>
      <c r="JG6" s="3644"/>
      <c r="JH6" s="3644"/>
      <c r="JI6" s="2469"/>
      <c r="JJ6" s="2469"/>
      <c r="JK6" s="2469"/>
      <c r="JL6" s="2469"/>
      <c r="JM6" s="2469"/>
      <c r="JN6" s="2469"/>
      <c r="JO6" s="2469"/>
      <c r="JP6" s="2469"/>
      <c r="JQ6" s="2469"/>
      <c r="JR6" s="2469"/>
      <c r="JS6" s="2469"/>
      <c r="JT6" s="2469"/>
      <c r="JU6" s="2469"/>
      <c r="JV6" s="2469"/>
      <c r="JW6" s="2469"/>
      <c r="JX6" s="2469"/>
      <c r="JY6" s="2469"/>
      <c r="JZ6" s="2469"/>
      <c r="KA6" s="2469"/>
      <c r="KB6" s="2469"/>
      <c r="KC6" s="2469"/>
      <c r="KD6" s="2469"/>
      <c r="KE6" s="2469"/>
      <c r="KF6" s="2469"/>
      <c r="KG6" s="2469"/>
      <c r="KH6" s="2469"/>
      <c r="KI6" s="2469"/>
      <c r="KJ6" s="2469"/>
      <c r="KK6" s="2469"/>
      <c r="KL6" s="2469"/>
      <c r="KM6" s="2469"/>
      <c r="KN6" s="2469"/>
      <c r="KO6" s="2469"/>
      <c r="KP6" s="2469"/>
      <c r="KQ6" s="2469"/>
      <c r="KR6" s="2469"/>
      <c r="KS6" s="2469"/>
      <c r="KT6" s="2469"/>
      <c r="KU6" s="2469"/>
      <c r="KV6" s="2469"/>
      <c r="KW6" s="2469"/>
      <c r="KX6" s="2469"/>
      <c r="KY6" s="2469"/>
      <c r="KZ6" s="2469"/>
      <c r="LA6" s="2469"/>
      <c r="LB6" s="2469"/>
      <c r="LC6" s="2469"/>
      <c r="LD6" s="2469"/>
      <c r="LE6" s="2469"/>
      <c r="LF6" s="2469"/>
      <c r="LG6" s="2469"/>
      <c r="LH6" s="2469"/>
      <c r="LI6" s="2469"/>
      <c r="LJ6" s="2469"/>
      <c r="LK6" s="2469"/>
      <c r="LL6" s="2469"/>
      <c r="LM6" s="2469"/>
      <c r="LN6" s="2469"/>
      <c r="LO6" s="2469"/>
      <c r="LP6" s="2469"/>
      <c r="LQ6" s="2469"/>
      <c r="LR6" s="2469"/>
      <c r="LS6" s="2469"/>
      <c r="LT6" s="2469"/>
      <c r="LU6" s="2469"/>
      <c r="LV6" s="1409"/>
      <c r="LW6" s="1409"/>
      <c r="LX6" s="1409"/>
      <c r="LY6" s="1409"/>
      <c r="LZ6" s="1409"/>
      <c r="MA6" s="1409"/>
      <c r="MB6" s="1409"/>
      <c r="MC6" s="1409"/>
      <c r="MD6" s="1409"/>
      <c r="ME6" s="1409"/>
      <c r="MF6" s="1409"/>
      <c r="MG6" s="1409"/>
      <c r="MH6" s="1409"/>
      <c r="MI6" s="1409"/>
      <c r="MJ6" s="1409"/>
      <c r="MK6" s="1409"/>
      <c r="ML6" s="1409"/>
      <c r="MM6" s="1409"/>
      <c r="MN6" s="1409"/>
      <c r="MO6" s="1409"/>
      <c r="MP6" s="3644"/>
      <c r="MQ6" s="3644"/>
      <c r="MR6" s="3644"/>
      <c r="MS6" s="3644"/>
      <c r="MT6" s="3644"/>
      <c r="MU6" s="3644"/>
      <c r="MV6" s="3644"/>
      <c r="MW6" s="3644"/>
      <c r="MX6" s="3644"/>
      <c r="MY6" s="3644"/>
      <c r="MZ6" s="3644"/>
      <c r="NA6" s="3644"/>
      <c r="NB6" s="3644"/>
      <c r="NC6" s="3644"/>
      <c r="ND6" s="3644"/>
      <c r="NE6" s="3644"/>
      <c r="NF6" s="3644"/>
      <c r="NG6" s="3644"/>
      <c r="NH6" s="3644"/>
      <c r="NI6" s="3644"/>
      <c r="NJ6" s="3644"/>
      <c r="NK6" s="3644"/>
      <c r="NL6" s="3644"/>
      <c r="NM6" s="3644"/>
      <c r="NN6" s="3644"/>
      <c r="NO6" s="3644"/>
      <c r="NP6" s="3644"/>
      <c r="NQ6" s="3644"/>
      <c r="NR6" s="3644"/>
      <c r="NS6" s="3644"/>
      <c r="NT6" s="3688" t="s">
        <v>2956</v>
      </c>
      <c r="NU6" s="3688" t="s">
        <v>2957</v>
      </c>
      <c r="NV6" s="3688" t="s">
        <v>2958</v>
      </c>
      <c r="NW6" s="3688" t="s">
        <v>2959</v>
      </c>
      <c r="NX6" s="3688" t="s">
        <v>2960</v>
      </c>
      <c r="NY6" s="3644" t="s">
        <v>4172</v>
      </c>
      <c r="NZ6" s="3644" t="s">
        <v>4173</v>
      </c>
      <c r="OA6" s="3644" t="s">
        <v>4174</v>
      </c>
      <c r="OB6" s="3644" t="s">
        <v>4175</v>
      </c>
      <c r="OC6" s="3644" t="s">
        <v>4176</v>
      </c>
      <c r="OD6" s="358"/>
      <c r="OE6" s="358"/>
      <c r="OF6" s="358"/>
      <c r="OG6" s="358"/>
      <c r="OH6" s="358"/>
      <c r="OI6" s="358"/>
      <c r="OJ6" s="358"/>
      <c r="OK6" s="358"/>
      <c r="OL6" s="358"/>
      <c r="OM6" s="358"/>
      <c r="ON6" s="358"/>
      <c r="OO6" s="358"/>
      <c r="OP6" s="358"/>
      <c r="OQ6" s="358"/>
      <c r="OR6" s="358"/>
      <c r="OS6" s="358"/>
      <c r="OT6" s="358"/>
      <c r="OU6" s="358"/>
      <c r="OV6" s="72"/>
      <c r="OW6" s="72"/>
      <c r="OX6" s="72"/>
      <c r="OY6" s="2501"/>
      <c r="OZ6" s="2504">
        <v>6</v>
      </c>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c r="RZ6" s="72"/>
      <c r="SA6" s="72"/>
      <c r="SB6" s="72"/>
      <c r="SC6" s="72"/>
      <c r="SD6" s="72"/>
      <c r="SE6" s="72"/>
      <c r="SF6" s="72"/>
      <c r="SG6" s="72"/>
      <c r="SH6" s="72"/>
      <c r="SI6" s="72"/>
      <c r="SJ6" s="72"/>
      <c r="SK6" s="72"/>
      <c r="SL6" s="72"/>
      <c r="SM6" s="72"/>
      <c r="SN6" s="72"/>
      <c r="SO6" s="72"/>
      <c r="SP6" s="72"/>
      <c r="SQ6" s="72"/>
      <c r="SR6" s="72"/>
      <c r="SS6" s="72"/>
      <c r="ST6" s="72"/>
      <c r="SU6" s="72"/>
      <c r="SV6" s="72"/>
      <c r="SW6" s="72"/>
      <c r="SX6" s="72"/>
      <c r="SY6" s="72"/>
      <c r="SZ6" s="72"/>
      <c r="TA6" s="72"/>
      <c r="TB6" s="72"/>
      <c r="TC6" s="72"/>
      <c r="TD6" s="72"/>
      <c r="TE6" s="72"/>
      <c r="TF6" s="72"/>
      <c r="TG6" s="72"/>
      <c r="TH6" s="72"/>
    </row>
    <row r="7" spans="1:528" s="69" customFormat="1" ht="12.6" customHeight="1">
      <c r="A7" s="3656"/>
      <c r="B7" s="23" t="s">
        <v>3991</v>
      </c>
      <c r="E7" s="4"/>
      <c r="G7" s="1198" t="s">
        <v>2643</v>
      </c>
      <c r="I7" s="3645" t="s">
        <v>3936</v>
      </c>
      <c r="J7" s="671" t="s">
        <v>741</v>
      </c>
      <c r="K7" s="671" t="s">
        <v>3096</v>
      </c>
      <c r="L7" s="3659"/>
      <c r="M7" s="3659"/>
      <c r="N7" s="3659"/>
      <c r="O7" s="1620" t="s">
        <v>3973</v>
      </c>
      <c r="P7" s="1449">
        <v>45748</v>
      </c>
      <c r="Q7" s="3660"/>
      <c r="R7" s="3647" t="s">
        <v>2449</v>
      </c>
      <c r="S7" s="3647"/>
      <c r="X7" s="3644"/>
      <c r="Y7" s="3644"/>
      <c r="Z7" s="3644"/>
      <c r="AA7" s="3644"/>
      <c r="AB7" s="3644"/>
      <c r="AC7" s="3644"/>
      <c r="AD7" s="3644"/>
      <c r="AE7" s="3644"/>
      <c r="AF7" s="3644"/>
      <c r="AG7" s="3644"/>
      <c r="AH7" s="3644"/>
      <c r="AI7" s="3644"/>
      <c r="AJ7" s="3644"/>
      <c r="AK7" s="3644"/>
      <c r="AL7" s="3644"/>
      <c r="AM7" s="3644"/>
      <c r="AN7" s="3644"/>
      <c r="AO7" s="3644"/>
      <c r="AP7" s="3644"/>
      <c r="AQ7" s="3644"/>
      <c r="AR7" s="3644"/>
      <c r="AS7" s="3644"/>
      <c r="AT7" s="3644"/>
      <c r="AU7" s="3644"/>
      <c r="AV7" s="3644"/>
      <c r="AW7" s="3644"/>
      <c r="AX7" s="3644"/>
      <c r="AY7" s="3644"/>
      <c r="AZ7" s="3644"/>
      <c r="BA7" s="3644"/>
      <c r="BB7" s="3644"/>
      <c r="BC7" s="3644"/>
      <c r="BD7" s="3644"/>
      <c r="BE7" s="3644"/>
      <c r="BF7" s="3644"/>
      <c r="BG7" s="3644"/>
      <c r="BH7" s="3644"/>
      <c r="BI7" s="3644"/>
      <c r="BJ7" s="3644"/>
      <c r="BK7" s="3644"/>
      <c r="BL7" s="3644"/>
      <c r="BM7" s="3644"/>
      <c r="BN7" s="3644"/>
      <c r="BO7" s="3644"/>
      <c r="BP7" s="3644"/>
      <c r="BQ7" s="3644"/>
      <c r="BR7" s="3644"/>
      <c r="BS7" s="3644"/>
      <c r="BT7" s="3644"/>
      <c r="BU7" s="3644"/>
      <c r="BV7" s="3644"/>
      <c r="BW7" s="3644"/>
      <c r="BX7" s="3644"/>
      <c r="BY7" s="3644"/>
      <c r="BZ7" s="3644"/>
      <c r="CA7" s="3644"/>
      <c r="CB7" s="3644"/>
      <c r="CC7" s="3644"/>
      <c r="CD7" s="3644"/>
      <c r="CE7" s="3644"/>
      <c r="CF7" s="3644"/>
      <c r="CG7" s="3644"/>
      <c r="CH7" s="3644"/>
      <c r="CI7" s="3644"/>
      <c r="CJ7" s="3644"/>
      <c r="CK7" s="3644"/>
      <c r="CL7" s="3644"/>
      <c r="CM7" s="3644"/>
      <c r="CN7" s="3644"/>
      <c r="CO7" s="3644"/>
      <c r="CP7" s="3644"/>
      <c r="CQ7" s="3644"/>
      <c r="CR7" s="3644"/>
      <c r="CS7" s="3644"/>
      <c r="CT7" s="3644"/>
      <c r="CU7" s="3644"/>
      <c r="CV7" s="3644"/>
      <c r="CW7" s="3644"/>
      <c r="CX7" s="3644"/>
      <c r="CY7" s="3644"/>
      <c r="CZ7" s="3644"/>
      <c r="DA7" s="3644"/>
      <c r="DB7" s="3644"/>
      <c r="DC7" s="3644"/>
      <c r="DD7" s="3644"/>
      <c r="DE7" s="3644"/>
      <c r="DF7" s="3644"/>
      <c r="DG7" s="3644"/>
      <c r="DH7" s="3644"/>
      <c r="DI7" s="3644"/>
      <c r="DJ7" s="3644"/>
      <c r="DK7" s="3644"/>
      <c r="DL7" s="3644"/>
      <c r="DM7" s="3644"/>
      <c r="DN7" s="3644"/>
      <c r="DO7" s="3644"/>
      <c r="DP7" s="3644"/>
      <c r="DQ7" s="3644"/>
      <c r="DR7" s="3644"/>
      <c r="DS7" s="3644"/>
      <c r="DT7" s="3644"/>
      <c r="DU7" s="3644"/>
      <c r="DV7" s="3644"/>
      <c r="DW7" s="3644"/>
      <c r="DX7" s="3644"/>
      <c r="DY7" s="3644"/>
      <c r="DZ7" s="3644"/>
      <c r="EA7" s="3644"/>
      <c r="EB7" s="3644"/>
      <c r="EC7" s="3644"/>
      <c r="ED7" s="3644"/>
      <c r="EE7" s="3644"/>
      <c r="EF7" s="3644"/>
      <c r="EG7" s="3644"/>
      <c r="EH7" s="3644"/>
      <c r="EI7" s="3644"/>
      <c r="EJ7" s="3644"/>
      <c r="EK7" s="3644"/>
      <c r="EL7" s="3644"/>
      <c r="EM7" s="3644"/>
      <c r="EN7" s="3644"/>
      <c r="EO7" s="3644"/>
      <c r="EP7" s="3644"/>
      <c r="EQ7" s="3644"/>
      <c r="ER7" s="3644"/>
      <c r="ES7" s="3644"/>
      <c r="ET7" s="3644"/>
      <c r="EU7" s="3644"/>
      <c r="EV7" s="3644"/>
      <c r="EW7" s="3644"/>
      <c r="EX7" s="3644"/>
      <c r="EY7" s="3644"/>
      <c r="EZ7" s="3644"/>
      <c r="FA7" s="3644"/>
      <c r="FB7" s="3644"/>
      <c r="FC7" s="3644"/>
      <c r="FD7" s="3644"/>
      <c r="FE7" s="3644"/>
      <c r="FF7" s="3644"/>
      <c r="FG7" s="3644"/>
      <c r="FH7" s="3644"/>
      <c r="FI7" s="3644"/>
      <c r="FJ7" s="3644"/>
      <c r="FK7" s="3644"/>
      <c r="FL7" s="3644"/>
      <c r="FM7" s="3644"/>
      <c r="FN7" s="3644"/>
      <c r="FO7" s="3644"/>
      <c r="FP7" s="3644"/>
      <c r="FQ7" s="3644"/>
      <c r="FR7" s="3644"/>
      <c r="FS7" s="3644"/>
      <c r="FT7" s="3644"/>
      <c r="FU7" s="3644"/>
      <c r="FV7" s="3644"/>
      <c r="FW7" s="3644"/>
      <c r="FX7" s="3644"/>
      <c r="FY7" s="3644"/>
      <c r="FZ7" s="3644"/>
      <c r="GA7" s="3644"/>
      <c r="GB7" s="3644"/>
      <c r="GC7" s="3644"/>
      <c r="GD7" s="3644"/>
      <c r="GE7" s="3644"/>
      <c r="GF7" s="3644"/>
      <c r="GG7" s="3644"/>
      <c r="GH7" s="3644"/>
      <c r="GI7" s="3644"/>
      <c r="GJ7" s="3644"/>
      <c r="GK7" s="3644"/>
      <c r="GL7" s="3644"/>
      <c r="GM7" s="3644"/>
      <c r="GN7" s="3644"/>
      <c r="GO7" s="3644"/>
      <c r="GP7" s="3644"/>
      <c r="GQ7" s="3644"/>
      <c r="GR7" s="3644"/>
      <c r="GS7" s="3644"/>
      <c r="GT7" s="3644"/>
      <c r="GU7" s="3644"/>
      <c r="GV7" s="3644"/>
      <c r="GW7" s="3644"/>
      <c r="GX7" s="3644"/>
      <c r="GY7" s="3644"/>
      <c r="GZ7" s="3644"/>
      <c r="HA7" s="3644"/>
      <c r="HB7" s="3644"/>
      <c r="HC7" s="3644"/>
      <c r="HD7" s="3644"/>
      <c r="HE7" s="3644"/>
      <c r="HF7" s="3644"/>
      <c r="HG7" s="3644"/>
      <c r="HH7" s="3644"/>
      <c r="HI7" s="3644"/>
      <c r="HJ7" s="3644"/>
      <c r="HK7" s="3644"/>
      <c r="HL7" s="3644"/>
      <c r="HM7" s="3644"/>
      <c r="HN7" s="3644"/>
      <c r="HO7" s="3644"/>
      <c r="HP7" s="3644"/>
      <c r="HQ7" s="3644"/>
      <c r="HR7" s="3644"/>
      <c r="HS7" s="3644"/>
      <c r="HT7" s="3644"/>
      <c r="HU7" s="3644"/>
      <c r="HV7" s="3644"/>
      <c r="HW7" s="3644"/>
      <c r="HX7" s="3644"/>
      <c r="HY7" s="3644"/>
      <c r="HZ7" s="3644"/>
      <c r="IA7" s="3644"/>
      <c r="IB7" s="3644"/>
      <c r="IC7" s="3644"/>
      <c r="ID7" s="3644"/>
      <c r="IE7" s="3644"/>
      <c r="IF7" s="3644"/>
      <c r="IG7" s="3644"/>
      <c r="IH7" s="3644"/>
      <c r="II7" s="3644"/>
      <c r="IJ7" s="3644"/>
      <c r="IK7" s="3644"/>
      <c r="IL7" s="3644"/>
      <c r="IM7" s="3644"/>
      <c r="IN7" s="3644"/>
      <c r="IO7" s="3644"/>
      <c r="IP7" s="3644"/>
      <c r="IQ7" s="3644"/>
      <c r="IR7" s="3644"/>
      <c r="IS7" s="3644"/>
      <c r="IT7" s="3644"/>
      <c r="IU7" s="3644"/>
      <c r="IV7" s="3644"/>
      <c r="IW7" s="3644"/>
      <c r="IX7" s="3644"/>
      <c r="IY7" s="3644"/>
      <c r="IZ7" s="3644"/>
      <c r="JA7" s="3644"/>
      <c r="JB7" s="3644"/>
      <c r="JC7" s="3644"/>
      <c r="JD7" s="3644"/>
      <c r="JE7" s="3644"/>
      <c r="JF7" s="3644"/>
      <c r="JG7" s="3644"/>
      <c r="JH7" s="3644"/>
      <c r="JI7" s="2469"/>
      <c r="JJ7" s="2469"/>
      <c r="JK7" s="2469"/>
      <c r="JL7" s="2469"/>
      <c r="JM7" s="2469"/>
      <c r="JN7" s="2469"/>
      <c r="JO7" s="2469"/>
      <c r="JP7" s="2469"/>
      <c r="JQ7" s="2469"/>
      <c r="JR7" s="2469"/>
      <c r="JS7" s="2469"/>
      <c r="JT7" s="2469"/>
      <c r="JU7" s="2469"/>
      <c r="JV7" s="2469"/>
      <c r="JW7" s="2469"/>
      <c r="JX7" s="2469"/>
      <c r="JY7" s="2469"/>
      <c r="JZ7" s="2469"/>
      <c r="KA7" s="2469"/>
      <c r="KB7" s="2469"/>
      <c r="KC7" s="2469"/>
      <c r="KD7" s="2469"/>
      <c r="KE7" s="2469"/>
      <c r="KF7" s="2469"/>
      <c r="KG7" s="2469"/>
      <c r="KH7" s="2469"/>
      <c r="KI7" s="2469"/>
      <c r="KJ7" s="2469"/>
      <c r="KK7" s="2469"/>
      <c r="KL7" s="2469"/>
      <c r="KM7" s="2469"/>
      <c r="KN7" s="2469"/>
      <c r="KO7" s="2469"/>
      <c r="KP7" s="2469"/>
      <c r="KQ7" s="2469"/>
      <c r="KR7" s="2469"/>
      <c r="KS7" s="2469"/>
      <c r="KT7" s="2469"/>
      <c r="KU7" s="2469"/>
      <c r="KV7" s="2469"/>
      <c r="KW7" s="2469"/>
      <c r="KX7" s="2469"/>
      <c r="KY7" s="2469"/>
      <c r="KZ7" s="2469"/>
      <c r="LA7" s="2469"/>
      <c r="LB7" s="2469"/>
      <c r="LC7" s="2469"/>
      <c r="LD7" s="2469"/>
      <c r="LE7" s="2469"/>
      <c r="LF7" s="2469"/>
      <c r="LG7" s="2469"/>
      <c r="LH7" s="2469"/>
      <c r="LI7" s="2469"/>
      <c r="LJ7" s="2469"/>
      <c r="LK7" s="2469"/>
      <c r="LL7" s="2469"/>
      <c r="LM7" s="2469"/>
      <c r="LN7" s="2469"/>
      <c r="LO7" s="2469"/>
      <c r="LP7" s="2469"/>
      <c r="LQ7" s="2469"/>
      <c r="LR7" s="2469"/>
      <c r="LS7" s="2469"/>
      <c r="LT7" s="2469"/>
      <c r="LU7" s="2469"/>
      <c r="LV7" s="1409"/>
      <c r="LW7" s="1409"/>
      <c r="LX7" s="1409"/>
      <c r="LY7" s="1409"/>
      <c r="LZ7" s="1409"/>
      <c r="MA7" s="1409"/>
      <c r="MB7" s="1409"/>
      <c r="MC7" s="1409"/>
      <c r="MD7" s="1409"/>
      <c r="ME7" s="1409"/>
      <c r="MF7" s="1409"/>
      <c r="MG7" s="1409"/>
      <c r="MH7" s="1409"/>
      <c r="MI7" s="1409"/>
      <c r="MJ7" s="1409"/>
      <c r="MK7" s="1409"/>
      <c r="ML7" s="1409"/>
      <c r="MM7" s="1409"/>
      <c r="MN7" s="1409"/>
      <c r="MO7" s="1409"/>
      <c r="MP7" s="3644"/>
      <c r="MQ7" s="3644"/>
      <c r="MR7" s="3644"/>
      <c r="MS7" s="3644"/>
      <c r="MT7" s="3644"/>
      <c r="MU7" s="3644"/>
      <c r="MV7" s="3644"/>
      <c r="MW7" s="3644"/>
      <c r="MX7" s="3644"/>
      <c r="MY7" s="3644"/>
      <c r="MZ7" s="3644"/>
      <c r="NA7" s="3644"/>
      <c r="NB7" s="3644"/>
      <c r="NC7" s="3644"/>
      <c r="ND7" s="3644"/>
      <c r="NE7" s="3644"/>
      <c r="NF7" s="3644"/>
      <c r="NG7" s="3644"/>
      <c r="NH7" s="3644"/>
      <c r="NI7" s="3644"/>
      <c r="NJ7" s="3644"/>
      <c r="NK7" s="3644"/>
      <c r="NL7" s="3644"/>
      <c r="NM7" s="3644"/>
      <c r="NN7" s="3644"/>
      <c r="NO7" s="3644"/>
      <c r="NP7" s="3644"/>
      <c r="NQ7" s="3644"/>
      <c r="NR7" s="3644"/>
      <c r="NS7" s="3644"/>
      <c r="NT7" s="3688"/>
      <c r="NU7" s="3688"/>
      <c r="NV7" s="3688"/>
      <c r="NW7" s="3688"/>
      <c r="NX7" s="3688"/>
      <c r="NY7" s="3644"/>
      <c r="NZ7" s="3644"/>
      <c r="OA7" s="3644"/>
      <c r="OB7" s="3644"/>
      <c r="OC7" s="3644"/>
      <c r="OD7" s="358"/>
      <c r="OE7" s="358"/>
      <c r="OF7" s="358"/>
      <c r="OG7" s="358"/>
      <c r="OH7" s="358"/>
      <c r="OI7" s="358"/>
      <c r="OJ7" s="358"/>
      <c r="OK7" s="358"/>
      <c r="OL7" s="358"/>
      <c r="OM7" s="358"/>
      <c r="ON7" s="358"/>
      <c r="OO7" s="358"/>
      <c r="OP7" s="358"/>
      <c r="OQ7" s="358"/>
      <c r="OR7" s="358"/>
      <c r="OS7" s="358"/>
      <c r="OT7" s="358"/>
      <c r="OU7" s="358"/>
      <c r="OV7" s="72"/>
      <c r="OW7" s="72"/>
      <c r="OX7" s="72"/>
      <c r="OY7" s="2501"/>
      <c r="OZ7" s="2504">
        <v>7</v>
      </c>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c r="RZ7" s="72"/>
      <c r="SA7" s="72"/>
      <c r="SB7" s="72"/>
      <c r="SC7" s="72"/>
      <c r="SD7" s="72"/>
      <c r="SE7" s="72"/>
      <c r="SF7" s="72"/>
      <c r="SG7" s="72"/>
      <c r="SH7" s="72"/>
      <c r="SI7" s="72"/>
      <c r="SJ7" s="72"/>
      <c r="SK7" s="72"/>
      <c r="SL7" s="72"/>
      <c r="SM7" s="72"/>
      <c r="SN7" s="72"/>
      <c r="SO7" s="72"/>
      <c r="SP7" s="72"/>
      <c r="SQ7" s="72"/>
      <c r="SR7" s="72"/>
      <c r="SS7" s="72"/>
      <c r="ST7" s="72"/>
      <c r="SU7" s="72"/>
      <c r="SV7" s="72"/>
      <c r="SW7" s="72"/>
      <c r="SX7" s="72"/>
      <c r="SY7" s="72"/>
      <c r="SZ7" s="72"/>
      <c r="TA7" s="72"/>
      <c r="TB7" s="72"/>
      <c r="TC7" s="72"/>
      <c r="TD7" s="72"/>
      <c r="TE7" s="72"/>
      <c r="TF7" s="72"/>
      <c r="TG7" s="72"/>
      <c r="TH7" s="72"/>
    </row>
    <row r="8" spans="1:528" s="69" customFormat="1" ht="12.6" customHeight="1">
      <c r="A8" s="3656"/>
      <c r="B8" s="814" t="s">
        <v>3641</v>
      </c>
      <c r="C8" s="1"/>
      <c r="E8" s="1"/>
      <c r="F8" s="1"/>
      <c r="I8" s="3645"/>
      <c r="J8" s="671" t="s">
        <v>742</v>
      </c>
      <c r="K8" s="671" t="s">
        <v>3097</v>
      </c>
      <c r="L8" s="653"/>
      <c r="M8" s="653"/>
      <c r="N8" s="1618" t="s">
        <v>4371</v>
      </c>
      <c r="O8" s="3648" t="s">
        <v>5243</v>
      </c>
      <c r="P8" s="3649"/>
      <c r="Q8" s="3660"/>
      <c r="R8" s="654"/>
      <c r="S8" s="656" t="s">
        <v>2446</v>
      </c>
      <c r="T8" s="336"/>
      <c r="W8" s="337"/>
      <c r="X8" s="3644"/>
      <c r="Y8" s="3644"/>
      <c r="Z8" s="3644"/>
      <c r="AA8" s="3644"/>
      <c r="AB8" s="3644"/>
      <c r="AC8" s="3644"/>
      <c r="AD8" s="3644"/>
      <c r="AE8" s="3644"/>
      <c r="AF8" s="3644"/>
      <c r="AG8" s="3644"/>
      <c r="AH8" s="3644"/>
      <c r="AI8" s="3644"/>
      <c r="AJ8" s="3644"/>
      <c r="AK8" s="3644"/>
      <c r="AL8" s="3644"/>
      <c r="AM8" s="3644"/>
      <c r="AN8" s="3644"/>
      <c r="AO8" s="3644"/>
      <c r="AP8" s="3644"/>
      <c r="AQ8" s="3644"/>
      <c r="AR8" s="3644"/>
      <c r="AS8" s="3644"/>
      <c r="AT8" s="3644"/>
      <c r="AU8" s="3644"/>
      <c r="AV8" s="3644"/>
      <c r="AW8" s="3644"/>
      <c r="AX8" s="3644"/>
      <c r="AY8" s="3644"/>
      <c r="AZ8" s="3644"/>
      <c r="BA8" s="3644"/>
      <c r="BB8" s="3644"/>
      <c r="BC8" s="3644"/>
      <c r="BD8" s="3644"/>
      <c r="BE8" s="3644"/>
      <c r="BF8" s="3644"/>
      <c r="BG8" s="3644"/>
      <c r="BH8" s="3644"/>
      <c r="BI8" s="3644"/>
      <c r="BJ8" s="3644"/>
      <c r="BK8" s="3644"/>
      <c r="BL8" s="3644"/>
      <c r="BM8" s="3644"/>
      <c r="BN8" s="3644"/>
      <c r="BO8" s="3644"/>
      <c r="BP8" s="3644"/>
      <c r="BQ8" s="3644"/>
      <c r="BR8" s="3644"/>
      <c r="BS8" s="3644"/>
      <c r="BT8" s="3644"/>
      <c r="BU8" s="3644"/>
      <c r="BV8" s="3644"/>
      <c r="BW8" s="3644"/>
      <c r="BX8" s="3644"/>
      <c r="BY8" s="3644"/>
      <c r="BZ8" s="3644"/>
      <c r="CA8" s="3644"/>
      <c r="CB8" s="3644"/>
      <c r="CC8" s="3644"/>
      <c r="CD8" s="3644"/>
      <c r="CE8" s="3644"/>
      <c r="CF8" s="3644"/>
      <c r="CG8" s="3644"/>
      <c r="CH8" s="3644"/>
      <c r="CI8" s="3644"/>
      <c r="CJ8" s="3644"/>
      <c r="CK8" s="3644"/>
      <c r="CL8" s="3644"/>
      <c r="CM8" s="3644"/>
      <c r="CN8" s="3644"/>
      <c r="CO8" s="3644"/>
      <c r="CP8" s="3644"/>
      <c r="CQ8" s="3644"/>
      <c r="CR8" s="3644"/>
      <c r="CS8" s="3644"/>
      <c r="CT8" s="3644"/>
      <c r="CU8" s="3644"/>
      <c r="CV8" s="3644"/>
      <c r="CW8" s="3644"/>
      <c r="CX8" s="3644"/>
      <c r="CY8" s="3644"/>
      <c r="CZ8" s="3644"/>
      <c r="DA8" s="3644"/>
      <c r="DB8" s="3644"/>
      <c r="DC8" s="3644"/>
      <c r="DD8" s="3644"/>
      <c r="DE8" s="3644"/>
      <c r="DF8" s="3644"/>
      <c r="DG8" s="3644"/>
      <c r="DH8" s="3644"/>
      <c r="DI8" s="3644"/>
      <c r="DJ8" s="3644"/>
      <c r="DK8" s="3644"/>
      <c r="DL8" s="3644"/>
      <c r="DM8" s="3644"/>
      <c r="DN8" s="3644"/>
      <c r="DO8" s="3644"/>
      <c r="DP8" s="3644"/>
      <c r="DQ8" s="3644"/>
      <c r="DR8" s="3644"/>
      <c r="DS8" s="3644"/>
      <c r="DT8" s="3644"/>
      <c r="DU8" s="3644"/>
      <c r="DV8" s="3644"/>
      <c r="DW8" s="3644"/>
      <c r="DX8" s="3644"/>
      <c r="DY8" s="3644"/>
      <c r="DZ8" s="3644"/>
      <c r="EA8" s="3644"/>
      <c r="EB8" s="3644"/>
      <c r="EC8" s="3644"/>
      <c r="ED8" s="3644"/>
      <c r="EE8" s="3644"/>
      <c r="EF8" s="3644"/>
      <c r="EG8" s="3644"/>
      <c r="EH8" s="3644"/>
      <c r="EI8" s="3644"/>
      <c r="EJ8" s="3644"/>
      <c r="EK8" s="3644"/>
      <c r="EL8" s="3644"/>
      <c r="EM8" s="3644"/>
      <c r="EN8" s="3644"/>
      <c r="EO8" s="3644"/>
      <c r="EP8" s="3644"/>
      <c r="EQ8" s="3644"/>
      <c r="ER8" s="3644"/>
      <c r="ES8" s="3644"/>
      <c r="ET8" s="3644"/>
      <c r="EU8" s="3644"/>
      <c r="EV8" s="3644"/>
      <c r="EW8" s="3644"/>
      <c r="EX8" s="3644"/>
      <c r="EY8" s="3644"/>
      <c r="EZ8" s="3644"/>
      <c r="FA8" s="3644"/>
      <c r="FB8" s="3644"/>
      <c r="FC8" s="3644"/>
      <c r="FD8" s="3644"/>
      <c r="FE8" s="3644"/>
      <c r="FF8" s="3644"/>
      <c r="FG8" s="3644"/>
      <c r="FH8" s="3644"/>
      <c r="FI8" s="3644"/>
      <c r="FJ8" s="3644"/>
      <c r="FK8" s="3644"/>
      <c r="FL8" s="3644"/>
      <c r="FM8" s="3644"/>
      <c r="FN8" s="3644"/>
      <c r="FO8" s="3644"/>
      <c r="FP8" s="3644"/>
      <c r="FQ8" s="3644"/>
      <c r="FR8" s="3644"/>
      <c r="FS8" s="3644"/>
      <c r="FT8" s="3644"/>
      <c r="FU8" s="3644"/>
      <c r="FV8" s="3644"/>
      <c r="FW8" s="3644"/>
      <c r="FX8" s="3644"/>
      <c r="FY8" s="3644"/>
      <c r="FZ8" s="3644"/>
      <c r="GA8" s="3644"/>
      <c r="GB8" s="3644"/>
      <c r="GC8" s="3644"/>
      <c r="GD8" s="3644"/>
      <c r="GE8" s="3644"/>
      <c r="GF8" s="3644"/>
      <c r="GG8" s="3644"/>
      <c r="GH8" s="3644"/>
      <c r="GI8" s="3644"/>
      <c r="GJ8" s="3644"/>
      <c r="GK8" s="3644"/>
      <c r="GL8" s="3644"/>
      <c r="GM8" s="3644"/>
      <c r="GN8" s="3644"/>
      <c r="GO8" s="3644"/>
      <c r="GP8" s="3644"/>
      <c r="GQ8" s="3644"/>
      <c r="GR8" s="3644"/>
      <c r="GS8" s="3644"/>
      <c r="GT8" s="3644"/>
      <c r="GU8" s="3644"/>
      <c r="GV8" s="3644"/>
      <c r="GW8" s="3644"/>
      <c r="GX8" s="3644"/>
      <c r="GY8" s="3644"/>
      <c r="GZ8" s="3644"/>
      <c r="HA8" s="3644"/>
      <c r="HB8" s="3644"/>
      <c r="HC8" s="3644"/>
      <c r="HD8" s="3644"/>
      <c r="HE8" s="3644"/>
      <c r="HF8" s="3644"/>
      <c r="HG8" s="3644"/>
      <c r="HH8" s="3644"/>
      <c r="HI8" s="3644"/>
      <c r="HJ8" s="3644"/>
      <c r="HK8" s="3644"/>
      <c r="HL8" s="3644"/>
      <c r="HM8" s="3644"/>
      <c r="HN8" s="3644"/>
      <c r="HO8" s="3644"/>
      <c r="HP8" s="3644"/>
      <c r="HQ8" s="3644"/>
      <c r="HR8" s="3644"/>
      <c r="HS8" s="3644"/>
      <c r="HT8" s="3644"/>
      <c r="HU8" s="3644"/>
      <c r="HV8" s="3644"/>
      <c r="HW8" s="3644"/>
      <c r="HX8" s="3644"/>
      <c r="HY8" s="3644"/>
      <c r="HZ8" s="3644"/>
      <c r="IA8" s="3644"/>
      <c r="IB8" s="3644"/>
      <c r="IC8" s="3644"/>
      <c r="ID8" s="3644"/>
      <c r="IE8" s="3644"/>
      <c r="IF8" s="3644"/>
      <c r="IG8" s="3644"/>
      <c r="IH8" s="3644"/>
      <c r="II8" s="3644"/>
      <c r="IJ8" s="3644"/>
      <c r="IK8" s="3644"/>
      <c r="IL8" s="3644"/>
      <c r="IM8" s="3644"/>
      <c r="IN8" s="3644"/>
      <c r="IO8" s="3644"/>
      <c r="IP8" s="3644"/>
      <c r="IQ8" s="3644"/>
      <c r="IR8" s="3644"/>
      <c r="IS8" s="3644"/>
      <c r="IT8" s="3644"/>
      <c r="IU8" s="3644"/>
      <c r="IV8" s="3644"/>
      <c r="IW8" s="3644"/>
      <c r="IX8" s="3644"/>
      <c r="IY8" s="3644"/>
      <c r="IZ8" s="3644"/>
      <c r="JA8" s="3644"/>
      <c r="JB8" s="3644"/>
      <c r="JC8" s="3644"/>
      <c r="JD8" s="3644"/>
      <c r="JE8" s="3644"/>
      <c r="JF8" s="3644"/>
      <c r="JG8" s="3644"/>
      <c r="JH8" s="3644"/>
      <c r="JI8" s="2469"/>
      <c r="JJ8" s="2469"/>
      <c r="JK8" s="2469"/>
      <c r="JL8" s="2469"/>
      <c r="JM8" s="2469"/>
      <c r="JN8" s="2469"/>
      <c r="JO8" s="2469"/>
      <c r="JP8" s="2469"/>
      <c r="JQ8" s="2469"/>
      <c r="JR8" s="2469"/>
      <c r="JS8" s="2469"/>
      <c r="JT8" s="2469"/>
      <c r="JU8" s="2469"/>
      <c r="JV8" s="2469"/>
      <c r="JW8" s="2469"/>
      <c r="JX8" s="2469"/>
      <c r="JY8" s="2469"/>
      <c r="JZ8" s="2469"/>
      <c r="KA8" s="2469"/>
      <c r="KB8" s="2469"/>
      <c r="KC8" s="2469"/>
      <c r="KD8" s="2469"/>
      <c r="KE8" s="2469"/>
      <c r="KF8" s="2469"/>
      <c r="KG8" s="2469"/>
      <c r="KH8" s="2468" t="s">
        <v>525</v>
      </c>
      <c r="KI8" s="2468" t="s">
        <v>2238</v>
      </c>
      <c r="KJ8" s="2468" t="s">
        <v>2239</v>
      </c>
      <c r="KK8" s="2468" t="s">
        <v>2240</v>
      </c>
      <c r="KL8" s="2468" t="s">
        <v>2241</v>
      </c>
      <c r="KM8" s="2468" t="s">
        <v>525</v>
      </c>
      <c r="KN8" s="2468" t="s">
        <v>2238</v>
      </c>
      <c r="KO8" s="2468" t="s">
        <v>2239</v>
      </c>
      <c r="KP8" s="2468" t="s">
        <v>2240</v>
      </c>
      <c r="KQ8" s="2468" t="s">
        <v>2241</v>
      </c>
      <c r="KR8" s="2468" t="s">
        <v>525</v>
      </c>
      <c r="KS8" s="2468" t="s">
        <v>2238</v>
      </c>
      <c r="KT8" s="2468" t="s">
        <v>2239</v>
      </c>
      <c r="KU8" s="2468" t="s">
        <v>2240</v>
      </c>
      <c r="KV8" s="2468" t="s">
        <v>2241</v>
      </c>
      <c r="KW8" s="2468" t="s">
        <v>525</v>
      </c>
      <c r="KX8" s="2468" t="s">
        <v>2238</v>
      </c>
      <c r="KY8" s="2468" t="s">
        <v>2239</v>
      </c>
      <c r="KZ8" s="2468" t="s">
        <v>2240</v>
      </c>
      <c r="LA8" s="2468" t="s">
        <v>2241</v>
      </c>
      <c r="LB8" s="2468" t="s">
        <v>525</v>
      </c>
      <c r="LC8" s="2468" t="s">
        <v>2238</v>
      </c>
      <c r="LD8" s="2468" t="s">
        <v>2239</v>
      </c>
      <c r="LE8" s="2468" t="s">
        <v>2240</v>
      </c>
      <c r="LF8" s="2468" t="s">
        <v>2241</v>
      </c>
      <c r="LG8" s="2468" t="s">
        <v>525</v>
      </c>
      <c r="LH8" s="2468" t="s">
        <v>2238</v>
      </c>
      <c r="LI8" s="2468" t="s">
        <v>2239</v>
      </c>
      <c r="LJ8" s="2468" t="s">
        <v>2240</v>
      </c>
      <c r="LK8" s="2468" t="s">
        <v>2241</v>
      </c>
      <c r="LL8" s="2468" t="s">
        <v>525</v>
      </c>
      <c r="LM8" s="2468" t="s">
        <v>2238</v>
      </c>
      <c r="LN8" s="2468" t="s">
        <v>2239</v>
      </c>
      <c r="LO8" s="2468" t="s">
        <v>2240</v>
      </c>
      <c r="LP8" s="2468" t="s">
        <v>2241</v>
      </c>
      <c r="LQ8" s="2468" t="s">
        <v>525</v>
      </c>
      <c r="LR8" s="2468" t="s">
        <v>2238</v>
      </c>
      <c r="LS8" s="2468" t="s">
        <v>2239</v>
      </c>
      <c r="LT8" s="2468" t="s">
        <v>2240</v>
      </c>
      <c r="LU8" s="2468" t="s">
        <v>2241</v>
      </c>
      <c r="LV8" s="2468" t="s">
        <v>525</v>
      </c>
      <c r="LW8" s="2468" t="s">
        <v>2238</v>
      </c>
      <c r="LX8" s="2468" t="s">
        <v>2239</v>
      </c>
      <c r="LY8" s="2468" t="s">
        <v>2240</v>
      </c>
      <c r="LZ8" s="2468" t="s">
        <v>2241</v>
      </c>
      <c r="MA8" s="2468" t="s">
        <v>525</v>
      </c>
      <c r="MB8" s="2468" t="s">
        <v>2238</v>
      </c>
      <c r="MC8" s="2468" t="s">
        <v>2239</v>
      </c>
      <c r="MD8" s="2468" t="s">
        <v>2240</v>
      </c>
      <c r="ME8" s="2468" t="s">
        <v>2241</v>
      </c>
      <c r="MF8" s="2468" t="s">
        <v>525</v>
      </c>
      <c r="MG8" s="2468" t="s">
        <v>2238</v>
      </c>
      <c r="MH8" s="2468" t="s">
        <v>2239</v>
      </c>
      <c r="MI8" s="2468" t="s">
        <v>2240</v>
      </c>
      <c r="MJ8" s="2468" t="s">
        <v>2241</v>
      </c>
      <c r="MK8" s="2468" t="s">
        <v>525</v>
      </c>
      <c r="ML8" s="2468" t="s">
        <v>2238</v>
      </c>
      <c r="MM8" s="2468" t="s">
        <v>2239</v>
      </c>
      <c r="MN8" s="2468" t="s">
        <v>2240</v>
      </c>
      <c r="MO8" s="2468" t="s">
        <v>2241</v>
      </c>
      <c r="MP8" s="3644"/>
      <c r="MQ8" s="3644"/>
      <c r="MR8" s="3644"/>
      <c r="MS8" s="3644"/>
      <c r="MT8" s="3644"/>
      <c r="MU8" s="3644"/>
      <c r="MV8" s="3644"/>
      <c r="MW8" s="3644"/>
      <c r="MX8" s="3644"/>
      <c r="MY8" s="3644"/>
      <c r="MZ8" s="3644"/>
      <c r="NA8" s="3644"/>
      <c r="NB8" s="3644"/>
      <c r="NC8" s="3644"/>
      <c r="ND8" s="3644"/>
      <c r="NE8" s="3644"/>
      <c r="NF8" s="3644"/>
      <c r="NG8" s="3644"/>
      <c r="NH8" s="3644"/>
      <c r="NI8" s="3644"/>
      <c r="NJ8" s="3644"/>
      <c r="NK8" s="3644"/>
      <c r="NL8" s="3644"/>
      <c r="NM8" s="3644"/>
      <c r="NN8" s="3644"/>
      <c r="NO8" s="3644"/>
      <c r="NP8" s="3644"/>
      <c r="NQ8" s="3644"/>
      <c r="NR8" s="3644"/>
      <c r="NS8" s="3644"/>
      <c r="NT8" s="3688"/>
      <c r="NU8" s="3688"/>
      <c r="NV8" s="3688"/>
      <c r="NW8" s="3688"/>
      <c r="NX8" s="3688"/>
      <c r="NY8" s="3644"/>
      <c r="NZ8" s="3644"/>
      <c r="OA8" s="3644"/>
      <c r="OB8" s="3644"/>
      <c r="OC8" s="3644"/>
      <c r="OD8" s="358"/>
      <c r="OE8" s="358"/>
      <c r="OF8" s="358"/>
      <c r="OG8" s="358"/>
      <c r="OH8" s="358"/>
      <c r="OI8" s="358"/>
      <c r="OJ8" s="358"/>
      <c r="OK8" s="358"/>
      <c r="OL8" s="358"/>
      <c r="OM8" s="358"/>
      <c r="ON8" s="358"/>
      <c r="OO8" s="358"/>
      <c r="OP8" s="358"/>
      <c r="OQ8" s="358"/>
      <c r="OR8" s="358"/>
      <c r="OS8" s="358"/>
      <c r="OT8" s="358"/>
      <c r="OU8" s="358"/>
      <c r="OV8" s="72"/>
      <c r="OW8" s="72"/>
      <c r="OX8" s="72"/>
      <c r="OY8" s="2501"/>
      <c r="OZ8" s="2504">
        <v>8</v>
      </c>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c r="RZ8" s="72"/>
      <c r="SA8" s="72"/>
      <c r="SB8" s="72"/>
      <c r="SC8" s="72"/>
      <c r="SD8" s="72"/>
      <c r="SE8" s="72"/>
      <c r="SF8" s="72"/>
      <c r="SG8" s="72"/>
      <c r="SH8" s="72"/>
      <c r="SI8" s="72"/>
      <c r="SJ8" s="72"/>
      <c r="SK8" s="72"/>
      <c r="SL8" s="72"/>
      <c r="SM8" s="72"/>
      <c r="SN8" s="72"/>
      <c r="SO8" s="72"/>
      <c r="SP8" s="72"/>
      <c r="SQ8" s="72"/>
      <c r="SR8" s="72"/>
      <c r="SS8" s="72"/>
      <c r="ST8" s="72"/>
      <c r="SU8" s="72"/>
      <c r="SV8" s="72"/>
      <c r="SW8" s="72"/>
      <c r="SX8" s="72"/>
      <c r="SY8" s="72"/>
      <c r="SZ8" s="72"/>
      <c r="TA8" s="72"/>
      <c r="TB8" s="72"/>
      <c r="TC8" s="72"/>
      <c r="TD8" s="72"/>
      <c r="TE8" s="72"/>
      <c r="TF8" s="72"/>
      <c r="TG8" s="72"/>
      <c r="TH8" s="72"/>
    </row>
    <row r="9" spans="1:528" s="87" customFormat="1" ht="11.25" customHeight="1">
      <c r="A9" s="3656"/>
      <c r="B9" s="1045" t="s">
        <v>3642</v>
      </c>
      <c r="C9" s="671" t="s">
        <v>165</v>
      </c>
      <c r="D9" s="671" t="s">
        <v>509</v>
      </c>
      <c r="E9" s="671" t="s">
        <v>1380</v>
      </c>
      <c r="F9" s="671" t="s">
        <v>1380</v>
      </c>
      <c r="G9" s="3645" t="s">
        <v>3987</v>
      </c>
      <c r="H9" s="813" t="s">
        <v>3215</v>
      </c>
      <c r="I9" s="3645"/>
      <c r="J9" s="3650" t="s">
        <v>3981</v>
      </c>
      <c r="K9" s="671" t="s">
        <v>2210</v>
      </c>
      <c r="L9" s="3652" t="s">
        <v>139</v>
      </c>
      <c r="M9" s="3653"/>
      <c r="N9" s="671" t="s">
        <v>2177</v>
      </c>
      <c r="O9" s="671" t="s">
        <v>4374</v>
      </c>
      <c r="P9" s="3654" t="s">
        <v>4136</v>
      </c>
      <c r="Q9" s="3660"/>
      <c r="R9" s="671" t="s">
        <v>2445</v>
      </c>
      <c r="S9" s="671" t="s">
        <v>2447</v>
      </c>
      <c r="T9" s="338"/>
      <c r="W9" s="339"/>
      <c r="X9" s="3644"/>
      <c r="Y9" s="3644"/>
      <c r="Z9" s="3644"/>
      <c r="AA9" s="3644"/>
      <c r="AB9" s="3644"/>
      <c r="AC9" s="3644"/>
      <c r="AD9" s="3644"/>
      <c r="AE9" s="3644"/>
      <c r="AF9" s="3644"/>
      <c r="AG9" s="3644"/>
      <c r="AH9" s="3644"/>
      <c r="AI9" s="3644"/>
      <c r="AJ9" s="3644"/>
      <c r="AK9" s="3644"/>
      <c r="AL9" s="3644"/>
      <c r="AM9" s="3644"/>
      <c r="AN9" s="3644"/>
      <c r="AO9" s="3644"/>
      <c r="AP9" s="3644"/>
      <c r="AQ9" s="3644"/>
      <c r="AR9" s="3644"/>
      <c r="AS9" s="3644"/>
      <c r="AT9" s="3644"/>
      <c r="AU9" s="3644"/>
      <c r="AV9" s="3644"/>
      <c r="AW9" s="3644"/>
      <c r="AX9" s="3644"/>
      <c r="AY9" s="3644"/>
      <c r="AZ9" s="3644"/>
      <c r="BA9" s="3644"/>
      <c r="BB9" s="3644"/>
      <c r="BC9" s="3644"/>
      <c r="BD9" s="3644"/>
      <c r="BE9" s="3644"/>
      <c r="BF9" s="3644"/>
      <c r="BG9" s="3644"/>
      <c r="BH9" s="3644"/>
      <c r="BI9" s="3644"/>
      <c r="BJ9" s="3644"/>
      <c r="BK9" s="3644"/>
      <c r="BL9" s="3644"/>
      <c r="BM9" s="3644"/>
      <c r="BN9" s="3644"/>
      <c r="BO9" s="3644"/>
      <c r="BP9" s="3644"/>
      <c r="BQ9" s="3644"/>
      <c r="BR9" s="3644"/>
      <c r="BS9" s="3644"/>
      <c r="BT9" s="3644"/>
      <c r="BU9" s="3644"/>
      <c r="BV9" s="3644"/>
      <c r="BW9" s="3644"/>
      <c r="BX9" s="3644"/>
      <c r="BY9" s="3644"/>
      <c r="BZ9" s="3644"/>
      <c r="CA9" s="3644"/>
      <c r="CB9" s="3644"/>
      <c r="CC9" s="3644"/>
      <c r="CD9" s="3644"/>
      <c r="CE9" s="3644"/>
      <c r="CF9" s="3644"/>
      <c r="CG9" s="3644"/>
      <c r="CH9" s="3644"/>
      <c r="CI9" s="3644"/>
      <c r="CJ9" s="3644"/>
      <c r="CK9" s="3644"/>
      <c r="CL9" s="3644"/>
      <c r="CM9" s="3644"/>
      <c r="CN9" s="3644"/>
      <c r="CO9" s="3644"/>
      <c r="CP9" s="3644"/>
      <c r="CQ9" s="3644"/>
      <c r="CR9" s="3644"/>
      <c r="CS9" s="3644"/>
      <c r="CT9" s="3644"/>
      <c r="CU9" s="3644"/>
      <c r="CV9" s="3644"/>
      <c r="CW9" s="3644"/>
      <c r="CX9" s="3644"/>
      <c r="CY9" s="3644"/>
      <c r="CZ9" s="3644"/>
      <c r="DA9" s="3644"/>
      <c r="DB9" s="3644"/>
      <c r="DC9" s="3644"/>
      <c r="DD9" s="3644"/>
      <c r="DE9" s="3644"/>
      <c r="DF9" s="3644"/>
      <c r="DG9" s="3644"/>
      <c r="DH9" s="3644"/>
      <c r="DI9" s="3644"/>
      <c r="DJ9" s="3644"/>
      <c r="DK9" s="3644"/>
      <c r="DL9" s="3644"/>
      <c r="DM9" s="3644"/>
      <c r="DN9" s="3644"/>
      <c r="DO9" s="3644"/>
      <c r="DP9" s="3644"/>
      <c r="DQ9" s="3644"/>
      <c r="DR9" s="3644"/>
      <c r="DS9" s="3644"/>
      <c r="DT9" s="3644"/>
      <c r="DU9" s="3644"/>
      <c r="DV9" s="3644"/>
      <c r="DW9" s="3644"/>
      <c r="DX9" s="3644"/>
      <c r="DY9" s="3644"/>
      <c r="DZ9" s="3644"/>
      <c r="EA9" s="3644"/>
      <c r="EB9" s="3644"/>
      <c r="EC9" s="3644"/>
      <c r="ED9" s="3644"/>
      <c r="EE9" s="3644"/>
      <c r="EF9" s="3644"/>
      <c r="EG9" s="3644"/>
      <c r="EH9" s="3644"/>
      <c r="EI9" s="3644"/>
      <c r="EJ9" s="3644"/>
      <c r="EK9" s="3644"/>
      <c r="EL9" s="3644"/>
      <c r="EM9" s="3644"/>
      <c r="EN9" s="3644"/>
      <c r="EO9" s="3644"/>
      <c r="EP9" s="3644"/>
      <c r="EQ9" s="3644"/>
      <c r="ER9" s="3644"/>
      <c r="ES9" s="3644"/>
      <c r="ET9" s="3644"/>
      <c r="EU9" s="3644"/>
      <c r="EV9" s="3644"/>
      <c r="EW9" s="3644"/>
      <c r="EX9" s="3644"/>
      <c r="EY9" s="3644"/>
      <c r="EZ9" s="3644"/>
      <c r="FA9" s="3644"/>
      <c r="FB9" s="3644"/>
      <c r="FC9" s="3644"/>
      <c r="FD9" s="3644"/>
      <c r="FE9" s="3644"/>
      <c r="FF9" s="3644"/>
      <c r="FG9" s="3644"/>
      <c r="FH9" s="3644"/>
      <c r="FI9" s="3644"/>
      <c r="FJ9" s="3644"/>
      <c r="FK9" s="3644"/>
      <c r="FL9" s="3644"/>
      <c r="FM9" s="3644"/>
      <c r="FN9" s="3644"/>
      <c r="FO9" s="3644"/>
      <c r="FP9" s="3644"/>
      <c r="FQ9" s="3644"/>
      <c r="FR9" s="3644"/>
      <c r="FS9" s="3644"/>
      <c r="FT9" s="3644"/>
      <c r="FU9" s="3644"/>
      <c r="FV9" s="3644"/>
      <c r="FW9" s="3644"/>
      <c r="FX9" s="3644"/>
      <c r="FY9" s="3644"/>
      <c r="FZ9" s="3644"/>
      <c r="GA9" s="3644"/>
      <c r="GB9" s="3644"/>
      <c r="GC9" s="3644"/>
      <c r="GD9" s="3644"/>
      <c r="GE9" s="3644"/>
      <c r="GF9" s="3644"/>
      <c r="GG9" s="3644"/>
      <c r="GH9" s="3644"/>
      <c r="GI9" s="3644"/>
      <c r="GJ9" s="3644"/>
      <c r="GK9" s="3644"/>
      <c r="GL9" s="3644"/>
      <c r="GM9" s="3644"/>
      <c r="GN9" s="3644"/>
      <c r="GO9" s="3644"/>
      <c r="GP9" s="3644"/>
      <c r="GQ9" s="3644"/>
      <c r="GR9" s="3644"/>
      <c r="GS9" s="3644"/>
      <c r="GT9" s="3644"/>
      <c r="GU9" s="3644"/>
      <c r="GV9" s="3644"/>
      <c r="GW9" s="3644"/>
      <c r="GX9" s="3644"/>
      <c r="GY9" s="3644"/>
      <c r="GZ9" s="3644"/>
      <c r="HA9" s="3644"/>
      <c r="HB9" s="3644"/>
      <c r="HC9" s="3644"/>
      <c r="HD9" s="3644"/>
      <c r="HE9" s="3644"/>
      <c r="HF9" s="3644"/>
      <c r="HG9" s="3644"/>
      <c r="HH9" s="3644"/>
      <c r="HI9" s="3644"/>
      <c r="HJ9" s="3644"/>
      <c r="HK9" s="3644"/>
      <c r="HL9" s="3644"/>
      <c r="HM9" s="3644"/>
      <c r="HN9" s="3644"/>
      <c r="HO9" s="3644"/>
      <c r="HP9" s="3644"/>
      <c r="HQ9" s="3644"/>
      <c r="HR9" s="3644"/>
      <c r="HS9" s="3644"/>
      <c r="HT9" s="3644"/>
      <c r="HU9" s="3644"/>
      <c r="HV9" s="3644"/>
      <c r="HW9" s="3644"/>
      <c r="HX9" s="3644"/>
      <c r="HY9" s="3644"/>
      <c r="HZ9" s="3644"/>
      <c r="IA9" s="3644"/>
      <c r="IB9" s="3644"/>
      <c r="IC9" s="3644"/>
      <c r="ID9" s="3644"/>
      <c r="IE9" s="3644"/>
      <c r="IF9" s="3644"/>
      <c r="IG9" s="3644"/>
      <c r="IH9" s="3644"/>
      <c r="II9" s="3644"/>
      <c r="IJ9" s="3644"/>
      <c r="IK9" s="3644"/>
      <c r="IL9" s="3644"/>
      <c r="IM9" s="3644"/>
      <c r="IN9" s="3644"/>
      <c r="IO9" s="3644"/>
      <c r="IP9" s="3644"/>
      <c r="IQ9" s="3644"/>
      <c r="IR9" s="3644"/>
      <c r="IS9" s="3644"/>
      <c r="IT9" s="3644"/>
      <c r="IU9" s="3644"/>
      <c r="IV9" s="3644"/>
      <c r="IW9" s="3644"/>
      <c r="IX9" s="3644"/>
      <c r="IY9" s="3644"/>
      <c r="IZ9" s="3644"/>
      <c r="JA9" s="3644"/>
      <c r="JB9" s="3644"/>
      <c r="JC9" s="3644"/>
      <c r="JD9" s="3644"/>
      <c r="JE9" s="3644"/>
      <c r="JF9" s="3644"/>
      <c r="JG9" s="3644"/>
      <c r="JH9" s="3644"/>
      <c r="JI9" s="3644" t="s">
        <v>1369</v>
      </c>
      <c r="JJ9" s="2468" t="s">
        <v>2238</v>
      </c>
      <c r="JK9" s="2468" t="s">
        <v>2239</v>
      </c>
      <c r="JL9" s="2468" t="s">
        <v>2240</v>
      </c>
      <c r="JM9" s="2468" t="s">
        <v>2241</v>
      </c>
      <c r="JN9" s="3644" t="s">
        <v>2292</v>
      </c>
      <c r="JO9" s="3644" t="s">
        <v>2292</v>
      </c>
      <c r="JP9" s="3644" t="s">
        <v>2292</v>
      </c>
      <c r="JQ9" s="3644" t="s">
        <v>2292</v>
      </c>
      <c r="JR9" s="3644" t="s">
        <v>2292</v>
      </c>
      <c r="JS9" s="3644" t="s">
        <v>2927</v>
      </c>
      <c r="JT9" s="3644" t="s">
        <v>2927</v>
      </c>
      <c r="JU9" s="3644" t="s">
        <v>2927</v>
      </c>
      <c r="JV9" s="3644" t="s">
        <v>2927</v>
      </c>
      <c r="JW9" s="3644" t="s">
        <v>2927</v>
      </c>
      <c r="JX9" s="2468" t="s">
        <v>525</v>
      </c>
      <c r="JY9" s="2468" t="s">
        <v>2238</v>
      </c>
      <c r="JZ9" s="2468" t="s">
        <v>2239</v>
      </c>
      <c r="KA9" s="2468" t="s">
        <v>2240</v>
      </c>
      <c r="KB9" s="2468" t="s">
        <v>2241</v>
      </c>
      <c r="KC9" s="2468" t="s">
        <v>525</v>
      </c>
      <c r="KD9" s="2468" t="s">
        <v>2238</v>
      </c>
      <c r="KE9" s="2468" t="s">
        <v>2239</v>
      </c>
      <c r="KF9" s="2468" t="s">
        <v>2240</v>
      </c>
      <c r="KG9" s="2468" t="s">
        <v>2241</v>
      </c>
      <c r="KH9" s="3644" t="s">
        <v>4177</v>
      </c>
      <c r="KI9" s="3644" t="s">
        <v>4177</v>
      </c>
      <c r="KJ9" s="3644" t="s">
        <v>4177</v>
      </c>
      <c r="KK9" s="3644" t="s">
        <v>4177</v>
      </c>
      <c r="KL9" s="3644" t="s">
        <v>4177</v>
      </c>
      <c r="KM9" s="3644" t="s">
        <v>4178</v>
      </c>
      <c r="KN9" s="3644" t="s">
        <v>4178</v>
      </c>
      <c r="KO9" s="3644" t="s">
        <v>4178</v>
      </c>
      <c r="KP9" s="3644" t="s">
        <v>4178</v>
      </c>
      <c r="KQ9" s="3644" t="s">
        <v>4178</v>
      </c>
      <c r="KR9" s="3644" t="s">
        <v>4180</v>
      </c>
      <c r="KS9" s="3644" t="s">
        <v>4180</v>
      </c>
      <c r="KT9" s="3644" t="s">
        <v>4180</v>
      </c>
      <c r="KU9" s="3644" t="s">
        <v>4180</v>
      </c>
      <c r="KV9" s="3644" t="s">
        <v>4180</v>
      </c>
      <c r="KW9" s="3644" t="s">
        <v>4181</v>
      </c>
      <c r="KX9" s="3644" t="s">
        <v>4181</v>
      </c>
      <c r="KY9" s="3644" t="s">
        <v>4181</v>
      </c>
      <c r="KZ9" s="3644" t="s">
        <v>4181</v>
      </c>
      <c r="LA9" s="3644" t="s">
        <v>4181</v>
      </c>
      <c r="LB9" s="3644" t="s">
        <v>4182</v>
      </c>
      <c r="LC9" s="3644" t="s">
        <v>4182</v>
      </c>
      <c r="LD9" s="3644" t="s">
        <v>4182</v>
      </c>
      <c r="LE9" s="3644" t="s">
        <v>4182</v>
      </c>
      <c r="LF9" s="3644" t="s">
        <v>4182</v>
      </c>
      <c r="LG9" s="3644" t="s">
        <v>4375</v>
      </c>
      <c r="LH9" s="3644" t="s">
        <v>4375</v>
      </c>
      <c r="LI9" s="3644" t="s">
        <v>4375</v>
      </c>
      <c r="LJ9" s="3644" t="s">
        <v>4375</v>
      </c>
      <c r="LK9" s="3644" t="s">
        <v>4375</v>
      </c>
      <c r="LL9" s="3644" t="s">
        <v>5077</v>
      </c>
      <c r="LM9" s="3644" t="s">
        <v>5077</v>
      </c>
      <c r="LN9" s="3644" t="s">
        <v>5077</v>
      </c>
      <c r="LO9" s="3644" t="s">
        <v>5077</v>
      </c>
      <c r="LP9" s="3644" t="s">
        <v>5077</v>
      </c>
      <c r="LQ9" s="3644" t="s">
        <v>5078</v>
      </c>
      <c r="LR9" s="3644" t="s">
        <v>5078</v>
      </c>
      <c r="LS9" s="3644" t="s">
        <v>5078</v>
      </c>
      <c r="LT9" s="3644" t="s">
        <v>5078</v>
      </c>
      <c r="LU9" s="3644" t="s">
        <v>5078</v>
      </c>
      <c r="LV9" s="3644" t="s">
        <v>4184</v>
      </c>
      <c r="LW9" s="3644" t="s">
        <v>4184</v>
      </c>
      <c r="LX9" s="3644" t="s">
        <v>4184</v>
      </c>
      <c r="LY9" s="3644" t="s">
        <v>4184</v>
      </c>
      <c r="LZ9" s="3644" t="s">
        <v>4184</v>
      </c>
      <c r="MA9" s="3644" t="s">
        <v>4376</v>
      </c>
      <c r="MB9" s="3644" t="s">
        <v>4376</v>
      </c>
      <c r="MC9" s="3644" t="s">
        <v>4376</v>
      </c>
      <c r="MD9" s="3644" t="s">
        <v>4376</v>
      </c>
      <c r="ME9" s="3644" t="s">
        <v>4376</v>
      </c>
      <c r="MF9" s="3644" t="s">
        <v>5079</v>
      </c>
      <c r="MG9" s="3644" t="s">
        <v>5079</v>
      </c>
      <c r="MH9" s="3644" t="s">
        <v>5079</v>
      </c>
      <c r="MI9" s="3644" t="s">
        <v>5079</v>
      </c>
      <c r="MJ9" s="3644" t="s">
        <v>5079</v>
      </c>
      <c r="MK9" s="3644" t="s">
        <v>5080</v>
      </c>
      <c r="ML9" s="3644" t="s">
        <v>5080</v>
      </c>
      <c r="MM9" s="3644" t="s">
        <v>5080</v>
      </c>
      <c r="MN9" s="3644" t="s">
        <v>5080</v>
      </c>
      <c r="MO9" s="3644" t="s">
        <v>5080</v>
      </c>
      <c r="MP9" s="3644"/>
      <c r="MQ9" s="3644"/>
      <c r="MR9" s="3644"/>
      <c r="MS9" s="3644"/>
      <c r="MT9" s="3644"/>
      <c r="MU9" s="3644"/>
      <c r="MV9" s="3644"/>
      <c r="MW9" s="3644"/>
      <c r="MX9" s="3644"/>
      <c r="MY9" s="3644"/>
      <c r="MZ9" s="3644"/>
      <c r="NA9" s="3644"/>
      <c r="NB9" s="3644"/>
      <c r="NC9" s="3644"/>
      <c r="ND9" s="3644"/>
      <c r="NE9" s="3644"/>
      <c r="NF9" s="3644"/>
      <c r="NG9" s="3644"/>
      <c r="NH9" s="3644"/>
      <c r="NI9" s="3644"/>
      <c r="NJ9" s="3644"/>
      <c r="NK9" s="3644"/>
      <c r="NL9" s="3644"/>
      <c r="NM9" s="3644"/>
      <c r="NN9" s="3644"/>
      <c r="NO9" s="3644"/>
      <c r="NP9" s="3644"/>
      <c r="NQ9" s="3644"/>
      <c r="NR9" s="3644"/>
      <c r="NS9" s="3644"/>
      <c r="NT9" s="3688"/>
      <c r="NU9" s="3688"/>
      <c r="NV9" s="3688"/>
      <c r="NW9" s="3688"/>
      <c r="NX9" s="3688"/>
      <c r="NY9" s="3644"/>
      <c r="NZ9" s="3644"/>
      <c r="OA9" s="3644"/>
      <c r="OB9" s="3644"/>
      <c r="OC9" s="3644"/>
      <c r="OD9" s="359"/>
      <c r="OE9" s="359"/>
      <c r="OF9" s="359"/>
      <c r="OG9" s="359"/>
      <c r="OH9" s="359"/>
      <c r="OI9" s="359"/>
      <c r="OJ9" s="359"/>
      <c r="OK9" s="359"/>
      <c r="OL9" s="359"/>
      <c r="OM9" s="359"/>
      <c r="ON9" s="359"/>
      <c r="OO9" s="359"/>
      <c r="OP9" s="359"/>
      <c r="OQ9" s="359"/>
      <c r="OR9" s="359"/>
      <c r="OS9" s="359"/>
      <c r="OT9" s="359"/>
      <c r="OU9" s="359"/>
      <c r="OV9" s="68"/>
      <c r="OW9" s="68"/>
      <c r="OX9" s="68"/>
      <c r="OY9" s="2505"/>
      <c r="OZ9" s="2506">
        <v>9</v>
      </c>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c r="RZ9" s="68"/>
      <c r="SA9" s="68"/>
      <c r="SB9" s="68"/>
      <c r="SC9" s="68"/>
      <c r="SD9" s="68"/>
      <c r="SE9" s="68"/>
      <c r="SF9" s="68"/>
      <c r="SG9" s="68"/>
      <c r="SH9" s="68"/>
      <c r="SI9" s="68"/>
      <c r="SJ9" s="68"/>
      <c r="SK9" s="68"/>
      <c r="SL9" s="68"/>
      <c r="SM9" s="68"/>
      <c r="SN9" s="68"/>
      <c r="SO9" s="68"/>
      <c r="SP9" s="68"/>
      <c r="SQ9" s="68"/>
      <c r="SR9" s="68"/>
      <c r="SS9" s="68"/>
      <c r="ST9" s="68"/>
      <c r="SU9" s="68"/>
      <c r="SV9" s="68"/>
      <c r="SW9" s="68"/>
      <c r="SX9" s="68"/>
      <c r="SY9" s="68"/>
      <c r="SZ9" s="68"/>
      <c r="TA9" s="68"/>
      <c r="TB9" s="68"/>
      <c r="TC9" s="68"/>
      <c r="TD9" s="68"/>
      <c r="TE9" s="68"/>
      <c r="TF9" s="68"/>
      <c r="TG9" s="68"/>
      <c r="TH9" s="68"/>
    </row>
    <row r="10" spans="1:528" s="87" customFormat="1" ht="11.25" customHeight="1">
      <c r="A10" s="3656"/>
      <c r="B10" s="1193" t="s">
        <v>3803</v>
      </c>
      <c r="C10" s="671" t="s">
        <v>164</v>
      </c>
      <c r="D10" s="671" t="s">
        <v>166</v>
      </c>
      <c r="E10" s="671" t="s">
        <v>1381</v>
      </c>
      <c r="F10" s="671" t="s">
        <v>1201</v>
      </c>
      <c r="G10" s="3646"/>
      <c r="H10" s="671" t="s">
        <v>3988</v>
      </c>
      <c r="I10" s="3646"/>
      <c r="J10" s="3651"/>
      <c r="K10" s="357" t="s">
        <v>334</v>
      </c>
      <c r="L10" s="671" t="s">
        <v>1430</v>
      </c>
      <c r="M10" s="671" t="s">
        <v>503</v>
      </c>
      <c r="N10" s="671" t="s">
        <v>1380</v>
      </c>
      <c r="O10" s="671" t="s">
        <v>4388</v>
      </c>
      <c r="P10" s="3655"/>
      <c r="Q10" s="3661"/>
      <c r="R10" s="671" t="s">
        <v>1382</v>
      </c>
      <c r="S10" s="671" t="s">
        <v>2448</v>
      </c>
      <c r="T10" s="10" t="s">
        <v>1705</v>
      </c>
      <c r="W10" s="10"/>
      <c r="X10" s="3644"/>
      <c r="Y10" s="3644"/>
      <c r="Z10" s="3644"/>
      <c r="AA10" s="3644"/>
      <c r="AB10" s="3644"/>
      <c r="AC10" s="3644"/>
      <c r="AD10" s="3644"/>
      <c r="AE10" s="3644"/>
      <c r="AF10" s="3644"/>
      <c r="AG10" s="3644"/>
      <c r="AH10" s="3644"/>
      <c r="AI10" s="3644"/>
      <c r="AJ10" s="3644"/>
      <c r="AK10" s="3644"/>
      <c r="AL10" s="3644"/>
      <c r="AM10" s="3644"/>
      <c r="AN10" s="3644"/>
      <c r="AO10" s="3644"/>
      <c r="AP10" s="3644"/>
      <c r="AQ10" s="3644"/>
      <c r="AR10" s="3644"/>
      <c r="AS10" s="3644"/>
      <c r="AT10" s="3644"/>
      <c r="AU10" s="3644"/>
      <c r="AV10" s="3644"/>
      <c r="AW10" s="3644"/>
      <c r="AX10" s="3644"/>
      <c r="AY10" s="3644"/>
      <c r="AZ10" s="3644"/>
      <c r="BA10" s="3644"/>
      <c r="BB10" s="3644"/>
      <c r="BC10" s="3644"/>
      <c r="BD10" s="3644"/>
      <c r="BE10" s="3644"/>
      <c r="BF10" s="3644"/>
      <c r="BG10" s="3644"/>
      <c r="BH10" s="3644"/>
      <c r="BI10" s="3644"/>
      <c r="BJ10" s="3644"/>
      <c r="BK10" s="3644"/>
      <c r="BL10" s="3644"/>
      <c r="BM10" s="3644"/>
      <c r="BN10" s="3644"/>
      <c r="BO10" s="3644"/>
      <c r="BP10" s="3644"/>
      <c r="BQ10" s="3644"/>
      <c r="BR10" s="3644"/>
      <c r="BS10" s="3644"/>
      <c r="BT10" s="3644"/>
      <c r="BU10" s="3644"/>
      <c r="BV10" s="3644"/>
      <c r="BW10" s="3644"/>
      <c r="BX10" s="3644"/>
      <c r="BY10" s="3644"/>
      <c r="BZ10" s="3644"/>
      <c r="CA10" s="3644"/>
      <c r="CB10" s="3644"/>
      <c r="CC10" s="3644"/>
      <c r="CD10" s="3644"/>
      <c r="CE10" s="3644"/>
      <c r="CF10" s="3644"/>
      <c r="CG10" s="3644"/>
      <c r="CH10" s="3644"/>
      <c r="CI10" s="3644"/>
      <c r="CJ10" s="3644"/>
      <c r="CK10" s="3644"/>
      <c r="CL10" s="3644"/>
      <c r="CM10" s="3644"/>
      <c r="CN10" s="3644"/>
      <c r="CO10" s="3644"/>
      <c r="CP10" s="3644"/>
      <c r="CQ10" s="3644"/>
      <c r="CR10" s="3644"/>
      <c r="CS10" s="3644"/>
      <c r="CT10" s="3644"/>
      <c r="CU10" s="3644"/>
      <c r="CV10" s="3644"/>
      <c r="CW10" s="3644"/>
      <c r="CX10" s="3644"/>
      <c r="CY10" s="3644"/>
      <c r="CZ10" s="3644"/>
      <c r="DA10" s="3644"/>
      <c r="DB10" s="3644"/>
      <c r="DC10" s="3644"/>
      <c r="DD10" s="3644"/>
      <c r="DE10" s="3644"/>
      <c r="DF10" s="3644"/>
      <c r="DG10" s="3644"/>
      <c r="DH10" s="3644"/>
      <c r="DI10" s="3644"/>
      <c r="DJ10" s="3644"/>
      <c r="DK10" s="3644"/>
      <c r="DL10" s="3644"/>
      <c r="DM10" s="3644"/>
      <c r="DN10" s="3644"/>
      <c r="DO10" s="3644"/>
      <c r="DP10" s="3644"/>
      <c r="DQ10" s="3644"/>
      <c r="DR10" s="3644"/>
      <c r="DS10" s="3644"/>
      <c r="DT10" s="3644"/>
      <c r="DU10" s="3644"/>
      <c r="DV10" s="3644"/>
      <c r="DW10" s="3644"/>
      <c r="DX10" s="3644"/>
      <c r="DY10" s="3644"/>
      <c r="DZ10" s="3644"/>
      <c r="EA10" s="3644"/>
      <c r="EB10" s="3644"/>
      <c r="EC10" s="3644"/>
      <c r="ED10" s="3644"/>
      <c r="EE10" s="3644"/>
      <c r="EF10" s="3644"/>
      <c r="EG10" s="3644"/>
      <c r="EH10" s="3644"/>
      <c r="EI10" s="3644"/>
      <c r="EJ10" s="3644"/>
      <c r="EK10" s="3644"/>
      <c r="EL10" s="3644"/>
      <c r="EM10" s="3644"/>
      <c r="EN10" s="3644"/>
      <c r="EO10" s="3644"/>
      <c r="EP10" s="3644"/>
      <c r="EQ10" s="3644"/>
      <c r="ER10" s="3644"/>
      <c r="ES10" s="3644"/>
      <c r="ET10" s="3644"/>
      <c r="EU10" s="3644"/>
      <c r="EV10" s="3644"/>
      <c r="EW10" s="3644"/>
      <c r="EX10" s="3644"/>
      <c r="EY10" s="3644"/>
      <c r="EZ10" s="3644"/>
      <c r="FA10" s="3644"/>
      <c r="FB10" s="3644"/>
      <c r="FC10" s="3644"/>
      <c r="FD10" s="3644"/>
      <c r="FE10" s="3644"/>
      <c r="FF10" s="3644"/>
      <c r="FG10" s="3644"/>
      <c r="FH10" s="3644"/>
      <c r="FI10" s="3644"/>
      <c r="FJ10" s="3644"/>
      <c r="FK10" s="3644"/>
      <c r="FL10" s="3644"/>
      <c r="FM10" s="3644"/>
      <c r="FN10" s="3644"/>
      <c r="FO10" s="3644"/>
      <c r="FP10" s="3644"/>
      <c r="FQ10" s="3644"/>
      <c r="FR10" s="3644"/>
      <c r="FS10" s="3644"/>
      <c r="FT10" s="3644"/>
      <c r="FU10" s="3644"/>
      <c r="FV10" s="3644"/>
      <c r="FW10" s="3644"/>
      <c r="FX10" s="3644"/>
      <c r="FY10" s="3644"/>
      <c r="FZ10" s="3644"/>
      <c r="GA10" s="3644"/>
      <c r="GB10" s="3644"/>
      <c r="GC10" s="3644"/>
      <c r="GD10" s="3644"/>
      <c r="GE10" s="3644"/>
      <c r="GF10" s="3644"/>
      <c r="GG10" s="3644"/>
      <c r="GH10" s="3644"/>
      <c r="GI10" s="3644"/>
      <c r="GJ10" s="3644"/>
      <c r="GK10" s="3644"/>
      <c r="GL10" s="3644"/>
      <c r="GM10" s="3644"/>
      <c r="GN10" s="3644"/>
      <c r="GO10" s="3644"/>
      <c r="GP10" s="3644"/>
      <c r="GQ10" s="3644"/>
      <c r="GR10" s="3644"/>
      <c r="GS10" s="3644"/>
      <c r="GT10" s="3644"/>
      <c r="GU10" s="3644"/>
      <c r="GV10" s="3644"/>
      <c r="GW10" s="3644"/>
      <c r="GX10" s="3644"/>
      <c r="GY10" s="3644"/>
      <c r="GZ10" s="3644"/>
      <c r="HA10" s="3644"/>
      <c r="HB10" s="3644"/>
      <c r="HC10" s="3644"/>
      <c r="HD10" s="3644"/>
      <c r="HE10" s="3644"/>
      <c r="HF10" s="3644"/>
      <c r="HG10" s="3644"/>
      <c r="HH10" s="3644"/>
      <c r="HI10" s="3644"/>
      <c r="HJ10" s="3644"/>
      <c r="HK10" s="3644"/>
      <c r="HL10" s="3644"/>
      <c r="HM10" s="3644"/>
      <c r="HN10" s="3644"/>
      <c r="HO10" s="3644"/>
      <c r="HP10" s="3644"/>
      <c r="HQ10" s="3644"/>
      <c r="HR10" s="3644"/>
      <c r="HS10" s="3644"/>
      <c r="HT10" s="3644"/>
      <c r="HU10" s="3644"/>
      <c r="HV10" s="3644"/>
      <c r="HW10" s="3644"/>
      <c r="HX10" s="3644"/>
      <c r="HY10" s="3644"/>
      <c r="HZ10" s="3644"/>
      <c r="IA10" s="3644"/>
      <c r="IB10" s="3644"/>
      <c r="IC10" s="3644"/>
      <c r="ID10" s="3644"/>
      <c r="IE10" s="3644"/>
      <c r="IF10" s="3644"/>
      <c r="IG10" s="3644"/>
      <c r="IH10" s="3644"/>
      <c r="II10" s="3644"/>
      <c r="IJ10" s="3644"/>
      <c r="IK10" s="3644"/>
      <c r="IL10" s="3644"/>
      <c r="IM10" s="3644"/>
      <c r="IN10" s="3644"/>
      <c r="IO10" s="3644"/>
      <c r="IP10" s="3644"/>
      <c r="IQ10" s="3644"/>
      <c r="IR10" s="3644"/>
      <c r="IS10" s="3644"/>
      <c r="IT10" s="3644"/>
      <c r="IU10" s="3644"/>
      <c r="IV10" s="3644"/>
      <c r="IW10" s="3644"/>
      <c r="IX10" s="3644"/>
      <c r="IY10" s="3644"/>
      <c r="IZ10" s="3644"/>
      <c r="JA10" s="3644"/>
      <c r="JB10" s="3644"/>
      <c r="JC10" s="3644"/>
      <c r="JD10" s="3644"/>
      <c r="JE10" s="3644"/>
      <c r="JF10" s="3644"/>
      <c r="JG10" s="3644"/>
      <c r="JH10" s="3644"/>
      <c r="JI10" s="3644"/>
      <c r="JJ10" s="2468" t="s">
        <v>2291</v>
      </c>
      <c r="JK10" s="2468" t="s">
        <v>2291</v>
      </c>
      <c r="JL10" s="2468" t="s">
        <v>2291</v>
      </c>
      <c r="JM10" s="2468" t="s">
        <v>2291</v>
      </c>
      <c r="JN10" s="3644"/>
      <c r="JO10" s="3644"/>
      <c r="JP10" s="3644"/>
      <c r="JQ10" s="3644"/>
      <c r="JR10" s="3644"/>
      <c r="JS10" s="3644"/>
      <c r="JT10" s="3644"/>
      <c r="JU10" s="3644"/>
      <c r="JV10" s="3644"/>
      <c r="JW10" s="3644"/>
      <c r="JX10" s="2468" t="s">
        <v>2293</v>
      </c>
      <c r="JY10" s="2468" t="s">
        <v>2293</v>
      </c>
      <c r="JZ10" s="2468" t="s">
        <v>2293</v>
      </c>
      <c r="KA10" s="2468" t="s">
        <v>2293</v>
      </c>
      <c r="KB10" s="2468" t="s">
        <v>2293</v>
      </c>
      <c r="KC10" s="2468" t="s">
        <v>2928</v>
      </c>
      <c r="KD10" s="2468" t="s">
        <v>2928</v>
      </c>
      <c r="KE10" s="2468" t="s">
        <v>2928</v>
      </c>
      <c r="KF10" s="2468" t="s">
        <v>2928</v>
      </c>
      <c r="KG10" s="2468" t="s">
        <v>2928</v>
      </c>
      <c r="KH10" s="3644"/>
      <c r="KI10" s="3644"/>
      <c r="KJ10" s="3644"/>
      <c r="KK10" s="3644"/>
      <c r="KL10" s="3644"/>
      <c r="KM10" s="3644"/>
      <c r="KN10" s="3644"/>
      <c r="KO10" s="3644"/>
      <c r="KP10" s="3644"/>
      <c r="KQ10" s="3644"/>
      <c r="KR10" s="3644"/>
      <c r="KS10" s="3644"/>
      <c r="KT10" s="3644"/>
      <c r="KU10" s="3644"/>
      <c r="KV10" s="3644"/>
      <c r="KW10" s="3644"/>
      <c r="KX10" s="3644"/>
      <c r="KY10" s="3644"/>
      <c r="KZ10" s="3644"/>
      <c r="LA10" s="3644"/>
      <c r="LB10" s="3644"/>
      <c r="LC10" s="3644"/>
      <c r="LD10" s="3644"/>
      <c r="LE10" s="3644"/>
      <c r="LF10" s="3644"/>
      <c r="LG10" s="3644"/>
      <c r="LH10" s="3644"/>
      <c r="LI10" s="3644"/>
      <c r="LJ10" s="3644"/>
      <c r="LK10" s="3644"/>
      <c r="LL10" s="3644"/>
      <c r="LM10" s="3644"/>
      <c r="LN10" s="3644"/>
      <c r="LO10" s="3644"/>
      <c r="LP10" s="3644"/>
      <c r="LQ10" s="3644"/>
      <c r="LR10" s="3644"/>
      <c r="LS10" s="3644"/>
      <c r="LT10" s="3644"/>
      <c r="LU10" s="3644"/>
      <c r="LV10" s="3644"/>
      <c r="LW10" s="3644"/>
      <c r="LX10" s="3644"/>
      <c r="LY10" s="3644"/>
      <c r="LZ10" s="3644"/>
      <c r="MA10" s="3644"/>
      <c r="MB10" s="3644"/>
      <c r="MC10" s="3644"/>
      <c r="MD10" s="3644"/>
      <c r="ME10" s="3644"/>
      <c r="MF10" s="3644"/>
      <c r="MG10" s="3644"/>
      <c r="MH10" s="3644"/>
      <c r="MI10" s="3644"/>
      <c r="MJ10" s="3644"/>
      <c r="MK10" s="3644"/>
      <c r="ML10" s="3644"/>
      <c r="MM10" s="3644"/>
      <c r="MN10" s="3644"/>
      <c r="MO10" s="3644"/>
      <c r="MP10" s="3644"/>
      <c r="MQ10" s="3644"/>
      <c r="MR10" s="3644"/>
      <c r="MS10" s="3644"/>
      <c r="MT10" s="3644"/>
      <c r="MU10" s="3644"/>
      <c r="MV10" s="3644"/>
      <c r="MW10" s="3644"/>
      <c r="MX10" s="3644"/>
      <c r="MY10" s="3644"/>
      <c r="MZ10" s="3644"/>
      <c r="NA10" s="3644"/>
      <c r="NB10" s="3644"/>
      <c r="NC10" s="3644"/>
      <c r="ND10" s="3644"/>
      <c r="NE10" s="3644"/>
      <c r="NF10" s="3644"/>
      <c r="NG10" s="3644"/>
      <c r="NH10" s="3644"/>
      <c r="NI10" s="3644"/>
      <c r="NJ10" s="3644"/>
      <c r="NK10" s="3644"/>
      <c r="NL10" s="3644"/>
      <c r="NM10" s="3644"/>
      <c r="NN10" s="3644"/>
      <c r="NO10" s="3644"/>
      <c r="NP10" s="3644"/>
      <c r="NQ10" s="3644"/>
      <c r="NR10" s="3644"/>
      <c r="NS10" s="3644"/>
      <c r="NT10" s="3688"/>
      <c r="NU10" s="3688"/>
      <c r="NV10" s="3688"/>
      <c r="NW10" s="3688"/>
      <c r="NX10" s="3688"/>
      <c r="NY10" s="3644"/>
      <c r="NZ10" s="3644"/>
      <c r="OA10" s="3644"/>
      <c r="OB10" s="3644"/>
      <c r="OC10" s="3644"/>
      <c r="OD10" s="359"/>
      <c r="OE10" s="359"/>
      <c r="OF10" s="359"/>
      <c r="OG10" s="359"/>
      <c r="OH10" s="359"/>
      <c r="OI10" s="359"/>
      <c r="OJ10" s="359"/>
      <c r="OK10" s="359"/>
      <c r="OL10" s="359"/>
      <c r="OM10" s="359"/>
      <c r="ON10" s="359"/>
      <c r="OO10" s="359"/>
      <c r="OP10" s="359"/>
      <c r="OQ10" s="359"/>
      <c r="OR10" s="359"/>
      <c r="OS10" s="359"/>
      <c r="OT10" s="359"/>
      <c r="OU10" s="359"/>
      <c r="OV10" s="68"/>
      <c r="OW10" s="68"/>
      <c r="OX10" s="68"/>
      <c r="OY10" s="2505"/>
      <c r="OZ10" s="2504">
        <v>10</v>
      </c>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c r="RZ10" s="68"/>
      <c r="SA10" s="68"/>
      <c r="SB10" s="68"/>
      <c r="SC10" s="68"/>
      <c r="SD10" s="68"/>
      <c r="SE10" s="68"/>
      <c r="SF10" s="68"/>
      <c r="SG10" s="68"/>
      <c r="SH10" s="68"/>
      <c r="SI10" s="68"/>
      <c r="SJ10" s="68"/>
      <c r="SK10" s="68"/>
      <c r="SL10" s="68"/>
      <c r="SM10" s="68"/>
      <c r="SN10" s="68"/>
      <c r="SO10" s="68"/>
      <c r="SP10" s="68"/>
      <c r="SQ10" s="68"/>
      <c r="SR10" s="68"/>
      <c r="SS10" s="68"/>
      <c r="ST10" s="68"/>
      <c r="SU10" s="68"/>
      <c r="SV10" s="68"/>
      <c r="SW10" s="68"/>
      <c r="SX10" s="68"/>
      <c r="SY10" s="68"/>
      <c r="SZ10" s="68"/>
      <c r="TA10" s="68"/>
      <c r="TB10" s="68"/>
      <c r="TC10" s="68"/>
      <c r="TD10" s="68"/>
      <c r="TE10" s="68"/>
      <c r="TF10" s="68"/>
      <c r="TG10" s="68"/>
      <c r="TH10" s="68"/>
    </row>
    <row r="11" spans="1:528" ht="12" customHeight="1">
      <c r="A11" s="86" t="str">
        <f t="shared" ref="A11:A57" si="0">IF(AND(E11&gt;0,OR(B11="",C11="",D11="",F11="",G11="", H11="",I11="",N11="",O11="",P11="",Q11="")),1,"")</f>
        <v/>
      </c>
      <c r="B11" s="1016" t="s">
        <v>3552</v>
      </c>
      <c r="C11" s="129"/>
      <c r="D11" s="1642"/>
      <c r="E11" s="130"/>
      <c r="F11" s="130"/>
      <c r="G11" s="130"/>
      <c r="H11" s="130"/>
      <c r="I11" s="1355"/>
      <c r="J11" s="1356"/>
      <c r="K11" s="629"/>
      <c r="L11" s="459">
        <f t="shared" ref="L11:L57" si="1">MAX(0,H11-I11-J11)</f>
        <v>0</v>
      </c>
      <c r="M11" s="459">
        <f t="shared" ref="M11:M57" si="2">MAX(0,E11*L11)</f>
        <v>0</v>
      </c>
      <c r="N11" s="679"/>
      <c r="O11" s="1584"/>
      <c r="P11" s="679"/>
      <c r="Q11" s="131"/>
      <c r="R11" s="721"/>
      <c r="S11" s="722"/>
      <c r="T11" s="3689"/>
      <c r="U11" s="3690"/>
      <c r="V11" s="3690"/>
      <c r="W11" s="3691"/>
      <c r="X11" s="356" t="str">
        <f t="shared" ref="X11:X57" si="3">IF(AND(C11="Efficiency",B11=80,NOT(N11="Common Space")),E11,"")</f>
        <v/>
      </c>
      <c r="Y11" s="356" t="str">
        <f t="shared" ref="Y11:Y57" si="4">IF(AND(C11=1,B11=80,NOT(N11="Common Space")),E11,"")</f>
        <v/>
      </c>
      <c r="Z11" s="356" t="str">
        <f t="shared" ref="Z11:Z57" si="5">IF(AND(C11=2,B11=80,NOT(N11="Common Space")),E11,"")</f>
        <v/>
      </c>
      <c r="AA11" s="356" t="str">
        <f t="shared" ref="AA11:AA57" si="6">IF(AND(C11=3,B11=80,NOT(N11="Common Space")),E11,"")</f>
        <v/>
      </c>
      <c r="AB11" s="356" t="str">
        <f t="shared" ref="AB11:AB57" si="7">IF(AND(C11=4,B11=80,NOT(N11="Common Space")),E11,"")</f>
        <v/>
      </c>
      <c r="AC11" s="356" t="str">
        <f t="shared" ref="AC11:AC57" si="8">IF(AND(C11="Efficiency",B11=70,NOT(N11="Common Space")),E11,"")</f>
        <v/>
      </c>
      <c r="AD11" s="356" t="str">
        <f t="shared" ref="AD11:AD57" si="9">IF(AND(C11=1,B11=70,NOT(N11="Common Space")),E11,"")</f>
        <v/>
      </c>
      <c r="AE11" s="356" t="str">
        <f t="shared" ref="AE11:AE57" si="10">IF(AND(C11=2,B11=70,NOT(N11="Common Space")),E11,"")</f>
        <v/>
      </c>
      <c r="AF11" s="356" t="str">
        <f t="shared" ref="AF11:AF57" si="11">IF(AND(C11=3,B11=70,NOT(N11="Common Space")),E11,"")</f>
        <v/>
      </c>
      <c r="AG11" s="356" t="str">
        <f t="shared" ref="AG11:AG57" si="12">IF(AND(C11=4,B11=70,NOT(N11="Common Space")),E11,"")</f>
        <v/>
      </c>
      <c r="AH11" s="356" t="str">
        <f t="shared" ref="AH11:AH57" si="13">IF(AND(C11="Efficiency",B11=60,NOT(N11="Common Space")),E11,"")</f>
        <v/>
      </c>
      <c r="AI11" s="356" t="str">
        <f t="shared" ref="AI11:AI57" si="14">IF(AND(C11=1,B11=60,NOT(N11="Common Space")),E11,"")</f>
        <v/>
      </c>
      <c r="AJ11" s="356" t="str">
        <f t="shared" ref="AJ11:AJ57" si="15">IF(AND(C11=2,B11=60,NOT(N11="Common Space")),E11,"")</f>
        <v/>
      </c>
      <c r="AK11" s="356" t="str">
        <f t="shared" ref="AK11:AK57" si="16">IF(AND(C11=3,B11=60,NOT(N11="Common Space")),E11,"")</f>
        <v/>
      </c>
      <c r="AL11" s="356" t="str">
        <f t="shared" ref="AL11:AL57" si="17">IF(AND(C11=4,B11=60,NOT(N11="Common Space")),E11,"")</f>
        <v/>
      </c>
      <c r="AM11" s="356" t="str">
        <f t="shared" ref="AM11:AM57" si="18">IF(AND(C11="Efficiency",B11=50,NOT(N11="Common Space")),E11,"")</f>
        <v/>
      </c>
      <c r="AN11" s="356" t="str">
        <f t="shared" ref="AN11:AN57" si="19">IF(AND(C11=1,B11=50,NOT(N11="Common Space")),E11,"")</f>
        <v/>
      </c>
      <c r="AO11" s="356" t="str">
        <f t="shared" ref="AO11:AO57" si="20">IF(AND(C11=2,B11=50,NOT(N11="Common Space")),E11,"")</f>
        <v/>
      </c>
      <c r="AP11" s="356" t="str">
        <f t="shared" ref="AP11:AP57" si="21">IF(AND(C11=3,B11=50,NOT(N11="Common Space")),E11,"")</f>
        <v/>
      </c>
      <c r="AQ11" s="356" t="str">
        <f t="shared" ref="AQ11:AQ57" si="22">IF(AND(C11=4,B11=50,NOT(N11="Common Space")),E11,"")</f>
        <v/>
      </c>
      <c r="AR11" s="356" t="str">
        <f t="shared" ref="AR11:AR57" si="23">IF(AND(C11="Efficiency",B11=40,NOT(N11="Common Space")),E11,"")</f>
        <v/>
      </c>
      <c r="AS11" s="356" t="str">
        <f t="shared" ref="AS11:AS57" si="24">IF(AND(C11=1,B11=40,NOT(N11="Common Space")),E11,"")</f>
        <v/>
      </c>
      <c r="AT11" s="356" t="str">
        <f t="shared" ref="AT11:AT57" si="25">IF(AND(C11=2,B11=40,NOT(N11="Common Space")),E11,"")</f>
        <v/>
      </c>
      <c r="AU11" s="356" t="str">
        <f t="shared" ref="AU11:AU57" si="26">IF(AND(C11=3,B11=40,NOT(N11="Common Space")),E11,"")</f>
        <v/>
      </c>
      <c r="AV11" s="356" t="str">
        <f t="shared" ref="AV11:AV57" si="27">IF(AND(C11=4,B11=40,NOT(N11="Common Space")),E11,"")</f>
        <v/>
      </c>
      <c r="AW11" s="356" t="str">
        <f t="shared" ref="AW11:AW57" si="28">IF(AND(C11="Efficiency",B11=30,NOT(N11="Common Space")),E11,"")</f>
        <v/>
      </c>
      <c r="AX11" s="356" t="str">
        <f t="shared" ref="AX11:AX57" si="29">IF(AND(C11=1,B11=30,NOT(N11="Common Space")),E11,"")</f>
        <v/>
      </c>
      <c r="AY11" s="356" t="str">
        <f t="shared" ref="AY11:AY57" si="30">IF(AND(C11=2,B11=30,NOT(N11="Common Space")),E11,"")</f>
        <v/>
      </c>
      <c r="AZ11" s="356" t="str">
        <f t="shared" ref="AZ11:AZ57" si="31">IF(AND(C11=3,B11=30,NOT(N11="Common Space")),E11,"")</f>
        <v/>
      </c>
      <c r="BA11" s="356" t="str">
        <f t="shared" ref="BA11:BA57" si="32">IF(AND(C11=4,B11=30,NOT(N11="Common Space")),E11,"")</f>
        <v/>
      </c>
      <c r="BB11" s="356" t="str">
        <f t="shared" ref="BB11:BB57" si="33">IF(AND(C11="Efficiency",B11=20,NOT(N11="Common Space")),E11,"")</f>
        <v/>
      </c>
      <c r="BC11" s="356" t="str">
        <f t="shared" ref="BC11:BC57" si="34">IF(AND(C11=1,B11=20,NOT(N11="Common Space")),E11,"")</f>
        <v/>
      </c>
      <c r="BD11" s="356" t="str">
        <f t="shared" ref="BD11:BD57" si="35">IF(AND(C11=2,B11=20,NOT(N11="Common Space")),E11,"")</f>
        <v/>
      </c>
      <c r="BE11" s="356" t="str">
        <f t="shared" ref="BE11:BE57" si="36">IF(AND(C11=3,B11=20,NOT(N11="Common Space")),E11,"")</f>
        <v/>
      </c>
      <c r="BF11" s="356" t="str">
        <f t="shared" ref="BF11:BF57" si="37">IF(AND(C11=4,B11=20,NOT(N11="Common Space")),E11,"")</f>
        <v/>
      </c>
      <c r="BG11" s="356" t="str">
        <f t="shared" ref="BG11:BG57" si="38">IF(AND(C11="Efficiency",B11="Unrestricted",NOT(N11="Common Space")),E11,"")</f>
        <v/>
      </c>
      <c r="BH11" s="356" t="str">
        <f t="shared" ref="BH11:BH57" si="39">IF(AND(C11=1,B11="Unrestricted",NOT(N11="Common Space")),E11,"")</f>
        <v/>
      </c>
      <c r="BI11" s="356" t="str">
        <f t="shared" ref="BI11:BI57" si="40">IF(AND(C11=2,B11="Unrestricted",NOT(N11="Common Space")),E11,"")</f>
        <v/>
      </c>
      <c r="BJ11" s="356" t="str">
        <f t="shared" ref="BJ11:BJ57" si="41">IF(AND(C11=3,B11="Unrestricted",NOT(N11="Common Space")),E11,"")</f>
        <v/>
      </c>
      <c r="BK11" s="356" t="str">
        <f t="shared" ref="BK11:BK57" si="42">IF(AND(C11=4,B11="Unrestricted",NOT(N11="Common Space")),E11,"")</f>
        <v/>
      </c>
      <c r="BL11" s="356" t="str">
        <f t="shared" ref="BL11:BL57" si="43">IF(OR(AND($C11="Efficiency",NOT($K11=""),NOT($K11="PHA Oper Sub"),$B11=20,NOT($N11="Common Space")),AND($C11="Efficiency",NOT($K11=""),NOT($K11="PHA Oper Sub"),$B11="HOME 20",NOT($N11="Common Space"))),$E11,"")</f>
        <v/>
      </c>
      <c r="BM11" s="356" t="str">
        <f t="shared" ref="BM11:BM57" si="44">IF(OR(AND($C11=1,NOT($K11=""),NOT($K11="PHA Oper Sub"),$B11=20,NOT($N11="Common Space")),AND($C11=1,NOT($K11=""),NOT($K11="PHA Oper Sub"),$B11="HOME 20",NOT($N11="Common Space"))),$E11,"")</f>
        <v/>
      </c>
      <c r="BN11" s="356" t="str">
        <f t="shared" ref="BN11:BN57" si="45">IF(OR(AND($C11=2,NOT($K11=""),NOT($K11="PHA Oper Sub"),$B11=20,NOT($N11="Common Space")),AND($C11=2,NOT($K11=""),NOT($K11="PHA Oper Sub"),$B11="HOME 20",NOT($N11="Common Space"))),$E11,"")</f>
        <v/>
      </c>
      <c r="BO11" s="356" t="str">
        <f t="shared" ref="BO11:BO57" si="46">IF(OR(AND($C11=3,NOT($K11=""),NOT($K11="PHA Oper Sub"),$B11=20,NOT($N11="Common Space")),AND($C11=3,NOT($K11=""),NOT($K11="PHA Oper Sub"),$B11="HOME 20",NOT($N11="Common Space"))),$E11,"")</f>
        <v/>
      </c>
      <c r="BP11" s="356" t="str">
        <f t="shared" ref="BP11:BP57" si="47">IF(OR(AND($C11=4,NOT($K11=""),NOT($K11="PHA Oper Sub"),$B11=20,NOT($N11="Common Space")),AND($C11=4,NOT($K11=""),NOT($K11="PHA Oper Sub"),$B11="HOME 20",NOT($N11="Common Space"))),$E11,"")</f>
        <v/>
      </c>
      <c r="BQ11" s="356" t="str">
        <f t="shared" ref="BQ11:BQ57" si="48">IF(OR(AND($C11="Efficiency",NOT($K11=""),NOT($K11="PHA Oper Sub"),$B11=30,NOT($N11="Common Space")),AND($C11="Efficiency",NOT($K11=""),NOT($K11="PHA Oper Sub"),$B11="HOME 30",NOT($N11="Common Space"))),$E11,"")</f>
        <v/>
      </c>
      <c r="BR11" s="356" t="str">
        <f t="shared" ref="BR11:BR57" si="49">IF(OR(AND($C11=1,NOT($K11=""),NOT($K11="PHA Oper Sub"),$B11=30,NOT($N11="Common Space")),AND($C11=1,NOT($K11=""),NOT($K11="PHA Oper Sub"),$B11="HOME 30",NOT($N11="Common Space"))),$E11,"")</f>
        <v/>
      </c>
      <c r="BS11" s="356" t="str">
        <f t="shared" ref="BS11:BS57" si="50">IF(OR(AND($C11=2,NOT($K11=""),NOT($K11="PHA Oper Sub"),$B11=30,NOT($N11="Common Space")),AND($C11=2,NOT($K11=""),NOT($K11="PHA Oper Sub"),$B11="HOME 30",NOT($N11="Common Space"))),$E11,"")</f>
        <v/>
      </c>
      <c r="BT11" s="356" t="str">
        <f t="shared" ref="BT11:BT57" si="51">IF(OR(AND($C11=3,NOT($K11=""),NOT($K11="PHA Oper Sub"),$B11=30,NOT($N11="Common Space")),AND($C11=3,NOT($K11=""),NOT($K11="PHA Oper Sub"),$B11="HOME 30",NOT($N11="Common Space"))),$E11,"")</f>
        <v/>
      </c>
      <c r="BU11" s="356" t="str">
        <f t="shared" ref="BU11:BU57" si="52">IF(OR(AND($C11=4,NOT($K11=""),NOT($K11="PHA Oper Sub"),$B11=30,NOT($N11="Common Space")),AND($C11=4,NOT($K11=""),NOT($K11="PHA Oper Sub"),$B11="HOME 30",NOT($N11="Common Space"))),$E11,"")</f>
        <v/>
      </c>
      <c r="BV11" s="356" t="str">
        <f t="shared" ref="BV11:BV57" si="53">IF(OR(AND($C11="Efficiency",NOT($K11=""),NOT($K11="PHA Oper Sub"),$B11=40,NOT($N11="Common Space")),AND($C11="Efficiency",NOT($K11=""),NOT($K11="PHA Oper Sub"),$B11="HOME 40",NOT($N11="Common Space"))),$E11,"")</f>
        <v/>
      </c>
      <c r="BW11" s="356" t="str">
        <f t="shared" ref="BW11:BW57" si="54">IF(OR(AND($C11=1,NOT($K11=""),NOT($K11="PHA Oper Sub"),$B11=40,NOT($N11="Common Space")),AND($C11=1,NOT($K11=""),NOT($K11="PHA Oper Sub"),$B11="HOME 40",NOT($N11="Common Space"))),$E11,"")</f>
        <v/>
      </c>
      <c r="BX11" s="356" t="str">
        <f t="shared" ref="BX11:BX57" si="55">IF(OR(AND($C11=2,NOT($K11=""),NOT($K11="PHA Oper Sub"),$B11=40,NOT($N11="Common Space")),AND($C11=2,NOT($K11=""),NOT($K11="PHA Oper Sub"),$B11="HOME 40",NOT($N11="Common Space"))),$E11,"")</f>
        <v/>
      </c>
      <c r="BY11" s="356" t="str">
        <f t="shared" ref="BY11:BY57" si="56">IF(OR(AND($C11=3,NOT($K11=""),NOT($K11="PHA Oper Sub"),$B11=40,NOT($N11="Common Space")),AND($C11=3,NOT($K11=""),NOT($K11="PHA Oper Sub"),$B11="HOME 40",NOT($N11="Common Space"))),$E11,"")</f>
        <v/>
      </c>
      <c r="BZ11" s="356" t="str">
        <f t="shared" ref="BZ11:BZ57" si="57">IF(OR(AND($C11=4,NOT($K11=""),NOT($K11="PHA Oper Sub"),$B11=40,NOT($N11="Common Space")),AND($C11=4,NOT($K11=""),NOT($K11="PHA Oper Sub"),$B11="HOME 40",NOT($N11="Common Space"))),$E11,"")</f>
        <v/>
      </c>
      <c r="CA11" s="356" t="str">
        <f t="shared" ref="CA11:CA57" si="58">IF(OR(AND($C11="Efficiency",NOT($K11=""),NOT($K11="PHA Oper Sub"),NOT($K11=0),$B11=50,NOT($N11="Common Space")),AND($C11="Efficiency",NOT($K11=""),NOT($K11=0),NOT($K11="PHA Oper Sub"),$B11="HOME 50",NOT($N11="Common Space"))),$E11,"")</f>
        <v/>
      </c>
      <c r="CB11" s="356" t="str">
        <f t="shared" ref="CB11:CB57" si="59">IF(OR(AND($C11=1,NOT($K11=""),NOT($K11=0),NOT($K11="PHA Oper Sub"),$B11=50,NOT($N11="Common Space")),AND($C11=1,NOT($K11=""),NOT($K11=0),NOT($K11="PHA Oper Sub"),$B11="HOME 50",NOT($N11="Common Space"))),$E11,"")</f>
        <v/>
      </c>
      <c r="CC11" s="356" t="str">
        <f t="shared" ref="CC11:CC57" si="60">IF(OR(AND($C11=2,NOT($K11=""),NOT($K11=0),NOT($K11="PHA Oper Sub"),$B11=50,NOT($N11="Common Space")),AND($C11=2,NOT($K11=""),NOT($K11=0),NOT($K11="PHA Oper Sub"),$B11="HOME 50",NOT($N11="Common Space"))),$E11,"")</f>
        <v/>
      </c>
      <c r="CD11" s="356" t="str">
        <f t="shared" ref="CD11:CD57" si="61">IF(OR(AND($C11=3,NOT($K11=""),NOT($K11=0),NOT($K11="PHA Oper Sub"),$B11=50,NOT($N11="Common Space")),AND($C11=3,NOT($K11=""),NOT($K11=0),NOT($K11="PHA Oper Sub"),$B11="HOME 50",NOT($N11="Common Space"))),$E11,"")</f>
        <v/>
      </c>
      <c r="CE11" s="356" t="str">
        <f t="shared" ref="CE11:CE57" si="62">IF(OR(AND($C11=4,NOT($K11=""),NOT($K11=0),NOT($K11="PHA Oper Sub"),$B11=50,NOT($N11="Common Space")),AND($C11=4,NOT($K11=""),NOT($K11=0),NOT($K11="PHA Oper Sub"),$B11="HOME 50",NOT($N11="Common Space"))),$E11,"")</f>
        <v/>
      </c>
      <c r="CF11" s="356" t="str">
        <f t="shared" ref="CF11:CF57" si="63">IF(OR(AND($C11="Efficiency",NOT($K11=""),NOT($K11=0),NOT($K11="PHA Oper Sub"),$B11=60,NOT($N11="Common Space")),AND($C11="Efficiency",NOT($K11=""),NOT($K11=0),NOT($K11="PHA Oper Sub"),$B11="HOME 60",NOT($N11="Common Space"))),$E11,"")</f>
        <v/>
      </c>
      <c r="CG11" s="356" t="str">
        <f t="shared" ref="CG11:CG57" si="64">IF(OR(AND($C11=1,NOT($K11=""),NOT($K11=0),NOT($K11="PHA Oper Sub"),$B11=60,NOT($N11="Common Space")),AND($C11=1,NOT($K11=""),NOT($K11=0),NOT($K11="PHA Oper Sub"),$B11="HOME 60",NOT($N11="Common Space"))),$E11,"")</f>
        <v/>
      </c>
      <c r="CH11" s="356" t="str">
        <f t="shared" ref="CH11:CH57" si="65">IF(OR(AND($C11=2,NOT($K11=""),NOT($K11=0),NOT($K11="PHA Oper Sub"),$B11=60,NOT($N11="Common Space")),AND($C11=2,NOT($K11=""),NOT($K11=0),NOT($K11="PHA Oper Sub"),$B11="HOME 60",NOT($N11="Common Space"))),$E11,"")</f>
        <v/>
      </c>
      <c r="CI11" s="356" t="str">
        <f t="shared" ref="CI11:CI57" si="66">IF(OR(AND($C11=3,NOT($K11=""),NOT($K11=0),NOT($K11="PHA Oper Sub"),$B11=60,NOT($N11="Common Space")),AND($C11=3,NOT($K11=""),NOT($K11=0),NOT($K11="PHA Oper Sub"),$B11="HOME 60",NOT($N11="Common Space"))),$E11,"")</f>
        <v/>
      </c>
      <c r="CJ11" s="356" t="str">
        <f t="shared" ref="CJ11:CJ57" si="67">IF(OR(AND($C11=4,NOT($K11=""),NOT($K11=0),NOT($K11="PHA Oper Sub"),$B11=60,NOT($N11="Common Space")),AND($C11=4,NOT($K11=""),NOT($K11=0),NOT($K11="PHA Oper Sub"),$B11="HOME 60",NOT($N11="Common Space"))),$E11,"")</f>
        <v/>
      </c>
      <c r="CK11" s="356" t="str">
        <f t="shared" ref="CK11:CK57" si="68">IF(OR(AND($C11="Efficiency",NOT($K11=""),NOT($K11="PHA Oper Sub"),$B11=70,NOT($N11="Common Space")),AND($C11="Efficiency",NOT($K11=""),NOT($K11="PHA Oper Sub"),$B11="HOME 70",NOT($N11="Common Space"))),$E11,"")</f>
        <v/>
      </c>
      <c r="CL11" s="356" t="str">
        <f t="shared" ref="CL11:CL57" si="69">IF(OR(AND($C11=1,NOT($K11=""),NOT($K11="PHA Oper Sub"),$B11=70,NOT($N11="Common Space")),AND($C11=1,NOT($K11=""),NOT($K11="PHA Oper Sub"),$B11="HOME 70",NOT($N11="Common Space"))),$E11,"")</f>
        <v/>
      </c>
      <c r="CM11" s="356" t="str">
        <f t="shared" ref="CM11:CM57" si="70">IF(OR(AND($C11=2,NOT($K11=""),NOT($K11="PHA Oper Sub"),$B11=70,NOT($N11="Common Space")),AND($C11=2,NOT($K11=""),NOT($K11="PHA Oper Sub"),$B11="HOME 70",NOT($N11="Common Space"))),$E11,"")</f>
        <v/>
      </c>
      <c r="CN11" s="356" t="str">
        <f t="shared" ref="CN11:CN57" si="71">IF(OR(AND($C11=3,NOT($K11=""),NOT($K11="PHA Oper Sub"),$B11=70,NOT($N11="Common Space")),AND($C11=3,NOT($K11=""),NOT($K11="PHA Oper Sub"),$B11="HOME 70",NOT($N11="Common Space"))),$E11,"")</f>
        <v/>
      </c>
      <c r="CO11" s="356" t="str">
        <f t="shared" ref="CO11:CO57" si="72">IF(OR(AND($C11=4,NOT($K11=""),NOT($K11="PHA Oper Sub"),$B11=70,NOT($N11="Common Space")),AND($C11=4,NOT($K11=""),NOT($K11="PHA Oper Sub"),$B11="HOME 70",NOT($N11="Common Space"))),$E11,"")</f>
        <v/>
      </c>
      <c r="CP11" s="356" t="str">
        <f t="shared" ref="CP11:CP57" si="73">IF(OR(AND($C11="Efficiency",NOT($K11=""),NOT($K11="PHA Oper Sub"),$B11=80,NOT($N11="Common Space")),AND($C11="Efficiency",NOT($K11=""),NOT($K11="PHA Oper Sub"),$B11="HOME 80",NOT($N11="Common Space"))),$E11,"")</f>
        <v/>
      </c>
      <c r="CQ11" s="356" t="str">
        <f t="shared" ref="CQ11:CQ57" si="74">IF(OR(AND($C11=1,NOT($K11=""),NOT($K11="PHA Oper Sub"),$B11=80,NOT($N11="Common Space")),AND($C11=1,NOT($K11=""),NOT($K11="PHA Oper Sub"),$B11="HOME 80",NOT($N11="Common Space"))),$E11,"")</f>
        <v/>
      </c>
      <c r="CR11" s="356" t="str">
        <f t="shared" ref="CR11:CR57" si="75">IF(OR(AND($C11=2,NOT($K11=""),NOT($K11="PHA Oper Sub"),$B11=80,NOT($N11="Common Space")),AND($C11=2,NOT($K11=""),NOT($K11="PHA Oper Sub"),$B11="HOME 80",NOT($N11="Common Space"))),$E11,"")</f>
        <v/>
      </c>
      <c r="CS11" s="356" t="str">
        <f t="shared" ref="CS11:CS57" si="76">IF(OR(AND($C11=3,NOT($K11=""),NOT($K11="PHA Oper Sub"),$B11=80,NOT($N11="Common Space")),AND($C11=3,NOT($K11=""),NOT($K11="PHA Oper Sub"),$B11="HOME 80",NOT($N11="Common Space"))),$E11,"")</f>
        <v/>
      </c>
      <c r="CT11" s="356" t="str">
        <f t="shared" ref="CT11:CT57" si="77">IF(OR(AND($C11=4,NOT($K11=""),NOT($K11="PHA Oper Sub"),$B11=80,NOT($N11="Common Space")),AND($C11=4,NOT($K11=""),NOT($K11="PHA Oper Sub"),$B11="HOME 80",NOT($N11="Common Space"))),$E11,"")</f>
        <v/>
      </c>
      <c r="CU11" s="356" t="str">
        <f t="shared" ref="CU11:CU57" si="78">IF(OR(AND($C11="Efficiency",$K11="PHA Oper Sub",$B11=20,NOT($N11="Common Space")),AND($C11="Efficiency",$K11="PHA Oper Sub",$B11="HOME 20",NOT($N11="Common Space"))),$E11,"")</f>
        <v/>
      </c>
      <c r="CV11" s="356" t="str">
        <f t="shared" ref="CV11:CV57" si="79">IF(OR(AND($C11=1,$K11="PHA Oper Sub",$B11=20,NOT($N11="Common Space")),AND($C11=1,$K11="PHA Oper Sub",$B11="HOME 20",NOT($N11="Common Space"))),$E11,"")</f>
        <v/>
      </c>
      <c r="CW11" s="356" t="str">
        <f t="shared" ref="CW11:CW57" si="80">IF(OR(AND($C11=2,$K11="PHA Oper Sub",$B11=20,NOT($N11="Common Space")),AND($C11=2,$K11="PHA Oper Sub",$B11="HOME 20",NOT($N11="Common Space"))),$E11,"")</f>
        <v/>
      </c>
      <c r="CX11" s="356" t="str">
        <f t="shared" ref="CX11:CX57" si="81">IF(OR(AND($C11=3,$K11="PHA Oper Sub",$B11=20,NOT($N11="Common Space")),AND($C11=3,$K11="PHA Oper Sub",$B11="HOME 20",NOT($N11="Common Space"))),$E11,"")</f>
        <v/>
      </c>
      <c r="CY11" s="356" t="str">
        <f t="shared" ref="CY11:CY57" si="82">IF(OR(AND($C11=4,$K11="PHA Oper Sub",$B11=20,NOT($N11="Common Space")),AND($C11=4,$K11="PHA Oper Sub",$B11="HOME 20",NOT($N11="Common Space"))),$E11,"")</f>
        <v/>
      </c>
      <c r="CZ11" s="356" t="str">
        <f t="shared" ref="CZ11:CZ57" si="83">IF(OR(AND($C11="Efficiency",$K11="PHA Oper Sub",$B11=30,NOT($N11="Common Space")),AND($C11="Efficiency",$K11="PHA Oper Sub",$B11="HOME 30",NOT($N11="Common Space"))),$E11,"")</f>
        <v/>
      </c>
      <c r="DA11" s="356" t="str">
        <f t="shared" ref="DA11:DA57" si="84">IF(OR(AND($C11=1,$K11="PHA Oper Sub",$B11=30,NOT($N11="Common Space")),AND($C11=1,$K11="PHA Oper Sub",$B11="HOME 30",NOT($N11="Common Space"))),$E11,"")</f>
        <v/>
      </c>
      <c r="DB11" s="356" t="str">
        <f t="shared" ref="DB11:DB57" si="85">IF(OR(AND($C11=2,$K11="PHA Oper Sub",$B11=30,NOT($N11="Common Space")),AND($C11=2,$K11="PHA Oper Sub",$B11="HOME 30",NOT($N11="Common Space"))),$E11,"")</f>
        <v/>
      </c>
      <c r="DC11" s="356" t="str">
        <f t="shared" ref="DC11:DC57" si="86">IF(OR(AND($C11=3,$K11="PHA Oper Sub",$B11=30,NOT($N11="Common Space")),AND($C11=3,$K11="PHA Oper Sub",$B11="HOME 30",NOT($N11="Common Space"))),$E11,"")</f>
        <v/>
      </c>
      <c r="DD11" s="356" t="str">
        <f t="shared" ref="DD11:DD57" si="87">IF(OR(AND($C11=4,$K11="PHA Oper Sub",$B11=30,NOT($N11="Common Space")),AND($C11=4,$K11="PHA Oper Sub",$B11="HOME 30",NOT($N11="Common Space"))),$E11,"")</f>
        <v/>
      </c>
      <c r="DE11" s="356" t="str">
        <f t="shared" ref="DE11:DE57" si="88">IF(OR(AND($C11="Efficiency",$K11="PHA Oper Sub",$B11=40,NOT($N11="Common Space")),AND($C11="Efficiency",$K11="PHA Oper Sub",$B11="HOME 40",NOT($N11="Common Space"))),$E11,"")</f>
        <v/>
      </c>
      <c r="DF11" s="356" t="str">
        <f t="shared" ref="DF11:DF57" si="89">IF(OR(AND($C11=1,$K11="PHA Oper Sub",$B11=40,NOT($N11="Common Space")),AND($C11=1,$K11="PHA Oper Sub",$B11="HOME 40",NOT($N11="Common Space"))),$E11,"")</f>
        <v/>
      </c>
      <c r="DG11" s="356" t="str">
        <f t="shared" ref="DG11:DG57" si="90">IF(OR(AND($C11=2,$K11="PHA Oper Sub",$B11=40,NOT($N11="Common Space")),AND($C11=2,$K11="PHA Oper Sub",$B11="HOME 40",NOT($N11="Common Space"))),$E11,"")</f>
        <v/>
      </c>
      <c r="DH11" s="356" t="str">
        <f t="shared" ref="DH11:DH57" si="91">IF(OR(AND($C11=3,$K11="PHA Oper Sub",$B11=40,NOT($N11="Common Space")),AND($C11=3,$K11="PHA Oper Sub",$B11="HOME 40",NOT($N11="Common Space"))),$E11,"")</f>
        <v/>
      </c>
      <c r="DI11" s="356" t="str">
        <f t="shared" ref="DI11:DI57" si="92">IF(OR(AND($C11=4,$K11="PHA Oper Sub",$B11=40,NOT($N11="Common Space")),AND($C11=4,$K11="PHA Oper Sub",$B11="HOME 40",NOT($N11="Common Space"))),$E11,"")</f>
        <v/>
      </c>
      <c r="DJ11" s="356" t="str">
        <f t="shared" ref="DJ11:DJ57" si="93">IF(OR(AND($C11="Efficiency",$K11="PHA Oper Sub",$B11=50,NOT($N11="Common Space")),AND($C11="Efficiency",$K11="PHA Oper Sub",$B11="HOME 50",NOT($N11="Common Space"))),$E11,"")</f>
        <v/>
      </c>
      <c r="DK11" s="356" t="str">
        <f t="shared" ref="DK11:DK57" si="94">IF(OR(AND($C11=1,$K11="PHA Oper Sub",$B11=50,NOT($N11="Common Space")),AND($C11=1,$K11="PHA Oper Sub",$B11="HOME 50",NOT($N11="Common Space"))),$E11,"")</f>
        <v/>
      </c>
      <c r="DL11" s="356" t="str">
        <f t="shared" ref="DL11:DL57" si="95">IF(OR(AND($C11=2,$K11="PHA Oper Sub",$B11=50,NOT($N11="Common Space")),AND($C11=2,$K11="PHA Oper Sub",$B11="HOME 50",NOT($N11="Common Space"))),$E11,"")</f>
        <v/>
      </c>
      <c r="DM11" s="356" t="str">
        <f t="shared" ref="DM11:DM57" si="96">IF(OR(AND($C11=3,$K11="PHA Oper Sub",$B11=50,NOT($N11="Common Space")),AND($C11=3,$K11="PHA Oper Sub",$B11="HOME 50",NOT($N11="Common Space"))),$E11,"")</f>
        <v/>
      </c>
      <c r="DN11" s="356" t="str">
        <f t="shared" ref="DN11:DN57" si="97">IF(OR(AND($C11=4,$K11="PHA Oper Sub",$B11=50,NOT($N11="Common Space")),AND($C11=4,$K11="PHA Oper Sub",$B11="HOME 50",NOT($N11="Common Space"))),$E11,"")</f>
        <v/>
      </c>
      <c r="DO11" s="356" t="str">
        <f t="shared" ref="DO11:DO57" si="98">IF(OR(AND($C11="Efficiency",$K11="PHA Oper Sub",$B11=60,NOT($N11="Common Space")),AND($C11="Efficiency",$K11="PHA Oper Sub",$B11="HOME 60",NOT($N11="Common Space"))),$E11,"")</f>
        <v/>
      </c>
      <c r="DP11" s="356" t="str">
        <f t="shared" ref="DP11:DP57" si="99">IF(OR(AND($C11=1,$K11="PHA Oper Sub",$B11=60,NOT($N11="Common Space")),AND($C11=1,$K11="PHA Oper Sub",$B11="HOME 60",NOT($N11="Common Space"))),$E11,"")</f>
        <v/>
      </c>
      <c r="DQ11" s="356" t="str">
        <f t="shared" ref="DQ11:DQ57" si="100">IF(OR(AND($C11=2,$K11="PHA Oper Sub",$B11=60,NOT($N11="Common Space")),AND($C11=2,$K11="PHA Oper Sub",$B11="HOME 60",NOT($N11="Common Space"))),$E11,"")</f>
        <v/>
      </c>
      <c r="DR11" s="356" t="str">
        <f t="shared" ref="DR11:DR57" si="101">IF(OR(AND($C11=3,$K11="PHA Oper Sub",$B11=60,NOT($N11="Common Space")),AND($C11=3,$K11="PHA Oper Sub",$B11="HOME 60",NOT($N11="Common Space"))),$E11,"")</f>
        <v/>
      </c>
      <c r="DS11" s="356" t="str">
        <f t="shared" ref="DS11:DS57" si="102">IF(OR(AND($C11=4,$K11="PHA Oper Sub",$B11=60,NOT($N11="Common Space")),AND($C11=4,$K11="PHA Oper Sub",$B11="HOME 60",NOT($N11="Common Space"))),$E11,"")</f>
        <v/>
      </c>
      <c r="DT11" s="356" t="str">
        <f t="shared" ref="DT11:DT57" si="103">IF(OR(AND($C11="Efficiency",$K11="PHA Oper Sub",$B11=70,NOT($N11="Common Space")),AND($C11="Efficiency",$K11="PHA Oper Sub",$B11="HOME 70",NOT($N11="Common Space"))),$E11,"")</f>
        <v/>
      </c>
      <c r="DU11" s="356" t="str">
        <f t="shared" ref="DU11:DU57" si="104">IF(OR(AND($C11=1,$K11="PHA Oper Sub",$B11=70,NOT($N11="Common Space")),AND($C11=1,$K11="PHA Oper Sub",$B11="HOME 70",NOT($N11="Common Space"))),$E11,"")</f>
        <v/>
      </c>
      <c r="DV11" s="356" t="str">
        <f t="shared" ref="DV11:DV57" si="105">IF(OR(AND($C11=2,$K11="PHA Oper Sub",$B11=70,NOT($N11="Common Space")),AND($C11=2,$K11="PHA Oper Sub",$B11="HOME 70",NOT($N11="Common Space"))),$E11,"")</f>
        <v/>
      </c>
      <c r="DW11" s="356" t="str">
        <f t="shared" ref="DW11:DW57" si="106">IF(OR(AND($C11=3,$K11="PHA Oper Sub",$B11=70,NOT($N11="Common Space")),AND($C11=3,$K11="PHA Oper Sub",$B11="HOME 70",NOT($N11="Common Space"))),$E11,"")</f>
        <v/>
      </c>
      <c r="DX11" s="356" t="str">
        <f t="shared" ref="DX11:DX57" si="107">IF(OR(AND($C11=4,$K11="PHA Oper Sub",$B11=70,NOT($N11="Common Space")),AND($C11=4,$K11="PHA Oper Sub",$B11="HOME 70",NOT($N11="Common Space"))),$E11,"")</f>
        <v/>
      </c>
      <c r="DY11" s="356" t="str">
        <f t="shared" ref="DY11:DY57" si="108">IF(OR(AND($C11="Efficiency",$K11="PHA Oper Sub",$B11=80,NOT($N11="Common Space")),AND($C11="Efficiency",$K11="PHA Oper Sub",$B11="HOME 80",NOT($N11="Common Space"))),$E11,"")</f>
        <v/>
      </c>
      <c r="DZ11" s="356" t="str">
        <f t="shared" ref="DZ11:DZ57" si="109">IF(OR(AND($C11=1,$K11="PHA Oper Sub",$B11=80,NOT($N11="Common Space")),AND($C11=1,$K11="PHA Oper Sub",$B11="HOME 80",NOT($N11="Common Space"))),$E11,"")</f>
        <v/>
      </c>
      <c r="EA11" s="356" t="str">
        <f t="shared" ref="EA11:EA57" si="110">IF(OR(AND($C11=2,$K11="PHA Oper Sub",$B11=80,NOT($N11="Common Space")),AND($C11=2,$K11="PHA Oper Sub",$B11="HOME 80",NOT($N11="Common Space"))),$E11,"")</f>
        <v/>
      </c>
      <c r="EB11" s="356" t="str">
        <f t="shared" ref="EB11:EB57" si="111">IF(OR(AND($C11=3,$K11="PHA Oper Sub",$B11=80,NOT($N11="Common Space")),AND($C11=3,$K11="PHA Oper Sub",$B11="HOME 80",NOT($N11="Common Space"))),$E11,"")</f>
        <v/>
      </c>
      <c r="EC11" s="356" t="str">
        <f t="shared" ref="EC11:EC57" si="112">IF(OR(AND($C11=4,$K11="PHA Oper Sub",$B11=80,NOT($N11="Common Space")),AND($C11=4,$K11="PHA Oper Sub",$B11="HOME 80",NOT($N11="Common Space"))),$E11,"")</f>
        <v/>
      </c>
      <c r="ED11" s="356" t="str">
        <f t="shared" ref="ED11:ED57" si="113">IF(OR(AND($C11="Efficiency",$K11="PBV",$B11=20,NOT($N11="Common Space")),AND($C11="Efficiency",$K11="PBV",$B11="HOME 20",NOT($N11="Common Space"))),$E11,"")</f>
        <v/>
      </c>
      <c r="EE11" s="356" t="str">
        <f t="shared" ref="EE11:EE57" si="114">IF(OR(AND($C11=1,$K11="PBV",$B11=20,NOT($N11="Common Space")),AND($C11=1,$K11="PBV",$B11="HOME 20",NOT($N11="Common Space"))),$E11,"")</f>
        <v/>
      </c>
      <c r="EF11" s="356" t="str">
        <f t="shared" ref="EF11:EF57" si="115">IF(OR(AND($C11=2,$K11="PBV",$B11=20,NOT($N11="Common Space")),AND($C11=2,$K11="PBV",$B11="HOME 20",NOT($N11="Common Space"))),$E11,"")</f>
        <v/>
      </c>
      <c r="EG11" s="356" t="str">
        <f t="shared" ref="EG11:EG57" si="116">IF(OR(AND($C11=3,$K11="PBV",$B11=20,NOT($N11="Common Space")),AND($C11=3,$K11="PBV",$B11="HOME 20",NOT($N11="Common Space"))),$E11,"")</f>
        <v/>
      </c>
      <c r="EH11" s="356" t="str">
        <f t="shared" ref="EH11:EH57" si="117">IF(OR(AND($C11=4,$K11="PBV",$B11=20,NOT($N11="Common Space")),AND($C11=4,$K11="PBV",$B11="HOME 20",NOT($N11="Common Space"))),$E11,"")</f>
        <v/>
      </c>
      <c r="EI11" s="356" t="str">
        <f t="shared" ref="EI11:EI57" si="118">IF(OR(AND($C11="Efficiency",$K11="PBV",$B11=30,NOT($N11="Common Space")),AND($C11="Efficiency",$K11="PBV",$B11="HOME 30",NOT($N11="Common Space"))),$E11,"")</f>
        <v/>
      </c>
      <c r="EJ11" s="356" t="str">
        <f t="shared" ref="EJ11:EJ57" si="119">IF(OR(AND($C11=1,$K11="PBV",$B11=30,NOT($N11="Common Space")),AND($C11=1,$K11="PBV",$B11="HOME 30",NOT($N11="Common Space"))),$E11,"")</f>
        <v/>
      </c>
      <c r="EK11" s="356" t="str">
        <f t="shared" ref="EK11:EK57" si="120">IF(OR(AND($C11=2,$K11="PBV",$B11=30,NOT($N11="Common Space")),AND($C11=2,$K11="PBV",$B11="HOME 30",NOT($N11="Common Space"))),$E11,"")</f>
        <v/>
      </c>
      <c r="EL11" s="356" t="str">
        <f t="shared" ref="EL11:EL57" si="121">IF(OR(AND($C11=3,$K11="PBV",$B11=30,NOT($N11="Common Space")),AND($C11=3,$K11="PBV",$B11="HOME 30",NOT($N11="Common Space"))),$E11,"")</f>
        <v/>
      </c>
      <c r="EM11" s="356" t="str">
        <f t="shared" ref="EM11:EM57" si="122">IF(OR(AND($C11=4,$K11="PBV",$B11=30,NOT($N11="Common Space")),AND($C11=4,$K11="PBV",$B11="HOME 30",NOT($N11="Common Space"))),$E11,"")</f>
        <v/>
      </c>
      <c r="EN11" s="356" t="str">
        <f t="shared" ref="EN11:EN57" si="123">IF(OR(AND($C11="Efficiency",$K11="PBV",$B11=40,NOT($N11="Common Space")),AND($C11="Efficiency",$K11="PBV",$B11="HOME 40",NOT($N11="Common Space"))),$E11,"")</f>
        <v/>
      </c>
      <c r="EO11" s="356" t="str">
        <f t="shared" ref="EO11:EO57" si="124">IF(OR(AND($C11=1,$K11="PBV",$B11=40,NOT($N11="Common Space")),AND($C11=1,$K11="PBV",$B11="HOME 40",NOT($N11="Common Space"))),$E11,"")</f>
        <v/>
      </c>
      <c r="EP11" s="356" t="str">
        <f t="shared" ref="EP11:EP57" si="125">IF(OR(AND($C11=2,$K11="PBV",$B11=40,NOT($N11="Common Space")),AND($C11=2,$K11="PBV",$B11="HOME 40",NOT($N11="Common Space"))),$E11,"")</f>
        <v/>
      </c>
      <c r="EQ11" s="356" t="str">
        <f t="shared" ref="EQ11:EQ57" si="126">IF(OR(AND($C11=3,$K11="PBV",$B11=40,NOT($N11="Common Space")),AND($C11=3,$K11="PBV",$B11="HOME 40",NOT($N11="Common Space"))),$E11,"")</f>
        <v/>
      </c>
      <c r="ER11" s="356" t="str">
        <f t="shared" ref="ER11:ER57" si="127">IF(OR(AND($C11=4,$K11="PBV",$B11=40,NOT($N11="Common Space")),AND($C11=4,$K11="PBV",$B11="HOME 40",NOT($N11="Common Space"))),$E11,"")</f>
        <v/>
      </c>
      <c r="ES11" s="356" t="str">
        <f t="shared" ref="ES11:ES57" si="128">IF(OR(AND($C11="Efficiency",$K11="PBV",$B11=50,NOT($N11="Common Space")),AND($C11="Efficiency",$K11="PBV",$B11="HOME 50",NOT($N11="Common Space"))),$E11,"")</f>
        <v/>
      </c>
      <c r="ET11" s="356" t="str">
        <f t="shared" ref="ET11:ET57" si="129">IF(OR(AND($C11=1,$K11="PBV",$B11=50,NOT($N11="Common Space")),AND($C11=1,$K11="PBV",$B11="HOME 50",NOT($N11="Common Space"))),$E11,"")</f>
        <v/>
      </c>
      <c r="EU11" s="356" t="str">
        <f t="shared" ref="EU11:EU57" si="130">IF(OR(AND($C11=2,$K11="PBV",$B11=50,NOT($N11="Common Space")),AND($C11=2,$K11="PBV",$B11="HOME 50",NOT($N11="Common Space"))),$E11,"")</f>
        <v/>
      </c>
      <c r="EV11" s="356" t="str">
        <f t="shared" ref="EV11:EV57" si="131">IF(OR(AND($C11=3,$K11="PBV",$B11=50,NOT($N11="Common Space")),AND($C11=3,$K11="PBV",$B11="HOME 50",NOT($N11="Common Space"))),$E11,"")</f>
        <v/>
      </c>
      <c r="EW11" s="356" t="str">
        <f t="shared" ref="EW11:EW57" si="132">IF(OR(AND($C11=4,$K11="PBV",$B11=50,NOT($N11="Common Space")),AND($C11=4,$K11="PBV",$B11="HOME 50",NOT($N11="Common Space"))),$E11,"")</f>
        <v/>
      </c>
      <c r="EX11" s="356" t="str">
        <f t="shared" ref="EX11:EX57" si="133">IF(OR(AND($C11="Efficiency",$K11="PBV",$B11=60,NOT($N11="Common Space")),AND($C11="Efficiency",$K11="PBV",$B11="HOME 60",NOT($N11="Common Space"))),$E11,"")</f>
        <v/>
      </c>
      <c r="EY11" s="356" t="str">
        <f t="shared" ref="EY11:EY57" si="134">IF(OR(AND($C11=1,$K11="PBV",$B11=60,NOT($N11="Common Space")),AND($C11=1,$K11="PBV",$B11="HOME 60",NOT($N11="Common Space"))),$E11,"")</f>
        <v/>
      </c>
      <c r="EZ11" s="356" t="str">
        <f t="shared" ref="EZ11:EZ57" si="135">IF(OR(AND($C11=2,$K11="PBV",$B11=60,NOT($N11="Common Space")),AND($C11=2,$K11="PBV",$B11="HOME 60",NOT($N11="Common Space"))),$E11,"")</f>
        <v/>
      </c>
      <c r="FA11" s="356" t="str">
        <f t="shared" ref="FA11:FA57" si="136">IF(OR(AND($C11=3,$K11="PBV",$B11=60,NOT($N11="Common Space")),AND($C11=3,$K11="PBV",$B11="HOME 60",NOT($N11="Common Space"))),$E11,"")</f>
        <v/>
      </c>
      <c r="FB11" s="356" t="str">
        <f t="shared" ref="FB11:FB57" si="137">IF(OR(AND($C11=4,$K11="PBV",$B11=60,NOT($N11="Common Space")),AND($C11=4,$K11="PBV",$B11="HOME 60",NOT($N11="Common Space"))),$E11,"")</f>
        <v/>
      </c>
      <c r="FC11" s="356" t="str">
        <f t="shared" ref="FC11:FC57" si="138">IF(OR(AND($C11="Efficiency",$K11="PBV",$B11=70,NOT($N11="Common Space")),AND($C11="Efficiency",$K11="PBV",$B11="HOME 70",NOT($N11="Common Space"))),$E11,"")</f>
        <v/>
      </c>
      <c r="FD11" s="356" t="str">
        <f t="shared" ref="FD11:FD57" si="139">IF(OR(AND($C11=1,$K11="PBV",$B11=70,NOT($N11="Common Space")),AND($C11=1,$K11="PBV",$B11="HOME 70",NOT($N11="Common Space"))),$E11,"")</f>
        <v/>
      </c>
      <c r="FE11" s="356" t="str">
        <f t="shared" ref="FE11:FE57" si="140">IF(OR(AND($C11=2,$K11="PBV",$B11=70,NOT($N11="Common Space")),AND($C11=2,$K11="PBV",$B11="HOME 70",NOT($N11="Common Space"))),$E11,"")</f>
        <v/>
      </c>
      <c r="FF11" s="356" t="str">
        <f t="shared" ref="FF11:FF57" si="141">IF(OR(AND($C11=3,$K11="PBV",$B11=70,NOT($N11="Common Space")),AND($C11=3,$K11="PBV",$B11="HOME 70",NOT($N11="Common Space"))),$E11,"")</f>
        <v/>
      </c>
      <c r="FG11" s="356" t="str">
        <f t="shared" ref="FG11:FG57" si="142">IF(OR(AND($C11=4,$K11="PBV",$B11=70,NOT($N11="Common Space")),AND($C11=4,$K11="PBV",$B11="HOME 70",NOT($N11="Common Space"))),$E11,"")</f>
        <v/>
      </c>
      <c r="FH11" s="356" t="str">
        <f t="shared" ref="FH11:FH57" si="143">IF(OR(AND($C11="Efficiency",$K11="PBV",$B11=80,NOT($N11="Common Space")),AND($C11="Efficiency",$K11="PBV",$B11="HOME 80",NOT($N11="Common Space"))),$E11,"")</f>
        <v/>
      </c>
      <c r="FI11" s="356" t="str">
        <f t="shared" ref="FI11:FI57" si="144">IF(OR(AND($C11=1,$K11="PBV",$B11=80,NOT($N11="Common Space")),AND($C11=1,$K11="PBV",$B11="HOME 80",NOT($N11="Common Space"))),$E11,"")</f>
        <v/>
      </c>
      <c r="FJ11" s="356" t="str">
        <f t="shared" ref="FJ11:FJ57" si="145">IF(OR(AND($C11=2,$K11="PBV",$B11=80,NOT($N11="Common Space")),AND($C11=2,$K11="PBV",$B11="HOME 80",NOT($N11="Common Space"))),$E11,"")</f>
        <v/>
      </c>
      <c r="FK11" s="356" t="str">
        <f t="shared" ref="FK11:FK57" si="146">IF(OR(AND($C11=3,$K11="PBV",$B11=80,NOT($N11="Common Space")),AND($C11=3,$K11="PBV",$B11="HOME 80",NOT($N11="Common Space"))),$E11,"")</f>
        <v/>
      </c>
      <c r="FL11" s="356" t="str">
        <f t="shared" ref="FL11:FL57" si="147">IF(OR(AND($C11=4,$K11="PBV",$B11=80,NOT($N11="Common Space")),AND($C11=4,$K11="PBV",$B11="HOME 80",NOT($N11="Common Space"))),$E11,"")</f>
        <v/>
      </c>
      <c r="FM11" s="356" t="str">
        <f t="shared" ref="FM11:FM57" si="148">IF(AND(C11="Efficiency",N11="Common Space"),E11,"")</f>
        <v/>
      </c>
      <c r="FN11" s="356" t="str">
        <f t="shared" ref="FN11:FN57" si="149">IF(AND(C11=1,N11="Common Space"),E11,"")</f>
        <v/>
      </c>
      <c r="FO11" s="356" t="str">
        <f t="shared" ref="FO11:FO57" si="150">IF(AND(C11=2,N11="Common Space"),E11,"")</f>
        <v/>
      </c>
      <c r="FP11" s="356" t="str">
        <f t="shared" ref="FP11:FP57" si="151">IF(AND(C11=3,N11="Common Space"),E11,"")</f>
        <v/>
      </c>
      <c r="FQ11" s="356" t="str">
        <f t="shared" ref="FQ11:FQ57" si="152">IF(AND(C11=4,N11="Common Space"),E11,"")</f>
        <v/>
      </c>
      <c r="FR11" s="356" t="str">
        <f t="shared" ref="FR11:FR57" si="153">IF(OR(AND($C11="Efficiency",$B11=80,NOT($N11="Common Space")),AND($C11="Efficiency",$B11="HOME 80",NOT($N11="Common Space"))),$E11*$F11,"")</f>
        <v/>
      </c>
      <c r="FS11" s="356" t="str">
        <f t="shared" ref="FS11:FS57" si="154">IF(OR(AND($C11=1,$B11=80,NOT($N11="Common Space")),AND($C11=1,$B11="HOME 80",NOT($N11="Common Space"))),$E11*$F11,"")</f>
        <v/>
      </c>
      <c r="FT11" s="356" t="str">
        <f t="shared" ref="FT11:FT57" si="155">IF(OR(AND($C11=2,$B11=80,NOT($N11="Common Space")),AND($C11=2,$B11="HOME 80",NOT($N11="Common Space"))),$E11*$F11,"")</f>
        <v/>
      </c>
      <c r="FU11" s="356" t="str">
        <f t="shared" ref="FU11:FU57" si="156">IF(OR(AND($C11=3,$B11=80,NOT($N11="Common Space")),AND($C11=3,$B11="HOME 80",NOT($N11="Common Space"))),$E11*$F11,"")</f>
        <v/>
      </c>
      <c r="FV11" s="356" t="str">
        <f t="shared" ref="FV11:FV57" si="157">IF(OR(AND($C11=4,$B11=80,NOT($N11="Common Space")),AND($C11=4,$B11="HOME 80",NOT($N11="Common Space"))),$E11*$F11,"")</f>
        <v/>
      </c>
      <c r="FW11" s="356" t="str">
        <f t="shared" ref="FW11:FW57" si="158">IF(OR(AND($C11="Efficiency",$B11=70,NOT($N11="Common Space")),AND($C11="Efficiency",$B11="HOME 70",NOT($N11="Common Space"))),$E11*$F11,"")</f>
        <v/>
      </c>
      <c r="FX11" s="356" t="str">
        <f t="shared" ref="FX11:FX57" si="159">IF(OR(AND($C11=1,$B11=70,NOT($N11="Common Space")),AND($C11=1,$B11="HOME 70",NOT($N11="Common Space"))),$E11*$F11,"")</f>
        <v/>
      </c>
      <c r="FY11" s="356" t="str">
        <f t="shared" ref="FY11:FY57" si="160">IF(OR(AND($C11=2,$B11=70,NOT($N11="Common Space")),AND($C11=2,$B11="HOME 70",NOT($N11="Common Space"))),$E11*$F11,"")</f>
        <v/>
      </c>
      <c r="FZ11" s="356" t="str">
        <f t="shared" ref="FZ11:FZ57" si="161">IF(OR(AND($C11=3,$B11=70,NOT($N11="Common Space")),AND($C11=3,$B11="HOME 70",NOT($N11="Common Space"))),$E11*$F11,"")</f>
        <v/>
      </c>
      <c r="GA11" s="356" t="str">
        <f t="shared" ref="GA11:GA57" si="162">IF(OR(AND($C11=4,$B11=70,NOT($N11="Common Space")),AND($C11=4,$B11="HOME 70",NOT($N11="Common Space"))),$E11*$F11,"")</f>
        <v/>
      </c>
      <c r="GB11" s="356" t="str">
        <f t="shared" ref="GB11:GB57" si="163">IF(OR(AND($C11="Efficiency",$B11=60,NOT($N11="Common Space")),AND($C11="Efficiency",$B11="HOME 60",NOT($N11="Common Space"))),$E11*$F11,"")</f>
        <v/>
      </c>
      <c r="GC11" s="356" t="str">
        <f t="shared" ref="GC11:GC57" si="164">IF(OR(AND($C11=1,$B11=60,NOT($N11="Common Space")),AND($C11=1,$B11="HOME 60",NOT($N11="Common Space"))),$E11*$F11,"")</f>
        <v/>
      </c>
      <c r="GD11" s="356" t="str">
        <f t="shared" ref="GD11:GD57" si="165">IF(OR(AND($C11=2,$B11=60,NOT($N11="Common Space")),AND($C11=2,$B11="HOME 60",NOT($N11="Common Space"))),$E11*$F11,"")</f>
        <v/>
      </c>
      <c r="GE11" s="356" t="str">
        <f t="shared" ref="GE11:GE57" si="166">IF(OR(AND($C11=3,$B11=60,NOT($N11="Common Space")),AND($C11=3,$B11="HOME 60",NOT($N11="Common Space"))),$E11*$F11,"")</f>
        <v/>
      </c>
      <c r="GF11" s="356" t="str">
        <f t="shared" ref="GF11:GF57" si="167">IF(OR(AND($C11=4,$B11=60,NOT($N11="Common Space")),AND($C11=4,$B11="HOME 60",NOT($N11="Common Space"))),$E11*$F11,"")</f>
        <v/>
      </c>
      <c r="GG11" s="356" t="str">
        <f t="shared" ref="GG11:GG57" si="168">IF(OR(AND($C11="Efficiency",$B11=50,NOT($N11="Common Space")),AND($C11="Efficiency",$B11="HOME 50",NOT($N11="Common Space"))),$E11*$F11,"")</f>
        <v/>
      </c>
      <c r="GH11" s="356" t="str">
        <f t="shared" ref="GH11:GH57" si="169">IF(OR(AND($C11=1,$B11=50,NOT($N11="Common Space")),AND($C11=1,$B11="HOME 50",NOT($N11="Common Space"))),$E11*$F11,"")</f>
        <v/>
      </c>
      <c r="GI11" s="356" t="str">
        <f t="shared" ref="GI11:GI57" si="170">IF(OR(AND($C11=2,$B11=50,NOT($N11="Common Space")),AND($C11=2,$B11="HOME 50",NOT($N11="Common Space"))),$E11*$F11,"")</f>
        <v/>
      </c>
      <c r="GJ11" s="356" t="str">
        <f t="shared" ref="GJ11:GJ57" si="171">IF(OR(AND($C11=3,$B11=50,NOT($N11="Common Space")),AND($C11=3,$B11="HOME 50",NOT($N11="Common Space"))),$E11*$F11,"")</f>
        <v/>
      </c>
      <c r="GK11" s="356" t="str">
        <f t="shared" ref="GK11:GK57" si="172">IF(OR(AND($C11=4,$B11=50,NOT($N11="Common Space")),AND($C11=4,$B11="HOME 50",NOT($N11="Common Space"))),$E11*$F11,"")</f>
        <v/>
      </c>
      <c r="GL11" s="356" t="str">
        <f t="shared" ref="GL11:GL57" si="173">IF(OR(AND($C11="Efficiency",$B11=40,NOT($N11="Common Space")),AND($C11="Efficiency",$B11="HOME 40",NOT($N11="Common Space"))),$E11*$F11,"")</f>
        <v/>
      </c>
      <c r="GM11" s="356" t="str">
        <f t="shared" ref="GM11:GM57" si="174">IF(OR(AND($C11=1,$B11=40,NOT($N11="Common Space")),AND($C11=1,$B11="HOME 40",NOT($N11="Common Space"))),$E11*$F11,"")</f>
        <v/>
      </c>
      <c r="GN11" s="356" t="str">
        <f t="shared" ref="GN11:GN57" si="175">IF(OR(AND($C11=2,$B11=40,NOT($N11="Common Space")),AND($C11=2,$B11="HOME 40",NOT($N11="Common Space"))),$E11*$F11,"")</f>
        <v/>
      </c>
      <c r="GO11" s="356" t="str">
        <f t="shared" ref="GO11:GO57" si="176">IF(OR(AND($C11=3,$B11=40,NOT($N11="Common Space")),AND($C11=3,$B11="HOME 40",NOT($N11="Common Space"))),$E11*$F11,"")</f>
        <v/>
      </c>
      <c r="GP11" s="356" t="str">
        <f t="shared" ref="GP11:GP57" si="177">IF(OR(AND($C11=4,$B11=40,NOT($N11="Common Space")),AND($C11=4,$B11="HOME 40",NOT($N11="Common Space"))),$E11*$F11,"")</f>
        <v/>
      </c>
      <c r="GQ11" s="356" t="str">
        <f t="shared" ref="GQ11:GQ57" si="178">IF(OR(AND($C11="Efficiency",$B11=30,NOT($N11="Common Space")),AND($C11="Efficiency",$B11="HOME 30",NOT($N11="Common Space"))),$E11*$F11,"")</f>
        <v/>
      </c>
      <c r="GR11" s="356" t="str">
        <f t="shared" ref="GR11:GR57" si="179">IF(OR(AND($C11=1,$B11=30,NOT($N11="Common Space")),AND($C11=1,$B11="HOME 30",NOT($N11="Common Space"))),$E11*$F11,"")</f>
        <v/>
      </c>
      <c r="GS11" s="356" t="str">
        <f t="shared" ref="GS11:GS57" si="180">IF(OR(AND($C11=2,$B11=30,NOT($N11="Common Space")),AND($C11=2,$B11="HOME 30",NOT($N11="Common Space"))),$E11*$F11,"")</f>
        <v/>
      </c>
      <c r="GT11" s="356" t="str">
        <f t="shared" ref="GT11:GT57" si="181">IF(OR(AND($C11=3,$B11=30,NOT($N11="Common Space")),AND($C11=3,$B11="HOME 30",NOT($N11="Common Space"))),$E11*$F11,"")</f>
        <v/>
      </c>
      <c r="GU11" s="356" t="str">
        <f t="shared" ref="GU11:GU57" si="182">IF(OR(AND($C11=4,$B11=30,NOT($N11="Common Space")),AND($C11=4,$B11="HOME 30",NOT($N11="Common Space"))),$E11*$F11,"")</f>
        <v/>
      </c>
      <c r="GV11" s="356" t="str">
        <f t="shared" ref="GV11:GV57" si="183">IF(OR(AND($C11="Efficiency",$B11=20,NOT($N11="Common Space")),AND($C11="Efficiency",$B11="HOME 20",NOT($N11="Common Space"))),$E11*$F11,"")</f>
        <v/>
      </c>
      <c r="GW11" s="356" t="str">
        <f t="shared" ref="GW11:GW57" si="184">IF(OR(AND($C11=1,$B11=20,NOT($N11="Common Space")),AND($C11=1,$B11="HOME 20",NOT($N11="Common Space"))),$E11*$F11,"")</f>
        <v/>
      </c>
      <c r="GX11" s="356" t="str">
        <f t="shared" ref="GX11:GX57" si="185">IF(OR(AND($C11=2,$B11=20,NOT($N11="Common Space")),AND($C11=2,$B11="HOME 20",NOT($N11="Common Space"))),$E11*$F11,"")</f>
        <v/>
      </c>
      <c r="GY11" s="356" t="str">
        <f t="shared" ref="GY11:GY57" si="186">IF(OR(AND($C11=3,$B11=20,NOT($N11="Common Space")),AND($C11=3,$B11="HOME 20",NOT($N11="Common Space"))),$E11*$F11,"")</f>
        <v/>
      </c>
      <c r="GZ11" s="356" t="str">
        <f t="shared" ref="GZ11:GZ57" si="187">IF(OR(AND($C11=4,$B11=20,NOT($N11="Common Space")),AND($C11=4,$B11="HOME 20",NOT($N11="Common Space"))),$E11*$F11,"")</f>
        <v/>
      </c>
      <c r="HA11" s="356" t="str">
        <f t="shared" ref="HA11:HA57" si="188">IF(AND(C11="Efficiency",B11="Unrestricted",NOT(N11="Common Space")),E11*F11,"")</f>
        <v/>
      </c>
      <c r="HB11" s="356" t="str">
        <f t="shared" ref="HB11:HB57" si="189">IF(AND(C11=1,B11="Unrestricted",NOT(N11="Common Space")),E11*F11,"")</f>
        <v/>
      </c>
      <c r="HC11" s="356" t="str">
        <f t="shared" ref="HC11:HC57" si="190">IF(AND(C11=2,B11="Unrestricted",NOT(N11="Common Space")),E11*F11,"")</f>
        <v/>
      </c>
      <c r="HD11" s="356" t="str">
        <f t="shared" ref="HD11:HD57" si="191">IF(AND(C11=3,B11="Unrestricted",NOT(N11="Common Space")),E11*F11,"")</f>
        <v/>
      </c>
      <c r="HE11" s="356" t="str">
        <f t="shared" ref="HE11:HE57" si="192">IF(AND(C11=4,B11="Unrestricted",NOT(N11="Common Space")),E11*F11,"")</f>
        <v/>
      </c>
      <c r="HF11" s="356" t="str">
        <f t="shared" ref="HF11:HF57" si="193">IF(AND(C11="Efficiency",NOT(K11=""),NOT($K11=0),NOT(N11="Common Space")),E11*F11,"")</f>
        <v/>
      </c>
      <c r="HG11" s="356" t="str">
        <f t="shared" ref="HG11:HG57" si="194">IF(AND(C11=1,NOT(K11=""),NOT($K11=0),NOT(N11="Common Space")),E11*F11,"")</f>
        <v/>
      </c>
      <c r="HH11" s="356" t="str">
        <f t="shared" ref="HH11:HH57" si="195">IF(AND(C11=2,NOT(K11=""),NOT($K11=0),NOT(N11="Common Space")),E11*F11,"")</f>
        <v/>
      </c>
      <c r="HI11" s="356" t="str">
        <f t="shared" ref="HI11:HI57" si="196">IF(AND(C11=3,NOT(K11=""),NOT($K11=0),NOT(N11="Common Space")),E11*F11,"")</f>
        <v/>
      </c>
      <c r="HJ11" s="356" t="str">
        <f t="shared" ref="HJ11:HJ57" si="197">IF(AND(C11=4,NOT(K11=""),NOT($K11=0),NOT(N11="Common Space")),E11*F11,"")</f>
        <v/>
      </c>
      <c r="HK11" s="356" t="str">
        <f t="shared" ref="HK11:HK57" si="198">IF(AND(C11="Efficiency",N11="Common Space"),E11*F11,"")</f>
        <v/>
      </c>
      <c r="HL11" s="356" t="str">
        <f t="shared" ref="HL11:HL57" si="199">IF(AND(C11=1,N11="Common Space"),E11*F11,"")</f>
        <v/>
      </c>
      <c r="HM11" s="356" t="str">
        <f t="shared" ref="HM11:HM57" si="200">IF(AND(C11=2,N11="Common Space"),E11*F11,"")</f>
        <v/>
      </c>
      <c r="HN11" s="356" t="str">
        <f t="shared" ref="HN11:HN57" si="201">IF(AND(C11=3,N11="Common Space"),E11*F11,"")</f>
        <v/>
      </c>
      <c r="HO11" s="356" t="str">
        <f t="shared" ref="HO11:HO57" si="202">IF(AND(C11=4,N11="Common Space"),E11*F11,"")</f>
        <v/>
      </c>
      <c r="HP11" s="356" t="str">
        <f t="shared" ref="HP11:HP57" si="203">IF(AND($C11="Efficiency", $P11="New Construction",NOT($B11="Unrestricted"),NOT($B11="NSP 120"),NOT($B11="N/A-CS"),NOT($N11="Common Space")),$E11,"")</f>
        <v/>
      </c>
      <c r="HQ11" s="356" t="str">
        <f t="shared" ref="HQ11:HQ57" si="204">IF(AND($C11=1, $P11="New Construction",NOT($B11="Unrestricted"),NOT($B11="NSP 120"),NOT($B11="N/A-CS"),NOT($N11="Common Space")),$E11,"")</f>
        <v/>
      </c>
      <c r="HR11" s="356" t="str">
        <f t="shared" ref="HR11:HR57" si="205">IF(AND($C11=2, $P11="New Construction",NOT($B11="Unrestricted"),NOT($B11="NSP 120"),NOT($B11="N/A-CS"),NOT($N11="Common Space")),$E11,"")</f>
        <v/>
      </c>
      <c r="HS11" s="356" t="str">
        <f t="shared" ref="HS11:HS57" si="206">IF(AND($C11=3, $P11="New Construction",NOT($B11="Unrestricted"),NOT($B11="NSP 120"),NOT($B11="N/A-CS"),NOT($N11="Common Space")),$E11,"")</f>
        <v/>
      </c>
      <c r="HT11" s="356" t="str">
        <f t="shared" ref="HT11:HT57" si="207">IF(AND($C11=4, $P11="New Construction",NOT($B11="Unrestricted"),NOT($B11="NSP 120"),NOT($B11="N/A-CS"),NOT($N11="Common Space")),$E11,"")</f>
        <v/>
      </c>
      <c r="HU11" s="356" t="str">
        <f t="shared" ref="HU11:HU57" si="208">IF(AND($C11="Efficiency", $P11="New Construction",$B11="Unrestricted",NOT($B11="N/A-CS"),NOT($N11="Common Space")),$E11,"")</f>
        <v/>
      </c>
      <c r="HV11" s="356" t="str">
        <f t="shared" ref="HV11:HV57" si="209">IF(AND($C11=1, $P11="New Construction",$B11="Unrestricted",NOT($B11="N/A-CS"),NOT($N11="Common Space")),$E11,"")</f>
        <v/>
      </c>
      <c r="HW11" s="356" t="str">
        <f t="shared" ref="HW11:HW57" si="210">IF(AND($C11=2, $P11="New Construction",$B11="Unrestricted",NOT($B11="N/A-CS"),NOT($N11="Common Space")),$E11,"")</f>
        <v/>
      </c>
      <c r="HX11" s="356" t="str">
        <f t="shared" ref="HX11:HX57" si="211">IF(AND($C11=3, $P11="New Construction",$B11="Unrestricted",NOT($B11="N/A-CS"),NOT($N11="Common Space")),$E11,"")</f>
        <v/>
      </c>
      <c r="HY11" s="356" t="str">
        <f t="shared" ref="HY11:HY57" si="212">IF(AND($C11=4, $P11="New Construction",$B11="Unrestricted",NOT($B11="N/A-CS"),NOT($N11="Common Space")),$E11,"")</f>
        <v/>
      </c>
      <c r="HZ11" s="356" t="str">
        <f t="shared" ref="HZ11:HZ57" si="213">IF(AND($C11="Efficiency", $P11="New Construction",$B11="N/A-CS",$N11="Common Space"),$E11,"")</f>
        <v/>
      </c>
      <c r="IA11" s="356" t="str">
        <f t="shared" ref="IA11:IA57" si="214">IF(AND($C11=1, $P11="New Construction",$B11="N/A-CS",$N11="Common Space"),$E11,"")</f>
        <v/>
      </c>
      <c r="IB11" s="356" t="str">
        <f t="shared" ref="IB11:IB57" si="215">IF(AND($C11=2, $P11="New Construction",$B11="N/A-CS",$N11="Common Space"),$E11,"")</f>
        <v/>
      </c>
      <c r="IC11" s="356" t="str">
        <f t="shared" ref="IC11:IC57" si="216">IF(AND($C11=3, $P11="New Construction",$B11="N/A-CS",$N11="Common Space"),$E11,"")</f>
        <v/>
      </c>
      <c r="ID11" s="356" t="str">
        <f t="shared" ref="ID11:ID57" si="217">IF(AND($C11=4, $P11="New Construction",$B11="N/A-CS",$N11="Common Space"),$E11,"")</f>
        <v/>
      </c>
      <c r="IE11" s="356" t="str">
        <f t="shared" ref="IE11:IE57" si="218">IF(AND($C11="Efficiency", $P11="Acquisition/Rehab",NOT($B11="Unrestricted"),NOT($B11="NSP 120"),NOT($B11="N/A-CS"),NOT($N11="Common Space")),$E11,"")</f>
        <v/>
      </c>
      <c r="IF11" s="356" t="str">
        <f t="shared" ref="IF11:IF57" si="219">IF(AND($C11=1, $P11="Acquisition/Rehab",NOT($B11="Unrestricted"),NOT($B11="NSP 120"),NOT($B11="N/A-CS"),NOT($N11="Common Space")),$E11,"")</f>
        <v/>
      </c>
      <c r="IG11" s="356" t="str">
        <f t="shared" ref="IG11:IG57" si="220">IF(AND($C11=2, $P11="Acquisition/Rehab",NOT($B11="Unrestricted"),NOT($B11="NSP 120"),NOT($B11="N/A-CS"),NOT($N11="Common Space")),$E11,"")</f>
        <v/>
      </c>
      <c r="IH11" s="356" t="str">
        <f t="shared" ref="IH11:IH57" si="221">IF(AND($C11=3, $P11="Acquisition/Rehab",NOT($B11="Unrestricted"),NOT($B11="NSP 120"),NOT($B11="N/A-CS"),NOT($N11="Common Space")),$E11,"")</f>
        <v/>
      </c>
      <c r="II11" s="356" t="str">
        <f t="shared" ref="II11:II57" si="222">IF(AND($C11=4, $P11="Acquisition/Rehab",NOT($B11="Unrestricted"),NOT($B11="NSP 120"),NOT($B11="N/A-CS"),NOT($N11="Common Space")),$E11,"")</f>
        <v/>
      </c>
      <c r="IJ11" s="356" t="str">
        <f t="shared" ref="IJ11:IJ57" si="223">IF(AND($C11="Efficiency", $P11="Acquisition/Rehab",$B11="Unrestricted",NOT($B11="N/A-CS"),NOT($N11="Common Space")),$E11,"")</f>
        <v/>
      </c>
      <c r="IK11" s="356" t="str">
        <f t="shared" ref="IK11:IK57" si="224">IF(AND($C11=1, $P11="Acquisition/Rehab",$B11="Unrestricted",NOT($B11="N/A-CS"),NOT($N11="Common Space")),$E11,"")</f>
        <v/>
      </c>
      <c r="IL11" s="356" t="str">
        <f t="shared" ref="IL11:IL57" si="225">IF(AND($C11=2, $P11="Acquisition/Rehab",$B11="Unrestricted",NOT($B11="N/A-CS"),NOT($N11="Common Space")),$E11,"")</f>
        <v/>
      </c>
      <c r="IM11" s="356" t="str">
        <f t="shared" ref="IM11:IM57" si="226">IF(AND($C11=3, $P11="Acquisition/Rehab",$B11="Unrestricted",NOT($B11="N/A-CS"),NOT($N11="Common Space")),$E11,"")</f>
        <v/>
      </c>
      <c r="IN11" s="356" t="str">
        <f t="shared" ref="IN11:IN57" si="227">IF(AND($C11=4, $P11="Acquisition/Rehab",$B11="Unrestricted",NOT($B11="N/A-CS"),NOT($N11="Common Space")),$E11,"")</f>
        <v/>
      </c>
      <c r="IO11" s="356" t="str">
        <f t="shared" ref="IO11:IO57" si="228">IF(AND($C11="Efficiency", $P11="Acquisition/Rehab",$B11="N/A-CS",$N11="Common Space"),$E11,"")</f>
        <v/>
      </c>
      <c r="IP11" s="356" t="str">
        <f t="shared" ref="IP11:IP57" si="229">IF(AND($C11=1, $P11="Acquisition/Rehab",$B11="N/A-CS",$N11="Common Space"),$E11,"")</f>
        <v/>
      </c>
      <c r="IQ11" s="356" t="str">
        <f t="shared" ref="IQ11:IQ57" si="230">IF(AND($C11=2, $P11="Acquisition/Rehab",$B11="N/A-CS",$N11="Common Space"),$E11,"")</f>
        <v/>
      </c>
      <c r="IR11" s="356" t="str">
        <f t="shared" ref="IR11:IR57" si="231">IF(AND($C11=3, $P11="Acquisition/Rehab",$B11="N/A-CS",$N11="Common Space"),$E11,"")</f>
        <v/>
      </c>
      <c r="IS11" s="356" t="str">
        <f t="shared" ref="IS11:IS57" si="232">IF(AND($C11=4, $P11="Acquisition/Rehab",$B11="N/A-CS",$N11="Common Space"),$E11,"")</f>
        <v/>
      </c>
      <c r="IT11" s="356" t="str">
        <f t="shared" ref="IT11:IT57" si="233">IF(AND($C11="Efficiency", $P11="Rehabilitation",NOT($B11="Unrestricted"),NOT($B11="NSP 120"),NOT($B11="N/A-CS"),NOT($N11="Common Space")),$E11,"")</f>
        <v/>
      </c>
      <c r="IU11" s="356" t="str">
        <f t="shared" ref="IU11:IU57" si="234">IF(AND($C11=1, $P11="Rehabilitation",NOT($B11="Unrestricted"),NOT($B11="NSP 120"),NOT($B11="N/A-CS"),NOT($N11="Common Space")),$E11,"")</f>
        <v/>
      </c>
      <c r="IV11" s="356" t="str">
        <f t="shared" ref="IV11:IV57" si="235">IF(AND($C11=2, $P11="Rehabilitation",NOT($B11="Unrestricted"),NOT($B11="NSP 120"),NOT($B11="N/A-CS"),NOT($N11="Common Space")),$E11,"")</f>
        <v/>
      </c>
      <c r="IW11" s="356" t="str">
        <f t="shared" ref="IW11:IW57" si="236">IF(AND($C11=3, $P11="Rehabilitation",NOT($B11="Unrestricted"),NOT($B11="NSP 120"),NOT($B11="N/A-CS"),NOT($N11="Common Space")),$E11,"")</f>
        <v/>
      </c>
      <c r="IX11" s="356" t="str">
        <f t="shared" ref="IX11:IX57" si="237">IF(AND($C11=4, $P11="Rehabilitation",NOT($B11="Unrestricted"),NOT($B11="NSP 120"),NOT($B11="N/A-CS"),NOT($N11="Common Space")),$E11,"")</f>
        <v/>
      </c>
      <c r="IY11" s="356" t="str">
        <f t="shared" ref="IY11:IY57" si="238">IF(AND($C11="Efficiency", $P11="Rehabilitation",$B11="Unrestricted",NOT($B11="N/A-CS"),NOT($N11="Common Space")),$E11,"")</f>
        <v/>
      </c>
      <c r="IZ11" s="356" t="str">
        <f t="shared" ref="IZ11:IZ57" si="239">IF(AND($C11=1, $P11="Rehabilitation",$B11="Unrestricted",NOT($B11="N/A-CS"),NOT($N11="Common Space")),$E11,"")</f>
        <v/>
      </c>
      <c r="JA11" s="356" t="str">
        <f t="shared" ref="JA11:JA57" si="240">IF(AND($C11=2, $P11="Rehabilitation",$B11="Unrestricted",NOT($B11="N/A-CS"),NOT($N11="Common Space")),$E11,"")</f>
        <v/>
      </c>
      <c r="JB11" s="356" t="str">
        <f t="shared" ref="JB11:JB57" si="241">IF(AND($C11=3, $P11="Rehabilitation",$B11="Unrestricted",NOT($B11="N/A-CS"),NOT($N11="Common Space")),$E11,"")</f>
        <v/>
      </c>
      <c r="JC11" s="356" t="str">
        <f t="shared" ref="JC11:JC57" si="242">IF(AND($C11=4, $P11="Rehabilitation",$B11="Unrestricted",NOT($B11="N/A-CS"),NOT($N11="Common Space")),$E11,"")</f>
        <v/>
      </c>
      <c r="JD11" s="356" t="str">
        <f t="shared" ref="JD11:JD57" si="243">IF(AND($C11="Efficiency", $P11="Rehabilitation",$B11="N/A-CS",$N11="Common Space"),$E11,"")</f>
        <v/>
      </c>
      <c r="JE11" s="356" t="str">
        <f t="shared" ref="JE11:JE57" si="244">IF(AND($C11=1, $P11="Rehabilitation",$B11="N/A-CS",$N11="Common Space"),$E11,"")</f>
        <v/>
      </c>
      <c r="JF11" s="356" t="str">
        <f t="shared" ref="JF11:JF57" si="245">IF(AND($C11=2, $P11="Rehabilitation",$B11="N/A-CS",$N11="Common Space"),$E11,"")</f>
        <v/>
      </c>
      <c r="JG11" s="356" t="str">
        <f t="shared" ref="JG11:JG57" si="246">IF(AND($C11=3, $P11="Rehabilitation",$B11="N/A-CS",$N11="Common Space"),$E11,"")</f>
        <v/>
      </c>
      <c r="JH11" s="356" t="str">
        <f t="shared" ref="JH11:JH57" si="247">IF(AND($C11=4, $P11="Rehabilitation",$B11="N/A-CS",$N11="Common Space"),$E11,"")</f>
        <v/>
      </c>
      <c r="JI11" s="1785" t="str">
        <f t="shared" ref="JI11:JI57" si="248">IF(AND($C11="Efficiency", NOT(OR($O11="SF Detached",$O11="Mfd Home",$O11="Semi-Detached",$O11="Row House/TH"))),$E11,"")</f>
        <v/>
      </c>
      <c r="JJ11" s="1785" t="str">
        <f t="shared" ref="JJ11:JJ57" si="249">IF(AND($C11=1, NOT(OR($O11="SF Detached",$O11="Mfd Home",$O11="Semi-Detached",$O11="Row House/TH"))),$E11,"")</f>
        <v/>
      </c>
      <c r="JK11" s="1785" t="str">
        <f t="shared" ref="JK11:JK57" si="250">IF(AND($C11=2, NOT(OR($O11="SF Detached",$O11="Mfd Home",$O11="Semi-Detached",$O11="Row House/TH"))),$E11,"")</f>
        <v/>
      </c>
      <c r="JL11" s="1785" t="str">
        <f t="shared" ref="JL11:JL57" si="251">IF(AND($C11=3, NOT(OR($O11="SF Detached",$O11="Mfd Home",$O11="Semi-Detached",$O11="Row House/TH"))),$E11,"")</f>
        <v/>
      </c>
      <c r="JM11" s="1785" t="str">
        <f t="shared" ref="JM11:JM57" si="252">IF(AND($C11=4, NOT(OR($O11="SF Detached",$O11="Mfd Home",$O11="Semi-Detached",$O11="Row House/TH"))),$E11,"")</f>
        <v/>
      </c>
      <c r="JN11" s="1785" t="str">
        <f t="shared" ref="JN11:JN57" si="253">IF(AND($C11="Efficiency", $O11="SF Detached",NOT($Q11="Yes")),$E11,"")</f>
        <v/>
      </c>
      <c r="JO11" s="1785" t="str">
        <f t="shared" ref="JO11:JO57" si="254">IF(AND($C11=1, $O11="SF Detached",NOT($Q11="Yes")),$E11,"")</f>
        <v/>
      </c>
      <c r="JP11" s="1785" t="str">
        <f t="shared" ref="JP11:JP57" si="255">IF(AND($C11=2, $O11="SF Detached",NOT($Q11="Yes")),$E11,"")</f>
        <v/>
      </c>
      <c r="JQ11" s="1785" t="str">
        <f t="shared" ref="JQ11:JQ57" si="256">IF(AND($C11=3, $O11="SF Detached",NOT($Q11="Yes")),$E11,"")</f>
        <v/>
      </c>
      <c r="JR11" s="1785" t="str">
        <f t="shared" ref="JR11:JR57" si="257">IF(AND($C11=4, $O11="SF Detached",NOT($Q11="Yes")),$E11,"")</f>
        <v/>
      </c>
      <c r="JS11" s="1785" t="str">
        <f t="shared" ref="JS11:JS57" si="258">IF(AND($C11="Efficiency", $O11="SF Detached",$Q11="Yes"),$E11,"")</f>
        <v/>
      </c>
      <c r="JT11" s="1785" t="str">
        <f t="shared" ref="JT11:JT57" si="259">IF(AND($C11=1, $O11="SF Detached",$Q11="Yes"),$E11,"")</f>
        <v/>
      </c>
      <c r="JU11" s="1785" t="str">
        <f t="shared" ref="JU11:JU57" si="260">IF(AND($C11=2, $O11="SF Detached",$Q11="Yes"),$E11,"")</f>
        <v/>
      </c>
      <c r="JV11" s="1785" t="str">
        <f t="shared" ref="JV11:JV57" si="261">IF(AND($C11=3, $O11="SF Detached",$Q11="Yes"),$E11,"")</f>
        <v/>
      </c>
      <c r="JW11" s="1785" t="str">
        <f t="shared" ref="JW11:JW57" si="262">IF(AND($C11=4, $O11="SF Detached",$Q11="Yes"),$E11,"")</f>
        <v/>
      </c>
      <c r="JX11" s="1785" t="str">
        <f t="shared" ref="JX11:JX57" si="263">IF(AND($C11="Efficiency", $O11="Mfd Home",NOT($Q11="Yes")),$E11,"")</f>
        <v/>
      </c>
      <c r="JY11" s="1785" t="str">
        <f t="shared" ref="JY11:JY57" si="264">IF(AND($C11=1, $O11="Mfd Home",NOT($Q11="Yes")),$E11,"")</f>
        <v/>
      </c>
      <c r="JZ11" s="1785" t="str">
        <f t="shared" ref="JZ11:JZ57" si="265">IF(AND($C11=2, $O11="Mfd Home",NOT($Q11="Yes")),$E11,"")</f>
        <v/>
      </c>
      <c r="KA11" s="1785" t="str">
        <f t="shared" ref="KA11:KA57" si="266">IF(AND($C11=3, $O11="Mfd Home",NOT($Q11="Yes")),$E11,"")</f>
        <v/>
      </c>
      <c r="KB11" s="1785" t="str">
        <f t="shared" ref="KB11:KB57" si="267">IF(AND($C11=4, $O11="Mfd Home",NOT($Q11="Yes")),$E11,"")</f>
        <v/>
      </c>
      <c r="KC11" s="1785" t="str">
        <f t="shared" ref="KC11:KC57" si="268">IF(AND($C11="Efficiency", $O11="Mfd Home",$Q11="Yes"),$E11,"")</f>
        <v/>
      </c>
      <c r="KD11" s="1785" t="str">
        <f t="shared" ref="KD11:KD57" si="269">IF(AND($C11=1, $O11="Mfd Home",$Q11="Yes"),$E11,"")</f>
        <v/>
      </c>
      <c r="KE11" s="1785" t="str">
        <f t="shared" ref="KE11:KE57" si="270">IF(AND($C11=2, $O11="Mfd Home",$Q11="Yes"),$E11,"")</f>
        <v/>
      </c>
      <c r="KF11" s="1785" t="str">
        <f t="shared" ref="KF11:KF57" si="271">IF(AND($C11=3, $O11="Mfd Home",$Q11="Yes"),$E11,"")</f>
        <v/>
      </c>
      <c r="KG11" s="1785" t="str">
        <f t="shared" ref="KG11:KG57" si="272">IF(AND($C11=4, $O11="Mfd Home",$Q11="Yes"),$E11,"")</f>
        <v/>
      </c>
      <c r="KH11" s="1785" t="str">
        <f t="shared" ref="KH11:KH57" si="273">IF(AND($C11="Efficiency", $O11="Semi-Detached",NOT($Q11="Yes")),$E11,"")</f>
        <v/>
      </c>
      <c r="KI11" s="1785" t="str">
        <f t="shared" ref="KI11:KI57" si="274">IF(AND($C11=1, $O11="Semi-Detached",NOT($Q11="Yes")),$E11,"")</f>
        <v/>
      </c>
      <c r="KJ11" s="1785" t="str">
        <f t="shared" ref="KJ11:KJ57" si="275">IF(AND($C11=2, $O11="Semi-Detached",NOT($Q11="Yes")),$E11,"")</f>
        <v/>
      </c>
      <c r="KK11" s="1785" t="str">
        <f t="shared" ref="KK11:KK57" si="276">IF(AND($C11=3, $O11="Semi-Detached",NOT($Q11="Yes")),$E11,"")</f>
        <v/>
      </c>
      <c r="KL11" s="1785" t="str">
        <f t="shared" ref="KL11:KL57" si="277">IF(AND($C11=4, $O11="Semi-Detached",NOT($Q11="Yes")),$E11,"")</f>
        <v/>
      </c>
      <c r="KM11" s="1785" t="str">
        <f t="shared" ref="KM11:KM57" si="278">IF(AND($C11="Efficiency", $O11="Semi-Detached",$Q11="Yes"),$E11,"")</f>
        <v/>
      </c>
      <c r="KN11" s="1785" t="str">
        <f t="shared" ref="KN11:KN57" si="279">IF(AND($C11=1, $O11="Semi-Detached",$Q11="Yes"),$E11,"")</f>
        <v/>
      </c>
      <c r="KO11" s="1785" t="str">
        <f t="shared" ref="KO11:KO57" si="280">IF(AND($C11=2, $O11="Semi-Detached",$Q11="Yes"),$E11,"")</f>
        <v/>
      </c>
      <c r="KP11" s="1785" t="str">
        <f t="shared" ref="KP11:KP57" si="281">IF(AND($C11=3, $O11="Semi-Detached",$Q11="Yes"),$E11,"")</f>
        <v/>
      </c>
      <c r="KQ11" s="1785" t="str">
        <f t="shared" ref="KQ11:KQ57" si="282">IF(AND($C11=4, $O11="Semi-Detached",$Q11="Yes"),$E11,"")</f>
        <v/>
      </c>
      <c r="KR11" s="1785" t="str">
        <f t="shared" ref="KR11:KR57" si="283">IF(AND($C11="Efficiency", $O11="Row House/TH",NOT($Q11="Yes")),$E11,"")</f>
        <v/>
      </c>
      <c r="KS11" s="1785" t="str">
        <f t="shared" ref="KS11:KS57" si="284">IF(AND($C11=1, $O11="Row House/TH",NOT($Q11="Yes")),$E11,"")</f>
        <v/>
      </c>
      <c r="KT11" s="1785" t="str">
        <f t="shared" ref="KT11:KT57" si="285">IF(AND($C11=2, $O11="Row House/TH",NOT($Q11="Yes")),$E11,"")</f>
        <v/>
      </c>
      <c r="KU11" s="1785" t="str">
        <f t="shared" ref="KU11:KU57" si="286">IF(AND($C11=3, $O11="Row House/TH",NOT($Q11="Yes")),$E11,"")</f>
        <v/>
      </c>
      <c r="KV11" s="1785" t="str">
        <f t="shared" ref="KV11:KV57" si="287">IF(AND($C11=4, $O11="Row House/TH",NOT($Q11="Yes")),$E11,"")</f>
        <v/>
      </c>
      <c r="KW11" s="1785" t="str">
        <f t="shared" ref="KW11:KW57" si="288">IF(AND($C11="Efficiency", $O11="Row House/TH",$Q11="Yes"),$E11,"")</f>
        <v/>
      </c>
      <c r="KX11" s="1785" t="str">
        <f t="shared" ref="KX11:KX57" si="289">IF(AND($C11=1, $O11="Row House/TH",$Q11="Yes"),$E11,"")</f>
        <v/>
      </c>
      <c r="KY11" s="1785" t="str">
        <f t="shared" ref="KY11:KY57" si="290">IF(AND($C11=2, $O11="Row House/TH",$Q11="Yes"),$E11,"")</f>
        <v/>
      </c>
      <c r="KZ11" s="1785" t="str">
        <f t="shared" ref="KZ11:KZ57" si="291">IF(AND($C11=3, $O11="Row House/TH",$Q11="Yes"),$E11,"")</f>
        <v/>
      </c>
      <c r="LA11" s="1785" t="str">
        <f t="shared" ref="LA11:LA57" si="292">IF(AND($C11=4, $O11="Row House/TH",$Q11="Yes"),$E11,"")</f>
        <v/>
      </c>
      <c r="LB11" s="1785" t="str">
        <f t="shared" ref="LB11:LB57" si="293">IF(AND($C11="Efficiency", $O11="Low-Rise Apt",NOT($Q11="Yes")),$E11,"")</f>
        <v/>
      </c>
      <c r="LC11" s="1785" t="str">
        <f t="shared" ref="LC11:LC57" si="294">IF(AND($C11=1, $O11="Low-Rise Apt",NOT($Q11="Yes")),$E11,"")</f>
        <v/>
      </c>
      <c r="LD11" s="1785" t="str">
        <f t="shared" ref="LD11:LD57" si="295">IF(AND($C11=2, $O11="Low-Rise Apt",NOT($Q11="Yes")),$E11,"")</f>
        <v/>
      </c>
      <c r="LE11" s="1785" t="str">
        <f t="shared" ref="LE11:LE57" si="296">IF(AND($C11=3, $O11="Low-Rise Apt",NOT($Q11="Yes")),$E11,"")</f>
        <v/>
      </c>
      <c r="LF11" s="1785" t="str">
        <f t="shared" ref="LF11:LF57" si="297">IF(AND($C11=4, $O11="Low-Rise Apt",NOT($Q11="Yes")),$E11,"")</f>
        <v/>
      </c>
      <c r="LG11" s="1785" t="str">
        <f t="shared" ref="LG11:LG57" si="298">IF(AND($C11="Efficiency", $O11="Low-Rise Elevator",NOT($Q11="Yes")),$E11,"")</f>
        <v/>
      </c>
      <c r="LH11" s="1785" t="str">
        <f t="shared" ref="LH11:LH57" si="299">IF(AND($C11=1, $O11="Low-Rise Elevator",NOT($Q11="Yes")),$E11,"")</f>
        <v/>
      </c>
      <c r="LI11" s="1785" t="str">
        <f t="shared" ref="LI11:LI57" si="300">IF(AND($C11=2, $O11="Low-Rise Elevator",NOT($Q11="Yes")),$E11,"")</f>
        <v/>
      </c>
      <c r="LJ11" s="1785" t="str">
        <f t="shared" ref="LJ11:LJ57" si="301">IF(AND($C11=3, $O11="Low-Rise Elevator",NOT($Q11="Yes")),$E11,"")</f>
        <v/>
      </c>
      <c r="LK11" s="1785" t="str">
        <f t="shared" ref="LK11:LK57" si="302">IF(AND($C11=4, $O11="Low-Rise Elevator",NOT($Q11="Yes")),$E11,"")</f>
        <v/>
      </c>
      <c r="LL11" s="1785" t="str">
        <f t="shared" ref="LL11:LL57" si="303">IF(AND($C11="Efficiency", $O11="Low-Rise Apt",$Q11="Yes"),$E11,"")</f>
        <v/>
      </c>
      <c r="LM11" s="1785" t="str">
        <f t="shared" ref="LM11:LM57" si="304">IF(AND($C11=1, $O11="Low-Rise Apt",$Q11="Yes"),$E11,"")</f>
        <v/>
      </c>
      <c r="LN11" s="1785" t="str">
        <f t="shared" ref="LN11:LN57" si="305">IF(AND($C11=2, $O11="Low-Rise Apt",$Q11="Yes"),$E11,"")</f>
        <v/>
      </c>
      <c r="LO11" s="1785" t="str">
        <f t="shared" ref="LO11:LO57" si="306">IF(AND($C11=3, $O11="Low-Rise Apt",$Q11="Yes"),$E11,"")</f>
        <v/>
      </c>
      <c r="LP11" s="1785" t="str">
        <f t="shared" ref="LP11:LP57" si="307">IF(AND($C11=4, $O11="Low-Rise Apt",$Q11="Yes"),$E11,"")</f>
        <v/>
      </c>
      <c r="LQ11" s="1785" t="str">
        <f t="shared" ref="LQ11:LQ57" si="308">IF(AND($C11="Efficiency", $O11="Low-Rise Elevator",$Q11="Yes"),$E11,"")</f>
        <v/>
      </c>
      <c r="LR11" s="1785" t="str">
        <f t="shared" ref="LR11:LR57" si="309">IF(AND($C11=1, $O11="Low-Rise Elevator",$Q11="Yes"),$E11,"")</f>
        <v/>
      </c>
      <c r="LS11" s="1785" t="str">
        <f t="shared" ref="LS11:LS57" si="310">IF(AND($C11=2, $O11="Low-Rise Elevator",$Q11="Yes"),$E11,"")</f>
        <v/>
      </c>
      <c r="LT11" s="1785" t="str">
        <f t="shared" ref="LT11:LT57" si="311">IF(AND($C11=3, $O11="Low-Rise Elevator",$Q11="Yes"),$E11,"")</f>
        <v/>
      </c>
      <c r="LU11" s="1785" t="str">
        <f t="shared" ref="LU11:LU57" si="312">IF(AND($C11=4, $O11="Low-Rise Elevator",$Q11="Yes"),$E11,"")</f>
        <v/>
      </c>
      <c r="LV11" s="1785" t="str">
        <f t="shared" ref="LV11:LV57" si="313">IF(AND($C11="Efficiency", $O11="High-Rise Apt",NOT($Q11="Yes")),$E11,"")</f>
        <v/>
      </c>
      <c r="LW11" s="1785" t="str">
        <f t="shared" ref="LW11:LW57" si="314">IF(AND($C11=1, $O11="High-Rise Apt",NOT($Q11="Yes")),$E11,"")</f>
        <v/>
      </c>
      <c r="LX11" s="1785" t="str">
        <f t="shared" ref="LX11:LX57" si="315">IF(AND($C11=2, $O11="High-Rise Apt",NOT($Q11="Yes")),$E11,"")</f>
        <v/>
      </c>
      <c r="LY11" s="1785" t="str">
        <f t="shared" ref="LY11:LY57" si="316">IF(AND($C11=3, $O11="High-Rise Apt",NOT($Q11="Yes")),$E11,"")</f>
        <v/>
      </c>
      <c r="LZ11" s="1785" t="str">
        <f t="shared" ref="LZ11:LZ57" si="317">IF(AND($C11=4, $O11="High-Rise Apt",NOT($Q11="Yes")),$E11,"")</f>
        <v/>
      </c>
      <c r="MA11" s="1785" t="str">
        <f t="shared" ref="MA11:MA57" si="318">IF(AND($C11="Efficiency", $O11="High-Rise Elevator",NOT($Q11="Yes")),$E11,"")</f>
        <v/>
      </c>
      <c r="MB11" s="1785" t="str">
        <f t="shared" ref="MB11:MB57" si="319">IF(AND($C11=1, $O11="High-Rise Elevator",NOT($Q11="Yes")),$E11,"")</f>
        <v/>
      </c>
      <c r="MC11" s="1785" t="str">
        <f t="shared" ref="MC11:MC57" si="320">IF(AND($C11=2, $O11="High-Rise Elevator",NOT($Q11="Yes")),$E11,"")</f>
        <v/>
      </c>
      <c r="MD11" s="1785" t="str">
        <f t="shared" ref="MD11:MD57" si="321">IF(AND($C11=3, $O11="High-Rise Elevator",NOT($Q11="Yes")),$E11,"")</f>
        <v/>
      </c>
      <c r="ME11" s="1785" t="str">
        <f t="shared" ref="ME11:ME57" si="322">IF(AND($C11=4, $O11="High-Rise Elevator",NOT($Q11="Yes")),$E11,"")</f>
        <v/>
      </c>
      <c r="MF11" s="1785" t="str">
        <f t="shared" ref="MF11:MF57" si="323">IF(AND($C11="Efficiency", $O11="High-Rise Apt",$Q11="Yes"),$E11,"")</f>
        <v/>
      </c>
      <c r="MG11" s="1785" t="str">
        <f t="shared" ref="MG11:MG57" si="324">IF(AND($C11=1, $O11="High-Rise Apt",$Q11="Yes"),$E11,"")</f>
        <v/>
      </c>
      <c r="MH11" s="1785" t="str">
        <f t="shared" ref="MH11:MH57" si="325">IF(AND($C11=2, $O11="High-Rise Apt",$Q11="Yes"),$E11,"")</f>
        <v/>
      </c>
      <c r="MI11" s="1785" t="str">
        <f t="shared" ref="MI11:MI57" si="326">IF(AND($C11=3, $O11="High-Rise Apt",$Q11="Yes"),$E11,"")</f>
        <v/>
      </c>
      <c r="MJ11" s="1785" t="str">
        <f t="shared" ref="MJ11:MJ57" si="327">IF(AND($C11=4, $O11="High-Rise Apt",$Q11="Yes"),$E11,"")</f>
        <v/>
      </c>
      <c r="MK11" s="1785" t="str">
        <f t="shared" ref="MK11:MK57" si="328">IF(AND($C11="Efficiency", $O11="High-Rise Elevator",$Q11="Yes"),$E11,"")</f>
        <v/>
      </c>
      <c r="ML11" s="1785" t="str">
        <f t="shared" ref="ML11:ML57" si="329">IF(AND($C11=1, $O11="High-Rise Elevator",$Q11="Yes"),$E11,"")</f>
        <v/>
      </c>
      <c r="MM11" s="1785" t="str">
        <f t="shared" ref="MM11:MM57" si="330">IF(AND($C11=2, $O11="High-Rise Elevator",$Q11="Yes"),$E11,"")</f>
        <v/>
      </c>
      <c r="MN11" s="1785" t="str">
        <f t="shared" ref="MN11:MN57" si="331">IF(AND($C11=3, $O11="High-Rise Elevator",$Q11="Yes"),$E11,"")</f>
        <v/>
      </c>
      <c r="MO11" s="1785" t="str">
        <f t="shared" ref="MO11:MO57" si="332">IF(AND($C11=4, $O11="High-Rise Elevator",$Q11="Yes"),$E11,"")</f>
        <v/>
      </c>
      <c r="MP11" s="2470" t="str">
        <f t="shared" ref="MP11:MP57" si="333">IF(AND($B11="NSP 120% AMI",$C11="Efficiency", NOT($N11="Common Space")),$E11,"")</f>
        <v/>
      </c>
      <c r="MQ11" s="2470" t="str">
        <f t="shared" ref="MQ11:MQ57" si="334">IF(AND($B11="NSP 120% AMI",$C11=1,NOT($N11="Common Space")),$E11,"")</f>
        <v/>
      </c>
      <c r="MR11" s="2470" t="str">
        <f t="shared" ref="MR11:MR57" si="335">IF(AND($B11="NSP 120% AMI",$C11=2,NOT($N11="Common Space")),$E11,"")</f>
        <v/>
      </c>
      <c r="MS11" s="2470" t="str">
        <f t="shared" ref="MS11:MS57" si="336">IF(AND($B11="NSP 120% AMI",$C11=3,NOT($N11="Common Space")),$E11,"")</f>
        <v/>
      </c>
      <c r="MT11" s="2470" t="str">
        <f t="shared" ref="MT11:MT57" si="337">IF(AND($B11="NSP 120% AMI",$C11=4,NOT($N11="Common Space")),$E11,"")</f>
        <v/>
      </c>
      <c r="MU11" s="356" t="str">
        <f t="shared" ref="MU11:MU57" si="338">IF(AND(C11="Efficiency",B11="NSP 120% AMI",NOT(N11="Common Space")),E11*F11,"")</f>
        <v/>
      </c>
      <c r="MV11" s="356" t="str">
        <f t="shared" ref="MV11:MV57" si="339">IF(AND(C11=1,B11="NSP 120% AMI",NOT(N11="Common Space")),E11*F11,"")</f>
        <v/>
      </c>
      <c r="MW11" s="356" t="str">
        <f t="shared" ref="MW11:MW57" si="340">IF(AND(C11=2,B11="NSP 120% AMI",NOT(N11="Common Space")),E11*F11,"")</f>
        <v/>
      </c>
      <c r="MX11" s="356" t="str">
        <f t="shared" ref="MX11:MX57" si="341">IF(AND(C11=3,B11="NSP 120% AMI",NOT(N11="Common Space")),E11*F11,"")</f>
        <v/>
      </c>
      <c r="MY11" s="356" t="str">
        <f t="shared" ref="MY11:MY57" si="342">IF(AND(C11=4,B11="NSP 120% AMI",NOT(N11="Common Space")),E11*F11,"")</f>
        <v/>
      </c>
      <c r="MZ11" s="356" t="str">
        <f t="shared" ref="MZ11:MZ57" si="343">IF(AND($C11="Efficiency", $P11="New Construction",$B11="NSP 120% AMI",NOT($N11="Common Space")),$E11,"")</f>
        <v/>
      </c>
      <c r="NA11" s="356" t="str">
        <f t="shared" ref="NA11:NA57" si="344">IF(AND($C11=1, $P11="New Construction",$B11="NSP 120% AMI",NOT($N11="Common Space")),$E11,"")</f>
        <v/>
      </c>
      <c r="NB11" s="356" t="str">
        <f t="shared" ref="NB11:NB57" si="345">IF(AND($C11=2, $P11="New Construction",$B11="NSP 120% AMI",NOT($N11="Common Space")),$E11,"")</f>
        <v/>
      </c>
      <c r="NC11" s="356" t="str">
        <f t="shared" ref="NC11:NC57" si="346">IF(AND($C11=3, $P11="New Construction",$B11="NSP 120% AMI",NOT($N11="Common Space")),$E11,"")</f>
        <v/>
      </c>
      <c r="ND11" s="356" t="str">
        <f t="shared" ref="ND11:ND57" si="347">IF(AND($C11=4, $P11="New Construction",$B11="NSP 120% AMI",NOT($N11="Common Space")),$E11,"")</f>
        <v/>
      </c>
      <c r="NE11" s="356" t="str">
        <f t="shared" ref="NE11:NE57" si="348">IF(AND($C11="Efficiency", $P11="Acquisition/Rehab",$B11="NSP 120% AMI",NOT($N11="Common Space")),$E11,"")</f>
        <v/>
      </c>
      <c r="NF11" s="356" t="str">
        <f t="shared" ref="NF11:NF57" si="349">IF(AND($C11=1, $P11="Acquisition/Rehab",$B11="NSP 120% AMI",NOT($N11="Common Space")),$E11,"")</f>
        <v/>
      </c>
      <c r="NG11" s="356" t="str">
        <f t="shared" ref="NG11:NG57" si="350">IF(AND($C11=2, $P11="Acquisition/Rehab",$B11="NSP 120% AMI",NOT($N11="Common Space")),$E11,"")</f>
        <v/>
      </c>
      <c r="NH11" s="356" t="str">
        <f t="shared" ref="NH11:NH57" si="351">IF(AND($C11=3, $P11="Acquisition/Rehab",$B11="NSP 120% AMI",NOT($N11="Common Space")),$E11,"")</f>
        <v/>
      </c>
      <c r="NI11" s="356" t="str">
        <f t="shared" ref="NI11:NI57" si="352">IF(AND($C11=4, $P11="Acquisition/Rehab",$B11="NSP 120% AMI",NOT($N11="Common Space")),$E11,"")</f>
        <v/>
      </c>
      <c r="NJ11" s="356" t="str">
        <f t="shared" ref="NJ11:NJ57" si="353">IF(AND($C11="Efficiency", $P11="Rehabilitation",$B11="NSP 120% AMI",NOT($N11="Common Space")),$E11,"")</f>
        <v/>
      </c>
      <c r="NK11" s="356" t="str">
        <f t="shared" ref="NK11:NK57" si="354">IF(AND($C11=1, $P11="Rehabilitation",$B11="NSP 120% AMI",NOT($N11="Common Space")),$E11,"")</f>
        <v/>
      </c>
      <c r="NL11" s="356" t="str">
        <f t="shared" ref="NL11:NL57" si="355">IF(AND($C11=2, $P11="Rehabilitation",$B11="NSP 120% AMI",NOT($N11="Common Space")),$E11,"")</f>
        <v/>
      </c>
      <c r="NM11" s="356" t="str">
        <f t="shared" ref="NM11:NM57" si="356">IF(AND($C11=3, $P11="Rehabilitation",$B11="NSP 120% AMI",NOT($N11="Common Space")),$E11,"")</f>
        <v/>
      </c>
      <c r="NN11" s="356" t="str">
        <f t="shared" ref="NN11:NN57" si="357">IF(AND($C11=4, $P11="Rehabilitation",$B11="NSP 120% AMI",NOT($N11="Common Space")),$E11,"")</f>
        <v/>
      </c>
      <c r="NO11" s="1640">
        <f t="shared" ref="NO11:NO57" si="358">IF(AND($C11="Efficiency",$E11&gt;0,OR($O11="Low-Rise Apt",$O11="Low-Rise Elevator",$O11="High-Rise Apt",$O11="High-Rise Elevator",$O11="Row House/TH"),OR($P11="Acquisition/Rehab",$P11="Rehabilitation"),NOT($Q11="Yes")),$E11,0)</f>
        <v>0</v>
      </c>
      <c r="NP11" s="1640">
        <f t="shared" ref="NP11:NP57" si="359">IF(AND($C11=1,$E11&gt;0,OR($O11="Low-Rise Apt",$O11="Low-Rise Elevator",$O11="High-Rise Apt",$O11="High-Rise Elevator",$O11="Row House/TH"),OR($P11="Acquisition/Rehab",$P11="Rehabilitation"),NOT($Q11="Yes")),$E11,0)</f>
        <v>0</v>
      </c>
      <c r="NQ11" s="1640">
        <f t="shared" ref="NQ11:NQ57" si="360">IF(AND($C11=2,$E11&gt;0,OR($O11="Low-Rise Apt",$O11="Low-Rise Elevator",$O11="High-Rise Apt",$O11="High-Rise Elevator",$O11="Row House/TH"),OR($P11="Acquisition/Rehab",$P11="Rehabilitation"),NOT($Q11="Yes")),$E11,0)</f>
        <v>0</v>
      </c>
      <c r="NR11" s="1640">
        <f t="shared" ref="NR11:NR57" si="361">IF(AND($C11=3,$E11&gt;0,OR($O11="Low-Rise Apt",$O11="Low-Rise Elevator",$O11="High-Rise Apt",$O11="High-Rise Elevator",$O11="Row House/TH"),OR($P11="Acquisition/Rehab",$P11="Rehabilitation"),NOT($Q11="Yes")),$E11,0)</f>
        <v>0</v>
      </c>
      <c r="NS11" s="1640">
        <f t="shared" ref="NS11:NS57" si="362">IF(AND($C11=4,$E11&gt;0,OR($O11="Low-Rise Apt",$O11="Low-Rise Elevator",$O11="High-Rise Apt",$O11="High-Rise Elevator",$O11="Row House/TH"),OR($P11="Acquisition/Rehab",$P11="Rehabilitation"),NOT($Q11="Yes")),$E11,0)</f>
        <v>0</v>
      </c>
      <c r="NT11" s="1640">
        <f>IF(AND($C11="Efficiency",$E11&gt;0,OR($O11="Low-Rise Apt",$O11="Low-Rise Elevator",$O11="High-Rise Apt",$O11="High-Rise Elevator",$O11="Row House/TH"),$P11="New Construction"),$E11,0)</f>
        <v>0</v>
      </c>
      <c r="NU11" s="1640">
        <f>IF(AND($C11=1,$E11&gt;0,OR($O11="Low-Rise Apt",$O11="Low-Rise Elevator",$O11="High-Rise Apt",$O11="High-Rise Elevator",$O11="Row House/TH"),$P11="New Construction"),$E11,0)</f>
        <v>0</v>
      </c>
      <c r="NV11" s="1640">
        <f>IF(AND($C11=2,$E11&gt;0,OR($O11="Low-Rise Apt",$O11="Low-Rise Elevator",$O11="High-Rise Apt",$O11="High-Rise Elevator",$O11="Row House/TH"),$P11="New Construction"),$E11,0)</f>
        <v>0</v>
      </c>
      <c r="NW11" s="1640">
        <f>IF(AND($C11=3,$E11&gt;0,OR($O11="Low-Rise Apt",$O11="Low-Rise Elevator",$O11="High-Rise Apt",$O11="High-Rise Elevator",$O11="Row House/TH"),$P11="New Construction"),$E11,0)</f>
        <v>0</v>
      </c>
      <c r="NX11" s="1640">
        <f>IF(AND($C11=4,$E11&gt;0,OR($O11="Low-Rise Apt",$O11="Low-Rise Elevator",$O11="High-Rise Apt",$O11="High-Rise Elevator",$O11="Row House/TH"),$P11="New Construction"),$E11,0)</f>
        <v>0</v>
      </c>
      <c r="NY11" s="1640">
        <f t="shared" ref="NY11:NY57" si="363">IF(AND($C11="Efficiency",$E11&gt;0,OR($O11="SF Detached",$O11="Semi-Detached",$O11="Mfd Home"),NOT($Q11="Yes")),$E11,0)</f>
        <v>0</v>
      </c>
      <c r="NZ11" s="1640">
        <f t="shared" ref="NZ11:NZ57" si="364">IF(AND($C11=1,$E11&gt;0,OR($O11="SF Detached",$O11="Semi-Detached",$O11="Mfd Home"),NOT($Q11="Yes")),$E11,0)</f>
        <v>0</v>
      </c>
      <c r="OA11" s="1640">
        <f t="shared" ref="OA11:OA57" si="365">IF(AND($C11=2,$E11&gt;0,OR($O11="SF Detached",$O11="Semi-Detached",$O11="Mfd Home"),NOT($Q11="Yes")),$E11,0)</f>
        <v>0</v>
      </c>
      <c r="OB11" s="1640">
        <f t="shared" ref="OB11:OB57" si="366">IF(AND($C11=3,$E11&gt;0,OR($O11="SF Detached",$O11="Semi-Detached",$O11="Mfd Home"),NOT($Q11="Yes")),$E11,0)</f>
        <v>0</v>
      </c>
      <c r="OC11" s="1640">
        <f t="shared" ref="OC11:OC57" si="367">IF(AND($C11=4,$E11&gt;0,OR($O11="SF Detached",$O11="Semi-Detached",$O11="Mfd Home"),NOT($Q11="Yes")),$E11,0)</f>
        <v>0</v>
      </c>
      <c r="OY11" s="2499" t="s">
        <v>4297</v>
      </c>
      <c r="OZ11" s="2503">
        <v>11</v>
      </c>
    </row>
    <row r="12" spans="1:528" ht="12" customHeight="1">
      <c r="A12" s="86" t="str">
        <f t="shared" si="0"/>
        <v/>
      </c>
      <c r="B12" s="1017" t="s">
        <v>3552</v>
      </c>
      <c r="C12" s="132"/>
      <c r="D12" s="1643"/>
      <c r="E12" s="133"/>
      <c r="F12" s="133"/>
      <c r="G12" s="133"/>
      <c r="H12" s="133"/>
      <c r="I12" s="133"/>
      <c r="J12" s="1357"/>
      <c r="K12" s="630"/>
      <c r="L12" s="460">
        <f t="shared" si="1"/>
        <v>0</v>
      </c>
      <c r="M12" s="460">
        <f t="shared" si="2"/>
        <v>0</v>
      </c>
      <c r="N12" s="680"/>
      <c r="O12" s="1585"/>
      <c r="P12" s="680"/>
      <c r="Q12" s="134"/>
      <c r="R12" s="723"/>
      <c r="S12" s="724"/>
      <c r="T12" s="3613"/>
      <c r="U12" s="3614"/>
      <c r="V12" s="3614"/>
      <c r="W12" s="3615"/>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356" t="str">
        <f t="shared" si="213"/>
        <v/>
      </c>
      <c r="IA12" s="356" t="str">
        <f t="shared" si="214"/>
        <v/>
      </c>
      <c r="IB12" s="356" t="str">
        <f t="shared" si="215"/>
        <v/>
      </c>
      <c r="IC12" s="356" t="str">
        <f t="shared" si="216"/>
        <v/>
      </c>
      <c r="ID12" s="356" t="str">
        <f t="shared" si="217"/>
        <v/>
      </c>
      <c r="IE12" s="356" t="str">
        <f t="shared" si="218"/>
        <v/>
      </c>
      <c r="IF12" s="356" t="str">
        <f t="shared" si="219"/>
        <v/>
      </c>
      <c r="IG12" s="356" t="str">
        <f t="shared" si="220"/>
        <v/>
      </c>
      <c r="IH12" s="356" t="str">
        <f t="shared" si="221"/>
        <v/>
      </c>
      <c r="II12" s="356" t="str">
        <f t="shared" si="222"/>
        <v/>
      </c>
      <c r="IJ12" s="356" t="str">
        <f t="shared" si="223"/>
        <v/>
      </c>
      <c r="IK12" s="356" t="str">
        <f t="shared" si="224"/>
        <v/>
      </c>
      <c r="IL12" s="356" t="str">
        <f t="shared" si="225"/>
        <v/>
      </c>
      <c r="IM12" s="356" t="str">
        <f t="shared" si="226"/>
        <v/>
      </c>
      <c r="IN12" s="356" t="str">
        <f t="shared" si="227"/>
        <v/>
      </c>
      <c r="IO12" s="356" t="str">
        <f t="shared" si="228"/>
        <v/>
      </c>
      <c r="IP12" s="356" t="str">
        <f t="shared" si="229"/>
        <v/>
      </c>
      <c r="IQ12" s="356" t="str">
        <f t="shared" si="230"/>
        <v/>
      </c>
      <c r="IR12" s="356" t="str">
        <f t="shared" si="231"/>
        <v/>
      </c>
      <c r="IS12" s="356" t="str">
        <f t="shared" si="232"/>
        <v/>
      </c>
      <c r="IT12" s="356" t="str">
        <f t="shared" si="233"/>
        <v/>
      </c>
      <c r="IU12" s="356" t="str">
        <f t="shared" si="234"/>
        <v/>
      </c>
      <c r="IV12" s="356" t="str">
        <f t="shared" si="235"/>
        <v/>
      </c>
      <c r="IW12" s="356" t="str">
        <f t="shared" si="236"/>
        <v/>
      </c>
      <c r="IX12" s="356" t="str">
        <f t="shared" si="237"/>
        <v/>
      </c>
      <c r="IY12" s="356" t="str">
        <f t="shared" si="238"/>
        <v/>
      </c>
      <c r="IZ12" s="356" t="str">
        <f t="shared" si="239"/>
        <v/>
      </c>
      <c r="JA12" s="356" t="str">
        <f t="shared" si="240"/>
        <v/>
      </c>
      <c r="JB12" s="356" t="str">
        <f t="shared" si="241"/>
        <v/>
      </c>
      <c r="JC12" s="356" t="str">
        <f t="shared" si="242"/>
        <v/>
      </c>
      <c r="JD12" s="356" t="str">
        <f t="shared" si="243"/>
        <v/>
      </c>
      <c r="JE12" s="356" t="str">
        <f t="shared" si="244"/>
        <v/>
      </c>
      <c r="JF12" s="356" t="str">
        <f t="shared" si="245"/>
        <v/>
      </c>
      <c r="JG12" s="356" t="str">
        <f t="shared" si="246"/>
        <v/>
      </c>
      <c r="JH12" s="356" t="str">
        <f t="shared" si="247"/>
        <v/>
      </c>
      <c r="JI12" s="1785" t="str">
        <f t="shared" si="248"/>
        <v/>
      </c>
      <c r="JJ12" s="1785" t="str">
        <f t="shared" si="249"/>
        <v/>
      </c>
      <c r="JK12" s="1785" t="str">
        <f t="shared" si="250"/>
        <v/>
      </c>
      <c r="JL12" s="1785" t="str">
        <f t="shared" si="251"/>
        <v/>
      </c>
      <c r="JM12" s="1785" t="str">
        <f t="shared" si="252"/>
        <v/>
      </c>
      <c r="JN12" s="1785" t="str">
        <f t="shared" si="253"/>
        <v/>
      </c>
      <c r="JO12" s="1785" t="str">
        <f t="shared" si="254"/>
        <v/>
      </c>
      <c r="JP12" s="1785" t="str">
        <f t="shared" si="255"/>
        <v/>
      </c>
      <c r="JQ12" s="1785" t="str">
        <f t="shared" si="256"/>
        <v/>
      </c>
      <c r="JR12" s="1785" t="str">
        <f t="shared" si="257"/>
        <v/>
      </c>
      <c r="JS12" s="1785" t="str">
        <f t="shared" si="258"/>
        <v/>
      </c>
      <c r="JT12" s="1785" t="str">
        <f t="shared" si="259"/>
        <v/>
      </c>
      <c r="JU12" s="1785" t="str">
        <f t="shared" si="260"/>
        <v/>
      </c>
      <c r="JV12" s="1785" t="str">
        <f t="shared" si="261"/>
        <v/>
      </c>
      <c r="JW12" s="1785" t="str">
        <f t="shared" si="262"/>
        <v/>
      </c>
      <c r="JX12" s="1785" t="str">
        <f t="shared" si="263"/>
        <v/>
      </c>
      <c r="JY12" s="1785" t="str">
        <f t="shared" si="264"/>
        <v/>
      </c>
      <c r="JZ12" s="1785" t="str">
        <f t="shared" si="265"/>
        <v/>
      </c>
      <c r="KA12" s="1785" t="str">
        <f t="shared" si="266"/>
        <v/>
      </c>
      <c r="KB12" s="1785" t="str">
        <f t="shared" si="267"/>
        <v/>
      </c>
      <c r="KC12" s="1785" t="str">
        <f t="shared" si="268"/>
        <v/>
      </c>
      <c r="KD12" s="1785" t="str">
        <f t="shared" si="269"/>
        <v/>
      </c>
      <c r="KE12" s="1785" t="str">
        <f t="shared" si="270"/>
        <v/>
      </c>
      <c r="KF12" s="1785" t="str">
        <f t="shared" si="271"/>
        <v/>
      </c>
      <c r="KG12" s="1785" t="str">
        <f t="shared" si="272"/>
        <v/>
      </c>
      <c r="KH12" s="1785" t="str">
        <f t="shared" si="273"/>
        <v/>
      </c>
      <c r="KI12" s="1785" t="str">
        <f t="shared" si="274"/>
        <v/>
      </c>
      <c r="KJ12" s="1785" t="str">
        <f t="shared" si="275"/>
        <v/>
      </c>
      <c r="KK12" s="1785" t="str">
        <f t="shared" si="276"/>
        <v/>
      </c>
      <c r="KL12" s="1785" t="str">
        <f t="shared" si="277"/>
        <v/>
      </c>
      <c r="KM12" s="1785" t="str">
        <f t="shared" si="278"/>
        <v/>
      </c>
      <c r="KN12" s="1785" t="str">
        <f t="shared" si="279"/>
        <v/>
      </c>
      <c r="KO12" s="1785" t="str">
        <f t="shared" si="280"/>
        <v/>
      </c>
      <c r="KP12" s="1785" t="str">
        <f t="shared" si="281"/>
        <v/>
      </c>
      <c r="KQ12" s="1785" t="str">
        <f t="shared" si="282"/>
        <v/>
      </c>
      <c r="KR12" s="1785" t="str">
        <f t="shared" si="283"/>
        <v/>
      </c>
      <c r="KS12" s="1785" t="str">
        <f t="shared" si="284"/>
        <v/>
      </c>
      <c r="KT12" s="1785" t="str">
        <f t="shared" si="285"/>
        <v/>
      </c>
      <c r="KU12" s="1785" t="str">
        <f t="shared" si="286"/>
        <v/>
      </c>
      <c r="KV12" s="1785" t="str">
        <f t="shared" si="287"/>
        <v/>
      </c>
      <c r="KW12" s="1785" t="str">
        <f t="shared" si="288"/>
        <v/>
      </c>
      <c r="KX12" s="1785" t="str">
        <f t="shared" si="289"/>
        <v/>
      </c>
      <c r="KY12" s="1785" t="str">
        <f t="shared" si="290"/>
        <v/>
      </c>
      <c r="KZ12" s="1785" t="str">
        <f t="shared" si="291"/>
        <v/>
      </c>
      <c r="LA12" s="1785" t="str">
        <f t="shared" si="292"/>
        <v/>
      </c>
      <c r="LB12" s="1785" t="str">
        <f t="shared" si="293"/>
        <v/>
      </c>
      <c r="LC12" s="1785" t="str">
        <f t="shared" si="294"/>
        <v/>
      </c>
      <c r="LD12" s="1785" t="str">
        <f t="shared" si="295"/>
        <v/>
      </c>
      <c r="LE12" s="1785" t="str">
        <f t="shared" si="296"/>
        <v/>
      </c>
      <c r="LF12" s="1785" t="str">
        <f t="shared" si="297"/>
        <v/>
      </c>
      <c r="LG12" s="1785" t="str">
        <f t="shared" si="298"/>
        <v/>
      </c>
      <c r="LH12" s="1785" t="str">
        <f t="shared" si="299"/>
        <v/>
      </c>
      <c r="LI12" s="1785" t="str">
        <f t="shared" si="300"/>
        <v/>
      </c>
      <c r="LJ12" s="1785" t="str">
        <f t="shared" si="301"/>
        <v/>
      </c>
      <c r="LK12" s="1785" t="str">
        <f t="shared" si="302"/>
        <v/>
      </c>
      <c r="LL12" s="1785" t="str">
        <f t="shared" si="303"/>
        <v/>
      </c>
      <c r="LM12" s="1785" t="str">
        <f t="shared" si="304"/>
        <v/>
      </c>
      <c r="LN12" s="1785" t="str">
        <f t="shared" si="305"/>
        <v/>
      </c>
      <c r="LO12" s="1785" t="str">
        <f t="shared" si="306"/>
        <v/>
      </c>
      <c r="LP12" s="1785" t="str">
        <f t="shared" si="307"/>
        <v/>
      </c>
      <c r="LQ12" s="1785" t="str">
        <f t="shared" si="308"/>
        <v/>
      </c>
      <c r="LR12" s="1785" t="str">
        <f t="shared" si="309"/>
        <v/>
      </c>
      <c r="LS12" s="1785" t="str">
        <f t="shared" si="310"/>
        <v/>
      </c>
      <c r="LT12" s="1785" t="str">
        <f t="shared" si="311"/>
        <v/>
      </c>
      <c r="LU12" s="1785" t="str">
        <f t="shared" si="312"/>
        <v/>
      </c>
      <c r="LV12" s="1785" t="str">
        <f t="shared" si="313"/>
        <v/>
      </c>
      <c r="LW12" s="1785" t="str">
        <f t="shared" si="314"/>
        <v/>
      </c>
      <c r="LX12" s="1785" t="str">
        <f t="shared" si="315"/>
        <v/>
      </c>
      <c r="LY12" s="1785" t="str">
        <f t="shared" si="316"/>
        <v/>
      </c>
      <c r="LZ12" s="1785" t="str">
        <f t="shared" si="317"/>
        <v/>
      </c>
      <c r="MA12" s="1785" t="str">
        <f t="shared" si="318"/>
        <v/>
      </c>
      <c r="MB12" s="1785" t="str">
        <f t="shared" si="319"/>
        <v/>
      </c>
      <c r="MC12" s="1785" t="str">
        <f t="shared" si="320"/>
        <v/>
      </c>
      <c r="MD12" s="1785" t="str">
        <f t="shared" si="321"/>
        <v/>
      </c>
      <c r="ME12" s="1785" t="str">
        <f t="shared" si="322"/>
        <v/>
      </c>
      <c r="MF12" s="1785" t="str">
        <f t="shared" si="323"/>
        <v/>
      </c>
      <c r="MG12" s="1785" t="str">
        <f t="shared" si="324"/>
        <v/>
      </c>
      <c r="MH12" s="1785" t="str">
        <f t="shared" si="325"/>
        <v/>
      </c>
      <c r="MI12" s="1785" t="str">
        <f t="shared" si="326"/>
        <v/>
      </c>
      <c r="MJ12" s="1785" t="str">
        <f t="shared" si="327"/>
        <v/>
      </c>
      <c r="MK12" s="1785" t="str">
        <f t="shared" si="328"/>
        <v/>
      </c>
      <c r="ML12" s="1785" t="str">
        <f t="shared" si="329"/>
        <v/>
      </c>
      <c r="MM12" s="1785" t="str">
        <f t="shared" si="330"/>
        <v/>
      </c>
      <c r="MN12" s="1785" t="str">
        <f t="shared" si="331"/>
        <v/>
      </c>
      <c r="MO12" s="1785" t="str">
        <f t="shared" si="332"/>
        <v/>
      </c>
      <c r="MP12" s="2470" t="str">
        <f t="shared" si="333"/>
        <v/>
      </c>
      <c r="MQ12" s="2470" t="str">
        <f t="shared" si="334"/>
        <v/>
      </c>
      <c r="MR12" s="2470" t="str">
        <f t="shared" si="335"/>
        <v/>
      </c>
      <c r="MS12" s="2470" t="str">
        <f t="shared" si="336"/>
        <v/>
      </c>
      <c r="MT12" s="2470" t="str">
        <f t="shared" si="337"/>
        <v/>
      </c>
      <c r="MU12" s="356" t="str">
        <f t="shared" si="338"/>
        <v/>
      </c>
      <c r="MV12" s="356" t="str">
        <f t="shared" si="339"/>
        <v/>
      </c>
      <c r="MW12" s="356" t="str">
        <f t="shared" si="340"/>
        <v/>
      </c>
      <c r="MX12" s="356" t="str">
        <f t="shared" si="341"/>
        <v/>
      </c>
      <c r="MY12" s="356" t="str">
        <f t="shared" si="342"/>
        <v/>
      </c>
      <c r="MZ12" s="356" t="str">
        <f t="shared" si="343"/>
        <v/>
      </c>
      <c r="NA12" s="356" t="str">
        <f t="shared" si="344"/>
        <v/>
      </c>
      <c r="NB12" s="356" t="str">
        <f t="shared" si="345"/>
        <v/>
      </c>
      <c r="NC12" s="356" t="str">
        <f t="shared" si="346"/>
        <v/>
      </c>
      <c r="ND12" s="356" t="str">
        <f t="shared" si="347"/>
        <v/>
      </c>
      <c r="NE12" s="356" t="str">
        <f t="shared" si="348"/>
        <v/>
      </c>
      <c r="NF12" s="356" t="str">
        <f t="shared" si="349"/>
        <v/>
      </c>
      <c r="NG12" s="356" t="str">
        <f t="shared" si="350"/>
        <v/>
      </c>
      <c r="NH12" s="356" t="str">
        <f t="shared" si="351"/>
        <v/>
      </c>
      <c r="NI12" s="356" t="str">
        <f t="shared" si="352"/>
        <v/>
      </c>
      <c r="NJ12" s="356" t="str">
        <f t="shared" si="353"/>
        <v/>
      </c>
      <c r="NK12" s="356" t="str">
        <f t="shared" si="354"/>
        <v/>
      </c>
      <c r="NL12" s="356" t="str">
        <f t="shared" si="355"/>
        <v/>
      </c>
      <c r="NM12" s="356" t="str">
        <f t="shared" si="356"/>
        <v/>
      </c>
      <c r="NN12" s="356" t="str">
        <f t="shared" si="357"/>
        <v/>
      </c>
      <c r="NO12" s="1640">
        <f t="shared" si="358"/>
        <v>0</v>
      </c>
      <c r="NP12" s="1640">
        <f t="shared" si="359"/>
        <v>0</v>
      </c>
      <c r="NQ12" s="1640">
        <f t="shared" si="360"/>
        <v>0</v>
      </c>
      <c r="NR12" s="1640">
        <f t="shared" si="361"/>
        <v>0</v>
      </c>
      <c r="NS12" s="1640">
        <f t="shared" si="362"/>
        <v>0</v>
      </c>
      <c r="NT12" s="1640">
        <f t="shared" ref="NT12:NT57" si="368">IF(AND($C12="Efficiency",$E12&gt;0,OR($O12="Low-Rise Apt",$O12="Low-Rise Elevator",$O12="High-Rise Apt",$O12="High-Rise Elevator",$O12="Row House/TH"),$P12="New Construction"),$E12,0)</f>
        <v>0</v>
      </c>
      <c r="NU12" s="1640">
        <f t="shared" ref="NU12:NU57" si="369">IF(AND($C12=1,$E12&gt;0,OR($O12="Low-Rise Apt",$O12="Low-Rise Elevator",$O12="High-Rise Apt",$O12="High-Rise Elevator",$O12="Row House/TH"),$P12="New Construction"),$E12,0)</f>
        <v>0</v>
      </c>
      <c r="NV12" s="1640">
        <f t="shared" ref="NV12:NV57" si="370">IF(AND($C12=2,$E12&gt;0,OR($O12="Low-Rise Apt",$O12="Low-Rise Elevator",$O12="High-Rise Apt",$O12="High-Rise Elevator",$O12="Row House/TH"),$P12="New Construction"),$E12,0)</f>
        <v>0</v>
      </c>
      <c r="NW12" s="1640">
        <f t="shared" ref="NW12:NW57" si="371">IF(AND($C12=3,$E12&gt;0,OR($O12="Low-Rise Apt",$O12="Low-Rise Elevator",$O12="High-Rise Apt",$O12="High-Rise Elevator",$O12="Row House/TH"),$P12="New Construction"),$E12,0)</f>
        <v>0</v>
      </c>
      <c r="NX12" s="1640">
        <f t="shared" ref="NX12:NX57" si="372">IF(AND($C12=4,$E12&gt;0,OR($O12="Low-Rise Apt",$O12="Low-Rise Elevator",$O12="High-Rise Apt",$O12="High-Rise Elevator",$O12="Row House/TH"),$P12="New Construction"),$E12,0)</f>
        <v>0</v>
      </c>
      <c r="NY12" s="1640">
        <f t="shared" si="363"/>
        <v>0</v>
      </c>
      <c r="NZ12" s="1640">
        <f t="shared" si="364"/>
        <v>0</v>
      </c>
      <c r="OA12" s="1640">
        <f t="shared" si="365"/>
        <v>0</v>
      </c>
      <c r="OB12" s="1640">
        <f t="shared" si="366"/>
        <v>0</v>
      </c>
      <c r="OC12" s="1640">
        <f t="shared" si="367"/>
        <v>0</v>
      </c>
      <c r="OY12" s="2499" t="s">
        <v>4298</v>
      </c>
      <c r="OZ12" s="2504">
        <v>12</v>
      </c>
    </row>
    <row r="13" spans="1:528" ht="12" customHeight="1">
      <c r="A13" s="86" t="str">
        <f t="shared" si="0"/>
        <v/>
      </c>
      <c r="B13" s="1017" t="s">
        <v>290</v>
      </c>
      <c r="C13" s="132"/>
      <c r="D13" s="1643"/>
      <c r="E13" s="133"/>
      <c r="F13" s="133"/>
      <c r="G13" s="133"/>
      <c r="H13" s="133"/>
      <c r="I13" s="133"/>
      <c r="J13" s="1357"/>
      <c r="K13" s="630"/>
      <c r="L13" s="460">
        <f t="shared" si="1"/>
        <v>0</v>
      </c>
      <c r="M13" s="460">
        <f t="shared" si="2"/>
        <v>0</v>
      </c>
      <c r="N13" s="680"/>
      <c r="O13" s="1585"/>
      <c r="P13" s="680"/>
      <c r="Q13" s="134"/>
      <c r="R13" s="723"/>
      <c r="S13" s="724"/>
      <c r="T13" s="3613"/>
      <c r="U13" s="3614"/>
      <c r="V13" s="3614"/>
      <c r="W13" s="3615"/>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356" t="str">
        <f t="shared" si="213"/>
        <v/>
      </c>
      <c r="IA13" s="356" t="str">
        <f t="shared" si="214"/>
        <v/>
      </c>
      <c r="IB13" s="356" t="str">
        <f t="shared" si="215"/>
        <v/>
      </c>
      <c r="IC13" s="356" t="str">
        <f t="shared" si="216"/>
        <v/>
      </c>
      <c r="ID13" s="356" t="str">
        <f t="shared" si="217"/>
        <v/>
      </c>
      <c r="IE13" s="356" t="str">
        <f t="shared" si="218"/>
        <v/>
      </c>
      <c r="IF13" s="356" t="str">
        <f t="shared" si="219"/>
        <v/>
      </c>
      <c r="IG13" s="356" t="str">
        <f t="shared" si="220"/>
        <v/>
      </c>
      <c r="IH13" s="356" t="str">
        <f t="shared" si="221"/>
        <v/>
      </c>
      <c r="II13" s="356" t="str">
        <f t="shared" si="222"/>
        <v/>
      </c>
      <c r="IJ13" s="356" t="str">
        <f t="shared" si="223"/>
        <v/>
      </c>
      <c r="IK13" s="356" t="str">
        <f t="shared" si="224"/>
        <v/>
      </c>
      <c r="IL13" s="356" t="str">
        <f t="shared" si="225"/>
        <v/>
      </c>
      <c r="IM13" s="356" t="str">
        <f t="shared" si="226"/>
        <v/>
      </c>
      <c r="IN13" s="356" t="str">
        <f t="shared" si="227"/>
        <v/>
      </c>
      <c r="IO13" s="356" t="str">
        <f t="shared" si="228"/>
        <v/>
      </c>
      <c r="IP13" s="356" t="str">
        <f t="shared" si="229"/>
        <v/>
      </c>
      <c r="IQ13" s="356" t="str">
        <f t="shared" si="230"/>
        <v/>
      </c>
      <c r="IR13" s="356" t="str">
        <f t="shared" si="231"/>
        <v/>
      </c>
      <c r="IS13" s="356" t="str">
        <f t="shared" si="232"/>
        <v/>
      </c>
      <c r="IT13" s="356" t="str">
        <f t="shared" si="233"/>
        <v/>
      </c>
      <c r="IU13" s="356" t="str">
        <f t="shared" si="234"/>
        <v/>
      </c>
      <c r="IV13" s="356" t="str">
        <f t="shared" si="235"/>
        <v/>
      </c>
      <c r="IW13" s="356" t="str">
        <f t="shared" si="236"/>
        <v/>
      </c>
      <c r="IX13" s="356" t="str">
        <f t="shared" si="237"/>
        <v/>
      </c>
      <c r="IY13" s="356" t="str">
        <f t="shared" si="238"/>
        <v/>
      </c>
      <c r="IZ13" s="356" t="str">
        <f t="shared" si="239"/>
        <v/>
      </c>
      <c r="JA13" s="356" t="str">
        <f t="shared" si="240"/>
        <v/>
      </c>
      <c r="JB13" s="356" t="str">
        <f t="shared" si="241"/>
        <v/>
      </c>
      <c r="JC13" s="356" t="str">
        <f t="shared" si="242"/>
        <v/>
      </c>
      <c r="JD13" s="356" t="str">
        <f t="shared" si="243"/>
        <v/>
      </c>
      <c r="JE13" s="356" t="str">
        <f t="shared" si="244"/>
        <v/>
      </c>
      <c r="JF13" s="356" t="str">
        <f t="shared" si="245"/>
        <v/>
      </c>
      <c r="JG13" s="356" t="str">
        <f t="shared" si="246"/>
        <v/>
      </c>
      <c r="JH13" s="356" t="str">
        <f t="shared" si="247"/>
        <v/>
      </c>
      <c r="JI13" s="1785" t="str">
        <f t="shared" si="248"/>
        <v/>
      </c>
      <c r="JJ13" s="1785" t="str">
        <f t="shared" si="249"/>
        <v/>
      </c>
      <c r="JK13" s="1785" t="str">
        <f t="shared" si="250"/>
        <v/>
      </c>
      <c r="JL13" s="1785" t="str">
        <f t="shared" si="251"/>
        <v/>
      </c>
      <c r="JM13" s="1785" t="str">
        <f t="shared" si="252"/>
        <v/>
      </c>
      <c r="JN13" s="1785" t="str">
        <f t="shared" si="253"/>
        <v/>
      </c>
      <c r="JO13" s="1785" t="str">
        <f t="shared" si="254"/>
        <v/>
      </c>
      <c r="JP13" s="1785" t="str">
        <f t="shared" si="255"/>
        <v/>
      </c>
      <c r="JQ13" s="1785" t="str">
        <f t="shared" si="256"/>
        <v/>
      </c>
      <c r="JR13" s="1785" t="str">
        <f t="shared" si="257"/>
        <v/>
      </c>
      <c r="JS13" s="1785" t="str">
        <f t="shared" si="258"/>
        <v/>
      </c>
      <c r="JT13" s="1785" t="str">
        <f t="shared" si="259"/>
        <v/>
      </c>
      <c r="JU13" s="1785" t="str">
        <f t="shared" si="260"/>
        <v/>
      </c>
      <c r="JV13" s="1785" t="str">
        <f t="shared" si="261"/>
        <v/>
      </c>
      <c r="JW13" s="1785" t="str">
        <f t="shared" si="262"/>
        <v/>
      </c>
      <c r="JX13" s="1785" t="str">
        <f t="shared" si="263"/>
        <v/>
      </c>
      <c r="JY13" s="1785" t="str">
        <f t="shared" si="264"/>
        <v/>
      </c>
      <c r="JZ13" s="1785" t="str">
        <f t="shared" si="265"/>
        <v/>
      </c>
      <c r="KA13" s="1785" t="str">
        <f t="shared" si="266"/>
        <v/>
      </c>
      <c r="KB13" s="1785" t="str">
        <f t="shared" si="267"/>
        <v/>
      </c>
      <c r="KC13" s="1785" t="str">
        <f t="shared" si="268"/>
        <v/>
      </c>
      <c r="KD13" s="1785" t="str">
        <f t="shared" si="269"/>
        <v/>
      </c>
      <c r="KE13" s="1785" t="str">
        <f t="shared" si="270"/>
        <v/>
      </c>
      <c r="KF13" s="1785" t="str">
        <f t="shared" si="271"/>
        <v/>
      </c>
      <c r="KG13" s="1785" t="str">
        <f t="shared" si="272"/>
        <v/>
      </c>
      <c r="KH13" s="1785" t="str">
        <f t="shared" si="273"/>
        <v/>
      </c>
      <c r="KI13" s="1785" t="str">
        <f t="shared" si="274"/>
        <v/>
      </c>
      <c r="KJ13" s="1785" t="str">
        <f t="shared" si="275"/>
        <v/>
      </c>
      <c r="KK13" s="1785" t="str">
        <f t="shared" si="276"/>
        <v/>
      </c>
      <c r="KL13" s="1785" t="str">
        <f t="shared" si="277"/>
        <v/>
      </c>
      <c r="KM13" s="1785" t="str">
        <f t="shared" si="278"/>
        <v/>
      </c>
      <c r="KN13" s="1785" t="str">
        <f t="shared" si="279"/>
        <v/>
      </c>
      <c r="KO13" s="1785" t="str">
        <f t="shared" si="280"/>
        <v/>
      </c>
      <c r="KP13" s="1785" t="str">
        <f t="shared" si="281"/>
        <v/>
      </c>
      <c r="KQ13" s="1785" t="str">
        <f t="shared" si="282"/>
        <v/>
      </c>
      <c r="KR13" s="1785" t="str">
        <f t="shared" si="283"/>
        <v/>
      </c>
      <c r="KS13" s="1785" t="str">
        <f t="shared" si="284"/>
        <v/>
      </c>
      <c r="KT13" s="1785" t="str">
        <f t="shared" si="285"/>
        <v/>
      </c>
      <c r="KU13" s="1785" t="str">
        <f t="shared" si="286"/>
        <v/>
      </c>
      <c r="KV13" s="1785" t="str">
        <f t="shared" si="287"/>
        <v/>
      </c>
      <c r="KW13" s="1785" t="str">
        <f t="shared" si="288"/>
        <v/>
      </c>
      <c r="KX13" s="1785" t="str">
        <f t="shared" si="289"/>
        <v/>
      </c>
      <c r="KY13" s="1785" t="str">
        <f t="shared" si="290"/>
        <v/>
      </c>
      <c r="KZ13" s="1785" t="str">
        <f t="shared" si="291"/>
        <v/>
      </c>
      <c r="LA13" s="1785" t="str">
        <f t="shared" si="292"/>
        <v/>
      </c>
      <c r="LB13" s="1785" t="str">
        <f t="shared" si="293"/>
        <v/>
      </c>
      <c r="LC13" s="1785" t="str">
        <f t="shared" si="294"/>
        <v/>
      </c>
      <c r="LD13" s="1785" t="str">
        <f t="shared" si="295"/>
        <v/>
      </c>
      <c r="LE13" s="1785" t="str">
        <f t="shared" si="296"/>
        <v/>
      </c>
      <c r="LF13" s="1785" t="str">
        <f t="shared" si="297"/>
        <v/>
      </c>
      <c r="LG13" s="1785" t="str">
        <f t="shared" si="298"/>
        <v/>
      </c>
      <c r="LH13" s="1785" t="str">
        <f t="shared" si="299"/>
        <v/>
      </c>
      <c r="LI13" s="1785" t="str">
        <f t="shared" si="300"/>
        <v/>
      </c>
      <c r="LJ13" s="1785" t="str">
        <f t="shared" si="301"/>
        <v/>
      </c>
      <c r="LK13" s="1785" t="str">
        <f t="shared" si="302"/>
        <v/>
      </c>
      <c r="LL13" s="1785" t="str">
        <f t="shared" si="303"/>
        <v/>
      </c>
      <c r="LM13" s="1785" t="str">
        <f t="shared" si="304"/>
        <v/>
      </c>
      <c r="LN13" s="1785" t="str">
        <f t="shared" si="305"/>
        <v/>
      </c>
      <c r="LO13" s="1785" t="str">
        <f t="shared" si="306"/>
        <v/>
      </c>
      <c r="LP13" s="1785" t="str">
        <f t="shared" si="307"/>
        <v/>
      </c>
      <c r="LQ13" s="1785" t="str">
        <f t="shared" si="308"/>
        <v/>
      </c>
      <c r="LR13" s="1785" t="str">
        <f t="shared" si="309"/>
        <v/>
      </c>
      <c r="LS13" s="1785" t="str">
        <f t="shared" si="310"/>
        <v/>
      </c>
      <c r="LT13" s="1785" t="str">
        <f t="shared" si="311"/>
        <v/>
      </c>
      <c r="LU13" s="1785" t="str">
        <f t="shared" si="312"/>
        <v/>
      </c>
      <c r="LV13" s="1785" t="str">
        <f t="shared" si="313"/>
        <v/>
      </c>
      <c r="LW13" s="1785" t="str">
        <f t="shared" si="314"/>
        <v/>
      </c>
      <c r="LX13" s="1785" t="str">
        <f t="shared" si="315"/>
        <v/>
      </c>
      <c r="LY13" s="1785" t="str">
        <f t="shared" si="316"/>
        <v/>
      </c>
      <c r="LZ13" s="1785" t="str">
        <f t="shared" si="317"/>
        <v/>
      </c>
      <c r="MA13" s="1785" t="str">
        <f t="shared" si="318"/>
        <v/>
      </c>
      <c r="MB13" s="1785" t="str">
        <f t="shared" si="319"/>
        <v/>
      </c>
      <c r="MC13" s="1785" t="str">
        <f t="shared" si="320"/>
        <v/>
      </c>
      <c r="MD13" s="1785" t="str">
        <f t="shared" si="321"/>
        <v/>
      </c>
      <c r="ME13" s="1785" t="str">
        <f t="shared" si="322"/>
        <v/>
      </c>
      <c r="MF13" s="1785" t="str">
        <f t="shared" si="323"/>
        <v/>
      </c>
      <c r="MG13" s="1785" t="str">
        <f t="shared" si="324"/>
        <v/>
      </c>
      <c r="MH13" s="1785" t="str">
        <f t="shared" si="325"/>
        <v/>
      </c>
      <c r="MI13" s="1785" t="str">
        <f t="shared" si="326"/>
        <v/>
      </c>
      <c r="MJ13" s="1785" t="str">
        <f t="shared" si="327"/>
        <v/>
      </c>
      <c r="MK13" s="1785" t="str">
        <f t="shared" si="328"/>
        <v/>
      </c>
      <c r="ML13" s="1785" t="str">
        <f t="shared" si="329"/>
        <v/>
      </c>
      <c r="MM13" s="1785" t="str">
        <f t="shared" si="330"/>
        <v/>
      </c>
      <c r="MN13" s="1785" t="str">
        <f t="shared" si="331"/>
        <v/>
      </c>
      <c r="MO13" s="1785" t="str">
        <f t="shared" si="332"/>
        <v/>
      </c>
      <c r="MP13" s="2470" t="str">
        <f t="shared" si="333"/>
        <v/>
      </c>
      <c r="MQ13" s="2470" t="str">
        <f t="shared" si="334"/>
        <v/>
      </c>
      <c r="MR13" s="2470" t="str">
        <f t="shared" si="335"/>
        <v/>
      </c>
      <c r="MS13" s="2470" t="str">
        <f t="shared" si="336"/>
        <v/>
      </c>
      <c r="MT13" s="2470" t="str">
        <f t="shared" si="337"/>
        <v/>
      </c>
      <c r="MU13" s="356" t="str">
        <f t="shared" si="338"/>
        <v/>
      </c>
      <c r="MV13" s="356" t="str">
        <f t="shared" si="339"/>
        <v/>
      </c>
      <c r="MW13" s="356" t="str">
        <f t="shared" si="340"/>
        <v/>
      </c>
      <c r="MX13" s="356" t="str">
        <f t="shared" si="341"/>
        <v/>
      </c>
      <c r="MY13" s="356" t="str">
        <f t="shared" si="342"/>
        <v/>
      </c>
      <c r="MZ13" s="356" t="str">
        <f t="shared" si="343"/>
        <v/>
      </c>
      <c r="NA13" s="356" t="str">
        <f t="shared" si="344"/>
        <v/>
      </c>
      <c r="NB13" s="356" t="str">
        <f t="shared" si="345"/>
        <v/>
      </c>
      <c r="NC13" s="356" t="str">
        <f t="shared" si="346"/>
        <v/>
      </c>
      <c r="ND13" s="356" t="str">
        <f t="shared" si="347"/>
        <v/>
      </c>
      <c r="NE13" s="356" t="str">
        <f t="shared" si="348"/>
        <v/>
      </c>
      <c r="NF13" s="356" t="str">
        <f t="shared" si="349"/>
        <v/>
      </c>
      <c r="NG13" s="356" t="str">
        <f t="shared" si="350"/>
        <v/>
      </c>
      <c r="NH13" s="356" t="str">
        <f t="shared" si="351"/>
        <v/>
      </c>
      <c r="NI13" s="356" t="str">
        <f t="shared" si="352"/>
        <v/>
      </c>
      <c r="NJ13" s="356" t="str">
        <f t="shared" si="353"/>
        <v/>
      </c>
      <c r="NK13" s="356" t="str">
        <f t="shared" si="354"/>
        <v/>
      </c>
      <c r="NL13" s="356" t="str">
        <f t="shared" si="355"/>
        <v/>
      </c>
      <c r="NM13" s="356" t="str">
        <f t="shared" si="356"/>
        <v/>
      </c>
      <c r="NN13" s="356" t="str">
        <f t="shared" si="357"/>
        <v/>
      </c>
      <c r="NO13" s="1640">
        <f t="shared" si="358"/>
        <v>0</v>
      </c>
      <c r="NP13" s="1640">
        <f t="shared" si="359"/>
        <v>0</v>
      </c>
      <c r="NQ13" s="1640">
        <f t="shared" si="360"/>
        <v>0</v>
      </c>
      <c r="NR13" s="1640">
        <f t="shared" si="361"/>
        <v>0</v>
      </c>
      <c r="NS13" s="1640">
        <f t="shared" si="362"/>
        <v>0</v>
      </c>
      <c r="NT13" s="1640">
        <f t="shared" si="368"/>
        <v>0</v>
      </c>
      <c r="NU13" s="1640">
        <f t="shared" si="369"/>
        <v>0</v>
      </c>
      <c r="NV13" s="1640">
        <f t="shared" si="370"/>
        <v>0</v>
      </c>
      <c r="NW13" s="1640">
        <f t="shared" si="371"/>
        <v>0</v>
      </c>
      <c r="NX13" s="1640">
        <f t="shared" si="372"/>
        <v>0</v>
      </c>
      <c r="NY13" s="1640">
        <f t="shared" si="363"/>
        <v>0</v>
      </c>
      <c r="NZ13" s="1640">
        <f t="shared" si="364"/>
        <v>0</v>
      </c>
      <c r="OA13" s="1640">
        <f t="shared" si="365"/>
        <v>0</v>
      </c>
      <c r="OB13" s="1640">
        <f t="shared" si="366"/>
        <v>0</v>
      </c>
      <c r="OC13" s="1640">
        <f t="shared" si="367"/>
        <v>0</v>
      </c>
      <c r="OY13" s="2499" t="s">
        <v>4299</v>
      </c>
      <c r="OZ13" s="2504">
        <v>13</v>
      </c>
    </row>
    <row r="14" spans="1:528" ht="12" customHeight="1">
      <c r="A14" s="86" t="str">
        <f t="shared" si="0"/>
        <v/>
      </c>
      <c r="B14" s="1017" t="s">
        <v>290</v>
      </c>
      <c r="C14" s="132"/>
      <c r="D14" s="1643"/>
      <c r="E14" s="133"/>
      <c r="F14" s="133"/>
      <c r="G14" s="133"/>
      <c r="H14" s="133"/>
      <c r="I14" s="133"/>
      <c r="J14" s="1357"/>
      <c r="K14" s="630"/>
      <c r="L14" s="460">
        <f t="shared" si="1"/>
        <v>0</v>
      </c>
      <c r="M14" s="460">
        <f t="shared" si="2"/>
        <v>0</v>
      </c>
      <c r="N14" s="680"/>
      <c r="O14" s="1585"/>
      <c r="P14" s="680"/>
      <c r="Q14" s="134"/>
      <c r="R14" s="723"/>
      <c r="S14" s="724"/>
      <c r="T14" s="3613"/>
      <c r="U14" s="3614"/>
      <c r="V14" s="3614"/>
      <c r="W14" s="3615"/>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356" t="str">
        <f t="shared" si="213"/>
        <v/>
      </c>
      <c r="IA14" s="356" t="str">
        <f t="shared" si="214"/>
        <v/>
      </c>
      <c r="IB14" s="356" t="str">
        <f t="shared" si="215"/>
        <v/>
      </c>
      <c r="IC14" s="356" t="str">
        <f t="shared" si="216"/>
        <v/>
      </c>
      <c r="ID14" s="356" t="str">
        <f t="shared" si="217"/>
        <v/>
      </c>
      <c r="IE14" s="356" t="str">
        <f t="shared" si="218"/>
        <v/>
      </c>
      <c r="IF14" s="356" t="str">
        <f t="shared" si="219"/>
        <v/>
      </c>
      <c r="IG14" s="356" t="str">
        <f t="shared" si="220"/>
        <v/>
      </c>
      <c r="IH14" s="356" t="str">
        <f t="shared" si="221"/>
        <v/>
      </c>
      <c r="II14" s="356" t="str">
        <f t="shared" si="222"/>
        <v/>
      </c>
      <c r="IJ14" s="356" t="str">
        <f t="shared" si="223"/>
        <v/>
      </c>
      <c r="IK14" s="356" t="str">
        <f t="shared" si="224"/>
        <v/>
      </c>
      <c r="IL14" s="356" t="str">
        <f t="shared" si="225"/>
        <v/>
      </c>
      <c r="IM14" s="356" t="str">
        <f t="shared" si="226"/>
        <v/>
      </c>
      <c r="IN14" s="356" t="str">
        <f t="shared" si="227"/>
        <v/>
      </c>
      <c r="IO14" s="356" t="str">
        <f t="shared" si="228"/>
        <v/>
      </c>
      <c r="IP14" s="356" t="str">
        <f t="shared" si="229"/>
        <v/>
      </c>
      <c r="IQ14" s="356" t="str">
        <f t="shared" si="230"/>
        <v/>
      </c>
      <c r="IR14" s="356" t="str">
        <f t="shared" si="231"/>
        <v/>
      </c>
      <c r="IS14" s="356" t="str">
        <f t="shared" si="232"/>
        <v/>
      </c>
      <c r="IT14" s="356" t="str">
        <f t="shared" si="233"/>
        <v/>
      </c>
      <c r="IU14" s="356" t="str">
        <f t="shared" si="234"/>
        <v/>
      </c>
      <c r="IV14" s="356" t="str">
        <f t="shared" si="235"/>
        <v/>
      </c>
      <c r="IW14" s="356" t="str">
        <f t="shared" si="236"/>
        <v/>
      </c>
      <c r="IX14" s="356" t="str">
        <f t="shared" si="237"/>
        <v/>
      </c>
      <c r="IY14" s="356" t="str">
        <f t="shared" si="238"/>
        <v/>
      </c>
      <c r="IZ14" s="356" t="str">
        <f t="shared" si="239"/>
        <v/>
      </c>
      <c r="JA14" s="356" t="str">
        <f t="shared" si="240"/>
        <v/>
      </c>
      <c r="JB14" s="356" t="str">
        <f t="shared" si="241"/>
        <v/>
      </c>
      <c r="JC14" s="356" t="str">
        <f t="shared" si="242"/>
        <v/>
      </c>
      <c r="JD14" s="356" t="str">
        <f t="shared" si="243"/>
        <v/>
      </c>
      <c r="JE14" s="356" t="str">
        <f t="shared" si="244"/>
        <v/>
      </c>
      <c r="JF14" s="356" t="str">
        <f t="shared" si="245"/>
        <v/>
      </c>
      <c r="JG14" s="356" t="str">
        <f t="shared" si="246"/>
        <v/>
      </c>
      <c r="JH14" s="356" t="str">
        <f t="shared" si="247"/>
        <v/>
      </c>
      <c r="JI14" s="1785" t="str">
        <f t="shared" si="248"/>
        <v/>
      </c>
      <c r="JJ14" s="1785" t="str">
        <f t="shared" si="249"/>
        <v/>
      </c>
      <c r="JK14" s="1785" t="str">
        <f t="shared" si="250"/>
        <v/>
      </c>
      <c r="JL14" s="1785" t="str">
        <f t="shared" si="251"/>
        <v/>
      </c>
      <c r="JM14" s="1785" t="str">
        <f t="shared" si="252"/>
        <v/>
      </c>
      <c r="JN14" s="1785" t="str">
        <f t="shared" si="253"/>
        <v/>
      </c>
      <c r="JO14" s="1785" t="str">
        <f t="shared" si="254"/>
        <v/>
      </c>
      <c r="JP14" s="1785" t="str">
        <f t="shared" si="255"/>
        <v/>
      </c>
      <c r="JQ14" s="1785" t="str">
        <f t="shared" si="256"/>
        <v/>
      </c>
      <c r="JR14" s="1785" t="str">
        <f t="shared" si="257"/>
        <v/>
      </c>
      <c r="JS14" s="1785" t="str">
        <f t="shared" si="258"/>
        <v/>
      </c>
      <c r="JT14" s="1785" t="str">
        <f t="shared" si="259"/>
        <v/>
      </c>
      <c r="JU14" s="1785" t="str">
        <f t="shared" si="260"/>
        <v/>
      </c>
      <c r="JV14" s="1785" t="str">
        <f t="shared" si="261"/>
        <v/>
      </c>
      <c r="JW14" s="1785" t="str">
        <f t="shared" si="262"/>
        <v/>
      </c>
      <c r="JX14" s="1785" t="str">
        <f t="shared" si="263"/>
        <v/>
      </c>
      <c r="JY14" s="1785" t="str">
        <f t="shared" si="264"/>
        <v/>
      </c>
      <c r="JZ14" s="1785" t="str">
        <f t="shared" si="265"/>
        <v/>
      </c>
      <c r="KA14" s="1785" t="str">
        <f t="shared" si="266"/>
        <v/>
      </c>
      <c r="KB14" s="1785" t="str">
        <f t="shared" si="267"/>
        <v/>
      </c>
      <c r="KC14" s="1785" t="str">
        <f t="shared" si="268"/>
        <v/>
      </c>
      <c r="KD14" s="1785" t="str">
        <f t="shared" si="269"/>
        <v/>
      </c>
      <c r="KE14" s="1785" t="str">
        <f t="shared" si="270"/>
        <v/>
      </c>
      <c r="KF14" s="1785" t="str">
        <f t="shared" si="271"/>
        <v/>
      </c>
      <c r="KG14" s="1785" t="str">
        <f t="shared" si="272"/>
        <v/>
      </c>
      <c r="KH14" s="1785" t="str">
        <f t="shared" si="273"/>
        <v/>
      </c>
      <c r="KI14" s="1785" t="str">
        <f t="shared" si="274"/>
        <v/>
      </c>
      <c r="KJ14" s="1785" t="str">
        <f t="shared" si="275"/>
        <v/>
      </c>
      <c r="KK14" s="1785" t="str">
        <f t="shared" si="276"/>
        <v/>
      </c>
      <c r="KL14" s="1785" t="str">
        <f t="shared" si="277"/>
        <v/>
      </c>
      <c r="KM14" s="1785" t="str">
        <f t="shared" si="278"/>
        <v/>
      </c>
      <c r="KN14" s="1785" t="str">
        <f t="shared" si="279"/>
        <v/>
      </c>
      <c r="KO14" s="1785" t="str">
        <f t="shared" si="280"/>
        <v/>
      </c>
      <c r="KP14" s="1785" t="str">
        <f t="shared" si="281"/>
        <v/>
      </c>
      <c r="KQ14" s="1785" t="str">
        <f t="shared" si="282"/>
        <v/>
      </c>
      <c r="KR14" s="1785" t="str">
        <f t="shared" si="283"/>
        <v/>
      </c>
      <c r="KS14" s="1785" t="str">
        <f t="shared" si="284"/>
        <v/>
      </c>
      <c r="KT14" s="1785" t="str">
        <f t="shared" si="285"/>
        <v/>
      </c>
      <c r="KU14" s="1785" t="str">
        <f t="shared" si="286"/>
        <v/>
      </c>
      <c r="KV14" s="1785" t="str">
        <f t="shared" si="287"/>
        <v/>
      </c>
      <c r="KW14" s="1785" t="str">
        <f t="shared" si="288"/>
        <v/>
      </c>
      <c r="KX14" s="1785" t="str">
        <f t="shared" si="289"/>
        <v/>
      </c>
      <c r="KY14" s="1785" t="str">
        <f t="shared" si="290"/>
        <v/>
      </c>
      <c r="KZ14" s="1785" t="str">
        <f t="shared" si="291"/>
        <v/>
      </c>
      <c r="LA14" s="1785" t="str">
        <f t="shared" si="292"/>
        <v/>
      </c>
      <c r="LB14" s="1785" t="str">
        <f t="shared" si="293"/>
        <v/>
      </c>
      <c r="LC14" s="1785" t="str">
        <f t="shared" si="294"/>
        <v/>
      </c>
      <c r="LD14" s="1785" t="str">
        <f t="shared" si="295"/>
        <v/>
      </c>
      <c r="LE14" s="1785" t="str">
        <f t="shared" si="296"/>
        <v/>
      </c>
      <c r="LF14" s="1785" t="str">
        <f t="shared" si="297"/>
        <v/>
      </c>
      <c r="LG14" s="1785" t="str">
        <f t="shared" si="298"/>
        <v/>
      </c>
      <c r="LH14" s="1785" t="str">
        <f t="shared" si="299"/>
        <v/>
      </c>
      <c r="LI14" s="1785" t="str">
        <f t="shared" si="300"/>
        <v/>
      </c>
      <c r="LJ14" s="1785" t="str">
        <f t="shared" si="301"/>
        <v/>
      </c>
      <c r="LK14" s="1785" t="str">
        <f t="shared" si="302"/>
        <v/>
      </c>
      <c r="LL14" s="1785" t="str">
        <f t="shared" si="303"/>
        <v/>
      </c>
      <c r="LM14" s="1785" t="str">
        <f t="shared" si="304"/>
        <v/>
      </c>
      <c r="LN14" s="1785" t="str">
        <f t="shared" si="305"/>
        <v/>
      </c>
      <c r="LO14" s="1785" t="str">
        <f t="shared" si="306"/>
        <v/>
      </c>
      <c r="LP14" s="1785" t="str">
        <f t="shared" si="307"/>
        <v/>
      </c>
      <c r="LQ14" s="1785" t="str">
        <f t="shared" si="308"/>
        <v/>
      </c>
      <c r="LR14" s="1785" t="str">
        <f t="shared" si="309"/>
        <v/>
      </c>
      <c r="LS14" s="1785" t="str">
        <f t="shared" si="310"/>
        <v/>
      </c>
      <c r="LT14" s="1785" t="str">
        <f t="shared" si="311"/>
        <v/>
      </c>
      <c r="LU14" s="1785" t="str">
        <f t="shared" si="312"/>
        <v/>
      </c>
      <c r="LV14" s="1785" t="str">
        <f t="shared" si="313"/>
        <v/>
      </c>
      <c r="LW14" s="1785" t="str">
        <f t="shared" si="314"/>
        <v/>
      </c>
      <c r="LX14" s="1785" t="str">
        <f t="shared" si="315"/>
        <v/>
      </c>
      <c r="LY14" s="1785" t="str">
        <f t="shared" si="316"/>
        <v/>
      </c>
      <c r="LZ14" s="1785" t="str">
        <f t="shared" si="317"/>
        <v/>
      </c>
      <c r="MA14" s="1785" t="str">
        <f t="shared" si="318"/>
        <v/>
      </c>
      <c r="MB14" s="1785" t="str">
        <f t="shared" si="319"/>
        <v/>
      </c>
      <c r="MC14" s="1785" t="str">
        <f t="shared" si="320"/>
        <v/>
      </c>
      <c r="MD14" s="1785" t="str">
        <f t="shared" si="321"/>
        <v/>
      </c>
      <c r="ME14" s="1785" t="str">
        <f t="shared" si="322"/>
        <v/>
      </c>
      <c r="MF14" s="1785" t="str">
        <f t="shared" si="323"/>
        <v/>
      </c>
      <c r="MG14" s="1785" t="str">
        <f t="shared" si="324"/>
        <v/>
      </c>
      <c r="MH14" s="1785" t="str">
        <f t="shared" si="325"/>
        <v/>
      </c>
      <c r="MI14" s="1785" t="str">
        <f t="shared" si="326"/>
        <v/>
      </c>
      <c r="MJ14" s="1785" t="str">
        <f t="shared" si="327"/>
        <v/>
      </c>
      <c r="MK14" s="1785" t="str">
        <f t="shared" si="328"/>
        <v/>
      </c>
      <c r="ML14" s="1785" t="str">
        <f t="shared" si="329"/>
        <v/>
      </c>
      <c r="MM14" s="1785" t="str">
        <f t="shared" si="330"/>
        <v/>
      </c>
      <c r="MN14" s="1785" t="str">
        <f t="shared" si="331"/>
        <v/>
      </c>
      <c r="MO14" s="1785" t="str">
        <f t="shared" si="332"/>
        <v/>
      </c>
      <c r="MP14" s="2470" t="str">
        <f t="shared" si="333"/>
        <v/>
      </c>
      <c r="MQ14" s="2470" t="str">
        <f t="shared" si="334"/>
        <v/>
      </c>
      <c r="MR14" s="2470" t="str">
        <f t="shared" si="335"/>
        <v/>
      </c>
      <c r="MS14" s="2470" t="str">
        <f t="shared" si="336"/>
        <v/>
      </c>
      <c r="MT14" s="2470" t="str">
        <f t="shared" si="337"/>
        <v/>
      </c>
      <c r="MU14" s="356" t="str">
        <f t="shared" si="338"/>
        <v/>
      </c>
      <c r="MV14" s="356" t="str">
        <f t="shared" si="339"/>
        <v/>
      </c>
      <c r="MW14" s="356" t="str">
        <f t="shared" si="340"/>
        <v/>
      </c>
      <c r="MX14" s="356" t="str">
        <f t="shared" si="341"/>
        <v/>
      </c>
      <c r="MY14" s="356" t="str">
        <f t="shared" si="342"/>
        <v/>
      </c>
      <c r="MZ14" s="356" t="str">
        <f t="shared" si="343"/>
        <v/>
      </c>
      <c r="NA14" s="356" t="str">
        <f t="shared" si="344"/>
        <v/>
      </c>
      <c r="NB14" s="356" t="str">
        <f t="shared" si="345"/>
        <v/>
      </c>
      <c r="NC14" s="356" t="str">
        <f t="shared" si="346"/>
        <v/>
      </c>
      <c r="ND14" s="356" t="str">
        <f t="shared" si="347"/>
        <v/>
      </c>
      <c r="NE14" s="356" t="str">
        <f t="shared" si="348"/>
        <v/>
      </c>
      <c r="NF14" s="356" t="str">
        <f t="shared" si="349"/>
        <v/>
      </c>
      <c r="NG14" s="356" t="str">
        <f t="shared" si="350"/>
        <v/>
      </c>
      <c r="NH14" s="356" t="str">
        <f t="shared" si="351"/>
        <v/>
      </c>
      <c r="NI14" s="356" t="str">
        <f t="shared" si="352"/>
        <v/>
      </c>
      <c r="NJ14" s="356" t="str">
        <f t="shared" si="353"/>
        <v/>
      </c>
      <c r="NK14" s="356" t="str">
        <f t="shared" si="354"/>
        <v/>
      </c>
      <c r="NL14" s="356" t="str">
        <f t="shared" si="355"/>
        <v/>
      </c>
      <c r="NM14" s="356" t="str">
        <f t="shared" si="356"/>
        <v/>
      </c>
      <c r="NN14" s="356" t="str">
        <f t="shared" si="357"/>
        <v/>
      </c>
      <c r="NO14" s="1640">
        <f t="shared" si="358"/>
        <v>0</v>
      </c>
      <c r="NP14" s="1640">
        <f t="shared" si="359"/>
        <v>0</v>
      </c>
      <c r="NQ14" s="1640">
        <f t="shared" si="360"/>
        <v>0</v>
      </c>
      <c r="NR14" s="1640">
        <f t="shared" si="361"/>
        <v>0</v>
      </c>
      <c r="NS14" s="1640">
        <f t="shared" si="362"/>
        <v>0</v>
      </c>
      <c r="NT14" s="1640">
        <f t="shared" si="368"/>
        <v>0</v>
      </c>
      <c r="NU14" s="1640">
        <f t="shared" si="369"/>
        <v>0</v>
      </c>
      <c r="NV14" s="1640">
        <f t="shared" si="370"/>
        <v>0</v>
      </c>
      <c r="NW14" s="1640">
        <f t="shared" si="371"/>
        <v>0</v>
      </c>
      <c r="NX14" s="1640">
        <f t="shared" si="372"/>
        <v>0</v>
      </c>
      <c r="NY14" s="1640">
        <f t="shared" si="363"/>
        <v>0</v>
      </c>
      <c r="NZ14" s="1640">
        <f t="shared" si="364"/>
        <v>0</v>
      </c>
      <c r="OA14" s="1640">
        <f t="shared" si="365"/>
        <v>0</v>
      </c>
      <c r="OB14" s="1640">
        <f t="shared" si="366"/>
        <v>0</v>
      </c>
      <c r="OC14" s="1640">
        <f t="shared" si="367"/>
        <v>0</v>
      </c>
      <c r="OY14" s="2499" t="s">
        <v>4300</v>
      </c>
      <c r="OZ14" s="2503">
        <v>14</v>
      </c>
    </row>
    <row r="15" spans="1:528" ht="12" customHeight="1">
      <c r="A15" s="86" t="str">
        <f t="shared" si="0"/>
        <v/>
      </c>
      <c r="B15" s="1017" t="s">
        <v>290</v>
      </c>
      <c r="C15" s="132"/>
      <c r="D15" s="1643"/>
      <c r="E15" s="133"/>
      <c r="F15" s="133"/>
      <c r="G15" s="133"/>
      <c r="H15" s="133"/>
      <c r="I15" s="133"/>
      <c r="J15" s="1357"/>
      <c r="K15" s="630"/>
      <c r="L15" s="460">
        <f t="shared" si="1"/>
        <v>0</v>
      </c>
      <c r="M15" s="460">
        <f t="shared" si="2"/>
        <v>0</v>
      </c>
      <c r="N15" s="680"/>
      <c r="O15" s="1585"/>
      <c r="P15" s="680"/>
      <c r="Q15" s="134"/>
      <c r="R15" s="723"/>
      <c r="S15" s="724"/>
      <c r="T15" s="3613"/>
      <c r="U15" s="3614"/>
      <c r="V15" s="3614"/>
      <c r="W15" s="3615"/>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356" t="str">
        <f t="shared" si="213"/>
        <v/>
      </c>
      <c r="IA15" s="356" t="str">
        <f t="shared" si="214"/>
        <v/>
      </c>
      <c r="IB15" s="356" t="str">
        <f t="shared" si="215"/>
        <v/>
      </c>
      <c r="IC15" s="356" t="str">
        <f t="shared" si="216"/>
        <v/>
      </c>
      <c r="ID15" s="356" t="str">
        <f t="shared" si="217"/>
        <v/>
      </c>
      <c r="IE15" s="356" t="str">
        <f t="shared" si="218"/>
        <v/>
      </c>
      <c r="IF15" s="356" t="str">
        <f t="shared" si="219"/>
        <v/>
      </c>
      <c r="IG15" s="356" t="str">
        <f t="shared" si="220"/>
        <v/>
      </c>
      <c r="IH15" s="356" t="str">
        <f t="shared" si="221"/>
        <v/>
      </c>
      <c r="II15" s="356" t="str">
        <f t="shared" si="222"/>
        <v/>
      </c>
      <c r="IJ15" s="356" t="str">
        <f t="shared" si="223"/>
        <v/>
      </c>
      <c r="IK15" s="356" t="str">
        <f t="shared" si="224"/>
        <v/>
      </c>
      <c r="IL15" s="356" t="str">
        <f t="shared" si="225"/>
        <v/>
      </c>
      <c r="IM15" s="356" t="str">
        <f t="shared" si="226"/>
        <v/>
      </c>
      <c r="IN15" s="356" t="str">
        <f t="shared" si="227"/>
        <v/>
      </c>
      <c r="IO15" s="356" t="str">
        <f t="shared" si="228"/>
        <v/>
      </c>
      <c r="IP15" s="356" t="str">
        <f t="shared" si="229"/>
        <v/>
      </c>
      <c r="IQ15" s="356" t="str">
        <f t="shared" si="230"/>
        <v/>
      </c>
      <c r="IR15" s="356" t="str">
        <f t="shared" si="231"/>
        <v/>
      </c>
      <c r="IS15" s="356" t="str">
        <f t="shared" si="232"/>
        <v/>
      </c>
      <c r="IT15" s="356" t="str">
        <f t="shared" si="233"/>
        <v/>
      </c>
      <c r="IU15" s="356" t="str">
        <f t="shared" si="234"/>
        <v/>
      </c>
      <c r="IV15" s="356" t="str">
        <f t="shared" si="235"/>
        <v/>
      </c>
      <c r="IW15" s="356" t="str">
        <f t="shared" si="236"/>
        <v/>
      </c>
      <c r="IX15" s="356" t="str">
        <f t="shared" si="237"/>
        <v/>
      </c>
      <c r="IY15" s="356" t="str">
        <f t="shared" si="238"/>
        <v/>
      </c>
      <c r="IZ15" s="356" t="str">
        <f t="shared" si="239"/>
        <v/>
      </c>
      <c r="JA15" s="356" t="str">
        <f t="shared" si="240"/>
        <v/>
      </c>
      <c r="JB15" s="356" t="str">
        <f t="shared" si="241"/>
        <v/>
      </c>
      <c r="JC15" s="356" t="str">
        <f t="shared" si="242"/>
        <v/>
      </c>
      <c r="JD15" s="356" t="str">
        <f t="shared" si="243"/>
        <v/>
      </c>
      <c r="JE15" s="356" t="str">
        <f t="shared" si="244"/>
        <v/>
      </c>
      <c r="JF15" s="356" t="str">
        <f t="shared" si="245"/>
        <v/>
      </c>
      <c r="JG15" s="356" t="str">
        <f t="shared" si="246"/>
        <v/>
      </c>
      <c r="JH15" s="356" t="str">
        <f t="shared" si="247"/>
        <v/>
      </c>
      <c r="JI15" s="1785" t="str">
        <f t="shared" si="248"/>
        <v/>
      </c>
      <c r="JJ15" s="1785" t="str">
        <f t="shared" si="249"/>
        <v/>
      </c>
      <c r="JK15" s="1785" t="str">
        <f t="shared" si="250"/>
        <v/>
      </c>
      <c r="JL15" s="1785" t="str">
        <f t="shared" si="251"/>
        <v/>
      </c>
      <c r="JM15" s="1785" t="str">
        <f t="shared" si="252"/>
        <v/>
      </c>
      <c r="JN15" s="1785" t="str">
        <f t="shared" si="253"/>
        <v/>
      </c>
      <c r="JO15" s="1785" t="str">
        <f t="shared" si="254"/>
        <v/>
      </c>
      <c r="JP15" s="1785" t="str">
        <f t="shared" si="255"/>
        <v/>
      </c>
      <c r="JQ15" s="1785" t="str">
        <f t="shared" si="256"/>
        <v/>
      </c>
      <c r="JR15" s="1785" t="str">
        <f t="shared" si="257"/>
        <v/>
      </c>
      <c r="JS15" s="1785" t="str">
        <f t="shared" si="258"/>
        <v/>
      </c>
      <c r="JT15" s="1785" t="str">
        <f t="shared" si="259"/>
        <v/>
      </c>
      <c r="JU15" s="1785" t="str">
        <f t="shared" si="260"/>
        <v/>
      </c>
      <c r="JV15" s="1785" t="str">
        <f t="shared" si="261"/>
        <v/>
      </c>
      <c r="JW15" s="1785" t="str">
        <f t="shared" si="262"/>
        <v/>
      </c>
      <c r="JX15" s="1785" t="str">
        <f t="shared" si="263"/>
        <v/>
      </c>
      <c r="JY15" s="1785" t="str">
        <f t="shared" si="264"/>
        <v/>
      </c>
      <c r="JZ15" s="1785" t="str">
        <f t="shared" si="265"/>
        <v/>
      </c>
      <c r="KA15" s="1785" t="str">
        <f t="shared" si="266"/>
        <v/>
      </c>
      <c r="KB15" s="1785" t="str">
        <f t="shared" si="267"/>
        <v/>
      </c>
      <c r="KC15" s="1785" t="str">
        <f t="shared" si="268"/>
        <v/>
      </c>
      <c r="KD15" s="1785" t="str">
        <f t="shared" si="269"/>
        <v/>
      </c>
      <c r="KE15" s="1785" t="str">
        <f t="shared" si="270"/>
        <v/>
      </c>
      <c r="KF15" s="1785" t="str">
        <f t="shared" si="271"/>
        <v/>
      </c>
      <c r="KG15" s="1785" t="str">
        <f t="shared" si="272"/>
        <v/>
      </c>
      <c r="KH15" s="1785" t="str">
        <f t="shared" si="273"/>
        <v/>
      </c>
      <c r="KI15" s="1785" t="str">
        <f t="shared" si="274"/>
        <v/>
      </c>
      <c r="KJ15" s="1785" t="str">
        <f t="shared" si="275"/>
        <v/>
      </c>
      <c r="KK15" s="1785" t="str">
        <f t="shared" si="276"/>
        <v/>
      </c>
      <c r="KL15" s="1785" t="str">
        <f t="shared" si="277"/>
        <v/>
      </c>
      <c r="KM15" s="1785" t="str">
        <f t="shared" si="278"/>
        <v/>
      </c>
      <c r="KN15" s="1785" t="str">
        <f t="shared" si="279"/>
        <v/>
      </c>
      <c r="KO15" s="1785" t="str">
        <f t="shared" si="280"/>
        <v/>
      </c>
      <c r="KP15" s="1785" t="str">
        <f t="shared" si="281"/>
        <v/>
      </c>
      <c r="KQ15" s="1785" t="str">
        <f t="shared" si="282"/>
        <v/>
      </c>
      <c r="KR15" s="1785" t="str">
        <f t="shared" si="283"/>
        <v/>
      </c>
      <c r="KS15" s="1785" t="str">
        <f t="shared" si="284"/>
        <v/>
      </c>
      <c r="KT15" s="1785" t="str">
        <f t="shared" si="285"/>
        <v/>
      </c>
      <c r="KU15" s="1785" t="str">
        <f t="shared" si="286"/>
        <v/>
      </c>
      <c r="KV15" s="1785" t="str">
        <f t="shared" si="287"/>
        <v/>
      </c>
      <c r="KW15" s="1785" t="str">
        <f t="shared" si="288"/>
        <v/>
      </c>
      <c r="KX15" s="1785" t="str">
        <f t="shared" si="289"/>
        <v/>
      </c>
      <c r="KY15" s="1785" t="str">
        <f t="shared" si="290"/>
        <v/>
      </c>
      <c r="KZ15" s="1785" t="str">
        <f t="shared" si="291"/>
        <v/>
      </c>
      <c r="LA15" s="1785" t="str">
        <f t="shared" si="292"/>
        <v/>
      </c>
      <c r="LB15" s="1785" t="str">
        <f t="shared" si="293"/>
        <v/>
      </c>
      <c r="LC15" s="1785" t="str">
        <f t="shared" si="294"/>
        <v/>
      </c>
      <c r="LD15" s="1785" t="str">
        <f t="shared" si="295"/>
        <v/>
      </c>
      <c r="LE15" s="1785" t="str">
        <f t="shared" si="296"/>
        <v/>
      </c>
      <c r="LF15" s="1785" t="str">
        <f t="shared" si="297"/>
        <v/>
      </c>
      <c r="LG15" s="1785" t="str">
        <f t="shared" si="298"/>
        <v/>
      </c>
      <c r="LH15" s="1785" t="str">
        <f t="shared" si="299"/>
        <v/>
      </c>
      <c r="LI15" s="1785" t="str">
        <f t="shared" si="300"/>
        <v/>
      </c>
      <c r="LJ15" s="1785" t="str">
        <f t="shared" si="301"/>
        <v/>
      </c>
      <c r="LK15" s="1785" t="str">
        <f t="shared" si="302"/>
        <v/>
      </c>
      <c r="LL15" s="1785" t="str">
        <f t="shared" si="303"/>
        <v/>
      </c>
      <c r="LM15" s="1785" t="str">
        <f t="shared" si="304"/>
        <v/>
      </c>
      <c r="LN15" s="1785" t="str">
        <f t="shared" si="305"/>
        <v/>
      </c>
      <c r="LO15" s="1785" t="str">
        <f t="shared" si="306"/>
        <v/>
      </c>
      <c r="LP15" s="1785" t="str">
        <f t="shared" si="307"/>
        <v/>
      </c>
      <c r="LQ15" s="1785" t="str">
        <f t="shared" si="308"/>
        <v/>
      </c>
      <c r="LR15" s="1785" t="str">
        <f t="shared" si="309"/>
        <v/>
      </c>
      <c r="LS15" s="1785" t="str">
        <f t="shared" si="310"/>
        <v/>
      </c>
      <c r="LT15" s="1785" t="str">
        <f t="shared" si="311"/>
        <v/>
      </c>
      <c r="LU15" s="1785" t="str">
        <f t="shared" si="312"/>
        <v/>
      </c>
      <c r="LV15" s="1785" t="str">
        <f t="shared" si="313"/>
        <v/>
      </c>
      <c r="LW15" s="1785" t="str">
        <f t="shared" si="314"/>
        <v/>
      </c>
      <c r="LX15" s="1785" t="str">
        <f t="shared" si="315"/>
        <v/>
      </c>
      <c r="LY15" s="1785" t="str">
        <f t="shared" si="316"/>
        <v/>
      </c>
      <c r="LZ15" s="1785" t="str">
        <f t="shared" si="317"/>
        <v/>
      </c>
      <c r="MA15" s="1785" t="str">
        <f t="shared" si="318"/>
        <v/>
      </c>
      <c r="MB15" s="1785" t="str">
        <f t="shared" si="319"/>
        <v/>
      </c>
      <c r="MC15" s="1785" t="str">
        <f t="shared" si="320"/>
        <v/>
      </c>
      <c r="MD15" s="1785" t="str">
        <f t="shared" si="321"/>
        <v/>
      </c>
      <c r="ME15" s="1785" t="str">
        <f t="shared" si="322"/>
        <v/>
      </c>
      <c r="MF15" s="1785" t="str">
        <f t="shared" si="323"/>
        <v/>
      </c>
      <c r="MG15" s="1785" t="str">
        <f t="shared" si="324"/>
        <v/>
      </c>
      <c r="MH15" s="1785" t="str">
        <f t="shared" si="325"/>
        <v/>
      </c>
      <c r="MI15" s="1785" t="str">
        <f t="shared" si="326"/>
        <v/>
      </c>
      <c r="MJ15" s="1785" t="str">
        <f t="shared" si="327"/>
        <v/>
      </c>
      <c r="MK15" s="1785" t="str">
        <f t="shared" si="328"/>
        <v/>
      </c>
      <c r="ML15" s="1785" t="str">
        <f t="shared" si="329"/>
        <v/>
      </c>
      <c r="MM15" s="1785" t="str">
        <f t="shared" si="330"/>
        <v/>
      </c>
      <c r="MN15" s="1785" t="str">
        <f t="shared" si="331"/>
        <v/>
      </c>
      <c r="MO15" s="1785" t="str">
        <f t="shared" si="332"/>
        <v/>
      </c>
      <c r="MP15" s="2470" t="str">
        <f t="shared" si="333"/>
        <v/>
      </c>
      <c r="MQ15" s="2470" t="str">
        <f t="shared" si="334"/>
        <v/>
      </c>
      <c r="MR15" s="2470" t="str">
        <f t="shared" si="335"/>
        <v/>
      </c>
      <c r="MS15" s="2470" t="str">
        <f t="shared" si="336"/>
        <v/>
      </c>
      <c r="MT15" s="2470" t="str">
        <f t="shared" si="337"/>
        <v/>
      </c>
      <c r="MU15" s="356" t="str">
        <f t="shared" si="338"/>
        <v/>
      </c>
      <c r="MV15" s="356" t="str">
        <f t="shared" si="339"/>
        <v/>
      </c>
      <c r="MW15" s="356" t="str">
        <f t="shared" si="340"/>
        <v/>
      </c>
      <c r="MX15" s="356" t="str">
        <f t="shared" si="341"/>
        <v/>
      </c>
      <c r="MY15" s="356" t="str">
        <f t="shared" si="342"/>
        <v/>
      </c>
      <c r="MZ15" s="356" t="str">
        <f t="shared" si="343"/>
        <v/>
      </c>
      <c r="NA15" s="356" t="str">
        <f t="shared" si="344"/>
        <v/>
      </c>
      <c r="NB15" s="356" t="str">
        <f t="shared" si="345"/>
        <v/>
      </c>
      <c r="NC15" s="356" t="str">
        <f t="shared" si="346"/>
        <v/>
      </c>
      <c r="ND15" s="356" t="str">
        <f t="shared" si="347"/>
        <v/>
      </c>
      <c r="NE15" s="356" t="str">
        <f t="shared" si="348"/>
        <v/>
      </c>
      <c r="NF15" s="356" t="str">
        <f t="shared" si="349"/>
        <v/>
      </c>
      <c r="NG15" s="356" t="str">
        <f t="shared" si="350"/>
        <v/>
      </c>
      <c r="NH15" s="356" t="str">
        <f t="shared" si="351"/>
        <v/>
      </c>
      <c r="NI15" s="356" t="str">
        <f t="shared" si="352"/>
        <v/>
      </c>
      <c r="NJ15" s="356" t="str">
        <f t="shared" si="353"/>
        <v/>
      </c>
      <c r="NK15" s="356" t="str">
        <f t="shared" si="354"/>
        <v/>
      </c>
      <c r="NL15" s="356" t="str">
        <f t="shared" si="355"/>
        <v/>
      </c>
      <c r="NM15" s="356" t="str">
        <f t="shared" si="356"/>
        <v/>
      </c>
      <c r="NN15" s="356" t="str">
        <f t="shared" si="357"/>
        <v/>
      </c>
      <c r="NO15" s="1640">
        <f t="shared" si="358"/>
        <v>0</v>
      </c>
      <c r="NP15" s="1640">
        <f t="shared" si="359"/>
        <v>0</v>
      </c>
      <c r="NQ15" s="1640">
        <f t="shared" si="360"/>
        <v>0</v>
      </c>
      <c r="NR15" s="1640">
        <f t="shared" si="361"/>
        <v>0</v>
      </c>
      <c r="NS15" s="1640">
        <f t="shared" si="362"/>
        <v>0</v>
      </c>
      <c r="NT15" s="1640">
        <f t="shared" si="368"/>
        <v>0</v>
      </c>
      <c r="NU15" s="1640">
        <f t="shared" si="369"/>
        <v>0</v>
      </c>
      <c r="NV15" s="1640">
        <f t="shared" si="370"/>
        <v>0</v>
      </c>
      <c r="NW15" s="1640">
        <f t="shared" si="371"/>
        <v>0</v>
      </c>
      <c r="NX15" s="1640">
        <f t="shared" si="372"/>
        <v>0</v>
      </c>
      <c r="NY15" s="1640">
        <f t="shared" si="363"/>
        <v>0</v>
      </c>
      <c r="NZ15" s="1640">
        <f t="shared" si="364"/>
        <v>0</v>
      </c>
      <c r="OA15" s="1640">
        <f t="shared" si="365"/>
        <v>0</v>
      </c>
      <c r="OB15" s="1640">
        <f t="shared" si="366"/>
        <v>0</v>
      </c>
      <c r="OC15" s="1640">
        <f t="shared" si="367"/>
        <v>0</v>
      </c>
      <c r="OY15" s="2499" t="s">
        <v>4301</v>
      </c>
      <c r="OZ15" s="2504">
        <v>15</v>
      </c>
    </row>
    <row r="16" spans="1:528" ht="12" customHeight="1">
      <c r="A16" s="86" t="str">
        <f t="shared" si="0"/>
        <v/>
      </c>
      <c r="B16" s="1017" t="s">
        <v>290</v>
      </c>
      <c r="C16" s="132"/>
      <c r="D16" s="1643"/>
      <c r="E16" s="133"/>
      <c r="F16" s="133"/>
      <c r="G16" s="133"/>
      <c r="H16" s="133"/>
      <c r="I16" s="133"/>
      <c r="J16" s="1357"/>
      <c r="K16" s="630"/>
      <c r="L16" s="460">
        <f t="shared" si="1"/>
        <v>0</v>
      </c>
      <c r="M16" s="460">
        <f t="shared" si="2"/>
        <v>0</v>
      </c>
      <c r="N16" s="680"/>
      <c r="O16" s="1585"/>
      <c r="P16" s="680"/>
      <c r="Q16" s="134"/>
      <c r="R16" s="723"/>
      <c r="S16" s="724"/>
      <c r="T16" s="3613"/>
      <c r="U16" s="3614"/>
      <c r="V16" s="3614"/>
      <c r="W16" s="3615"/>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356" t="str">
        <f t="shared" si="213"/>
        <v/>
      </c>
      <c r="IA16" s="356" t="str">
        <f t="shared" si="214"/>
        <v/>
      </c>
      <c r="IB16" s="356" t="str">
        <f t="shared" si="215"/>
        <v/>
      </c>
      <c r="IC16" s="356" t="str">
        <f t="shared" si="216"/>
        <v/>
      </c>
      <c r="ID16" s="356" t="str">
        <f t="shared" si="217"/>
        <v/>
      </c>
      <c r="IE16" s="356" t="str">
        <f t="shared" si="218"/>
        <v/>
      </c>
      <c r="IF16" s="356" t="str">
        <f t="shared" si="219"/>
        <v/>
      </c>
      <c r="IG16" s="356" t="str">
        <f t="shared" si="220"/>
        <v/>
      </c>
      <c r="IH16" s="356" t="str">
        <f t="shared" si="221"/>
        <v/>
      </c>
      <c r="II16" s="356" t="str">
        <f t="shared" si="222"/>
        <v/>
      </c>
      <c r="IJ16" s="356" t="str">
        <f t="shared" si="223"/>
        <v/>
      </c>
      <c r="IK16" s="356" t="str">
        <f t="shared" si="224"/>
        <v/>
      </c>
      <c r="IL16" s="356" t="str">
        <f t="shared" si="225"/>
        <v/>
      </c>
      <c r="IM16" s="356" t="str">
        <f t="shared" si="226"/>
        <v/>
      </c>
      <c r="IN16" s="356" t="str">
        <f t="shared" si="227"/>
        <v/>
      </c>
      <c r="IO16" s="356" t="str">
        <f t="shared" si="228"/>
        <v/>
      </c>
      <c r="IP16" s="356" t="str">
        <f t="shared" si="229"/>
        <v/>
      </c>
      <c r="IQ16" s="356" t="str">
        <f t="shared" si="230"/>
        <v/>
      </c>
      <c r="IR16" s="356" t="str">
        <f t="shared" si="231"/>
        <v/>
      </c>
      <c r="IS16" s="356" t="str">
        <f t="shared" si="232"/>
        <v/>
      </c>
      <c r="IT16" s="356" t="str">
        <f t="shared" si="233"/>
        <v/>
      </c>
      <c r="IU16" s="356" t="str">
        <f t="shared" si="234"/>
        <v/>
      </c>
      <c r="IV16" s="356" t="str">
        <f t="shared" si="235"/>
        <v/>
      </c>
      <c r="IW16" s="356" t="str">
        <f t="shared" si="236"/>
        <v/>
      </c>
      <c r="IX16" s="356" t="str">
        <f t="shared" si="237"/>
        <v/>
      </c>
      <c r="IY16" s="356" t="str">
        <f t="shared" si="238"/>
        <v/>
      </c>
      <c r="IZ16" s="356" t="str">
        <f t="shared" si="239"/>
        <v/>
      </c>
      <c r="JA16" s="356" t="str">
        <f t="shared" si="240"/>
        <v/>
      </c>
      <c r="JB16" s="356" t="str">
        <f t="shared" si="241"/>
        <v/>
      </c>
      <c r="JC16" s="356" t="str">
        <f t="shared" si="242"/>
        <v/>
      </c>
      <c r="JD16" s="356" t="str">
        <f t="shared" si="243"/>
        <v/>
      </c>
      <c r="JE16" s="356" t="str">
        <f t="shared" si="244"/>
        <v/>
      </c>
      <c r="JF16" s="356" t="str">
        <f t="shared" si="245"/>
        <v/>
      </c>
      <c r="JG16" s="356" t="str">
        <f t="shared" si="246"/>
        <v/>
      </c>
      <c r="JH16" s="356" t="str">
        <f t="shared" si="247"/>
        <v/>
      </c>
      <c r="JI16" s="1785" t="str">
        <f t="shared" si="248"/>
        <v/>
      </c>
      <c r="JJ16" s="1785" t="str">
        <f t="shared" si="249"/>
        <v/>
      </c>
      <c r="JK16" s="1785" t="str">
        <f t="shared" si="250"/>
        <v/>
      </c>
      <c r="JL16" s="1785" t="str">
        <f t="shared" si="251"/>
        <v/>
      </c>
      <c r="JM16" s="1785" t="str">
        <f t="shared" si="252"/>
        <v/>
      </c>
      <c r="JN16" s="1785" t="str">
        <f t="shared" si="253"/>
        <v/>
      </c>
      <c r="JO16" s="1785" t="str">
        <f t="shared" si="254"/>
        <v/>
      </c>
      <c r="JP16" s="1785" t="str">
        <f t="shared" si="255"/>
        <v/>
      </c>
      <c r="JQ16" s="1785" t="str">
        <f t="shared" si="256"/>
        <v/>
      </c>
      <c r="JR16" s="1785" t="str">
        <f t="shared" si="257"/>
        <v/>
      </c>
      <c r="JS16" s="1785" t="str">
        <f t="shared" si="258"/>
        <v/>
      </c>
      <c r="JT16" s="1785" t="str">
        <f t="shared" si="259"/>
        <v/>
      </c>
      <c r="JU16" s="1785" t="str">
        <f t="shared" si="260"/>
        <v/>
      </c>
      <c r="JV16" s="1785" t="str">
        <f t="shared" si="261"/>
        <v/>
      </c>
      <c r="JW16" s="1785" t="str">
        <f t="shared" si="262"/>
        <v/>
      </c>
      <c r="JX16" s="1785" t="str">
        <f t="shared" si="263"/>
        <v/>
      </c>
      <c r="JY16" s="1785" t="str">
        <f t="shared" si="264"/>
        <v/>
      </c>
      <c r="JZ16" s="1785" t="str">
        <f t="shared" si="265"/>
        <v/>
      </c>
      <c r="KA16" s="1785" t="str">
        <f t="shared" si="266"/>
        <v/>
      </c>
      <c r="KB16" s="1785" t="str">
        <f t="shared" si="267"/>
        <v/>
      </c>
      <c r="KC16" s="1785" t="str">
        <f t="shared" si="268"/>
        <v/>
      </c>
      <c r="KD16" s="1785" t="str">
        <f t="shared" si="269"/>
        <v/>
      </c>
      <c r="KE16" s="1785" t="str">
        <f t="shared" si="270"/>
        <v/>
      </c>
      <c r="KF16" s="1785" t="str">
        <f t="shared" si="271"/>
        <v/>
      </c>
      <c r="KG16" s="1785" t="str">
        <f t="shared" si="272"/>
        <v/>
      </c>
      <c r="KH16" s="1785" t="str">
        <f t="shared" si="273"/>
        <v/>
      </c>
      <c r="KI16" s="1785" t="str">
        <f t="shared" si="274"/>
        <v/>
      </c>
      <c r="KJ16" s="1785" t="str">
        <f t="shared" si="275"/>
        <v/>
      </c>
      <c r="KK16" s="1785" t="str">
        <f t="shared" si="276"/>
        <v/>
      </c>
      <c r="KL16" s="1785" t="str">
        <f t="shared" si="277"/>
        <v/>
      </c>
      <c r="KM16" s="1785" t="str">
        <f t="shared" si="278"/>
        <v/>
      </c>
      <c r="KN16" s="1785" t="str">
        <f t="shared" si="279"/>
        <v/>
      </c>
      <c r="KO16" s="1785" t="str">
        <f t="shared" si="280"/>
        <v/>
      </c>
      <c r="KP16" s="1785" t="str">
        <f t="shared" si="281"/>
        <v/>
      </c>
      <c r="KQ16" s="1785" t="str">
        <f t="shared" si="282"/>
        <v/>
      </c>
      <c r="KR16" s="1785" t="str">
        <f t="shared" si="283"/>
        <v/>
      </c>
      <c r="KS16" s="1785" t="str">
        <f t="shared" si="284"/>
        <v/>
      </c>
      <c r="KT16" s="1785" t="str">
        <f t="shared" si="285"/>
        <v/>
      </c>
      <c r="KU16" s="1785" t="str">
        <f t="shared" si="286"/>
        <v/>
      </c>
      <c r="KV16" s="1785" t="str">
        <f t="shared" si="287"/>
        <v/>
      </c>
      <c r="KW16" s="1785" t="str">
        <f t="shared" si="288"/>
        <v/>
      </c>
      <c r="KX16" s="1785" t="str">
        <f t="shared" si="289"/>
        <v/>
      </c>
      <c r="KY16" s="1785" t="str">
        <f t="shared" si="290"/>
        <v/>
      </c>
      <c r="KZ16" s="1785" t="str">
        <f t="shared" si="291"/>
        <v/>
      </c>
      <c r="LA16" s="1785" t="str">
        <f t="shared" si="292"/>
        <v/>
      </c>
      <c r="LB16" s="1785" t="str">
        <f t="shared" si="293"/>
        <v/>
      </c>
      <c r="LC16" s="1785" t="str">
        <f t="shared" si="294"/>
        <v/>
      </c>
      <c r="LD16" s="1785" t="str">
        <f t="shared" si="295"/>
        <v/>
      </c>
      <c r="LE16" s="1785" t="str">
        <f t="shared" si="296"/>
        <v/>
      </c>
      <c r="LF16" s="1785" t="str">
        <f t="shared" si="297"/>
        <v/>
      </c>
      <c r="LG16" s="1785" t="str">
        <f t="shared" si="298"/>
        <v/>
      </c>
      <c r="LH16" s="1785" t="str">
        <f t="shared" si="299"/>
        <v/>
      </c>
      <c r="LI16" s="1785" t="str">
        <f t="shared" si="300"/>
        <v/>
      </c>
      <c r="LJ16" s="1785" t="str">
        <f t="shared" si="301"/>
        <v/>
      </c>
      <c r="LK16" s="1785" t="str">
        <f t="shared" si="302"/>
        <v/>
      </c>
      <c r="LL16" s="1785" t="str">
        <f t="shared" si="303"/>
        <v/>
      </c>
      <c r="LM16" s="1785" t="str">
        <f t="shared" si="304"/>
        <v/>
      </c>
      <c r="LN16" s="1785" t="str">
        <f t="shared" si="305"/>
        <v/>
      </c>
      <c r="LO16" s="1785" t="str">
        <f t="shared" si="306"/>
        <v/>
      </c>
      <c r="LP16" s="1785" t="str">
        <f t="shared" si="307"/>
        <v/>
      </c>
      <c r="LQ16" s="1785" t="str">
        <f t="shared" si="308"/>
        <v/>
      </c>
      <c r="LR16" s="1785" t="str">
        <f t="shared" si="309"/>
        <v/>
      </c>
      <c r="LS16" s="1785" t="str">
        <f t="shared" si="310"/>
        <v/>
      </c>
      <c r="LT16" s="1785" t="str">
        <f t="shared" si="311"/>
        <v/>
      </c>
      <c r="LU16" s="1785" t="str">
        <f t="shared" si="312"/>
        <v/>
      </c>
      <c r="LV16" s="1785" t="str">
        <f t="shared" si="313"/>
        <v/>
      </c>
      <c r="LW16" s="1785" t="str">
        <f t="shared" si="314"/>
        <v/>
      </c>
      <c r="LX16" s="1785" t="str">
        <f t="shared" si="315"/>
        <v/>
      </c>
      <c r="LY16" s="1785" t="str">
        <f t="shared" si="316"/>
        <v/>
      </c>
      <c r="LZ16" s="1785" t="str">
        <f t="shared" si="317"/>
        <v/>
      </c>
      <c r="MA16" s="1785" t="str">
        <f t="shared" si="318"/>
        <v/>
      </c>
      <c r="MB16" s="1785" t="str">
        <f t="shared" si="319"/>
        <v/>
      </c>
      <c r="MC16" s="1785" t="str">
        <f t="shared" si="320"/>
        <v/>
      </c>
      <c r="MD16" s="1785" t="str">
        <f t="shared" si="321"/>
        <v/>
      </c>
      <c r="ME16" s="1785" t="str">
        <f t="shared" si="322"/>
        <v/>
      </c>
      <c r="MF16" s="1785" t="str">
        <f t="shared" si="323"/>
        <v/>
      </c>
      <c r="MG16" s="1785" t="str">
        <f t="shared" si="324"/>
        <v/>
      </c>
      <c r="MH16" s="1785" t="str">
        <f t="shared" si="325"/>
        <v/>
      </c>
      <c r="MI16" s="1785" t="str">
        <f t="shared" si="326"/>
        <v/>
      </c>
      <c r="MJ16" s="1785" t="str">
        <f t="shared" si="327"/>
        <v/>
      </c>
      <c r="MK16" s="1785" t="str">
        <f t="shared" si="328"/>
        <v/>
      </c>
      <c r="ML16" s="1785" t="str">
        <f t="shared" si="329"/>
        <v/>
      </c>
      <c r="MM16" s="1785" t="str">
        <f t="shared" si="330"/>
        <v/>
      </c>
      <c r="MN16" s="1785" t="str">
        <f t="shared" si="331"/>
        <v/>
      </c>
      <c r="MO16" s="1785" t="str">
        <f t="shared" si="332"/>
        <v/>
      </c>
      <c r="MP16" s="2470" t="str">
        <f t="shared" si="333"/>
        <v/>
      </c>
      <c r="MQ16" s="2470" t="str">
        <f t="shared" si="334"/>
        <v/>
      </c>
      <c r="MR16" s="2470" t="str">
        <f t="shared" si="335"/>
        <v/>
      </c>
      <c r="MS16" s="2470" t="str">
        <f t="shared" si="336"/>
        <v/>
      </c>
      <c r="MT16" s="2470" t="str">
        <f t="shared" si="337"/>
        <v/>
      </c>
      <c r="MU16" s="356" t="str">
        <f t="shared" si="338"/>
        <v/>
      </c>
      <c r="MV16" s="356" t="str">
        <f t="shared" si="339"/>
        <v/>
      </c>
      <c r="MW16" s="356" t="str">
        <f t="shared" si="340"/>
        <v/>
      </c>
      <c r="MX16" s="356" t="str">
        <f t="shared" si="341"/>
        <v/>
      </c>
      <c r="MY16" s="356" t="str">
        <f t="shared" si="342"/>
        <v/>
      </c>
      <c r="MZ16" s="356" t="str">
        <f t="shared" si="343"/>
        <v/>
      </c>
      <c r="NA16" s="356" t="str">
        <f t="shared" si="344"/>
        <v/>
      </c>
      <c r="NB16" s="356" t="str">
        <f t="shared" si="345"/>
        <v/>
      </c>
      <c r="NC16" s="356" t="str">
        <f t="shared" si="346"/>
        <v/>
      </c>
      <c r="ND16" s="356" t="str">
        <f t="shared" si="347"/>
        <v/>
      </c>
      <c r="NE16" s="356" t="str">
        <f t="shared" si="348"/>
        <v/>
      </c>
      <c r="NF16" s="356" t="str">
        <f t="shared" si="349"/>
        <v/>
      </c>
      <c r="NG16" s="356" t="str">
        <f t="shared" si="350"/>
        <v/>
      </c>
      <c r="NH16" s="356" t="str">
        <f t="shared" si="351"/>
        <v/>
      </c>
      <c r="NI16" s="356" t="str">
        <f t="shared" si="352"/>
        <v/>
      </c>
      <c r="NJ16" s="356" t="str">
        <f t="shared" si="353"/>
        <v/>
      </c>
      <c r="NK16" s="356" t="str">
        <f t="shared" si="354"/>
        <v/>
      </c>
      <c r="NL16" s="356" t="str">
        <f t="shared" si="355"/>
        <v/>
      </c>
      <c r="NM16" s="356" t="str">
        <f t="shared" si="356"/>
        <v/>
      </c>
      <c r="NN16" s="356" t="str">
        <f t="shared" si="357"/>
        <v/>
      </c>
      <c r="NO16" s="1640">
        <f t="shared" si="358"/>
        <v>0</v>
      </c>
      <c r="NP16" s="1640">
        <f t="shared" si="359"/>
        <v>0</v>
      </c>
      <c r="NQ16" s="1640">
        <f t="shared" si="360"/>
        <v>0</v>
      </c>
      <c r="NR16" s="1640">
        <f t="shared" si="361"/>
        <v>0</v>
      </c>
      <c r="NS16" s="1640">
        <f t="shared" si="362"/>
        <v>0</v>
      </c>
      <c r="NT16" s="1640">
        <f t="shared" si="368"/>
        <v>0</v>
      </c>
      <c r="NU16" s="1640">
        <f t="shared" si="369"/>
        <v>0</v>
      </c>
      <c r="NV16" s="1640">
        <f t="shared" si="370"/>
        <v>0</v>
      </c>
      <c r="NW16" s="1640">
        <f t="shared" si="371"/>
        <v>0</v>
      </c>
      <c r="NX16" s="1640">
        <f t="shared" si="372"/>
        <v>0</v>
      </c>
      <c r="NY16" s="1640">
        <f t="shared" si="363"/>
        <v>0</v>
      </c>
      <c r="NZ16" s="1640">
        <f t="shared" si="364"/>
        <v>0</v>
      </c>
      <c r="OA16" s="1640">
        <f t="shared" si="365"/>
        <v>0</v>
      </c>
      <c r="OB16" s="1640">
        <f t="shared" si="366"/>
        <v>0</v>
      </c>
      <c r="OC16" s="1640">
        <f t="shared" si="367"/>
        <v>0</v>
      </c>
      <c r="OY16" s="2499" t="s">
        <v>4302</v>
      </c>
      <c r="OZ16" s="2504">
        <v>16</v>
      </c>
    </row>
    <row r="17" spans="1:416" ht="12" customHeight="1" thickBot="1">
      <c r="A17" s="86" t="str">
        <f t="shared" si="0"/>
        <v/>
      </c>
      <c r="B17" s="1018" t="s">
        <v>290</v>
      </c>
      <c r="C17" s="1021"/>
      <c r="D17" s="1644"/>
      <c r="E17" s="1022"/>
      <c r="F17" s="1022"/>
      <c r="G17" s="1022"/>
      <c r="H17" s="1022"/>
      <c r="I17" s="1022"/>
      <c r="J17" s="1358"/>
      <c r="K17" s="1041"/>
      <c r="L17" s="1042">
        <f t="shared" si="1"/>
        <v>0</v>
      </c>
      <c r="M17" s="1042">
        <f t="shared" si="2"/>
        <v>0</v>
      </c>
      <c r="N17" s="1043"/>
      <c r="O17" s="1586"/>
      <c r="P17" s="1043"/>
      <c r="Q17" s="1044"/>
      <c r="R17" s="723"/>
      <c r="S17" s="724"/>
      <c r="T17" s="3613"/>
      <c r="U17" s="3614"/>
      <c r="V17" s="3614"/>
      <c r="W17" s="3615"/>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356" t="str">
        <f t="shared" si="213"/>
        <v/>
      </c>
      <c r="IA17" s="356" t="str">
        <f t="shared" si="214"/>
        <v/>
      </c>
      <c r="IB17" s="356" t="str">
        <f t="shared" si="215"/>
        <v/>
      </c>
      <c r="IC17" s="356" t="str">
        <f t="shared" si="216"/>
        <v/>
      </c>
      <c r="ID17" s="356" t="str">
        <f t="shared" si="217"/>
        <v/>
      </c>
      <c r="IE17" s="356" t="str">
        <f t="shared" si="218"/>
        <v/>
      </c>
      <c r="IF17" s="356" t="str">
        <f t="shared" si="219"/>
        <v/>
      </c>
      <c r="IG17" s="356" t="str">
        <f t="shared" si="220"/>
        <v/>
      </c>
      <c r="IH17" s="356" t="str">
        <f t="shared" si="221"/>
        <v/>
      </c>
      <c r="II17" s="356" t="str">
        <f t="shared" si="222"/>
        <v/>
      </c>
      <c r="IJ17" s="356" t="str">
        <f t="shared" si="223"/>
        <v/>
      </c>
      <c r="IK17" s="356" t="str">
        <f t="shared" si="224"/>
        <v/>
      </c>
      <c r="IL17" s="356" t="str">
        <f t="shared" si="225"/>
        <v/>
      </c>
      <c r="IM17" s="356" t="str">
        <f t="shared" si="226"/>
        <v/>
      </c>
      <c r="IN17" s="356" t="str">
        <f t="shared" si="227"/>
        <v/>
      </c>
      <c r="IO17" s="356" t="str">
        <f t="shared" si="228"/>
        <v/>
      </c>
      <c r="IP17" s="356" t="str">
        <f t="shared" si="229"/>
        <v/>
      </c>
      <c r="IQ17" s="356" t="str">
        <f t="shared" si="230"/>
        <v/>
      </c>
      <c r="IR17" s="356" t="str">
        <f t="shared" si="231"/>
        <v/>
      </c>
      <c r="IS17" s="356" t="str">
        <f t="shared" si="232"/>
        <v/>
      </c>
      <c r="IT17" s="356" t="str">
        <f t="shared" si="233"/>
        <v/>
      </c>
      <c r="IU17" s="356" t="str">
        <f t="shared" si="234"/>
        <v/>
      </c>
      <c r="IV17" s="356" t="str">
        <f t="shared" si="235"/>
        <v/>
      </c>
      <c r="IW17" s="356" t="str">
        <f t="shared" si="236"/>
        <v/>
      </c>
      <c r="IX17" s="356" t="str">
        <f t="shared" si="237"/>
        <v/>
      </c>
      <c r="IY17" s="356" t="str">
        <f t="shared" si="238"/>
        <v/>
      </c>
      <c r="IZ17" s="356" t="str">
        <f t="shared" si="239"/>
        <v/>
      </c>
      <c r="JA17" s="356" t="str">
        <f t="shared" si="240"/>
        <v/>
      </c>
      <c r="JB17" s="356" t="str">
        <f t="shared" si="241"/>
        <v/>
      </c>
      <c r="JC17" s="356" t="str">
        <f t="shared" si="242"/>
        <v/>
      </c>
      <c r="JD17" s="356" t="str">
        <f t="shared" si="243"/>
        <v/>
      </c>
      <c r="JE17" s="356" t="str">
        <f t="shared" si="244"/>
        <v/>
      </c>
      <c r="JF17" s="356" t="str">
        <f t="shared" si="245"/>
        <v/>
      </c>
      <c r="JG17" s="356" t="str">
        <f t="shared" si="246"/>
        <v/>
      </c>
      <c r="JH17" s="356" t="str">
        <f t="shared" si="247"/>
        <v/>
      </c>
      <c r="JI17" s="1785" t="str">
        <f t="shared" si="248"/>
        <v/>
      </c>
      <c r="JJ17" s="1785" t="str">
        <f t="shared" si="249"/>
        <v/>
      </c>
      <c r="JK17" s="1785" t="str">
        <f t="shared" si="250"/>
        <v/>
      </c>
      <c r="JL17" s="1785" t="str">
        <f t="shared" si="251"/>
        <v/>
      </c>
      <c r="JM17" s="1785" t="str">
        <f t="shared" si="252"/>
        <v/>
      </c>
      <c r="JN17" s="1785" t="str">
        <f t="shared" si="253"/>
        <v/>
      </c>
      <c r="JO17" s="1785" t="str">
        <f t="shared" si="254"/>
        <v/>
      </c>
      <c r="JP17" s="1785" t="str">
        <f t="shared" si="255"/>
        <v/>
      </c>
      <c r="JQ17" s="1785" t="str">
        <f t="shared" si="256"/>
        <v/>
      </c>
      <c r="JR17" s="1785" t="str">
        <f t="shared" si="257"/>
        <v/>
      </c>
      <c r="JS17" s="1785" t="str">
        <f t="shared" si="258"/>
        <v/>
      </c>
      <c r="JT17" s="1785" t="str">
        <f t="shared" si="259"/>
        <v/>
      </c>
      <c r="JU17" s="1785" t="str">
        <f t="shared" si="260"/>
        <v/>
      </c>
      <c r="JV17" s="1785" t="str">
        <f t="shared" si="261"/>
        <v/>
      </c>
      <c r="JW17" s="1785" t="str">
        <f t="shared" si="262"/>
        <v/>
      </c>
      <c r="JX17" s="1785" t="str">
        <f t="shared" si="263"/>
        <v/>
      </c>
      <c r="JY17" s="1785" t="str">
        <f t="shared" si="264"/>
        <v/>
      </c>
      <c r="JZ17" s="1785" t="str">
        <f t="shared" si="265"/>
        <v/>
      </c>
      <c r="KA17" s="1785" t="str">
        <f t="shared" si="266"/>
        <v/>
      </c>
      <c r="KB17" s="1785" t="str">
        <f t="shared" si="267"/>
        <v/>
      </c>
      <c r="KC17" s="1785" t="str">
        <f t="shared" si="268"/>
        <v/>
      </c>
      <c r="KD17" s="1785" t="str">
        <f t="shared" si="269"/>
        <v/>
      </c>
      <c r="KE17" s="1785" t="str">
        <f t="shared" si="270"/>
        <v/>
      </c>
      <c r="KF17" s="1785" t="str">
        <f t="shared" si="271"/>
        <v/>
      </c>
      <c r="KG17" s="1785" t="str">
        <f t="shared" si="272"/>
        <v/>
      </c>
      <c r="KH17" s="1785" t="str">
        <f t="shared" si="273"/>
        <v/>
      </c>
      <c r="KI17" s="1785" t="str">
        <f t="shared" si="274"/>
        <v/>
      </c>
      <c r="KJ17" s="1785" t="str">
        <f t="shared" si="275"/>
        <v/>
      </c>
      <c r="KK17" s="1785" t="str">
        <f t="shared" si="276"/>
        <v/>
      </c>
      <c r="KL17" s="1785" t="str">
        <f t="shared" si="277"/>
        <v/>
      </c>
      <c r="KM17" s="1785" t="str">
        <f t="shared" si="278"/>
        <v/>
      </c>
      <c r="KN17" s="1785" t="str">
        <f t="shared" si="279"/>
        <v/>
      </c>
      <c r="KO17" s="1785" t="str">
        <f t="shared" si="280"/>
        <v/>
      </c>
      <c r="KP17" s="1785" t="str">
        <f t="shared" si="281"/>
        <v/>
      </c>
      <c r="KQ17" s="1785" t="str">
        <f t="shared" si="282"/>
        <v/>
      </c>
      <c r="KR17" s="1785" t="str">
        <f t="shared" si="283"/>
        <v/>
      </c>
      <c r="KS17" s="1785" t="str">
        <f t="shared" si="284"/>
        <v/>
      </c>
      <c r="KT17" s="1785" t="str">
        <f t="shared" si="285"/>
        <v/>
      </c>
      <c r="KU17" s="1785" t="str">
        <f t="shared" si="286"/>
        <v/>
      </c>
      <c r="KV17" s="1785" t="str">
        <f t="shared" si="287"/>
        <v/>
      </c>
      <c r="KW17" s="1785" t="str">
        <f t="shared" si="288"/>
        <v/>
      </c>
      <c r="KX17" s="1785" t="str">
        <f t="shared" si="289"/>
        <v/>
      </c>
      <c r="KY17" s="1785" t="str">
        <f t="shared" si="290"/>
        <v/>
      </c>
      <c r="KZ17" s="1785" t="str">
        <f t="shared" si="291"/>
        <v/>
      </c>
      <c r="LA17" s="1785" t="str">
        <f t="shared" si="292"/>
        <v/>
      </c>
      <c r="LB17" s="1785" t="str">
        <f t="shared" si="293"/>
        <v/>
      </c>
      <c r="LC17" s="1785" t="str">
        <f t="shared" si="294"/>
        <v/>
      </c>
      <c r="LD17" s="1785" t="str">
        <f t="shared" si="295"/>
        <v/>
      </c>
      <c r="LE17" s="1785" t="str">
        <f t="shared" si="296"/>
        <v/>
      </c>
      <c r="LF17" s="1785" t="str">
        <f t="shared" si="297"/>
        <v/>
      </c>
      <c r="LG17" s="1785" t="str">
        <f t="shared" si="298"/>
        <v/>
      </c>
      <c r="LH17" s="1785" t="str">
        <f t="shared" si="299"/>
        <v/>
      </c>
      <c r="LI17" s="1785" t="str">
        <f t="shared" si="300"/>
        <v/>
      </c>
      <c r="LJ17" s="1785" t="str">
        <f t="shared" si="301"/>
        <v/>
      </c>
      <c r="LK17" s="1785" t="str">
        <f t="shared" si="302"/>
        <v/>
      </c>
      <c r="LL17" s="1785" t="str">
        <f t="shared" si="303"/>
        <v/>
      </c>
      <c r="LM17" s="1785" t="str">
        <f t="shared" si="304"/>
        <v/>
      </c>
      <c r="LN17" s="1785" t="str">
        <f t="shared" si="305"/>
        <v/>
      </c>
      <c r="LO17" s="1785" t="str">
        <f t="shared" si="306"/>
        <v/>
      </c>
      <c r="LP17" s="1785" t="str">
        <f t="shared" si="307"/>
        <v/>
      </c>
      <c r="LQ17" s="1785" t="str">
        <f t="shared" si="308"/>
        <v/>
      </c>
      <c r="LR17" s="1785" t="str">
        <f t="shared" si="309"/>
        <v/>
      </c>
      <c r="LS17" s="1785" t="str">
        <f t="shared" si="310"/>
        <v/>
      </c>
      <c r="LT17" s="1785" t="str">
        <f t="shared" si="311"/>
        <v/>
      </c>
      <c r="LU17" s="1785" t="str">
        <f t="shared" si="312"/>
        <v/>
      </c>
      <c r="LV17" s="1785" t="str">
        <f t="shared" si="313"/>
        <v/>
      </c>
      <c r="LW17" s="1785" t="str">
        <f t="shared" si="314"/>
        <v/>
      </c>
      <c r="LX17" s="1785" t="str">
        <f t="shared" si="315"/>
        <v/>
      </c>
      <c r="LY17" s="1785" t="str">
        <f t="shared" si="316"/>
        <v/>
      </c>
      <c r="LZ17" s="1785" t="str">
        <f t="shared" si="317"/>
        <v/>
      </c>
      <c r="MA17" s="1785" t="str">
        <f t="shared" si="318"/>
        <v/>
      </c>
      <c r="MB17" s="1785" t="str">
        <f t="shared" si="319"/>
        <v/>
      </c>
      <c r="MC17" s="1785" t="str">
        <f t="shared" si="320"/>
        <v/>
      </c>
      <c r="MD17" s="1785" t="str">
        <f t="shared" si="321"/>
        <v/>
      </c>
      <c r="ME17" s="1785" t="str">
        <f t="shared" si="322"/>
        <v/>
      </c>
      <c r="MF17" s="1785" t="str">
        <f t="shared" si="323"/>
        <v/>
      </c>
      <c r="MG17" s="1785" t="str">
        <f t="shared" si="324"/>
        <v/>
      </c>
      <c r="MH17" s="1785" t="str">
        <f t="shared" si="325"/>
        <v/>
      </c>
      <c r="MI17" s="1785" t="str">
        <f t="shared" si="326"/>
        <v/>
      </c>
      <c r="MJ17" s="1785" t="str">
        <f t="shared" si="327"/>
        <v/>
      </c>
      <c r="MK17" s="1785" t="str">
        <f t="shared" si="328"/>
        <v/>
      </c>
      <c r="ML17" s="1785" t="str">
        <f t="shared" si="329"/>
        <v/>
      </c>
      <c r="MM17" s="1785" t="str">
        <f t="shared" si="330"/>
        <v/>
      </c>
      <c r="MN17" s="1785" t="str">
        <f t="shared" si="331"/>
        <v/>
      </c>
      <c r="MO17" s="1785" t="str">
        <f t="shared" si="332"/>
        <v/>
      </c>
      <c r="MP17" s="2470" t="str">
        <f t="shared" si="333"/>
        <v/>
      </c>
      <c r="MQ17" s="2470" t="str">
        <f t="shared" si="334"/>
        <v/>
      </c>
      <c r="MR17" s="2470" t="str">
        <f t="shared" si="335"/>
        <v/>
      </c>
      <c r="MS17" s="2470" t="str">
        <f t="shared" si="336"/>
        <v/>
      </c>
      <c r="MT17" s="2470" t="str">
        <f t="shared" si="337"/>
        <v/>
      </c>
      <c r="MU17" s="356" t="str">
        <f t="shared" si="338"/>
        <v/>
      </c>
      <c r="MV17" s="356" t="str">
        <f t="shared" si="339"/>
        <v/>
      </c>
      <c r="MW17" s="356" t="str">
        <f t="shared" si="340"/>
        <v/>
      </c>
      <c r="MX17" s="356" t="str">
        <f t="shared" si="341"/>
        <v/>
      </c>
      <c r="MY17" s="356" t="str">
        <f t="shared" si="342"/>
        <v/>
      </c>
      <c r="MZ17" s="356" t="str">
        <f t="shared" si="343"/>
        <v/>
      </c>
      <c r="NA17" s="356" t="str">
        <f t="shared" si="344"/>
        <v/>
      </c>
      <c r="NB17" s="356" t="str">
        <f t="shared" si="345"/>
        <v/>
      </c>
      <c r="NC17" s="356" t="str">
        <f t="shared" si="346"/>
        <v/>
      </c>
      <c r="ND17" s="356" t="str">
        <f t="shared" si="347"/>
        <v/>
      </c>
      <c r="NE17" s="356" t="str">
        <f t="shared" si="348"/>
        <v/>
      </c>
      <c r="NF17" s="356" t="str">
        <f t="shared" si="349"/>
        <v/>
      </c>
      <c r="NG17" s="356" t="str">
        <f t="shared" si="350"/>
        <v/>
      </c>
      <c r="NH17" s="356" t="str">
        <f t="shared" si="351"/>
        <v/>
      </c>
      <c r="NI17" s="356" t="str">
        <f t="shared" si="352"/>
        <v/>
      </c>
      <c r="NJ17" s="356" t="str">
        <f t="shared" si="353"/>
        <v/>
      </c>
      <c r="NK17" s="356" t="str">
        <f t="shared" si="354"/>
        <v/>
      </c>
      <c r="NL17" s="356" t="str">
        <f t="shared" si="355"/>
        <v/>
      </c>
      <c r="NM17" s="356" t="str">
        <f t="shared" si="356"/>
        <v/>
      </c>
      <c r="NN17" s="356" t="str">
        <f t="shared" si="357"/>
        <v/>
      </c>
      <c r="NO17" s="1640">
        <f t="shared" si="358"/>
        <v>0</v>
      </c>
      <c r="NP17" s="1640">
        <f t="shared" si="359"/>
        <v>0</v>
      </c>
      <c r="NQ17" s="1640">
        <f t="shared" si="360"/>
        <v>0</v>
      </c>
      <c r="NR17" s="1640">
        <f t="shared" si="361"/>
        <v>0</v>
      </c>
      <c r="NS17" s="1640">
        <f t="shared" si="362"/>
        <v>0</v>
      </c>
      <c r="NT17" s="1640">
        <f t="shared" si="368"/>
        <v>0</v>
      </c>
      <c r="NU17" s="1640">
        <f t="shared" si="369"/>
        <v>0</v>
      </c>
      <c r="NV17" s="1640">
        <f t="shared" si="370"/>
        <v>0</v>
      </c>
      <c r="NW17" s="1640">
        <f t="shared" si="371"/>
        <v>0</v>
      </c>
      <c r="NX17" s="1640">
        <f t="shared" si="372"/>
        <v>0</v>
      </c>
      <c r="NY17" s="1640">
        <f t="shared" si="363"/>
        <v>0</v>
      </c>
      <c r="NZ17" s="1640">
        <f t="shared" si="364"/>
        <v>0</v>
      </c>
      <c r="OA17" s="1640">
        <f t="shared" si="365"/>
        <v>0</v>
      </c>
      <c r="OB17" s="1640">
        <f t="shared" si="366"/>
        <v>0</v>
      </c>
      <c r="OC17" s="1640">
        <f t="shared" si="367"/>
        <v>0</v>
      </c>
      <c r="OY17" s="2499" t="s">
        <v>4303</v>
      </c>
      <c r="OZ17" s="2504">
        <v>17</v>
      </c>
    </row>
    <row r="18" spans="1:416" ht="12" customHeight="1">
      <c r="A18" s="86" t="str">
        <f t="shared" si="0"/>
        <v/>
      </c>
      <c r="B18" s="1054">
        <v>30</v>
      </c>
      <c r="C18" s="1019">
        <v>1</v>
      </c>
      <c r="D18" s="1645">
        <v>1</v>
      </c>
      <c r="E18" s="1020">
        <v>4</v>
      </c>
      <c r="F18" s="1020">
        <v>701</v>
      </c>
      <c r="G18" s="1020">
        <v>642</v>
      </c>
      <c r="H18" s="1020">
        <f>1750+J18</f>
        <v>1818</v>
      </c>
      <c r="I18" s="1020">
        <v>0</v>
      </c>
      <c r="J18" s="1036">
        <f>'Part IV-Utility Allowances'!J25</f>
        <v>68</v>
      </c>
      <c r="K18" s="1037" t="s">
        <v>5239</v>
      </c>
      <c r="L18" s="1038">
        <f t="shared" si="1"/>
        <v>1750</v>
      </c>
      <c r="M18" s="1038">
        <f t="shared" si="2"/>
        <v>7000</v>
      </c>
      <c r="N18" s="1039" t="s">
        <v>2643</v>
      </c>
      <c r="O18" s="1587" t="s">
        <v>5240</v>
      </c>
      <c r="P18" s="1039" t="s">
        <v>906</v>
      </c>
      <c r="Q18" s="1040" t="s">
        <v>2643</v>
      </c>
      <c r="R18" s="723"/>
      <c r="S18" s="724"/>
      <c r="T18" s="3613"/>
      <c r="U18" s="3614"/>
      <c r="V18" s="3614"/>
      <c r="W18" s="3615"/>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4</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f t="shared" si="49"/>
        <v>4</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f t="shared" si="179"/>
        <v>2804</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f t="shared" si="194"/>
        <v>2804</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356" t="str">
        <f t="shared" si="213"/>
        <v/>
      </c>
      <c r="IA18" s="356" t="str">
        <f t="shared" si="214"/>
        <v/>
      </c>
      <c r="IB18" s="356" t="str">
        <f t="shared" si="215"/>
        <v/>
      </c>
      <c r="IC18" s="356" t="str">
        <f t="shared" si="216"/>
        <v/>
      </c>
      <c r="ID18" s="356" t="str">
        <f t="shared" si="217"/>
        <v/>
      </c>
      <c r="IE18" s="356" t="str">
        <f t="shared" si="218"/>
        <v/>
      </c>
      <c r="IF18" s="356" t="str">
        <f t="shared" si="219"/>
        <v/>
      </c>
      <c r="IG18" s="356" t="str">
        <f t="shared" si="220"/>
        <v/>
      </c>
      <c r="IH18" s="356" t="str">
        <f t="shared" si="221"/>
        <v/>
      </c>
      <c r="II18" s="356" t="str">
        <f t="shared" si="222"/>
        <v/>
      </c>
      <c r="IJ18" s="356" t="str">
        <f t="shared" si="223"/>
        <v/>
      </c>
      <c r="IK18" s="356" t="str">
        <f t="shared" si="224"/>
        <v/>
      </c>
      <c r="IL18" s="356" t="str">
        <f t="shared" si="225"/>
        <v/>
      </c>
      <c r="IM18" s="356" t="str">
        <f t="shared" si="226"/>
        <v/>
      </c>
      <c r="IN18" s="356" t="str">
        <f t="shared" si="227"/>
        <v/>
      </c>
      <c r="IO18" s="356" t="str">
        <f t="shared" si="228"/>
        <v/>
      </c>
      <c r="IP18" s="356" t="str">
        <f t="shared" si="229"/>
        <v/>
      </c>
      <c r="IQ18" s="356" t="str">
        <f t="shared" si="230"/>
        <v/>
      </c>
      <c r="IR18" s="356" t="str">
        <f t="shared" si="231"/>
        <v/>
      </c>
      <c r="IS18" s="356" t="str">
        <f t="shared" si="232"/>
        <v/>
      </c>
      <c r="IT18" s="356" t="str">
        <f t="shared" si="233"/>
        <v/>
      </c>
      <c r="IU18" s="356">
        <f t="shared" si="234"/>
        <v>4</v>
      </c>
      <c r="IV18" s="356" t="str">
        <f t="shared" si="235"/>
        <v/>
      </c>
      <c r="IW18" s="356" t="str">
        <f t="shared" si="236"/>
        <v/>
      </c>
      <c r="IX18" s="356" t="str">
        <f t="shared" si="237"/>
        <v/>
      </c>
      <c r="IY18" s="356" t="str">
        <f t="shared" si="238"/>
        <v/>
      </c>
      <c r="IZ18" s="356" t="str">
        <f t="shared" si="239"/>
        <v/>
      </c>
      <c r="JA18" s="356" t="str">
        <f t="shared" si="240"/>
        <v/>
      </c>
      <c r="JB18" s="356" t="str">
        <f t="shared" si="241"/>
        <v/>
      </c>
      <c r="JC18" s="356" t="str">
        <f t="shared" si="242"/>
        <v/>
      </c>
      <c r="JD18" s="356" t="str">
        <f t="shared" si="243"/>
        <v/>
      </c>
      <c r="JE18" s="356" t="str">
        <f t="shared" si="244"/>
        <v/>
      </c>
      <c r="JF18" s="356" t="str">
        <f t="shared" si="245"/>
        <v/>
      </c>
      <c r="JG18" s="356" t="str">
        <f t="shared" si="246"/>
        <v/>
      </c>
      <c r="JH18" s="356" t="str">
        <f t="shared" si="247"/>
        <v/>
      </c>
      <c r="JI18" s="1785" t="str">
        <f t="shared" si="248"/>
        <v/>
      </c>
      <c r="JJ18" s="1785">
        <f t="shared" si="249"/>
        <v>4</v>
      </c>
      <c r="JK18" s="1785" t="str">
        <f t="shared" si="250"/>
        <v/>
      </c>
      <c r="JL18" s="1785" t="str">
        <f t="shared" si="251"/>
        <v/>
      </c>
      <c r="JM18" s="1785" t="str">
        <f t="shared" si="252"/>
        <v/>
      </c>
      <c r="JN18" s="1785" t="str">
        <f t="shared" si="253"/>
        <v/>
      </c>
      <c r="JO18" s="1785" t="str">
        <f t="shared" si="254"/>
        <v/>
      </c>
      <c r="JP18" s="1785" t="str">
        <f t="shared" si="255"/>
        <v/>
      </c>
      <c r="JQ18" s="1785" t="str">
        <f t="shared" si="256"/>
        <v/>
      </c>
      <c r="JR18" s="1785" t="str">
        <f t="shared" si="257"/>
        <v/>
      </c>
      <c r="JS18" s="1785" t="str">
        <f t="shared" si="258"/>
        <v/>
      </c>
      <c r="JT18" s="1785" t="str">
        <f t="shared" si="259"/>
        <v/>
      </c>
      <c r="JU18" s="1785" t="str">
        <f t="shared" si="260"/>
        <v/>
      </c>
      <c r="JV18" s="1785" t="str">
        <f t="shared" si="261"/>
        <v/>
      </c>
      <c r="JW18" s="1785" t="str">
        <f t="shared" si="262"/>
        <v/>
      </c>
      <c r="JX18" s="1785" t="str">
        <f t="shared" si="263"/>
        <v/>
      </c>
      <c r="JY18" s="1785" t="str">
        <f t="shared" si="264"/>
        <v/>
      </c>
      <c r="JZ18" s="1785" t="str">
        <f t="shared" si="265"/>
        <v/>
      </c>
      <c r="KA18" s="1785" t="str">
        <f t="shared" si="266"/>
        <v/>
      </c>
      <c r="KB18" s="1785" t="str">
        <f t="shared" si="267"/>
        <v/>
      </c>
      <c r="KC18" s="1785" t="str">
        <f t="shared" si="268"/>
        <v/>
      </c>
      <c r="KD18" s="1785" t="str">
        <f t="shared" si="269"/>
        <v/>
      </c>
      <c r="KE18" s="1785" t="str">
        <f t="shared" si="270"/>
        <v/>
      </c>
      <c r="KF18" s="1785" t="str">
        <f t="shared" si="271"/>
        <v/>
      </c>
      <c r="KG18" s="1785" t="str">
        <f t="shared" si="272"/>
        <v/>
      </c>
      <c r="KH18" s="1785" t="str">
        <f t="shared" si="273"/>
        <v/>
      </c>
      <c r="KI18" s="1785" t="str">
        <f t="shared" si="274"/>
        <v/>
      </c>
      <c r="KJ18" s="1785" t="str">
        <f t="shared" si="275"/>
        <v/>
      </c>
      <c r="KK18" s="1785" t="str">
        <f t="shared" si="276"/>
        <v/>
      </c>
      <c r="KL18" s="1785" t="str">
        <f t="shared" si="277"/>
        <v/>
      </c>
      <c r="KM18" s="1785" t="str">
        <f t="shared" si="278"/>
        <v/>
      </c>
      <c r="KN18" s="1785" t="str">
        <f t="shared" si="279"/>
        <v/>
      </c>
      <c r="KO18" s="1785" t="str">
        <f t="shared" si="280"/>
        <v/>
      </c>
      <c r="KP18" s="1785" t="str">
        <f t="shared" si="281"/>
        <v/>
      </c>
      <c r="KQ18" s="1785" t="str">
        <f t="shared" si="282"/>
        <v/>
      </c>
      <c r="KR18" s="1785" t="str">
        <f t="shared" si="283"/>
        <v/>
      </c>
      <c r="KS18" s="1785" t="str">
        <f t="shared" si="284"/>
        <v/>
      </c>
      <c r="KT18" s="1785" t="str">
        <f t="shared" si="285"/>
        <v/>
      </c>
      <c r="KU18" s="1785" t="str">
        <f t="shared" si="286"/>
        <v/>
      </c>
      <c r="KV18" s="1785" t="str">
        <f t="shared" si="287"/>
        <v/>
      </c>
      <c r="KW18" s="1785" t="str">
        <f t="shared" si="288"/>
        <v/>
      </c>
      <c r="KX18" s="1785" t="str">
        <f t="shared" si="289"/>
        <v/>
      </c>
      <c r="KY18" s="1785" t="str">
        <f t="shared" si="290"/>
        <v/>
      </c>
      <c r="KZ18" s="1785" t="str">
        <f t="shared" si="291"/>
        <v/>
      </c>
      <c r="LA18" s="1785" t="str">
        <f t="shared" si="292"/>
        <v/>
      </c>
      <c r="LB18" s="1785" t="str">
        <f t="shared" si="293"/>
        <v/>
      </c>
      <c r="LC18" s="1785" t="str">
        <f t="shared" si="294"/>
        <v/>
      </c>
      <c r="LD18" s="1785" t="str">
        <f t="shared" si="295"/>
        <v/>
      </c>
      <c r="LE18" s="1785" t="str">
        <f t="shared" si="296"/>
        <v/>
      </c>
      <c r="LF18" s="1785" t="str">
        <f t="shared" si="297"/>
        <v/>
      </c>
      <c r="LG18" s="1785" t="str">
        <f t="shared" si="298"/>
        <v/>
      </c>
      <c r="LH18" s="1785">
        <f t="shared" si="299"/>
        <v>4</v>
      </c>
      <c r="LI18" s="1785" t="str">
        <f t="shared" si="300"/>
        <v/>
      </c>
      <c r="LJ18" s="1785" t="str">
        <f t="shared" si="301"/>
        <v/>
      </c>
      <c r="LK18" s="1785" t="str">
        <f t="shared" si="302"/>
        <v/>
      </c>
      <c r="LL18" s="1785" t="str">
        <f t="shared" si="303"/>
        <v/>
      </c>
      <c r="LM18" s="1785" t="str">
        <f t="shared" si="304"/>
        <v/>
      </c>
      <c r="LN18" s="1785" t="str">
        <f t="shared" si="305"/>
        <v/>
      </c>
      <c r="LO18" s="1785" t="str">
        <f t="shared" si="306"/>
        <v/>
      </c>
      <c r="LP18" s="1785" t="str">
        <f t="shared" si="307"/>
        <v/>
      </c>
      <c r="LQ18" s="1785" t="str">
        <f t="shared" si="308"/>
        <v/>
      </c>
      <c r="LR18" s="1785" t="str">
        <f t="shared" si="309"/>
        <v/>
      </c>
      <c r="LS18" s="1785" t="str">
        <f t="shared" si="310"/>
        <v/>
      </c>
      <c r="LT18" s="1785" t="str">
        <f t="shared" si="311"/>
        <v/>
      </c>
      <c r="LU18" s="1785" t="str">
        <f t="shared" si="312"/>
        <v/>
      </c>
      <c r="LV18" s="1785" t="str">
        <f t="shared" si="313"/>
        <v/>
      </c>
      <c r="LW18" s="1785" t="str">
        <f t="shared" si="314"/>
        <v/>
      </c>
      <c r="LX18" s="1785" t="str">
        <f t="shared" si="315"/>
        <v/>
      </c>
      <c r="LY18" s="1785" t="str">
        <f t="shared" si="316"/>
        <v/>
      </c>
      <c r="LZ18" s="1785" t="str">
        <f t="shared" si="317"/>
        <v/>
      </c>
      <c r="MA18" s="1785" t="str">
        <f t="shared" si="318"/>
        <v/>
      </c>
      <c r="MB18" s="1785" t="str">
        <f t="shared" si="319"/>
        <v/>
      </c>
      <c r="MC18" s="1785" t="str">
        <f t="shared" si="320"/>
        <v/>
      </c>
      <c r="MD18" s="1785" t="str">
        <f t="shared" si="321"/>
        <v/>
      </c>
      <c r="ME18" s="1785" t="str">
        <f t="shared" si="322"/>
        <v/>
      </c>
      <c r="MF18" s="1785" t="str">
        <f t="shared" si="323"/>
        <v/>
      </c>
      <c r="MG18" s="1785" t="str">
        <f t="shared" si="324"/>
        <v/>
      </c>
      <c r="MH18" s="1785" t="str">
        <f t="shared" si="325"/>
        <v/>
      </c>
      <c r="MI18" s="1785" t="str">
        <f t="shared" si="326"/>
        <v/>
      </c>
      <c r="MJ18" s="1785" t="str">
        <f t="shared" si="327"/>
        <v/>
      </c>
      <c r="MK18" s="1785" t="str">
        <f t="shared" si="328"/>
        <v/>
      </c>
      <c r="ML18" s="1785" t="str">
        <f t="shared" si="329"/>
        <v/>
      </c>
      <c r="MM18" s="1785" t="str">
        <f t="shared" si="330"/>
        <v/>
      </c>
      <c r="MN18" s="1785" t="str">
        <f t="shared" si="331"/>
        <v/>
      </c>
      <c r="MO18" s="1785" t="str">
        <f t="shared" si="332"/>
        <v/>
      </c>
      <c r="MP18" s="2470" t="str">
        <f t="shared" si="333"/>
        <v/>
      </c>
      <c r="MQ18" s="2470" t="str">
        <f t="shared" si="334"/>
        <v/>
      </c>
      <c r="MR18" s="2470" t="str">
        <f t="shared" si="335"/>
        <v/>
      </c>
      <c r="MS18" s="2470" t="str">
        <f t="shared" si="336"/>
        <v/>
      </c>
      <c r="MT18" s="2470" t="str">
        <f t="shared" si="337"/>
        <v/>
      </c>
      <c r="MU18" s="356" t="str">
        <f t="shared" si="338"/>
        <v/>
      </c>
      <c r="MV18" s="356" t="str">
        <f t="shared" si="339"/>
        <v/>
      </c>
      <c r="MW18" s="356" t="str">
        <f t="shared" si="340"/>
        <v/>
      </c>
      <c r="MX18" s="356" t="str">
        <f t="shared" si="341"/>
        <v/>
      </c>
      <c r="MY18" s="356" t="str">
        <f t="shared" si="342"/>
        <v/>
      </c>
      <c r="MZ18" s="356" t="str">
        <f t="shared" si="343"/>
        <v/>
      </c>
      <c r="NA18" s="356" t="str">
        <f t="shared" si="344"/>
        <v/>
      </c>
      <c r="NB18" s="356" t="str">
        <f t="shared" si="345"/>
        <v/>
      </c>
      <c r="NC18" s="356" t="str">
        <f t="shared" si="346"/>
        <v/>
      </c>
      <c r="ND18" s="356" t="str">
        <f t="shared" si="347"/>
        <v/>
      </c>
      <c r="NE18" s="356" t="str">
        <f t="shared" si="348"/>
        <v/>
      </c>
      <c r="NF18" s="356" t="str">
        <f t="shared" si="349"/>
        <v/>
      </c>
      <c r="NG18" s="356" t="str">
        <f t="shared" si="350"/>
        <v/>
      </c>
      <c r="NH18" s="356" t="str">
        <f t="shared" si="351"/>
        <v/>
      </c>
      <c r="NI18" s="356" t="str">
        <f t="shared" si="352"/>
        <v/>
      </c>
      <c r="NJ18" s="356" t="str">
        <f t="shared" si="353"/>
        <v/>
      </c>
      <c r="NK18" s="356" t="str">
        <f t="shared" si="354"/>
        <v/>
      </c>
      <c r="NL18" s="356" t="str">
        <f t="shared" si="355"/>
        <v/>
      </c>
      <c r="NM18" s="356" t="str">
        <f t="shared" si="356"/>
        <v/>
      </c>
      <c r="NN18" s="356" t="str">
        <f t="shared" si="357"/>
        <v/>
      </c>
      <c r="NO18" s="1640">
        <f t="shared" si="358"/>
        <v>0</v>
      </c>
      <c r="NP18" s="1640">
        <f t="shared" si="359"/>
        <v>4</v>
      </c>
      <c r="NQ18" s="1640">
        <f t="shared" si="360"/>
        <v>0</v>
      </c>
      <c r="NR18" s="1640">
        <f t="shared" si="361"/>
        <v>0</v>
      </c>
      <c r="NS18" s="1640">
        <f t="shared" si="362"/>
        <v>0</v>
      </c>
      <c r="NT18" s="1640">
        <f t="shared" si="368"/>
        <v>0</v>
      </c>
      <c r="NU18" s="1640">
        <f t="shared" si="369"/>
        <v>0</v>
      </c>
      <c r="NV18" s="1640">
        <f t="shared" si="370"/>
        <v>0</v>
      </c>
      <c r="NW18" s="1640">
        <f t="shared" si="371"/>
        <v>0</v>
      </c>
      <c r="NX18" s="1640">
        <f t="shared" si="372"/>
        <v>0</v>
      </c>
      <c r="NY18" s="1640">
        <f t="shared" si="363"/>
        <v>0</v>
      </c>
      <c r="NZ18" s="1640">
        <f t="shared" si="364"/>
        <v>0</v>
      </c>
      <c r="OA18" s="1640">
        <f t="shared" si="365"/>
        <v>0</v>
      </c>
      <c r="OB18" s="1640">
        <f t="shared" si="366"/>
        <v>0</v>
      </c>
      <c r="OC18" s="1640">
        <f t="shared" si="367"/>
        <v>0</v>
      </c>
      <c r="OY18" s="2499" t="s">
        <v>4304</v>
      </c>
      <c r="OZ18" s="2504">
        <v>18</v>
      </c>
    </row>
    <row r="19" spans="1:416" ht="12" customHeight="1">
      <c r="A19" s="86" t="str">
        <f t="shared" si="0"/>
        <v/>
      </c>
      <c r="B19" s="1055">
        <v>50</v>
      </c>
      <c r="C19" s="132">
        <v>1</v>
      </c>
      <c r="D19" s="1643">
        <v>1</v>
      </c>
      <c r="E19" s="133">
        <v>4</v>
      </c>
      <c r="F19" s="133">
        <v>701</v>
      </c>
      <c r="G19" s="133">
        <v>1071</v>
      </c>
      <c r="H19" s="133">
        <f>1003+J19</f>
        <v>1071</v>
      </c>
      <c r="I19" s="133">
        <v>0</v>
      </c>
      <c r="J19" s="1036">
        <f>IF(C19="",0,HLOOKUP(C19,'Part IV-Utility Allowances'!$I$11:$M$25,15))</f>
        <v>68</v>
      </c>
      <c r="K19" s="630"/>
      <c r="L19" s="460">
        <f t="shared" si="1"/>
        <v>1003</v>
      </c>
      <c r="M19" s="460">
        <f t="shared" si="2"/>
        <v>4012</v>
      </c>
      <c r="N19" s="680" t="s">
        <v>2643</v>
      </c>
      <c r="O19" s="1585" t="s">
        <v>5240</v>
      </c>
      <c r="P19" s="680" t="s">
        <v>906</v>
      </c>
      <c r="Q19" s="134" t="s">
        <v>2643</v>
      </c>
      <c r="R19" s="723"/>
      <c r="S19" s="724"/>
      <c r="T19" s="3613"/>
      <c r="U19" s="3614"/>
      <c r="V19" s="3614"/>
      <c r="W19" s="3615"/>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4</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2804</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356" t="str">
        <f t="shared" si="213"/>
        <v/>
      </c>
      <c r="IA19" s="356" t="str">
        <f t="shared" si="214"/>
        <v/>
      </c>
      <c r="IB19" s="356" t="str">
        <f t="shared" si="215"/>
        <v/>
      </c>
      <c r="IC19" s="356" t="str">
        <f t="shared" si="216"/>
        <v/>
      </c>
      <c r="ID19" s="356" t="str">
        <f t="shared" si="217"/>
        <v/>
      </c>
      <c r="IE19" s="356" t="str">
        <f t="shared" si="218"/>
        <v/>
      </c>
      <c r="IF19" s="356" t="str">
        <f t="shared" si="219"/>
        <v/>
      </c>
      <c r="IG19" s="356" t="str">
        <f t="shared" si="220"/>
        <v/>
      </c>
      <c r="IH19" s="356" t="str">
        <f t="shared" si="221"/>
        <v/>
      </c>
      <c r="II19" s="356" t="str">
        <f t="shared" si="222"/>
        <v/>
      </c>
      <c r="IJ19" s="356" t="str">
        <f t="shared" si="223"/>
        <v/>
      </c>
      <c r="IK19" s="356" t="str">
        <f t="shared" si="224"/>
        <v/>
      </c>
      <c r="IL19" s="356" t="str">
        <f t="shared" si="225"/>
        <v/>
      </c>
      <c r="IM19" s="356" t="str">
        <f t="shared" si="226"/>
        <v/>
      </c>
      <c r="IN19" s="356" t="str">
        <f t="shared" si="227"/>
        <v/>
      </c>
      <c r="IO19" s="356" t="str">
        <f t="shared" si="228"/>
        <v/>
      </c>
      <c r="IP19" s="356" t="str">
        <f t="shared" si="229"/>
        <v/>
      </c>
      <c r="IQ19" s="356" t="str">
        <f t="shared" si="230"/>
        <v/>
      </c>
      <c r="IR19" s="356" t="str">
        <f t="shared" si="231"/>
        <v/>
      </c>
      <c r="IS19" s="356" t="str">
        <f t="shared" si="232"/>
        <v/>
      </c>
      <c r="IT19" s="356" t="str">
        <f t="shared" si="233"/>
        <v/>
      </c>
      <c r="IU19" s="356">
        <f t="shared" si="234"/>
        <v>4</v>
      </c>
      <c r="IV19" s="356" t="str">
        <f t="shared" si="235"/>
        <v/>
      </c>
      <c r="IW19" s="356" t="str">
        <f t="shared" si="236"/>
        <v/>
      </c>
      <c r="IX19" s="356" t="str">
        <f t="shared" si="237"/>
        <v/>
      </c>
      <c r="IY19" s="356" t="str">
        <f t="shared" si="238"/>
        <v/>
      </c>
      <c r="IZ19" s="356" t="str">
        <f t="shared" si="239"/>
        <v/>
      </c>
      <c r="JA19" s="356" t="str">
        <f t="shared" si="240"/>
        <v/>
      </c>
      <c r="JB19" s="356" t="str">
        <f t="shared" si="241"/>
        <v/>
      </c>
      <c r="JC19" s="356" t="str">
        <f t="shared" si="242"/>
        <v/>
      </c>
      <c r="JD19" s="356" t="str">
        <f t="shared" si="243"/>
        <v/>
      </c>
      <c r="JE19" s="356" t="str">
        <f t="shared" si="244"/>
        <v/>
      </c>
      <c r="JF19" s="356" t="str">
        <f t="shared" si="245"/>
        <v/>
      </c>
      <c r="JG19" s="356" t="str">
        <f t="shared" si="246"/>
        <v/>
      </c>
      <c r="JH19" s="356" t="str">
        <f t="shared" si="247"/>
        <v/>
      </c>
      <c r="JI19" s="1785" t="str">
        <f t="shared" si="248"/>
        <v/>
      </c>
      <c r="JJ19" s="1785">
        <f t="shared" si="249"/>
        <v>4</v>
      </c>
      <c r="JK19" s="1785" t="str">
        <f t="shared" si="250"/>
        <v/>
      </c>
      <c r="JL19" s="1785" t="str">
        <f t="shared" si="251"/>
        <v/>
      </c>
      <c r="JM19" s="1785" t="str">
        <f t="shared" si="252"/>
        <v/>
      </c>
      <c r="JN19" s="1785" t="str">
        <f t="shared" si="253"/>
        <v/>
      </c>
      <c r="JO19" s="1785" t="str">
        <f t="shared" si="254"/>
        <v/>
      </c>
      <c r="JP19" s="1785" t="str">
        <f t="shared" si="255"/>
        <v/>
      </c>
      <c r="JQ19" s="1785" t="str">
        <f t="shared" si="256"/>
        <v/>
      </c>
      <c r="JR19" s="1785" t="str">
        <f t="shared" si="257"/>
        <v/>
      </c>
      <c r="JS19" s="1785" t="str">
        <f t="shared" si="258"/>
        <v/>
      </c>
      <c r="JT19" s="1785" t="str">
        <f t="shared" si="259"/>
        <v/>
      </c>
      <c r="JU19" s="1785" t="str">
        <f t="shared" si="260"/>
        <v/>
      </c>
      <c r="JV19" s="1785" t="str">
        <f t="shared" si="261"/>
        <v/>
      </c>
      <c r="JW19" s="1785" t="str">
        <f t="shared" si="262"/>
        <v/>
      </c>
      <c r="JX19" s="1785" t="str">
        <f t="shared" si="263"/>
        <v/>
      </c>
      <c r="JY19" s="1785" t="str">
        <f t="shared" si="264"/>
        <v/>
      </c>
      <c r="JZ19" s="1785" t="str">
        <f t="shared" si="265"/>
        <v/>
      </c>
      <c r="KA19" s="1785" t="str">
        <f t="shared" si="266"/>
        <v/>
      </c>
      <c r="KB19" s="1785" t="str">
        <f t="shared" si="267"/>
        <v/>
      </c>
      <c r="KC19" s="1785" t="str">
        <f t="shared" si="268"/>
        <v/>
      </c>
      <c r="KD19" s="1785" t="str">
        <f t="shared" si="269"/>
        <v/>
      </c>
      <c r="KE19" s="1785" t="str">
        <f t="shared" si="270"/>
        <v/>
      </c>
      <c r="KF19" s="1785" t="str">
        <f t="shared" si="271"/>
        <v/>
      </c>
      <c r="KG19" s="1785" t="str">
        <f t="shared" si="272"/>
        <v/>
      </c>
      <c r="KH19" s="1785" t="str">
        <f t="shared" si="273"/>
        <v/>
      </c>
      <c r="KI19" s="1785" t="str">
        <f t="shared" si="274"/>
        <v/>
      </c>
      <c r="KJ19" s="1785" t="str">
        <f t="shared" si="275"/>
        <v/>
      </c>
      <c r="KK19" s="1785" t="str">
        <f t="shared" si="276"/>
        <v/>
      </c>
      <c r="KL19" s="1785" t="str">
        <f t="shared" si="277"/>
        <v/>
      </c>
      <c r="KM19" s="1785" t="str">
        <f t="shared" si="278"/>
        <v/>
      </c>
      <c r="KN19" s="1785" t="str">
        <f t="shared" si="279"/>
        <v/>
      </c>
      <c r="KO19" s="1785" t="str">
        <f t="shared" si="280"/>
        <v/>
      </c>
      <c r="KP19" s="1785" t="str">
        <f t="shared" si="281"/>
        <v/>
      </c>
      <c r="KQ19" s="1785" t="str">
        <f t="shared" si="282"/>
        <v/>
      </c>
      <c r="KR19" s="1785" t="str">
        <f t="shared" si="283"/>
        <v/>
      </c>
      <c r="KS19" s="1785" t="str">
        <f t="shared" si="284"/>
        <v/>
      </c>
      <c r="KT19" s="1785" t="str">
        <f t="shared" si="285"/>
        <v/>
      </c>
      <c r="KU19" s="1785" t="str">
        <f t="shared" si="286"/>
        <v/>
      </c>
      <c r="KV19" s="1785" t="str">
        <f t="shared" si="287"/>
        <v/>
      </c>
      <c r="KW19" s="1785" t="str">
        <f t="shared" si="288"/>
        <v/>
      </c>
      <c r="KX19" s="1785" t="str">
        <f t="shared" si="289"/>
        <v/>
      </c>
      <c r="KY19" s="1785" t="str">
        <f t="shared" si="290"/>
        <v/>
      </c>
      <c r="KZ19" s="1785" t="str">
        <f t="shared" si="291"/>
        <v/>
      </c>
      <c r="LA19" s="1785" t="str">
        <f t="shared" si="292"/>
        <v/>
      </c>
      <c r="LB19" s="1785" t="str">
        <f t="shared" si="293"/>
        <v/>
      </c>
      <c r="LC19" s="1785" t="str">
        <f t="shared" si="294"/>
        <v/>
      </c>
      <c r="LD19" s="1785" t="str">
        <f t="shared" si="295"/>
        <v/>
      </c>
      <c r="LE19" s="1785" t="str">
        <f t="shared" si="296"/>
        <v/>
      </c>
      <c r="LF19" s="1785" t="str">
        <f t="shared" si="297"/>
        <v/>
      </c>
      <c r="LG19" s="1785" t="str">
        <f t="shared" si="298"/>
        <v/>
      </c>
      <c r="LH19" s="1785">
        <f t="shared" si="299"/>
        <v>4</v>
      </c>
      <c r="LI19" s="1785" t="str">
        <f t="shared" si="300"/>
        <v/>
      </c>
      <c r="LJ19" s="1785" t="str">
        <f t="shared" si="301"/>
        <v/>
      </c>
      <c r="LK19" s="1785" t="str">
        <f t="shared" si="302"/>
        <v/>
      </c>
      <c r="LL19" s="1785" t="str">
        <f t="shared" si="303"/>
        <v/>
      </c>
      <c r="LM19" s="1785" t="str">
        <f t="shared" si="304"/>
        <v/>
      </c>
      <c r="LN19" s="1785" t="str">
        <f t="shared" si="305"/>
        <v/>
      </c>
      <c r="LO19" s="1785" t="str">
        <f t="shared" si="306"/>
        <v/>
      </c>
      <c r="LP19" s="1785" t="str">
        <f t="shared" si="307"/>
        <v/>
      </c>
      <c r="LQ19" s="1785" t="str">
        <f t="shared" si="308"/>
        <v/>
      </c>
      <c r="LR19" s="1785" t="str">
        <f t="shared" si="309"/>
        <v/>
      </c>
      <c r="LS19" s="1785" t="str">
        <f t="shared" si="310"/>
        <v/>
      </c>
      <c r="LT19" s="1785" t="str">
        <f t="shared" si="311"/>
        <v/>
      </c>
      <c r="LU19" s="1785" t="str">
        <f t="shared" si="312"/>
        <v/>
      </c>
      <c r="LV19" s="1785" t="str">
        <f t="shared" si="313"/>
        <v/>
      </c>
      <c r="LW19" s="1785" t="str">
        <f t="shared" si="314"/>
        <v/>
      </c>
      <c r="LX19" s="1785" t="str">
        <f t="shared" si="315"/>
        <v/>
      </c>
      <c r="LY19" s="1785" t="str">
        <f t="shared" si="316"/>
        <v/>
      </c>
      <c r="LZ19" s="1785" t="str">
        <f t="shared" si="317"/>
        <v/>
      </c>
      <c r="MA19" s="1785" t="str">
        <f t="shared" si="318"/>
        <v/>
      </c>
      <c r="MB19" s="1785" t="str">
        <f t="shared" si="319"/>
        <v/>
      </c>
      <c r="MC19" s="1785" t="str">
        <f t="shared" si="320"/>
        <v/>
      </c>
      <c r="MD19" s="1785" t="str">
        <f t="shared" si="321"/>
        <v/>
      </c>
      <c r="ME19" s="1785" t="str">
        <f t="shared" si="322"/>
        <v/>
      </c>
      <c r="MF19" s="1785" t="str">
        <f t="shared" si="323"/>
        <v/>
      </c>
      <c r="MG19" s="1785" t="str">
        <f t="shared" si="324"/>
        <v/>
      </c>
      <c r="MH19" s="1785" t="str">
        <f t="shared" si="325"/>
        <v/>
      </c>
      <c r="MI19" s="1785" t="str">
        <f t="shared" si="326"/>
        <v/>
      </c>
      <c r="MJ19" s="1785" t="str">
        <f t="shared" si="327"/>
        <v/>
      </c>
      <c r="MK19" s="1785" t="str">
        <f t="shared" si="328"/>
        <v/>
      </c>
      <c r="ML19" s="1785" t="str">
        <f t="shared" si="329"/>
        <v/>
      </c>
      <c r="MM19" s="1785" t="str">
        <f t="shared" si="330"/>
        <v/>
      </c>
      <c r="MN19" s="1785" t="str">
        <f t="shared" si="331"/>
        <v/>
      </c>
      <c r="MO19" s="1785" t="str">
        <f t="shared" si="332"/>
        <v/>
      </c>
      <c r="MP19" s="2470" t="str">
        <f t="shared" si="333"/>
        <v/>
      </c>
      <c r="MQ19" s="2470" t="str">
        <f t="shared" si="334"/>
        <v/>
      </c>
      <c r="MR19" s="2470" t="str">
        <f t="shared" si="335"/>
        <v/>
      </c>
      <c r="MS19" s="2470" t="str">
        <f t="shared" si="336"/>
        <v/>
      </c>
      <c r="MT19" s="2470" t="str">
        <f t="shared" si="337"/>
        <v/>
      </c>
      <c r="MU19" s="356" t="str">
        <f t="shared" si="338"/>
        <v/>
      </c>
      <c r="MV19" s="356" t="str">
        <f t="shared" si="339"/>
        <v/>
      </c>
      <c r="MW19" s="356" t="str">
        <f t="shared" si="340"/>
        <v/>
      </c>
      <c r="MX19" s="356" t="str">
        <f t="shared" si="341"/>
        <v/>
      </c>
      <c r="MY19" s="356" t="str">
        <f t="shared" si="342"/>
        <v/>
      </c>
      <c r="MZ19" s="356" t="str">
        <f t="shared" si="343"/>
        <v/>
      </c>
      <c r="NA19" s="356" t="str">
        <f t="shared" si="344"/>
        <v/>
      </c>
      <c r="NB19" s="356" t="str">
        <f t="shared" si="345"/>
        <v/>
      </c>
      <c r="NC19" s="356" t="str">
        <f t="shared" si="346"/>
        <v/>
      </c>
      <c r="ND19" s="356" t="str">
        <f t="shared" si="347"/>
        <v/>
      </c>
      <c r="NE19" s="356" t="str">
        <f t="shared" si="348"/>
        <v/>
      </c>
      <c r="NF19" s="356" t="str">
        <f t="shared" si="349"/>
        <v/>
      </c>
      <c r="NG19" s="356" t="str">
        <f t="shared" si="350"/>
        <v/>
      </c>
      <c r="NH19" s="356" t="str">
        <f t="shared" si="351"/>
        <v/>
      </c>
      <c r="NI19" s="356" t="str">
        <f t="shared" si="352"/>
        <v/>
      </c>
      <c r="NJ19" s="356" t="str">
        <f t="shared" si="353"/>
        <v/>
      </c>
      <c r="NK19" s="356" t="str">
        <f t="shared" si="354"/>
        <v/>
      </c>
      <c r="NL19" s="356" t="str">
        <f t="shared" si="355"/>
        <v/>
      </c>
      <c r="NM19" s="356" t="str">
        <f t="shared" si="356"/>
        <v/>
      </c>
      <c r="NN19" s="356" t="str">
        <f t="shared" si="357"/>
        <v/>
      </c>
      <c r="NO19" s="1640">
        <f t="shared" si="358"/>
        <v>0</v>
      </c>
      <c r="NP19" s="1640">
        <f t="shared" si="359"/>
        <v>4</v>
      </c>
      <c r="NQ19" s="1640">
        <f t="shared" si="360"/>
        <v>0</v>
      </c>
      <c r="NR19" s="1640">
        <f t="shared" si="361"/>
        <v>0</v>
      </c>
      <c r="NS19" s="1640">
        <f t="shared" si="362"/>
        <v>0</v>
      </c>
      <c r="NT19" s="1640">
        <f t="shared" si="368"/>
        <v>0</v>
      </c>
      <c r="NU19" s="1640">
        <f t="shared" si="369"/>
        <v>0</v>
      </c>
      <c r="NV19" s="1640">
        <f t="shared" si="370"/>
        <v>0</v>
      </c>
      <c r="NW19" s="1640">
        <f t="shared" si="371"/>
        <v>0</v>
      </c>
      <c r="NX19" s="1640">
        <f t="shared" si="372"/>
        <v>0</v>
      </c>
      <c r="NY19" s="1640">
        <f t="shared" si="363"/>
        <v>0</v>
      </c>
      <c r="NZ19" s="1640">
        <f t="shared" si="364"/>
        <v>0</v>
      </c>
      <c r="OA19" s="1640">
        <f t="shared" si="365"/>
        <v>0</v>
      </c>
      <c r="OB19" s="1640">
        <f t="shared" si="366"/>
        <v>0</v>
      </c>
      <c r="OC19" s="1640">
        <f t="shared" si="367"/>
        <v>0</v>
      </c>
      <c r="OY19" s="2499" t="s">
        <v>4305</v>
      </c>
      <c r="OZ19" s="2504">
        <v>19</v>
      </c>
    </row>
    <row r="20" spans="1:416" ht="12" customHeight="1">
      <c r="A20" s="86" t="str">
        <f t="shared" si="0"/>
        <v/>
      </c>
      <c r="B20" s="1055">
        <v>60</v>
      </c>
      <c r="C20" s="132">
        <v>1</v>
      </c>
      <c r="D20" s="1643">
        <v>1</v>
      </c>
      <c r="E20" s="133">
        <v>24</v>
      </c>
      <c r="F20" s="133">
        <v>701</v>
      </c>
      <c r="G20" s="133">
        <v>1285</v>
      </c>
      <c r="H20" s="133">
        <f>1144+J20</f>
        <v>1212</v>
      </c>
      <c r="I20" s="133">
        <v>0</v>
      </c>
      <c r="J20" s="1036">
        <f>IF(C20="",0,HLOOKUP(C20,'Part IV-Utility Allowances'!$I$11:$M$25,15))</f>
        <v>68</v>
      </c>
      <c r="K20" s="630"/>
      <c r="L20" s="460">
        <f t="shared" si="1"/>
        <v>1144</v>
      </c>
      <c r="M20" s="460">
        <f t="shared" si="2"/>
        <v>27456</v>
      </c>
      <c r="N20" s="680" t="s">
        <v>2643</v>
      </c>
      <c r="O20" s="1585" t="s">
        <v>5240</v>
      </c>
      <c r="P20" s="680" t="s">
        <v>906</v>
      </c>
      <c r="Q20" s="134" t="s">
        <v>2643</v>
      </c>
      <c r="R20" s="723"/>
      <c r="S20" s="724"/>
      <c r="T20" s="3613"/>
      <c r="U20" s="3614"/>
      <c r="V20" s="3614"/>
      <c r="W20" s="3615"/>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f t="shared" si="14"/>
        <v>24</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f t="shared" si="164"/>
        <v>16824</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356" t="str">
        <f t="shared" si="213"/>
        <v/>
      </c>
      <c r="IA20" s="356" t="str">
        <f t="shared" si="214"/>
        <v/>
      </c>
      <c r="IB20" s="356" t="str">
        <f t="shared" si="215"/>
        <v/>
      </c>
      <c r="IC20" s="356" t="str">
        <f t="shared" si="216"/>
        <v/>
      </c>
      <c r="ID20" s="356" t="str">
        <f t="shared" si="217"/>
        <v/>
      </c>
      <c r="IE20" s="356" t="str">
        <f t="shared" si="218"/>
        <v/>
      </c>
      <c r="IF20" s="356" t="str">
        <f t="shared" si="219"/>
        <v/>
      </c>
      <c r="IG20" s="356" t="str">
        <f t="shared" si="220"/>
        <v/>
      </c>
      <c r="IH20" s="356" t="str">
        <f t="shared" si="221"/>
        <v/>
      </c>
      <c r="II20" s="356" t="str">
        <f t="shared" si="222"/>
        <v/>
      </c>
      <c r="IJ20" s="356" t="str">
        <f t="shared" si="223"/>
        <v/>
      </c>
      <c r="IK20" s="356" t="str">
        <f t="shared" si="224"/>
        <v/>
      </c>
      <c r="IL20" s="356" t="str">
        <f t="shared" si="225"/>
        <v/>
      </c>
      <c r="IM20" s="356" t="str">
        <f t="shared" si="226"/>
        <v/>
      </c>
      <c r="IN20" s="356" t="str">
        <f t="shared" si="227"/>
        <v/>
      </c>
      <c r="IO20" s="356" t="str">
        <f t="shared" si="228"/>
        <v/>
      </c>
      <c r="IP20" s="356" t="str">
        <f t="shared" si="229"/>
        <v/>
      </c>
      <c r="IQ20" s="356" t="str">
        <f t="shared" si="230"/>
        <v/>
      </c>
      <c r="IR20" s="356" t="str">
        <f t="shared" si="231"/>
        <v/>
      </c>
      <c r="IS20" s="356" t="str">
        <f t="shared" si="232"/>
        <v/>
      </c>
      <c r="IT20" s="356" t="str">
        <f t="shared" si="233"/>
        <v/>
      </c>
      <c r="IU20" s="356">
        <f t="shared" si="234"/>
        <v>24</v>
      </c>
      <c r="IV20" s="356" t="str">
        <f t="shared" si="235"/>
        <v/>
      </c>
      <c r="IW20" s="356" t="str">
        <f t="shared" si="236"/>
        <v/>
      </c>
      <c r="IX20" s="356" t="str">
        <f t="shared" si="237"/>
        <v/>
      </c>
      <c r="IY20" s="356" t="str">
        <f t="shared" si="238"/>
        <v/>
      </c>
      <c r="IZ20" s="356" t="str">
        <f t="shared" si="239"/>
        <v/>
      </c>
      <c r="JA20" s="356" t="str">
        <f t="shared" si="240"/>
        <v/>
      </c>
      <c r="JB20" s="356" t="str">
        <f t="shared" si="241"/>
        <v/>
      </c>
      <c r="JC20" s="356" t="str">
        <f t="shared" si="242"/>
        <v/>
      </c>
      <c r="JD20" s="356" t="str">
        <f t="shared" si="243"/>
        <v/>
      </c>
      <c r="JE20" s="356" t="str">
        <f t="shared" si="244"/>
        <v/>
      </c>
      <c r="JF20" s="356" t="str">
        <f t="shared" si="245"/>
        <v/>
      </c>
      <c r="JG20" s="356" t="str">
        <f t="shared" si="246"/>
        <v/>
      </c>
      <c r="JH20" s="356" t="str">
        <f t="shared" si="247"/>
        <v/>
      </c>
      <c r="JI20" s="1785" t="str">
        <f t="shared" si="248"/>
        <v/>
      </c>
      <c r="JJ20" s="1785">
        <f t="shared" si="249"/>
        <v>24</v>
      </c>
      <c r="JK20" s="1785" t="str">
        <f t="shared" si="250"/>
        <v/>
      </c>
      <c r="JL20" s="1785" t="str">
        <f t="shared" si="251"/>
        <v/>
      </c>
      <c r="JM20" s="1785" t="str">
        <f t="shared" si="252"/>
        <v/>
      </c>
      <c r="JN20" s="1785" t="str">
        <f t="shared" si="253"/>
        <v/>
      </c>
      <c r="JO20" s="1785" t="str">
        <f t="shared" si="254"/>
        <v/>
      </c>
      <c r="JP20" s="1785" t="str">
        <f t="shared" si="255"/>
        <v/>
      </c>
      <c r="JQ20" s="1785" t="str">
        <f t="shared" si="256"/>
        <v/>
      </c>
      <c r="JR20" s="1785" t="str">
        <f t="shared" si="257"/>
        <v/>
      </c>
      <c r="JS20" s="1785" t="str">
        <f t="shared" si="258"/>
        <v/>
      </c>
      <c r="JT20" s="1785" t="str">
        <f t="shared" si="259"/>
        <v/>
      </c>
      <c r="JU20" s="1785" t="str">
        <f t="shared" si="260"/>
        <v/>
      </c>
      <c r="JV20" s="1785" t="str">
        <f t="shared" si="261"/>
        <v/>
      </c>
      <c r="JW20" s="1785" t="str">
        <f t="shared" si="262"/>
        <v/>
      </c>
      <c r="JX20" s="1785" t="str">
        <f t="shared" si="263"/>
        <v/>
      </c>
      <c r="JY20" s="1785" t="str">
        <f t="shared" si="264"/>
        <v/>
      </c>
      <c r="JZ20" s="1785" t="str">
        <f t="shared" si="265"/>
        <v/>
      </c>
      <c r="KA20" s="1785" t="str">
        <f t="shared" si="266"/>
        <v/>
      </c>
      <c r="KB20" s="1785" t="str">
        <f t="shared" si="267"/>
        <v/>
      </c>
      <c r="KC20" s="1785" t="str">
        <f t="shared" si="268"/>
        <v/>
      </c>
      <c r="KD20" s="1785" t="str">
        <f t="shared" si="269"/>
        <v/>
      </c>
      <c r="KE20" s="1785" t="str">
        <f t="shared" si="270"/>
        <v/>
      </c>
      <c r="KF20" s="1785" t="str">
        <f t="shared" si="271"/>
        <v/>
      </c>
      <c r="KG20" s="1785" t="str">
        <f t="shared" si="272"/>
        <v/>
      </c>
      <c r="KH20" s="1785" t="str">
        <f t="shared" si="273"/>
        <v/>
      </c>
      <c r="KI20" s="1785" t="str">
        <f t="shared" si="274"/>
        <v/>
      </c>
      <c r="KJ20" s="1785" t="str">
        <f t="shared" si="275"/>
        <v/>
      </c>
      <c r="KK20" s="1785" t="str">
        <f t="shared" si="276"/>
        <v/>
      </c>
      <c r="KL20" s="1785" t="str">
        <f t="shared" si="277"/>
        <v/>
      </c>
      <c r="KM20" s="1785" t="str">
        <f t="shared" si="278"/>
        <v/>
      </c>
      <c r="KN20" s="1785" t="str">
        <f t="shared" si="279"/>
        <v/>
      </c>
      <c r="KO20" s="1785" t="str">
        <f t="shared" si="280"/>
        <v/>
      </c>
      <c r="KP20" s="1785" t="str">
        <f t="shared" si="281"/>
        <v/>
      </c>
      <c r="KQ20" s="1785" t="str">
        <f t="shared" si="282"/>
        <v/>
      </c>
      <c r="KR20" s="1785" t="str">
        <f t="shared" si="283"/>
        <v/>
      </c>
      <c r="KS20" s="1785" t="str">
        <f t="shared" si="284"/>
        <v/>
      </c>
      <c r="KT20" s="1785" t="str">
        <f t="shared" si="285"/>
        <v/>
      </c>
      <c r="KU20" s="1785" t="str">
        <f t="shared" si="286"/>
        <v/>
      </c>
      <c r="KV20" s="1785" t="str">
        <f t="shared" si="287"/>
        <v/>
      </c>
      <c r="KW20" s="1785" t="str">
        <f t="shared" si="288"/>
        <v/>
      </c>
      <c r="KX20" s="1785" t="str">
        <f t="shared" si="289"/>
        <v/>
      </c>
      <c r="KY20" s="1785" t="str">
        <f t="shared" si="290"/>
        <v/>
      </c>
      <c r="KZ20" s="1785" t="str">
        <f t="shared" si="291"/>
        <v/>
      </c>
      <c r="LA20" s="1785" t="str">
        <f t="shared" si="292"/>
        <v/>
      </c>
      <c r="LB20" s="1785" t="str">
        <f t="shared" si="293"/>
        <v/>
      </c>
      <c r="LC20" s="1785" t="str">
        <f t="shared" si="294"/>
        <v/>
      </c>
      <c r="LD20" s="1785" t="str">
        <f t="shared" si="295"/>
        <v/>
      </c>
      <c r="LE20" s="1785" t="str">
        <f t="shared" si="296"/>
        <v/>
      </c>
      <c r="LF20" s="1785" t="str">
        <f t="shared" si="297"/>
        <v/>
      </c>
      <c r="LG20" s="1785" t="str">
        <f t="shared" si="298"/>
        <v/>
      </c>
      <c r="LH20" s="1785">
        <f t="shared" si="299"/>
        <v>24</v>
      </c>
      <c r="LI20" s="1785" t="str">
        <f t="shared" si="300"/>
        <v/>
      </c>
      <c r="LJ20" s="1785" t="str">
        <f t="shared" si="301"/>
        <v/>
      </c>
      <c r="LK20" s="1785" t="str">
        <f t="shared" si="302"/>
        <v/>
      </c>
      <c r="LL20" s="1785" t="str">
        <f t="shared" si="303"/>
        <v/>
      </c>
      <c r="LM20" s="1785" t="str">
        <f t="shared" si="304"/>
        <v/>
      </c>
      <c r="LN20" s="1785" t="str">
        <f t="shared" si="305"/>
        <v/>
      </c>
      <c r="LO20" s="1785" t="str">
        <f t="shared" si="306"/>
        <v/>
      </c>
      <c r="LP20" s="1785" t="str">
        <f t="shared" si="307"/>
        <v/>
      </c>
      <c r="LQ20" s="1785" t="str">
        <f t="shared" si="308"/>
        <v/>
      </c>
      <c r="LR20" s="1785" t="str">
        <f t="shared" si="309"/>
        <v/>
      </c>
      <c r="LS20" s="1785" t="str">
        <f t="shared" si="310"/>
        <v/>
      </c>
      <c r="LT20" s="1785" t="str">
        <f t="shared" si="311"/>
        <v/>
      </c>
      <c r="LU20" s="1785" t="str">
        <f t="shared" si="312"/>
        <v/>
      </c>
      <c r="LV20" s="1785" t="str">
        <f t="shared" si="313"/>
        <v/>
      </c>
      <c r="LW20" s="1785" t="str">
        <f t="shared" si="314"/>
        <v/>
      </c>
      <c r="LX20" s="1785" t="str">
        <f t="shared" si="315"/>
        <v/>
      </c>
      <c r="LY20" s="1785" t="str">
        <f t="shared" si="316"/>
        <v/>
      </c>
      <c r="LZ20" s="1785" t="str">
        <f t="shared" si="317"/>
        <v/>
      </c>
      <c r="MA20" s="1785" t="str">
        <f t="shared" si="318"/>
        <v/>
      </c>
      <c r="MB20" s="1785" t="str">
        <f t="shared" si="319"/>
        <v/>
      </c>
      <c r="MC20" s="1785" t="str">
        <f t="shared" si="320"/>
        <v/>
      </c>
      <c r="MD20" s="1785" t="str">
        <f t="shared" si="321"/>
        <v/>
      </c>
      <c r="ME20" s="1785" t="str">
        <f t="shared" si="322"/>
        <v/>
      </c>
      <c r="MF20" s="1785" t="str">
        <f t="shared" si="323"/>
        <v/>
      </c>
      <c r="MG20" s="1785" t="str">
        <f t="shared" si="324"/>
        <v/>
      </c>
      <c r="MH20" s="1785" t="str">
        <f t="shared" si="325"/>
        <v/>
      </c>
      <c r="MI20" s="1785" t="str">
        <f t="shared" si="326"/>
        <v/>
      </c>
      <c r="MJ20" s="1785" t="str">
        <f t="shared" si="327"/>
        <v/>
      </c>
      <c r="MK20" s="1785" t="str">
        <f t="shared" si="328"/>
        <v/>
      </c>
      <c r="ML20" s="1785" t="str">
        <f t="shared" si="329"/>
        <v/>
      </c>
      <c r="MM20" s="1785" t="str">
        <f t="shared" si="330"/>
        <v/>
      </c>
      <c r="MN20" s="1785" t="str">
        <f t="shared" si="331"/>
        <v/>
      </c>
      <c r="MO20" s="1785" t="str">
        <f t="shared" si="332"/>
        <v/>
      </c>
      <c r="MP20" s="2470" t="str">
        <f t="shared" si="333"/>
        <v/>
      </c>
      <c r="MQ20" s="2470" t="str">
        <f t="shared" si="334"/>
        <v/>
      </c>
      <c r="MR20" s="2470" t="str">
        <f t="shared" si="335"/>
        <v/>
      </c>
      <c r="MS20" s="2470" t="str">
        <f t="shared" si="336"/>
        <v/>
      </c>
      <c r="MT20" s="2470" t="str">
        <f t="shared" si="337"/>
        <v/>
      </c>
      <c r="MU20" s="356" t="str">
        <f t="shared" si="338"/>
        <v/>
      </c>
      <c r="MV20" s="356" t="str">
        <f t="shared" si="339"/>
        <v/>
      </c>
      <c r="MW20" s="356" t="str">
        <f t="shared" si="340"/>
        <v/>
      </c>
      <c r="MX20" s="356" t="str">
        <f t="shared" si="341"/>
        <v/>
      </c>
      <c r="MY20" s="356" t="str">
        <f t="shared" si="342"/>
        <v/>
      </c>
      <c r="MZ20" s="356" t="str">
        <f t="shared" si="343"/>
        <v/>
      </c>
      <c r="NA20" s="356" t="str">
        <f t="shared" si="344"/>
        <v/>
      </c>
      <c r="NB20" s="356" t="str">
        <f t="shared" si="345"/>
        <v/>
      </c>
      <c r="NC20" s="356" t="str">
        <f t="shared" si="346"/>
        <v/>
      </c>
      <c r="ND20" s="356" t="str">
        <f t="shared" si="347"/>
        <v/>
      </c>
      <c r="NE20" s="356" t="str">
        <f t="shared" si="348"/>
        <v/>
      </c>
      <c r="NF20" s="356" t="str">
        <f t="shared" si="349"/>
        <v/>
      </c>
      <c r="NG20" s="356" t="str">
        <f t="shared" si="350"/>
        <v/>
      </c>
      <c r="NH20" s="356" t="str">
        <f t="shared" si="351"/>
        <v/>
      </c>
      <c r="NI20" s="356" t="str">
        <f t="shared" si="352"/>
        <v/>
      </c>
      <c r="NJ20" s="356" t="str">
        <f t="shared" si="353"/>
        <v/>
      </c>
      <c r="NK20" s="356" t="str">
        <f t="shared" si="354"/>
        <v/>
      </c>
      <c r="NL20" s="356" t="str">
        <f t="shared" si="355"/>
        <v/>
      </c>
      <c r="NM20" s="356" t="str">
        <f t="shared" si="356"/>
        <v/>
      </c>
      <c r="NN20" s="356" t="str">
        <f t="shared" si="357"/>
        <v/>
      </c>
      <c r="NO20" s="1640">
        <f t="shared" si="358"/>
        <v>0</v>
      </c>
      <c r="NP20" s="1640">
        <f t="shared" si="359"/>
        <v>24</v>
      </c>
      <c r="NQ20" s="1640">
        <f t="shared" si="360"/>
        <v>0</v>
      </c>
      <c r="NR20" s="1640">
        <f t="shared" si="361"/>
        <v>0</v>
      </c>
      <c r="NS20" s="1640">
        <f t="shared" si="362"/>
        <v>0</v>
      </c>
      <c r="NT20" s="1640">
        <f t="shared" si="368"/>
        <v>0</v>
      </c>
      <c r="NU20" s="1640">
        <f t="shared" si="369"/>
        <v>0</v>
      </c>
      <c r="NV20" s="1640">
        <f t="shared" si="370"/>
        <v>0</v>
      </c>
      <c r="NW20" s="1640">
        <f t="shared" si="371"/>
        <v>0</v>
      </c>
      <c r="NX20" s="1640">
        <f t="shared" si="372"/>
        <v>0</v>
      </c>
      <c r="NY20" s="1640">
        <f t="shared" si="363"/>
        <v>0</v>
      </c>
      <c r="NZ20" s="1640">
        <f t="shared" si="364"/>
        <v>0</v>
      </c>
      <c r="OA20" s="1640">
        <f t="shared" si="365"/>
        <v>0</v>
      </c>
      <c r="OB20" s="1640">
        <f t="shared" si="366"/>
        <v>0</v>
      </c>
      <c r="OC20" s="1640">
        <f t="shared" si="367"/>
        <v>0</v>
      </c>
      <c r="OY20" s="2499" t="s">
        <v>4306</v>
      </c>
      <c r="OZ20" s="2506">
        <v>20</v>
      </c>
    </row>
    <row r="21" spans="1:416" ht="12" customHeight="1">
      <c r="A21" s="86" t="str">
        <f t="shared" si="0"/>
        <v/>
      </c>
      <c r="B21" s="1055">
        <v>80</v>
      </c>
      <c r="C21" s="132">
        <v>1</v>
      </c>
      <c r="D21" s="1643">
        <v>1</v>
      </c>
      <c r="E21" s="133">
        <v>8</v>
      </c>
      <c r="F21" s="133">
        <v>701</v>
      </c>
      <c r="G21" s="133">
        <v>1714</v>
      </c>
      <c r="H21" s="133">
        <f>1179+J21</f>
        <v>1247</v>
      </c>
      <c r="I21" s="133">
        <v>0</v>
      </c>
      <c r="J21" s="1036">
        <f>IF(C21="",0,HLOOKUP(C21,'Part IV-Utility Allowances'!$I$11:$M$25,15))</f>
        <v>68</v>
      </c>
      <c r="K21" s="630"/>
      <c r="L21" s="460">
        <f t="shared" si="1"/>
        <v>1179</v>
      </c>
      <c r="M21" s="460">
        <f t="shared" si="2"/>
        <v>9432</v>
      </c>
      <c r="N21" s="680" t="s">
        <v>2643</v>
      </c>
      <c r="O21" s="1585" t="s">
        <v>5240</v>
      </c>
      <c r="P21" s="680" t="s">
        <v>906</v>
      </c>
      <c r="Q21" s="134" t="s">
        <v>2643</v>
      </c>
      <c r="R21" s="723"/>
      <c r="S21" s="724"/>
      <c r="T21" s="3613"/>
      <c r="U21" s="3614"/>
      <c r="V21" s="3614"/>
      <c r="W21" s="3615"/>
      <c r="X21" s="356" t="str">
        <f t="shared" si="3"/>
        <v/>
      </c>
      <c r="Y21" s="356">
        <f t="shared" si="4"/>
        <v>8</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f t="shared" si="154"/>
        <v>5608</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356" t="str">
        <f t="shared" si="213"/>
        <v/>
      </c>
      <c r="IA21" s="356" t="str">
        <f t="shared" si="214"/>
        <v/>
      </c>
      <c r="IB21" s="356" t="str">
        <f t="shared" si="215"/>
        <v/>
      </c>
      <c r="IC21" s="356" t="str">
        <f t="shared" si="216"/>
        <v/>
      </c>
      <c r="ID21" s="356" t="str">
        <f t="shared" si="217"/>
        <v/>
      </c>
      <c r="IE21" s="356" t="str">
        <f t="shared" si="218"/>
        <v/>
      </c>
      <c r="IF21" s="356" t="str">
        <f t="shared" si="219"/>
        <v/>
      </c>
      <c r="IG21" s="356" t="str">
        <f t="shared" si="220"/>
        <v/>
      </c>
      <c r="IH21" s="356" t="str">
        <f t="shared" si="221"/>
        <v/>
      </c>
      <c r="II21" s="356" t="str">
        <f t="shared" si="222"/>
        <v/>
      </c>
      <c r="IJ21" s="356" t="str">
        <f t="shared" si="223"/>
        <v/>
      </c>
      <c r="IK21" s="356" t="str">
        <f t="shared" si="224"/>
        <v/>
      </c>
      <c r="IL21" s="356" t="str">
        <f t="shared" si="225"/>
        <v/>
      </c>
      <c r="IM21" s="356" t="str">
        <f t="shared" si="226"/>
        <v/>
      </c>
      <c r="IN21" s="356" t="str">
        <f t="shared" si="227"/>
        <v/>
      </c>
      <c r="IO21" s="356" t="str">
        <f t="shared" si="228"/>
        <v/>
      </c>
      <c r="IP21" s="356" t="str">
        <f t="shared" si="229"/>
        <v/>
      </c>
      <c r="IQ21" s="356" t="str">
        <f t="shared" si="230"/>
        <v/>
      </c>
      <c r="IR21" s="356" t="str">
        <f t="shared" si="231"/>
        <v/>
      </c>
      <c r="IS21" s="356" t="str">
        <f t="shared" si="232"/>
        <v/>
      </c>
      <c r="IT21" s="356" t="str">
        <f t="shared" si="233"/>
        <v/>
      </c>
      <c r="IU21" s="356">
        <f t="shared" si="234"/>
        <v>8</v>
      </c>
      <c r="IV21" s="356" t="str">
        <f t="shared" si="235"/>
        <v/>
      </c>
      <c r="IW21" s="356" t="str">
        <f t="shared" si="236"/>
        <v/>
      </c>
      <c r="IX21" s="356" t="str">
        <f t="shared" si="237"/>
        <v/>
      </c>
      <c r="IY21" s="356" t="str">
        <f t="shared" si="238"/>
        <v/>
      </c>
      <c r="IZ21" s="356" t="str">
        <f t="shared" si="239"/>
        <v/>
      </c>
      <c r="JA21" s="356" t="str">
        <f t="shared" si="240"/>
        <v/>
      </c>
      <c r="JB21" s="356" t="str">
        <f t="shared" si="241"/>
        <v/>
      </c>
      <c r="JC21" s="356" t="str">
        <f t="shared" si="242"/>
        <v/>
      </c>
      <c r="JD21" s="356" t="str">
        <f t="shared" si="243"/>
        <v/>
      </c>
      <c r="JE21" s="356" t="str">
        <f t="shared" si="244"/>
        <v/>
      </c>
      <c r="JF21" s="356" t="str">
        <f t="shared" si="245"/>
        <v/>
      </c>
      <c r="JG21" s="356" t="str">
        <f t="shared" si="246"/>
        <v/>
      </c>
      <c r="JH21" s="356" t="str">
        <f t="shared" si="247"/>
        <v/>
      </c>
      <c r="JI21" s="1785" t="str">
        <f t="shared" si="248"/>
        <v/>
      </c>
      <c r="JJ21" s="1785">
        <f t="shared" si="249"/>
        <v>8</v>
      </c>
      <c r="JK21" s="1785" t="str">
        <f t="shared" si="250"/>
        <v/>
      </c>
      <c r="JL21" s="1785" t="str">
        <f t="shared" si="251"/>
        <v/>
      </c>
      <c r="JM21" s="1785" t="str">
        <f t="shared" si="252"/>
        <v/>
      </c>
      <c r="JN21" s="1785" t="str">
        <f t="shared" si="253"/>
        <v/>
      </c>
      <c r="JO21" s="1785" t="str">
        <f t="shared" si="254"/>
        <v/>
      </c>
      <c r="JP21" s="1785" t="str">
        <f t="shared" si="255"/>
        <v/>
      </c>
      <c r="JQ21" s="1785" t="str">
        <f t="shared" si="256"/>
        <v/>
      </c>
      <c r="JR21" s="1785" t="str">
        <f t="shared" si="257"/>
        <v/>
      </c>
      <c r="JS21" s="1785" t="str">
        <f t="shared" si="258"/>
        <v/>
      </c>
      <c r="JT21" s="1785" t="str">
        <f t="shared" si="259"/>
        <v/>
      </c>
      <c r="JU21" s="1785" t="str">
        <f t="shared" si="260"/>
        <v/>
      </c>
      <c r="JV21" s="1785" t="str">
        <f t="shared" si="261"/>
        <v/>
      </c>
      <c r="JW21" s="1785" t="str">
        <f t="shared" si="262"/>
        <v/>
      </c>
      <c r="JX21" s="1785" t="str">
        <f t="shared" si="263"/>
        <v/>
      </c>
      <c r="JY21" s="1785" t="str">
        <f t="shared" si="264"/>
        <v/>
      </c>
      <c r="JZ21" s="1785" t="str">
        <f t="shared" si="265"/>
        <v/>
      </c>
      <c r="KA21" s="1785" t="str">
        <f t="shared" si="266"/>
        <v/>
      </c>
      <c r="KB21" s="1785" t="str">
        <f t="shared" si="267"/>
        <v/>
      </c>
      <c r="KC21" s="1785" t="str">
        <f t="shared" si="268"/>
        <v/>
      </c>
      <c r="KD21" s="1785" t="str">
        <f t="shared" si="269"/>
        <v/>
      </c>
      <c r="KE21" s="1785" t="str">
        <f t="shared" si="270"/>
        <v/>
      </c>
      <c r="KF21" s="1785" t="str">
        <f t="shared" si="271"/>
        <v/>
      </c>
      <c r="KG21" s="1785" t="str">
        <f t="shared" si="272"/>
        <v/>
      </c>
      <c r="KH21" s="1785" t="str">
        <f t="shared" si="273"/>
        <v/>
      </c>
      <c r="KI21" s="1785" t="str">
        <f t="shared" si="274"/>
        <v/>
      </c>
      <c r="KJ21" s="1785" t="str">
        <f t="shared" si="275"/>
        <v/>
      </c>
      <c r="KK21" s="1785" t="str">
        <f t="shared" si="276"/>
        <v/>
      </c>
      <c r="KL21" s="1785" t="str">
        <f t="shared" si="277"/>
        <v/>
      </c>
      <c r="KM21" s="1785" t="str">
        <f t="shared" si="278"/>
        <v/>
      </c>
      <c r="KN21" s="1785" t="str">
        <f t="shared" si="279"/>
        <v/>
      </c>
      <c r="KO21" s="1785" t="str">
        <f t="shared" si="280"/>
        <v/>
      </c>
      <c r="KP21" s="1785" t="str">
        <f t="shared" si="281"/>
        <v/>
      </c>
      <c r="KQ21" s="1785" t="str">
        <f t="shared" si="282"/>
        <v/>
      </c>
      <c r="KR21" s="1785" t="str">
        <f t="shared" si="283"/>
        <v/>
      </c>
      <c r="KS21" s="1785" t="str">
        <f t="shared" si="284"/>
        <v/>
      </c>
      <c r="KT21" s="1785" t="str">
        <f t="shared" si="285"/>
        <v/>
      </c>
      <c r="KU21" s="1785" t="str">
        <f t="shared" si="286"/>
        <v/>
      </c>
      <c r="KV21" s="1785" t="str">
        <f t="shared" si="287"/>
        <v/>
      </c>
      <c r="KW21" s="1785" t="str">
        <f t="shared" si="288"/>
        <v/>
      </c>
      <c r="KX21" s="1785" t="str">
        <f t="shared" si="289"/>
        <v/>
      </c>
      <c r="KY21" s="1785" t="str">
        <f t="shared" si="290"/>
        <v/>
      </c>
      <c r="KZ21" s="1785" t="str">
        <f t="shared" si="291"/>
        <v/>
      </c>
      <c r="LA21" s="1785" t="str">
        <f t="shared" si="292"/>
        <v/>
      </c>
      <c r="LB21" s="1785" t="str">
        <f t="shared" si="293"/>
        <v/>
      </c>
      <c r="LC21" s="1785" t="str">
        <f t="shared" si="294"/>
        <v/>
      </c>
      <c r="LD21" s="1785" t="str">
        <f t="shared" si="295"/>
        <v/>
      </c>
      <c r="LE21" s="1785" t="str">
        <f t="shared" si="296"/>
        <v/>
      </c>
      <c r="LF21" s="1785" t="str">
        <f t="shared" si="297"/>
        <v/>
      </c>
      <c r="LG21" s="1785" t="str">
        <f t="shared" si="298"/>
        <v/>
      </c>
      <c r="LH21" s="1785">
        <f t="shared" si="299"/>
        <v>8</v>
      </c>
      <c r="LI21" s="1785" t="str">
        <f t="shared" si="300"/>
        <v/>
      </c>
      <c r="LJ21" s="1785" t="str">
        <f t="shared" si="301"/>
        <v/>
      </c>
      <c r="LK21" s="1785" t="str">
        <f t="shared" si="302"/>
        <v/>
      </c>
      <c r="LL21" s="1785" t="str">
        <f t="shared" si="303"/>
        <v/>
      </c>
      <c r="LM21" s="1785" t="str">
        <f t="shared" si="304"/>
        <v/>
      </c>
      <c r="LN21" s="1785" t="str">
        <f t="shared" si="305"/>
        <v/>
      </c>
      <c r="LO21" s="1785" t="str">
        <f t="shared" si="306"/>
        <v/>
      </c>
      <c r="LP21" s="1785" t="str">
        <f t="shared" si="307"/>
        <v/>
      </c>
      <c r="LQ21" s="1785" t="str">
        <f t="shared" si="308"/>
        <v/>
      </c>
      <c r="LR21" s="1785" t="str">
        <f t="shared" si="309"/>
        <v/>
      </c>
      <c r="LS21" s="1785" t="str">
        <f t="shared" si="310"/>
        <v/>
      </c>
      <c r="LT21" s="1785" t="str">
        <f t="shared" si="311"/>
        <v/>
      </c>
      <c r="LU21" s="1785" t="str">
        <f t="shared" si="312"/>
        <v/>
      </c>
      <c r="LV21" s="1785" t="str">
        <f t="shared" si="313"/>
        <v/>
      </c>
      <c r="LW21" s="1785" t="str">
        <f t="shared" si="314"/>
        <v/>
      </c>
      <c r="LX21" s="1785" t="str">
        <f t="shared" si="315"/>
        <v/>
      </c>
      <c r="LY21" s="1785" t="str">
        <f t="shared" si="316"/>
        <v/>
      </c>
      <c r="LZ21" s="1785" t="str">
        <f t="shared" si="317"/>
        <v/>
      </c>
      <c r="MA21" s="1785" t="str">
        <f t="shared" si="318"/>
        <v/>
      </c>
      <c r="MB21" s="1785" t="str">
        <f t="shared" si="319"/>
        <v/>
      </c>
      <c r="MC21" s="1785" t="str">
        <f t="shared" si="320"/>
        <v/>
      </c>
      <c r="MD21" s="1785" t="str">
        <f t="shared" si="321"/>
        <v/>
      </c>
      <c r="ME21" s="1785" t="str">
        <f t="shared" si="322"/>
        <v/>
      </c>
      <c r="MF21" s="1785" t="str">
        <f t="shared" si="323"/>
        <v/>
      </c>
      <c r="MG21" s="1785" t="str">
        <f t="shared" si="324"/>
        <v/>
      </c>
      <c r="MH21" s="1785" t="str">
        <f t="shared" si="325"/>
        <v/>
      </c>
      <c r="MI21" s="1785" t="str">
        <f t="shared" si="326"/>
        <v/>
      </c>
      <c r="MJ21" s="1785" t="str">
        <f t="shared" si="327"/>
        <v/>
      </c>
      <c r="MK21" s="1785" t="str">
        <f t="shared" si="328"/>
        <v/>
      </c>
      <c r="ML21" s="1785" t="str">
        <f t="shared" si="329"/>
        <v/>
      </c>
      <c r="MM21" s="1785" t="str">
        <f t="shared" si="330"/>
        <v/>
      </c>
      <c r="MN21" s="1785" t="str">
        <f t="shared" si="331"/>
        <v/>
      </c>
      <c r="MO21" s="1785" t="str">
        <f t="shared" si="332"/>
        <v/>
      </c>
      <c r="MP21" s="2470" t="str">
        <f t="shared" si="333"/>
        <v/>
      </c>
      <c r="MQ21" s="2470" t="str">
        <f t="shared" si="334"/>
        <v/>
      </c>
      <c r="MR21" s="2470" t="str">
        <f t="shared" si="335"/>
        <v/>
      </c>
      <c r="MS21" s="2470" t="str">
        <f t="shared" si="336"/>
        <v/>
      </c>
      <c r="MT21" s="2470" t="str">
        <f t="shared" si="337"/>
        <v/>
      </c>
      <c r="MU21" s="356" t="str">
        <f t="shared" si="338"/>
        <v/>
      </c>
      <c r="MV21" s="356" t="str">
        <f t="shared" si="339"/>
        <v/>
      </c>
      <c r="MW21" s="356" t="str">
        <f t="shared" si="340"/>
        <v/>
      </c>
      <c r="MX21" s="356" t="str">
        <f t="shared" si="341"/>
        <v/>
      </c>
      <c r="MY21" s="356" t="str">
        <f t="shared" si="342"/>
        <v/>
      </c>
      <c r="MZ21" s="356" t="str">
        <f t="shared" si="343"/>
        <v/>
      </c>
      <c r="NA21" s="356" t="str">
        <f t="shared" si="344"/>
        <v/>
      </c>
      <c r="NB21" s="356" t="str">
        <f t="shared" si="345"/>
        <v/>
      </c>
      <c r="NC21" s="356" t="str">
        <f t="shared" si="346"/>
        <v/>
      </c>
      <c r="ND21" s="356" t="str">
        <f t="shared" si="347"/>
        <v/>
      </c>
      <c r="NE21" s="356" t="str">
        <f t="shared" si="348"/>
        <v/>
      </c>
      <c r="NF21" s="356" t="str">
        <f t="shared" si="349"/>
        <v/>
      </c>
      <c r="NG21" s="356" t="str">
        <f t="shared" si="350"/>
        <v/>
      </c>
      <c r="NH21" s="356" t="str">
        <f t="shared" si="351"/>
        <v/>
      </c>
      <c r="NI21" s="356" t="str">
        <f t="shared" si="352"/>
        <v/>
      </c>
      <c r="NJ21" s="356" t="str">
        <f t="shared" si="353"/>
        <v/>
      </c>
      <c r="NK21" s="356" t="str">
        <f t="shared" si="354"/>
        <v/>
      </c>
      <c r="NL21" s="356" t="str">
        <f t="shared" si="355"/>
        <v/>
      </c>
      <c r="NM21" s="356" t="str">
        <f t="shared" si="356"/>
        <v/>
      </c>
      <c r="NN21" s="356" t="str">
        <f t="shared" si="357"/>
        <v/>
      </c>
      <c r="NO21" s="1640">
        <f t="shared" si="358"/>
        <v>0</v>
      </c>
      <c r="NP21" s="1640">
        <f t="shared" si="359"/>
        <v>8</v>
      </c>
      <c r="NQ21" s="1640">
        <f t="shared" si="360"/>
        <v>0</v>
      </c>
      <c r="NR21" s="1640">
        <f t="shared" si="361"/>
        <v>0</v>
      </c>
      <c r="NS21" s="1640">
        <f t="shared" si="362"/>
        <v>0</v>
      </c>
      <c r="NT21" s="1640">
        <f t="shared" si="368"/>
        <v>0</v>
      </c>
      <c r="NU21" s="1640">
        <f t="shared" si="369"/>
        <v>0</v>
      </c>
      <c r="NV21" s="1640">
        <f t="shared" si="370"/>
        <v>0</v>
      </c>
      <c r="NW21" s="1640">
        <f t="shared" si="371"/>
        <v>0</v>
      </c>
      <c r="NX21" s="1640">
        <f t="shared" si="372"/>
        <v>0</v>
      </c>
      <c r="NY21" s="1640">
        <f t="shared" si="363"/>
        <v>0</v>
      </c>
      <c r="NZ21" s="1640">
        <f t="shared" si="364"/>
        <v>0</v>
      </c>
      <c r="OA21" s="1640">
        <f t="shared" si="365"/>
        <v>0</v>
      </c>
      <c r="OB21" s="1640">
        <f t="shared" si="366"/>
        <v>0</v>
      </c>
      <c r="OC21" s="1640">
        <f t="shared" si="367"/>
        <v>0</v>
      </c>
      <c r="OY21" s="2499" t="s">
        <v>4307</v>
      </c>
      <c r="OZ21" s="2504">
        <v>21</v>
      </c>
    </row>
    <row r="22" spans="1:416" ht="12" customHeight="1">
      <c r="A22" s="86" t="str">
        <f t="shared" si="0"/>
        <v/>
      </c>
      <c r="B22" s="1055">
        <v>30</v>
      </c>
      <c r="C22" s="132">
        <v>2</v>
      </c>
      <c r="D22" s="1643">
        <v>2</v>
      </c>
      <c r="E22" s="133">
        <v>12</v>
      </c>
      <c r="F22" s="133">
        <v>971</v>
      </c>
      <c r="G22" s="133">
        <v>771</v>
      </c>
      <c r="H22" s="133">
        <f>1927+J22</f>
        <v>2013</v>
      </c>
      <c r="I22" s="133">
        <v>0</v>
      </c>
      <c r="J22" s="1036">
        <f>'Part IV-Utility Allowances'!K25</f>
        <v>86</v>
      </c>
      <c r="K22" s="630" t="s">
        <v>5239</v>
      </c>
      <c r="L22" s="460">
        <f t="shared" si="1"/>
        <v>1927</v>
      </c>
      <c r="M22" s="460">
        <f t="shared" si="2"/>
        <v>23124</v>
      </c>
      <c r="N22" s="680" t="s">
        <v>2643</v>
      </c>
      <c r="O22" s="1585" t="s">
        <v>5240</v>
      </c>
      <c r="P22" s="680" t="s">
        <v>906</v>
      </c>
      <c r="Q22" s="134" t="s">
        <v>2643</v>
      </c>
      <c r="R22" s="723"/>
      <c r="S22" s="724"/>
      <c r="T22" s="3613"/>
      <c r="U22" s="3614"/>
      <c r="V22" s="3614"/>
      <c r="W22" s="3615"/>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f t="shared" si="30"/>
        <v>12</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f t="shared" si="50"/>
        <v>12</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f t="shared" si="180"/>
        <v>11652</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f t="shared" si="195"/>
        <v>11652</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356" t="str">
        <f t="shared" si="213"/>
        <v/>
      </c>
      <c r="IA22" s="356" t="str">
        <f t="shared" si="214"/>
        <v/>
      </c>
      <c r="IB22" s="356" t="str">
        <f t="shared" si="215"/>
        <v/>
      </c>
      <c r="IC22" s="356" t="str">
        <f t="shared" si="216"/>
        <v/>
      </c>
      <c r="ID22" s="356" t="str">
        <f t="shared" si="217"/>
        <v/>
      </c>
      <c r="IE22" s="356" t="str">
        <f t="shared" si="218"/>
        <v/>
      </c>
      <c r="IF22" s="356" t="str">
        <f t="shared" si="219"/>
        <v/>
      </c>
      <c r="IG22" s="356" t="str">
        <f t="shared" si="220"/>
        <v/>
      </c>
      <c r="IH22" s="356" t="str">
        <f t="shared" si="221"/>
        <v/>
      </c>
      <c r="II22" s="356" t="str">
        <f t="shared" si="222"/>
        <v/>
      </c>
      <c r="IJ22" s="356" t="str">
        <f t="shared" si="223"/>
        <v/>
      </c>
      <c r="IK22" s="356" t="str">
        <f t="shared" si="224"/>
        <v/>
      </c>
      <c r="IL22" s="356" t="str">
        <f t="shared" si="225"/>
        <v/>
      </c>
      <c r="IM22" s="356" t="str">
        <f t="shared" si="226"/>
        <v/>
      </c>
      <c r="IN22" s="356" t="str">
        <f t="shared" si="227"/>
        <v/>
      </c>
      <c r="IO22" s="356" t="str">
        <f t="shared" si="228"/>
        <v/>
      </c>
      <c r="IP22" s="356" t="str">
        <f t="shared" si="229"/>
        <v/>
      </c>
      <c r="IQ22" s="356" t="str">
        <f t="shared" si="230"/>
        <v/>
      </c>
      <c r="IR22" s="356" t="str">
        <f t="shared" si="231"/>
        <v/>
      </c>
      <c r="IS22" s="356" t="str">
        <f t="shared" si="232"/>
        <v/>
      </c>
      <c r="IT22" s="356" t="str">
        <f t="shared" si="233"/>
        <v/>
      </c>
      <c r="IU22" s="356" t="str">
        <f t="shared" si="234"/>
        <v/>
      </c>
      <c r="IV22" s="356">
        <f t="shared" si="235"/>
        <v>12</v>
      </c>
      <c r="IW22" s="356" t="str">
        <f t="shared" si="236"/>
        <v/>
      </c>
      <c r="IX22" s="356" t="str">
        <f t="shared" si="237"/>
        <v/>
      </c>
      <c r="IY22" s="356" t="str">
        <f t="shared" si="238"/>
        <v/>
      </c>
      <c r="IZ22" s="356" t="str">
        <f t="shared" si="239"/>
        <v/>
      </c>
      <c r="JA22" s="356" t="str">
        <f t="shared" si="240"/>
        <v/>
      </c>
      <c r="JB22" s="356" t="str">
        <f t="shared" si="241"/>
        <v/>
      </c>
      <c r="JC22" s="356" t="str">
        <f t="shared" si="242"/>
        <v/>
      </c>
      <c r="JD22" s="356" t="str">
        <f t="shared" si="243"/>
        <v/>
      </c>
      <c r="JE22" s="356" t="str">
        <f t="shared" si="244"/>
        <v/>
      </c>
      <c r="JF22" s="356" t="str">
        <f t="shared" si="245"/>
        <v/>
      </c>
      <c r="JG22" s="356" t="str">
        <f t="shared" si="246"/>
        <v/>
      </c>
      <c r="JH22" s="356" t="str">
        <f t="shared" si="247"/>
        <v/>
      </c>
      <c r="JI22" s="1785" t="str">
        <f t="shared" si="248"/>
        <v/>
      </c>
      <c r="JJ22" s="1785" t="str">
        <f t="shared" si="249"/>
        <v/>
      </c>
      <c r="JK22" s="1785">
        <f t="shared" si="250"/>
        <v>12</v>
      </c>
      <c r="JL22" s="1785" t="str">
        <f t="shared" si="251"/>
        <v/>
      </c>
      <c r="JM22" s="1785" t="str">
        <f t="shared" si="252"/>
        <v/>
      </c>
      <c r="JN22" s="1785" t="str">
        <f t="shared" si="253"/>
        <v/>
      </c>
      <c r="JO22" s="1785" t="str">
        <f t="shared" si="254"/>
        <v/>
      </c>
      <c r="JP22" s="1785" t="str">
        <f t="shared" si="255"/>
        <v/>
      </c>
      <c r="JQ22" s="1785" t="str">
        <f t="shared" si="256"/>
        <v/>
      </c>
      <c r="JR22" s="1785" t="str">
        <f t="shared" si="257"/>
        <v/>
      </c>
      <c r="JS22" s="1785" t="str">
        <f t="shared" si="258"/>
        <v/>
      </c>
      <c r="JT22" s="1785" t="str">
        <f t="shared" si="259"/>
        <v/>
      </c>
      <c r="JU22" s="1785" t="str">
        <f t="shared" si="260"/>
        <v/>
      </c>
      <c r="JV22" s="1785" t="str">
        <f t="shared" si="261"/>
        <v/>
      </c>
      <c r="JW22" s="1785" t="str">
        <f t="shared" si="262"/>
        <v/>
      </c>
      <c r="JX22" s="1785" t="str">
        <f t="shared" si="263"/>
        <v/>
      </c>
      <c r="JY22" s="1785" t="str">
        <f t="shared" si="264"/>
        <v/>
      </c>
      <c r="JZ22" s="1785" t="str">
        <f t="shared" si="265"/>
        <v/>
      </c>
      <c r="KA22" s="1785" t="str">
        <f t="shared" si="266"/>
        <v/>
      </c>
      <c r="KB22" s="1785" t="str">
        <f t="shared" si="267"/>
        <v/>
      </c>
      <c r="KC22" s="1785" t="str">
        <f t="shared" si="268"/>
        <v/>
      </c>
      <c r="KD22" s="1785" t="str">
        <f t="shared" si="269"/>
        <v/>
      </c>
      <c r="KE22" s="1785" t="str">
        <f t="shared" si="270"/>
        <v/>
      </c>
      <c r="KF22" s="1785" t="str">
        <f t="shared" si="271"/>
        <v/>
      </c>
      <c r="KG22" s="1785" t="str">
        <f t="shared" si="272"/>
        <v/>
      </c>
      <c r="KH22" s="1785" t="str">
        <f t="shared" si="273"/>
        <v/>
      </c>
      <c r="KI22" s="1785" t="str">
        <f t="shared" si="274"/>
        <v/>
      </c>
      <c r="KJ22" s="1785" t="str">
        <f t="shared" si="275"/>
        <v/>
      </c>
      <c r="KK22" s="1785" t="str">
        <f t="shared" si="276"/>
        <v/>
      </c>
      <c r="KL22" s="1785" t="str">
        <f t="shared" si="277"/>
        <v/>
      </c>
      <c r="KM22" s="1785" t="str">
        <f t="shared" si="278"/>
        <v/>
      </c>
      <c r="KN22" s="1785" t="str">
        <f t="shared" si="279"/>
        <v/>
      </c>
      <c r="KO22" s="1785" t="str">
        <f t="shared" si="280"/>
        <v/>
      </c>
      <c r="KP22" s="1785" t="str">
        <f t="shared" si="281"/>
        <v/>
      </c>
      <c r="KQ22" s="1785" t="str">
        <f t="shared" si="282"/>
        <v/>
      </c>
      <c r="KR22" s="1785" t="str">
        <f t="shared" si="283"/>
        <v/>
      </c>
      <c r="KS22" s="1785" t="str">
        <f t="shared" si="284"/>
        <v/>
      </c>
      <c r="KT22" s="1785" t="str">
        <f t="shared" si="285"/>
        <v/>
      </c>
      <c r="KU22" s="1785" t="str">
        <f t="shared" si="286"/>
        <v/>
      </c>
      <c r="KV22" s="1785" t="str">
        <f t="shared" si="287"/>
        <v/>
      </c>
      <c r="KW22" s="1785" t="str">
        <f t="shared" si="288"/>
        <v/>
      </c>
      <c r="KX22" s="1785" t="str">
        <f t="shared" si="289"/>
        <v/>
      </c>
      <c r="KY22" s="1785" t="str">
        <f t="shared" si="290"/>
        <v/>
      </c>
      <c r="KZ22" s="1785" t="str">
        <f t="shared" si="291"/>
        <v/>
      </c>
      <c r="LA22" s="1785" t="str">
        <f t="shared" si="292"/>
        <v/>
      </c>
      <c r="LB22" s="1785" t="str">
        <f t="shared" si="293"/>
        <v/>
      </c>
      <c r="LC22" s="1785" t="str">
        <f t="shared" si="294"/>
        <v/>
      </c>
      <c r="LD22" s="1785" t="str">
        <f t="shared" si="295"/>
        <v/>
      </c>
      <c r="LE22" s="1785" t="str">
        <f t="shared" si="296"/>
        <v/>
      </c>
      <c r="LF22" s="1785" t="str">
        <f t="shared" si="297"/>
        <v/>
      </c>
      <c r="LG22" s="1785" t="str">
        <f t="shared" si="298"/>
        <v/>
      </c>
      <c r="LH22" s="1785" t="str">
        <f t="shared" si="299"/>
        <v/>
      </c>
      <c r="LI22" s="1785">
        <f t="shared" si="300"/>
        <v>12</v>
      </c>
      <c r="LJ22" s="1785" t="str">
        <f t="shared" si="301"/>
        <v/>
      </c>
      <c r="LK22" s="1785" t="str">
        <f t="shared" si="302"/>
        <v/>
      </c>
      <c r="LL22" s="1785" t="str">
        <f t="shared" si="303"/>
        <v/>
      </c>
      <c r="LM22" s="1785" t="str">
        <f t="shared" si="304"/>
        <v/>
      </c>
      <c r="LN22" s="1785" t="str">
        <f t="shared" si="305"/>
        <v/>
      </c>
      <c r="LO22" s="1785" t="str">
        <f t="shared" si="306"/>
        <v/>
      </c>
      <c r="LP22" s="1785" t="str">
        <f t="shared" si="307"/>
        <v/>
      </c>
      <c r="LQ22" s="1785" t="str">
        <f t="shared" si="308"/>
        <v/>
      </c>
      <c r="LR22" s="1785" t="str">
        <f t="shared" si="309"/>
        <v/>
      </c>
      <c r="LS22" s="1785" t="str">
        <f t="shared" si="310"/>
        <v/>
      </c>
      <c r="LT22" s="1785" t="str">
        <f t="shared" si="311"/>
        <v/>
      </c>
      <c r="LU22" s="1785" t="str">
        <f t="shared" si="312"/>
        <v/>
      </c>
      <c r="LV22" s="1785" t="str">
        <f t="shared" si="313"/>
        <v/>
      </c>
      <c r="LW22" s="1785" t="str">
        <f t="shared" si="314"/>
        <v/>
      </c>
      <c r="LX22" s="1785" t="str">
        <f t="shared" si="315"/>
        <v/>
      </c>
      <c r="LY22" s="1785" t="str">
        <f t="shared" si="316"/>
        <v/>
      </c>
      <c r="LZ22" s="1785" t="str">
        <f t="shared" si="317"/>
        <v/>
      </c>
      <c r="MA22" s="1785" t="str">
        <f t="shared" si="318"/>
        <v/>
      </c>
      <c r="MB22" s="1785" t="str">
        <f t="shared" si="319"/>
        <v/>
      </c>
      <c r="MC22" s="1785" t="str">
        <f t="shared" si="320"/>
        <v/>
      </c>
      <c r="MD22" s="1785" t="str">
        <f t="shared" si="321"/>
        <v/>
      </c>
      <c r="ME22" s="1785" t="str">
        <f t="shared" si="322"/>
        <v/>
      </c>
      <c r="MF22" s="1785" t="str">
        <f t="shared" si="323"/>
        <v/>
      </c>
      <c r="MG22" s="1785" t="str">
        <f t="shared" si="324"/>
        <v/>
      </c>
      <c r="MH22" s="1785" t="str">
        <f t="shared" si="325"/>
        <v/>
      </c>
      <c r="MI22" s="1785" t="str">
        <f t="shared" si="326"/>
        <v/>
      </c>
      <c r="MJ22" s="1785" t="str">
        <f t="shared" si="327"/>
        <v/>
      </c>
      <c r="MK22" s="1785" t="str">
        <f t="shared" si="328"/>
        <v/>
      </c>
      <c r="ML22" s="1785" t="str">
        <f t="shared" si="329"/>
        <v/>
      </c>
      <c r="MM22" s="1785" t="str">
        <f t="shared" si="330"/>
        <v/>
      </c>
      <c r="MN22" s="1785" t="str">
        <f t="shared" si="331"/>
        <v/>
      </c>
      <c r="MO22" s="1785" t="str">
        <f t="shared" si="332"/>
        <v/>
      </c>
      <c r="MP22" s="2470" t="str">
        <f t="shared" si="333"/>
        <v/>
      </c>
      <c r="MQ22" s="2470" t="str">
        <f t="shared" si="334"/>
        <v/>
      </c>
      <c r="MR22" s="2470" t="str">
        <f t="shared" si="335"/>
        <v/>
      </c>
      <c r="MS22" s="2470" t="str">
        <f t="shared" si="336"/>
        <v/>
      </c>
      <c r="MT22" s="2470" t="str">
        <f t="shared" si="337"/>
        <v/>
      </c>
      <c r="MU22" s="356" t="str">
        <f t="shared" si="338"/>
        <v/>
      </c>
      <c r="MV22" s="356" t="str">
        <f t="shared" si="339"/>
        <v/>
      </c>
      <c r="MW22" s="356" t="str">
        <f t="shared" si="340"/>
        <v/>
      </c>
      <c r="MX22" s="356" t="str">
        <f t="shared" si="341"/>
        <v/>
      </c>
      <c r="MY22" s="356" t="str">
        <f t="shared" si="342"/>
        <v/>
      </c>
      <c r="MZ22" s="356" t="str">
        <f t="shared" si="343"/>
        <v/>
      </c>
      <c r="NA22" s="356" t="str">
        <f t="shared" si="344"/>
        <v/>
      </c>
      <c r="NB22" s="356" t="str">
        <f t="shared" si="345"/>
        <v/>
      </c>
      <c r="NC22" s="356" t="str">
        <f t="shared" si="346"/>
        <v/>
      </c>
      <c r="ND22" s="356" t="str">
        <f t="shared" si="347"/>
        <v/>
      </c>
      <c r="NE22" s="356" t="str">
        <f t="shared" si="348"/>
        <v/>
      </c>
      <c r="NF22" s="356" t="str">
        <f t="shared" si="349"/>
        <v/>
      </c>
      <c r="NG22" s="356" t="str">
        <f t="shared" si="350"/>
        <v/>
      </c>
      <c r="NH22" s="356" t="str">
        <f t="shared" si="351"/>
        <v/>
      </c>
      <c r="NI22" s="356" t="str">
        <f t="shared" si="352"/>
        <v/>
      </c>
      <c r="NJ22" s="356" t="str">
        <f t="shared" si="353"/>
        <v/>
      </c>
      <c r="NK22" s="356" t="str">
        <f t="shared" si="354"/>
        <v/>
      </c>
      <c r="NL22" s="356" t="str">
        <f t="shared" si="355"/>
        <v/>
      </c>
      <c r="NM22" s="356" t="str">
        <f t="shared" si="356"/>
        <v/>
      </c>
      <c r="NN22" s="356" t="str">
        <f t="shared" si="357"/>
        <v/>
      </c>
      <c r="NO22" s="1640">
        <f t="shared" si="358"/>
        <v>0</v>
      </c>
      <c r="NP22" s="1640">
        <f t="shared" si="359"/>
        <v>0</v>
      </c>
      <c r="NQ22" s="1640">
        <f t="shared" si="360"/>
        <v>12</v>
      </c>
      <c r="NR22" s="1640">
        <f t="shared" si="361"/>
        <v>0</v>
      </c>
      <c r="NS22" s="1640">
        <f t="shared" si="362"/>
        <v>0</v>
      </c>
      <c r="NT22" s="1640">
        <f t="shared" si="368"/>
        <v>0</v>
      </c>
      <c r="NU22" s="1640">
        <f t="shared" si="369"/>
        <v>0</v>
      </c>
      <c r="NV22" s="1640">
        <f t="shared" si="370"/>
        <v>0</v>
      </c>
      <c r="NW22" s="1640">
        <f t="shared" si="371"/>
        <v>0</v>
      </c>
      <c r="NX22" s="1640">
        <f t="shared" si="372"/>
        <v>0</v>
      </c>
      <c r="NY22" s="1640">
        <f t="shared" si="363"/>
        <v>0</v>
      </c>
      <c r="NZ22" s="1640">
        <f t="shared" si="364"/>
        <v>0</v>
      </c>
      <c r="OA22" s="1640">
        <f t="shared" si="365"/>
        <v>0</v>
      </c>
      <c r="OB22" s="1640">
        <f t="shared" si="366"/>
        <v>0</v>
      </c>
      <c r="OC22" s="1640">
        <f t="shared" si="367"/>
        <v>0</v>
      </c>
      <c r="OY22" s="2499" t="s">
        <v>4308</v>
      </c>
      <c r="OZ22" s="2503">
        <v>22</v>
      </c>
    </row>
    <row r="23" spans="1:416" ht="12" customHeight="1">
      <c r="A23" s="86" t="str">
        <f t="shared" si="0"/>
        <v/>
      </c>
      <c r="B23" s="1055">
        <v>50</v>
      </c>
      <c r="C23" s="132">
        <v>2</v>
      </c>
      <c r="D23" s="1643">
        <v>2</v>
      </c>
      <c r="E23" s="133">
        <v>12</v>
      </c>
      <c r="F23" s="133">
        <v>971</v>
      </c>
      <c r="G23" s="133">
        <v>1285</v>
      </c>
      <c r="H23" s="133">
        <f>1199+J23</f>
        <v>1285</v>
      </c>
      <c r="I23" s="133">
        <v>0</v>
      </c>
      <c r="J23" s="1036">
        <f>IF(C23="",0,HLOOKUP(C23,'Part IV-Utility Allowances'!$I$11:$M$25,15))</f>
        <v>86</v>
      </c>
      <c r="K23" s="630"/>
      <c r="L23" s="460">
        <f t="shared" si="1"/>
        <v>1199</v>
      </c>
      <c r="M23" s="460">
        <f t="shared" si="2"/>
        <v>14388</v>
      </c>
      <c r="N23" s="680" t="s">
        <v>2643</v>
      </c>
      <c r="O23" s="1585" t="s">
        <v>5240</v>
      </c>
      <c r="P23" s="680" t="s">
        <v>906</v>
      </c>
      <c r="Q23" s="134" t="s">
        <v>2643</v>
      </c>
      <c r="R23" s="723"/>
      <c r="S23" s="724"/>
      <c r="T23" s="3613"/>
      <c r="U23" s="3614"/>
      <c r="V23" s="3614"/>
      <c r="W23" s="3615"/>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f t="shared" si="20"/>
        <v>12</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11652</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356" t="str">
        <f t="shared" si="213"/>
        <v/>
      </c>
      <c r="IA23" s="356" t="str">
        <f t="shared" si="214"/>
        <v/>
      </c>
      <c r="IB23" s="356" t="str">
        <f t="shared" si="215"/>
        <v/>
      </c>
      <c r="IC23" s="356" t="str">
        <f t="shared" si="216"/>
        <v/>
      </c>
      <c r="ID23" s="356" t="str">
        <f t="shared" si="217"/>
        <v/>
      </c>
      <c r="IE23" s="356" t="str">
        <f t="shared" si="218"/>
        <v/>
      </c>
      <c r="IF23" s="356" t="str">
        <f t="shared" si="219"/>
        <v/>
      </c>
      <c r="IG23" s="356" t="str">
        <f t="shared" si="220"/>
        <v/>
      </c>
      <c r="IH23" s="356" t="str">
        <f t="shared" si="221"/>
        <v/>
      </c>
      <c r="II23" s="356" t="str">
        <f t="shared" si="222"/>
        <v/>
      </c>
      <c r="IJ23" s="356" t="str">
        <f t="shared" si="223"/>
        <v/>
      </c>
      <c r="IK23" s="356" t="str">
        <f t="shared" si="224"/>
        <v/>
      </c>
      <c r="IL23" s="356" t="str">
        <f t="shared" si="225"/>
        <v/>
      </c>
      <c r="IM23" s="356" t="str">
        <f t="shared" si="226"/>
        <v/>
      </c>
      <c r="IN23" s="356" t="str">
        <f t="shared" si="227"/>
        <v/>
      </c>
      <c r="IO23" s="356" t="str">
        <f t="shared" si="228"/>
        <v/>
      </c>
      <c r="IP23" s="356" t="str">
        <f t="shared" si="229"/>
        <v/>
      </c>
      <c r="IQ23" s="356" t="str">
        <f t="shared" si="230"/>
        <v/>
      </c>
      <c r="IR23" s="356" t="str">
        <f t="shared" si="231"/>
        <v/>
      </c>
      <c r="IS23" s="356" t="str">
        <f t="shared" si="232"/>
        <v/>
      </c>
      <c r="IT23" s="356" t="str">
        <f t="shared" si="233"/>
        <v/>
      </c>
      <c r="IU23" s="356" t="str">
        <f t="shared" si="234"/>
        <v/>
      </c>
      <c r="IV23" s="356">
        <f t="shared" si="235"/>
        <v>12</v>
      </c>
      <c r="IW23" s="356" t="str">
        <f t="shared" si="236"/>
        <v/>
      </c>
      <c r="IX23" s="356" t="str">
        <f t="shared" si="237"/>
        <v/>
      </c>
      <c r="IY23" s="356" t="str">
        <f t="shared" si="238"/>
        <v/>
      </c>
      <c r="IZ23" s="356" t="str">
        <f t="shared" si="239"/>
        <v/>
      </c>
      <c r="JA23" s="356" t="str">
        <f t="shared" si="240"/>
        <v/>
      </c>
      <c r="JB23" s="356" t="str">
        <f t="shared" si="241"/>
        <v/>
      </c>
      <c r="JC23" s="356" t="str">
        <f t="shared" si="242"/>
        <v/>
      </c>
      <c r="JD23" s="356" t="str">
        <f t="shared" si="243"/>
        <v/>
      </c>
      <c r="JE23" s="356" t="str">
        <f t="shared" si="244"/>
        <v/>
      </c>
      <c r="JF23" s="356" t="str">
        <f t="shared" si="245"/>
        <v/>
      </c>
      <c r="JG23" s="356" t="str">
        <f t="shared" si="246"/>
        <v/>
      </c>
      <c r="JH23" s="356" t="str">
        <f t="shared" si="247"/>
        <v/>
      </c>
      <c r="JI23" s="1785" t="str">
        <f t="shared" si="248"/>
        <v/>
      </c>
      <c r="JJ23" s="1785" t="str">
        <f t="shared" si="249"/>
        <v/>
      </c>
      <c r="JK23" s="1785">
        <f t="shared" si="250"/>
        <v>12</v>
      </c>
      <c r="JL23" s="1785" t="str">
        <f t="shared" si="251"/>
        <v/>
      </c>
      <c r="JM23" s="1785" t="str">
        <f t="shared" si="252"/>
        <v/>
      </c>
      <c r="JN23" s="1785" t="str">
        <f t="shared" si="253"/>
        <v/>
      </c>
      <c r="JO23" s="1785" t="str">
        <f t="shared" si="254"/>
        <v/>
      </c>
      <c r="JP23" s="1785" t="str">
        <f t="shared" si="255"/>
        <v/>
      </c>
      <c r="JQ23" s="1785" t="str">
        <f t="shared" si="256"/>
        <v/>
      </c>
      <c r="JR23" s="1785" t="str">
        <f t="shared" si="257"/>
        <v/>
      </c>
      <c r="JS23" s="1785" t="str">
        <f t="shared" si="258"/>
        <v/>
      </c>
      <c r="JT23" s="1785" t="str">
        <f t="shared" si="259"/>
        <v/>
      </c>
      <c r="JU23" s="1785" t="str">
        <f t="shared" si="260"/>
        <v/>
      </c>
      <c r="JV23" s="1785" t="str">
        <f t="shared" si="261"/>
        <v/>
      </c>
      <c r="JW23" s="1785" t="str">
        <f t="shared" si="262"/>
        <v/>
      </c>
      <c r="JX23" s="1785" t="str">
        <f t="shared" si="263"/>
        <v/>
      </c>
      <c r="JY23" s="1785" t="str">
        <f t="shared" si="264"/>
        <v/>
      </c>
      <c r="JZ23" s="1785" t="str">
        <f t="shared" si="265"/>
        <v/>
      </c>
      <c r="KA23" s="1785" t="str">
        <f t="shared" si="266"/>
        <v/>
      </c>
      <c r="KB23" s="1785" t="str">
        <f t="shared" si="267"/>
        <v/>
      </c>
      <c r="KC23" s="1785" t="str">
        <f t="shared" si="268"/>
        <v/>
      </c>
      <c r="KD23" s="1785" t="str">
        <f t="shared" si="269"/>
        <v/>
      </c>
      <c r="KE23" s="1785" t="str">
        <f t="shared" si="270"/>
        <v/>
      </c>
      <c r="KF23" s="1785" t="str">
        <f t="shared" si="271"/>
        <v/>
      </c>
      <c r="KG23" s="1785" t="str">
        <f t="shared" si="272"/>
        <v/>
      </c>
      <c r="KH23" s="1785" t="str">
        <f t="shared" si="273"/>
        <v/>
      </c>
      <c r="KI23" s="1785" t="str">
        <f t="shared" si="274"/>
        <v/>
      </c>
      <c r="KJ23" s="1785" t="str">
        <f t="shared" si="275"/>
        <v/>
      </c>
      <c r="KK23" s="1785" t="str">
        <f t="shared" si="276"/>
        <v/>
      </c>
      <c r="KL23" s="1785" t="str">
        <f t="shared" si="277"/>
        <v/>
      </c>
      <c r="KM23" s="1785" t="str">
        <f t="shared" si="278"/>
        <v/>
      </c>
      <c r="KN23" s="1785" t="str">
        <f t="shared" si="279"/>
        <v/>
      </c>
      <c r="KO23" s="1785" t="str">
        <f t="shared" si="280"/>
        <v/>
      </c>
      <c r="KP23" s="1785" t="str">
        <f t="shared" si="281"/>
        <v/>
      </c>
      <c r="KQ23" s="1785" t="str">
        <f t="shared" si="282"/>
        <v/>
      </c>
      <c r="KR23" s="1785" t="str">
        <f t="shared" si="283"/>
        <v/>
      </c>
      <c r="KS23" s="1785" t="str">
        <f t="shared" si="284"/>
        <v/>
      </c>
      <c r="KT23" s="1785" t="str">
        <f t="shared" si="285"/>
        <v/>
      </c>
      <c r="KU23" s="1785" t="str">
        <f t="shared" si="286"/>
        <v/>
      </c>
      <c r="KV23" s="1785" t="str">
        <f t="shared" si="287"/>
        <v/>
      </c>
      <c r="KW23" s="1785" t="str">
        <f t="shared" si="288"/>
        <v/>
      </c>
      <c r="KX23" s="1785" t="str">
        <f t="shared" si="289"/>
        <v/>
      </c>
      <c r="KY23" s="1785" t="str">
        <f t="shared" si="290"/>
        <v/>
      </c>
      <c r="KZ23" s="1785" t="str">
        <f t="shared" si="291"/>
        <v/>
      </c>
      <c r="LA23" s="1785" t="str">
        <f t="shared" si="292"/>
        <v/>
      </c>
      <c r="LB23" s="1785" t="str">
        <f t="shared" si="293"/>
        <v/>
      </c>
      <c r="LC23" s="1785" t="str">
        <f t="shared" si="294"/>
        <v/>
      </c>
      <c r="LD23" s="1785" t="str">
        <f t="shared" si="295"/>
        <v/>
      </c>
      <c r="LE23" s="1785" t="str">
        <f t="shared" si="296"/>
        <v/>
      </c>
      <c r="LF23" s="1785" t="str">
        <f t="shared" si="297"/>
        <v/>
      </c>
      <c r="LG23" s="1785" t="str">
        <f t="shared" si="298"/>
        <v/>
      </c>
      <c r="LH23" s="1785" t="str">
        <f t="shared" si="299"/>
        <v/>
      </c>
      <c r="LI23" s="1785">
        <f t="shared" si="300"/>
        <v>12</v>
      </c>
      <c r="LJ23" s="1785" t="str">
        <f t="shared" si="301"/>
        <v/>
      </c>
      <c r="LK23" s="1785" t="str">
        <f t="shared" si="302"/>
        <v/>
      </c>
      <c r="LL23" s="1785" t="str">
        <f t="shared" si="303"/>
        <v/>
      </c>
      <c r="LM23" s="1785" t="str">
        <f t="shared" si="304"/>
        <v/>
      </c>
      <c r="LN23" s="1785" t="str">
        <f t="shared" si="305"/>
        <v/>
      </c>
      <c r="LO23" s="1785" t="str">
        <f t="shared" si="306"/>
        <v/>
      </c>
      <c r="LP23" s="1785" t="str">
        <f t="shared" si="307"/>
        <v/>
      </c>
      <c r="LQ23" s="1785" t="str">
        <f t="shared" si="308"/>
        <v/>
      </c>
      <c r="LR23" s="1785" t="str">
        <f t="shared" si="309"/>
        <v/>
      </c>
      <c r="LS23" s="1785" t="str">
        <f t="shared" si="310"/>
        <v/>
      </c>
      <c r="LT23" s="1785" t="str">
        <f t="shared" si="311"/>
        <v/>
      </c>
      <c r="LU23" s="1785" t="str">
        <f t="shared" si="312"/>
        <v/>
      </c>
      <c r="LV23" s="1785" t="str">
        <f t="shared" si="313"/>
        <v/>
      </c>
      <c r="LW23" s="1785" t="str">
        <f t="shared" si="314"/>
        <v/>
      </c>
      <c r="LX23" s="1785" t="str">
        <f t="shared" si="315"/>
        <v/>
      </c>
      <c r="LY23" s="1785" t="str">
        <f t="shared" si="316"/>
        <v/>
      </c>
      <c r="LZ23" s="1785" t="str">
        <f t="shared" si="317"/>
        <v/>
      </c>
      <c r="MA23" s="1785" t="str">
        <f t="shared" si="318"/>
        <v/>
      </c>
      <c r="MB23" s="1785" t="str">
        <f t="shared" si="319"/>
        <v/>
      </c>
      <c r="MC23" s="1785" t="str">
        <f t="shared" si="320"/>
        <v/>
      </c>
      <c r="MD23" s="1785" t="str">
        <f t="shared" si="321"/>
        <v/>
      </c>
      <c r="ME23" s="1785" t="str">
        <f t="shared" si="322"/>
        <v/>
      </c>
      <c r="MF23" s="1785" t="str">
        <f t="shared" si="323"/>
        <v/>
      </c>
      <c r="MG23" s="1785" t="str">
        <f t="shared" si="324"/>
        <v/>
      </c>
      <c r="MH23" s="1785" t="str">
        <f t="shared" si="325"/>
        <v/>
      </c>
      <c r="MI23" s="1785" t="str">
        <f t="shared" si="326"/>
        <v/>
      </c>
      <c r="MJ23" s="1785" t="str">
        <f t="shared" si="327"/>
        <v/>
      </c>
      <c r="MK23" s="1785" t="str">
        <f t="shared" si="328"/>
        <v/>
      </c>
      <c r="ML23" s="1785" t="str">
        <f t="shared" si="329"/>
        <v/>
      </c>
      <c r="MM23" s="1785" t="str">
        <f t="shared" si="330"/>
        <v/>
      </c>
      <c r="MN23" s="1785" t="str">
        <f t="shared" si="331"/>
        <v/>
      </c>
      <c r="MO23" s="1785" t="str">
        <f t="shared" si="332"/>
        <v/>
      </c>
      <c r="MP23" s="2470" t="str">
        <f t="shared" si="333"/>
        <v/>
      </c>
      <c r="MQ23" s="2470" t="str">
        <f t="shared" si="334"/>
        <v/>
      </c>
      <c r="MR23" s="2470" t="str">
        <f t="shared" si="335"/>
        <v/>
      </c>
      <c r="MS23" s="2470" t="str">
        <f t="shared" si="336"/>
        <v/>
      </c>
      <c r="MT23" s="2470" t="str">
        <f t="shared" si="337"/>
        <v/>
      </c>
      <c r="MU23" s="356" t="str">
        <f t="shared" si="338"/>
        <v/>
      </c>
      <c r="MV23" s="356" t="str">
        <f t="shared" si="339"/>
        <v/>
      </c>
      <c r="MW23" s="356" t="str">
        <f t="shared" si="340"/>
        <v/>
      </c>
      <c r="MX23" s="356" t="str">
        <f t="shared" si="341"/>
        <v/>
      </c>
      <c r="MY23" s="356" t="str">
        <f t="shared" si="342"/>
        <v/>
      </c>
      <c r="MZ23" s="356" t="str">
        <f t="shared" si="343"/>
        <v/>
      </c>
      <c r="NA23" s="356" t="str">
        <f t="shared" si="344"/>
        <v/>
      </c>
      <c r="NB23" s="356" t="str">
        <f t="shared" si="345"/>
        <v/>
      </c>
      <c r="NC23" s="356" t="str">
        <f t="shared" si="346"/>
        <v/>
      </c>
      <c r="ND23" s="356" t="str">
        <f t="shared" si="347"/>
        <v/>
      </c>
      <c r="NE23" s="356" t="str">
        <f t="shared" si="348"/>
        <v/>
      </c>
      <c r="NF23" s="356" t="str">
        <f t="shared" si="349"/>
        <v/>
      </c>
      <c r="NG23" s="356" t="str">
        <f t="shared" si="350"/>
        <v/>
      </c>
      <c r="NH23" s="356" t="str">
        <f t="shared" si="351"/>
        <v/>
      </c>
      <c r="NI23" s="356" t="str">
        <f t="shared" si="352"/>
        <v/>
      </c>
      <c r="NJ23" s="356" t="str">
        <f t="shared" si="353"/>
        <v/>
      </c>
      <c r="NK23" s="356" t="str">
        <f t="shared" si="354"/>
        <v/>
      </c>
      <c r="NL23" s="356" t="str">
        <f t="shared" si="355"/>
        <v/>
      </c>
      <c r="NM23" s="356" t="str">
        <f t="shared" si="356"/>
        <v/>
      </c>
      <c r="NN23" s="356" t="str">
        <f t="shared" si="357"/>
        <v/>
      </c>
      <c r="NO23" s="1640">
        <f t="shared" si="358"/>
        <v>0</v>
      </c>
      <c r="NP23" s="1640">
        <f t="shared" si="359"/>
        <v>0</v>
      </c>
      <c r="NQ23" s="1640">
        <f t="shared" si="360"/>
        <v>12</v>
      </c>
      <c r="NR23" s="1640">
        <f t="shared" si="361"/>
        <v>0</v>
      </c>
      <c r="NS23" s="1640">
        <f t="shared" si="362"/>
        <v>0</v>
      </c>
      <c r="NT23" s="1640">
        <f t="shared" si="368"/>
        <v>0</v>
      </c>
      <c r="NU23" s="1640">
        <f t="shared" si="369"/>
        <v>0</v>
      </c>
      <c r="NV23" s="1640">
        <f t="shared" si="370"/>
        <v>0</v>
      </c>
      <c r="NW23" s="1640">
        <f t="shared" si="371"/>
        <v>0</v>
      </c>
      <c r="NX23" s="1640">
        <f t="shared" si="372"/>
        <v>0</v>
      </c>
      <c r="NY23" s="1640">
        <f t="shared" si="363"/>
        <v>0</v>
      </c>
      <c r="NZ23" s="1640">
        <f t="shared" si="364"/>
        <v>0</v>
      </c>
      <c r="OA23" s="1640">
        <f t="shared" si="365"/>
        <v>0</v>
      </c>
      <c r="OB23" s="1640">
        <f t="shared" si="366"/>
        <v>0</v>
      </c>
      <c r="OC23" s="1640">
        <f t="shared" si="367"/>
        <v>0</v>
      </c>
      <c r="OY23" s="2499" t="s">
        <v>4309</v>
      </c>
      <c r="OZ23" s="2504">
        <v>23</v>
      </c>
    </row>
    <row r="24" spans="1:416" ht="12" customHeight="1">
      <c r="A24" s="86" t="str">
        <f t="shared" si="0"/>
        <v/>
      </c>
      <c r="B24" s="1055">
        <v>60</v>
      </c>
      <c r="C24" s="132">
        <v>2</v>
      </c>
      <c r="D24" s="1643">
        <v>2</v>
      </c>
      <c r="E24" s="133">
        <v>72</v>
      </c>
      <c r="F24" s="133">
        <v>971</v>
      </c>
      <c r="G24" s="133">
        <v>1542</v>
      </c>
      <c r="H24" s="133">
        <f>1383+J24</f>
        <v>1469</v>
      </c>
      <c r="I24" s="133">
        <v>0</v>
      </c>
      <c r="J24" s="1036">
        <f>IF(C24="",0,HLOOKUP(C24,'Part IV-Utility Allowances'!$I$11:$M$25,15))</f>
        <v>86</v>
      </c>
      <c r="K24" s="630"/>
      <c r="L24" s="460">
        <f t="shared" si="1"/>
        <v>1383</v>
      </c>
      <c r="M24" s="460">
        <f t="shared" si="2"/>
        <v>99576</v>
      </c>
      <c r="N24" s="680" t="s">
        <v>2643</v>
      </c>
      <c r="O24" s="1585" t="s">
        <v>5240</v>
      </c>
      <c r="P24" s="680" t="s">
        <v>906</v>
      </c>
      <c r="Q24" s="134" t="s">
        <v>2643</v>
      </c>
      <c r="R24" s="723"/>
      <c r="S24" s="724"/>
      <c r="T24" s="3613"/>
      <c r="U24" s="3614"/>
      <c r="V24" s="3614"/>
      <c r="W24" s="3615"/>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f t="shared" si="15"/>
        <v>72</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f t="shared" si="165"/>
        <v>69912</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356" t="str">
        <f t="shared" si="213"/>
        <v/>
      </c>
      <c r="IA24" s="356" t="str">
        <f t="shared" si="214"/>
        <v/>
      </c>
      <c r="IB24" s="356" t="str">
        <f t="shared" si="215"/>
        <v/>
      </c>
      <c r="IC24" s="356" t="str">
        <f t="shared" si="216"/>
        <v/>
      </c>
      <c r="ID24" s="356" t="str">
        <f t="shared" si="217"/>
        <v/>
      </c>
      <c r="IE24" s="356" t="str">
        <f t="shared" si="218"/>
        <v/>
      </c>
      <c r="IF24" s="356" t="str">
        <f t="shared" si="219"/>
        <v/>
      </c>
      <c r="IG24" s="356" t="str">
        <f t="shared" si="220"/>
        <v/>
      </c>
      <c r="IH24" s="356" t="str">
        <f t="shared" si="221"/>
        <v/>
      </c>
      <c r="II24" s="356" t="str">
        <f t="shared" si="222"/>
        <v/>
      </c>
      <c r="IJ24" s="356" t="str">
        <f t="shared" si="223"/>
        <v/>
      </c>
      <c r="IK24" s="356" t="str">
        <f t="shared" si="224"/>
        <v/>
      </c>
      <c r="IL24" s="356" t="str">
        <f t="shared" si="225"/>
        <v/>
      </c>
      <c r="IM24" s="356" t="str">
        <f t="shared" si="226"/>
        <v/>
      </c>
      <c r="IN24" s="356" t="str">
        <f t="shared" si="227"/>
        <v/>
      </c>
      <c r="IO24" s="356" t="str">
        <f t="shared" si="228"/>
        <v/>
      </c>
      <c r="IP24" s="356" t="str">
        <f t="shared" si="229"/>
        <v/>
      </c>
      <c r="IQ24" s="356" t="str">
        <f t="shared" si="230"/>
        <v/>
      </c>
      <c r="IR24" s="356" t="str">
        <f t="shared" si="231"/>
        <v/>
      </c>
      <c r="IS24" s="356" t="str">
        <f t="shared" si="232"/>
        <v/>
      </c>
      <c r="IT24" s="356" t="str">
        <f t="shared" si="233"/>
        <v/>
      </c>
      <c r="IU24" s="356" t="str">
        <f t="shared" si="234"/>
        <v/>
      </c>
      <c r="IV24" s="356">
        <f t="shared" si="235"/>
        <v>72</v>
      </c>
      <c r="IW24" s="356" t="str">
        <f t="shared" si="236"/>
        <v/>
      </c>
      <c r="IX24" s="356" t="str">
        <f t="shared" si="237"/>
        <v/>
      </c>
      <c r="IY24" s="356" t="str">
        <f t="shared" si="238"/>
        <v/>
      </c>
      <c r="IZ24" s="356" t="str">
        <f t="shared" si="239"/>
        <v/>
      </c>
      <c r="JA24" s="356" t="str">
        <f t="shared" si="240"/>
        <v/>
      </c>
      <c r="JB24" s="356" t="str">
        <f t="shared" si="241"/>
        <v/>
      </c>
      <c r="JC24" s="356" t="str">
        <f t="shared" si="242"/>
        <v/>
      </c>
      <c r="JD24" s="356" t="str">
        <f t="shared" si="243"/>
        <v/>
      </c>
      <c r="JE24" s="356" t="str">
        <f t="shared" si="244"/>
        <v/>
      </c>
      <c r="JF24" s="356" t="str">
        <f t="shared" si="245"/>
        <v/>
      </c>
      <c r="JG24" s="356" t="str">
        <f t="shared" si="246"/>
        <v/>
      </c>
      <c r="JH24" s="356" t="str">
        <f t="shared" si="247"/>
        <v/>
      </c>
      <c r="JI24" s="1785" t="str">
        <f t="shared" si="248"/>
        <v/>
      </c>
      <c r="JJ24" s="1785" t="str">
        <f t="shared" si="249"/>
        <v/>
      </c>
      <c r="JK24" s="1785">
        <f t="shared" si="250"/>
        <v>72</v>
      </c>
      <c r="JL24" s="1785" t="str">
        <f t="shared" si="251"/>
        <v/>
      </c>
      <c r="JM24" s="1785" t="str">
        <f t="shared" si="252"/>
        <v/>
      </c>
      <c r="JN24" s="1785" t="str">
        <f t="shared" si="253"/>
        <v/>
      </c>
      <c r="JO24" s="1785" t="str">
        <f t="shared" si="254"/>
        <v/>
      </c>
      <c r="JP24" s="1785" t="str">
        <f t="shared" si="255"/>
        <v/>
      </c>
      <c r="JQ24" s="1785" t="str">
        <f t="shared" si="256"/>
        <v/>
      </c>
      <c r="JR24" s="1785" t="str">
        <f t="shared" si="257"/>
        <v/>
      </c>
      <c r="JS24" s="1785" t="str">
        <f t="shared" si="258"/>
        <v/>
      </c>
      <c r="JT24" s="1785" t="str">
        <f t="shared" si="259"/>
        <v/>
      </c>
      <c r="JU24" s="1785" t="str">
        <f t="shared" si="260"/>
        <v/>
      </c>
      <c r="JV24" s="1785" t="str">
        <f t="shared" si="261"/>
        <v/>
      </c>
      <c r="JW24" s="1785" t="str">
        <f t="shared" si="262"/>
        <v/>
      </c>
      <c r="JX24" s="1785" t="str">
        <f t="shared" si="263"/>
        <v/>
      </c>
      <c r="JY24" s="1785" t="str">
        <f t="shared" si="264"/>
        <v/>
      </c>
      <c r="JZ24" s="1785" t="str">
        <f t="shared" si="265"/>
        <v/>
      </c>
      <c r="KA24" s="1785" t="str">
        <f t="shared" si="266"/>
        <v/>
      </c>
      <c r="KB24" s="1785" t="str">
        <f t="shared" si="267"/>
        <v/>
      </c>
      <c r="KC24" s="1785" t="str">
        <f t="shared" si="268"/>
        <v/>
      </c>
      <c r="KD24" s="1785" t="str">
        <f t="shared" si="269"/>
        <v/>
      </c>
      <c r="KE24" s="1785" t="str">
        <f t="shared" si="270"/>
        <v/>
      </c>
      <c r="KF24" s="1785" t="str">
        <f t="shared" si="271"/>
        <v/>
      </c>
      <c r="KG24" s="1785" t="str">
        <f t="shared" si="272"/>
        <v/>
      </c>
      <c r="KH24" s="1785" t="str">
        <f t="shared" si="273"/>
        <v/>
      </c>
      <c r="KI24" s="1785" t="str">
        <f t="shared" si="274"/>
        <v/>
      </c>
      <c r="KJ24" s="1785" t="str">
        <f t="shared" si="275"/>
        <v/>
      </c>
      <c r="KK24" s="1785" t="str">
        <f t="shared" si="276"/>
        <v/>
      </c>
      <c r="KL24" s="1785" t="str">
        <f t="shared" si="277"/>
        <v/>
      </c>
      <c r="KM24" s="1785" t="str">
        <f t="shared" si="278"/>
        <v/>
      </c>
      <c r="KN24" s="1785" t="str">
        <f t="shared" si="279"/>
        <v/>
      </c>
      <c r="KO24" s="1785" t="str">
        <f t="shared" si="280"/>
        <v/>
      </c>
      <c r="KP24" s="1785" t="str">
        <f t="shared" si="281"/>
        <v/>
      </c>
      <c r="KQ24" s="1785" t="str">
        <f t="shared" si="282"/>
        <v/>
      </c>
      <c r="KR24" s="1785" t="str">
        <f t="shared" si="283"/>
        <v/>
      </c>
      <c r="KS24" s="1785" t="str">
        <f t="shared" si="284"/>
        <v/>
      </c>
      <c r="KT24" s="1785" t="str">
        <f t="shared" si="285"/>
        <v/>
      </c>
      <c r="KU24" s="1785" t="str">
        <f t="shared" si="286"/>
        <v/>
      </c>
      <c r="KV24" s="1785" t="str">
        <f t="shared" si="287"/>
        <v/>
      </c>
      <c r="KW24" s="1785" t="str">
        <f t="shared" si="288"/>
        <v/>
      </c>
      <c r="KX24" s="1785" t="str">
        <f t="shared" si="289"/>
        <v/>
      </c>
      <c r="KY24" s="1785" t="str">
        <f t="shared" si="290"/>
        <v/>
      </c>
      <c r="KZ24" s="1785" t="str">
        <f t="shared" si="291"/>
        <v/>
      </c>
      <c r="LA24" s="1785" t="str">
        <f t="shared" si="292"/>
        <v/>
      </c>
      <c r="LB24" s="1785" t="str">
        <f t="shared" si="293"/>
        <v/>
      </c>
      <c r="LC24" s="1785" t="str">
        <f t="shared" si="294"/>
        <v/>
      </c>
      <c r="LD24" s="1785" t="str">
        <f t="shared" si="295"/>
        <v/>
      </c>
      <c r="LE24" s="1785" t="str">
        <f t="shared" si="296"/>
        <v/>
      </c>
      <c r="LF24" s="1785" t="str">
        <f t="shared" si="297"/>
        <v/>
      </c>
      <c r="LG24" s="1785" t="str">
        <f t="shared" si="298"/>
        <v/>
      </c>
      <c r="LH24" s="1785" t="str">
        <f t="shared" si="299"/>
        <v/>
      </c>
      <c r="LI24" s="1785">
        <f t="shared" si="300"/>
        <v>72</v>
      </c>
      <c r="LJ24" s="1785" t="str">
        <f t="shared" si="301"/>
        <v/>
      </c>
      <c r="LK24" s="1785" t="str">
        <f t="shared" si="302"/>
        <v/>
      </c>
      <c r="LL24" s="1785" t="str">
        <f t="shared" si="303"/>
        <v/>
      </c>
      <c r="LM24" s="1785" t="str">
        <f t="shared" si="304"/>
        <v/>
      </c>
      <c r="LN24" s="1785" t="str">
        <f t="shared" si="305"/>
        <v/>
      </c>
      <c r="LO24" s="1785" t="str">
        <f t="shared" si="306"/>
        <v/>
      </c>
      <c r="LP24" s="1785" t="str">
        <f t="shared" si="307"/>
        <v/>
      </c>
      <c r="LQ24" s="1785" t="str">
        <f t="shared" si="308"/>
        <v/>
      </c>
      <c r="LR24" s="1785" t="str">
        <f t="shared" si="309"/>
        <v/>
      </c>
      <c r="LS24" s="1785" t="str">
        <f t="shared" si="310"/>
        <v/>
      </c>
      <c r="LT24" s="1785" t="str">
        <f t="shared" si="311"/>
        <v/>
      </c>
      <c r="LU24" s="1785" t="str">
        <f t="shared" si="312"/>
        <v/>
      </c>
      <c r="LV24" s="1785" t="str">
        <f t="shared" si="313"/>
        <v/>
      </c>
      <c r="LW24" s="1785" t="str">
        <f t="shared" si="314"/>
        <v/>
      </c>
      <c r="LX24" s="1785" t="str">
        <f t="shared" si="315"/>
        <v/>
      </c>
      <c r="LY24" s="1785" t="str">
        <f t="shared" si="316"/>
        <v/>
      </c>
      <c r="LZ24" s="1785" t="str">
        <f t="shared" si="317"/>
        <v/>
      </c>
      <c r="MA24" s="1785" t="str">
        <f t="shared" si="318"/>
        <v/>
      </c>
      <c r="MB24" s="1785" t="str">
        <f t="shared" si="319"/>
        <v/>
      </c>
      <c r="MC24" s="1785" t="str">
        <f t="shared" si="320"/>
        <v/>
      </c>
      <c r="MD24" s="1785" t="str">
        <f t="shared" si="321"/>
        <v/>
      </c>
      <c r="ME24" s="1785" t="str">
        <f t="shared" si="322"/>
        <v/>
      </c>
      <c r="MF24" s="1785" t="str">
        <f t="shared" si="323"/>
        <v/>
      </c>
      <c r="MG24" s="1785" t="str">
        <f t="shared" si="324"/>
        <v/>
      </c>
      <c r="MH24" s="1785" t="str">
        <f t="shared" si="325"/>
        <v/>
      </c>
      <c r="MI24" s="1785" t="str">
        <f t="shared" si="326"/>
        <v/>
      </c>
      <c r="MJ24" s="1785" t="str">
        <f t="shared" si="327"/>
        <v/>
      </c>
      <c r="MK24" s="1785" t="str">
        <f t="shared" si="328"/>
        <v/>
      </c>
      <c r="ML24" s="1785" t="str">
        <f t="shared" si="329"/>
        <v/>
      </c>
      <c r="MM24" s="1785" t="str">
        <f t="shared" si="330"/>
        <v/>
      </c>
      <c r="MN24" s="1785" t="str">
        <f t="shared" si="331"/>
        <v/>
      </c>
      <c r="MO24" s="1785" t="str">
        <f t="shared" si="332"/>
        <v/>
      </c>
      <c r="MP24" s="2470" t="str">
        <f t="shared" si="333"/>
        <v/>
      </c>
      <c r="MQ24" s="2470" t="str">
        <f t="shared" si="334"/>
        <v/>
      </c>
      <c r="MR24" s="2470" t="str">
        <f t="shared" si="335"/>
        <v/>
      </c>
      <c r="MS24" s="2470" t="str">
        <f t="shared" si="336"/>
        <v/>
      </c>
      <c r="MT24" s="2470" t="str">
        <f t="shared" si="337"/>
        <v/>
      </c>
      <c r="MU24" s="356" t="str">
        <f t="shared" si="338"/>
        <v/>
      </c>
      <c r="MV24" s="356" t="str">
        <f t="shared" si="339"/>
        <v/>
      </c>
      <c r="MW24" s="356" t="str">
        <f t="shared" si="340"/>
        <v/>
      </c>
      <c r="MX24" s="356" t="str">
        <f t="shared" si="341"/>
        <v/>
      </c>
      <c r="MY24" s="356" t="str">
        <f t="shared" si="342"/>
        <v/>
      </c>
      <c r="MZ24" s="356" t="str">
        <f t="shared" si="343"/>
        <v/>
      </c>
      <c r="NA24" s="356" t="str">
        <f t="shared" si="344"/>
        <v/>
      </c>
      <c r="NB24" s="356" t="str">
        <f t="shared" si="345"/>
        <v/>
      </c>
      <c r="NC24" s="356" t="str">
        <f t="shared" si="346"/>
        <v/>
      </c>
      <c r="ND24" s="356" t="str">
        <f t="shared" si="347"/>
        <v/>
      </c>
      <c r="NE24" s="356" t="str">
        <f t="shared" si="348"/>
        <v/>
      </c>
      <c r="NF24" s="356" t="str">
        <f t="shared" si="349"/>
        <v/>
      </c>
      <c r="NG24" s="356" t="str">
        <f t="shared" si="350"/>
        <v/>
      </c>
      <c r="NH24" s="356" t="str">
        <f t="shared" si="351"/>
        <v/>
      </c>
      <c r="NI24" s="356" t="str">
        <f t="shared" si="352"/>
        <v/>
      </c>
      <c r="NJ24" s="356" t="str">
        <f t="shared" si="353"/>
        <v/>
      </c>
      <c r="NK24" s="356" t="str">
        <f t="shared" si="354"/>
        <v/>
      </c>
      <c r="NL24" s="356" t="str">
        <f t="shared" si="355"/>
        <v/>
      </c>
      <c r="NM24" s="356" t="str">
        <f t="shared" si="356"/>
        <v/>
      </c>
      <c r="NN24" s="356" t="str">
        <f t="shared" si="357"/>
        <v/>
      </c>
      <c r="NO24" s="1640">
        <f t="shared" si="358"/>
        <v>0</v>
      </c>
      <c r="NP24" s="1640">
        <f t="shared" si="359"/>
        <v>0</v>
      </c>
      <c r="NQ24" s="1640">
        <f t="shared" si="360"/>
        <v>72</v>
      </c>
      <c r="NR24" s="1640">
        <f t="shared" si="361"/>
        <v>0</v>
      </c>
      <c r="NS24" s="1640">
        <f t="shared" si="362"/>
        <v>0</v>
      </c>
      <c r="NT24" s="1640">
        <f t="shared" si="368"/>
        <v>0</v>
      </c>
      <c r="NU24" s="1640">
        <f t="shared" si="369"/>
        <v>0</v>
      </c>
      <c r="NV24" s="1640">
        <f t="shared" si="370"/>
        <v>0</v>
      </c>
      <c r="NW24" s="1640">
        <f t="shared" si="371"/>
        <v>0</v>
      </c>
      <c r="NX24" s="1640">
        <f t="shared" si="372"/>
        <v>0</v>
      </c>
      <c r="NY24" s="1640">
        <f t="shared" si="363"/>
        <v>0</v>
      </c>
      <c r="NZ24" s="1640">
        <f t="shared" si="364"/>
        <v>0</v>
      </c>
      <c r="OA24" s="1640">
        <f t="shared" si="365"/>
        <v>0</v>
      </c>
      <c r="OB24" s="1640">
        <f t="shared" si="366"/>
        <v>0</v>
      </c>
      <c r="OC24" s="1640">
        <f t="shared" si="367"/>
        <v>0</v>
      </c>
      <c r="OY24" s="2499" t="s">
        <v>4310</v>
      </c>
      <c r="OZ24" s="2504">
        <v>24</v>
      </c>
    </row>
    <row r="25" spans="1:416" ht="12" customHeight="1">
      <c r="A25" s="86" t="str">
        <f t="shared" si="0"/>
        <v/>
      </c>
      <c r="B25" s="1055">
        <v>80</v>
      </c>
      <c r="C25" s="132">
        <v>2</v>
      </c>
      <c r="D25" s="1643">
        <v>2</v>
      </c>
      <c r="E25" s="133">
        <v>24</v>
      </c>
      <c r="F25" s="133">
        <v>971</v>
      </c>
      <c r="G25" s="133">
        <v>1782</v>
      </c>
      <c r="H25" s="133">
        <f>1411+J25</f>
        <v>1497</v>
      </c>
      <c r="I25" s="133">
        <v>0</v>
      </c>
      <c r="J25" s="1036">
        <f>IF(C25="",0,HLOOKUP(C25,'Part IV-Utility Allowances'!$I$11:$M$25,15))</f>
        <v>86</v>
      </c>
      <c r="K25" s="630"/>
      <c r="L25" s="460">
        <f t="shared" si="1"/>
        <v>1411</v>
      </c>
      <c r="M25" s="460">
        <f t="shared" si="2"/>
        <v>33864</v>
      </c>
      <c r="N25" s="680" t="s">
        <v>2643</v>
      </c>
      <c r="O25" s="1585" t="s">
        <v>5240</v>
      </c>
      <c r="P25" s="680" t="s">
        <v>906</v>
      </c>
      <c r="Q25" s="134" t="s">
        <v>2643</v>
      </c>
      <c r="R25" s="723"/>
      <c r="S25" s="724"/>
      <c r="T25" s="3613"/>
      <c r="U25" s="3614"/>
      <c r="V25" s="3614"/>
      <c r="W25" s="3615"/>
      <c r="X25" s="356" t="str">
        <f t="shared" si="3"/>
        <v/>
      </c>
      <c r="Y25" s="356" t="str">
        <f t="shared" si="4"/>
        <v/>
      </c>
      <c r="Z25" s="356">
        <f t="shared" si="5"/>
        <v>24</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f t="shared" si="155"/>
        <v>23304</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356" t="str">
        <f t="shared" si="213"/>
        <v/>
      </c>
      <c r="IA25" s="356" t="str">
        <f t="shared" si="214"/>
        <v/>
      </c>
      <c r="IB25" s="356" t="str">
        <f t="shared" si="215"/>
        <v/>
      </c>
      <c r="IC25" s="356" t="str">
        <f t="shared" si="216"/>
        <v/>
      </c>
      <c r="ID25" s="356" t="str">
        <f t="shared" si="217"/>
        <v/>
      </c>
      <c r="IE25" s="356" t="str">
        <f t="shared" si="218"/>
        <v/>
      </c>
      <c r="IF25" s="356" t="str">
        <f t="shared" si="219"/>
        <v/>
      </c>
      <c r="IG25" s="356" t="str">
        <f t="shared" si="220"/>
        <v/>
      </c>
      <c r="IH25" s="356" t="str">
        <f t="shared" si="221"/>
        <v/>
      </c>
      <c r="II25" s="356" t="str">
        <f t="shared" si="222"/>
        <v/>
      </c>
      <c r="IJ25" s="356" t="str">
        <f t="shared" si="223"/>
        <v/>
      </c>
      <c r="IK25" s="356" t="str">
        <f t="shared" si="224"/>
        <v/>
      </c>
      <c r="IL25" s="356" t="str">
        <f t="shared" si="225"/>
        <v/>
      </c>
      <c r="IM25" s="356" t="str">
        <f t="shared" si="226"/>
        <v/>
      </c>
      <c r="IN25" s="356" t="str">
        <f t="shared" si="227"/>
        <v/>
      </c>
      <c r="IO25" s="356" t="str">
        <f t="shared" si="228"/>
        <v/>
      </c>
      <c r="IP25" s="356" t="str">
        <f t="shared" si="229"/>
        <v/>
      </c>
      <c r="IQ25" s="356" t="str">
        <f t="shared" si="230"/>
        <v/>
      </c>
      <c r="IR25" s="356" t="str">
        <f t="shared" si="231"/>
        <v/>
      </c>
      <c r="IS25" s="356" t="str">
        <f t="shared" si="232"/>
        <v/>
      </c>
      <c r="IT25" s="356" t="str">
        <f t="shared" si="233"/>
        <v/>
      </c>
      <c r="IU25" s="356" t="str">
        <f t="shared" si="234"/>
        <v/>
      </c>
      <c r="IV25" s="356">
        <f t="shared" si="235"/>
        <v>24</v>
      </c>
      <c r="IW25" s="356" t="str">
        <f t="shared" si="236"/>
        <v/>
      </c>
      <c r="IX25" s="356" t="str">
        <f t="shared" si="237"/>
        <v/>
      </c>
      <c r="IY25" s="356" t="str">
        <f t="shared" si="238"/>
        <v/>
      </c>
      <c r="IZ25" s="356" t="str">
        <f t="shared" si="239"/>
        <v/>
      </c>
      <c r="JA25" s="356" t="str">
        <f t="shared" si="240"/>
        <v/>
      </c>
      <c r="JB25" s="356" t="str">
        <f t="shared" si="241"/>
        <v/>
      </c>
      <c r="JC25" s="356" t="str">
        <f t="shared" si="242"/>
        <v/>
      </c>
      <c r="JD25" s="356" t="str">
        <f t="shared" si="243"/>
        <v/>
      </c>
      <c r="JE25" s="356" t="str">
        <f t="shared" si="244"/>
        <v/>
      </c>
      <c r="JF25" s="356" t="str">
        <f t="shared" si="245"/>
        <v/>
      </c>
      <c r="JG25" s="356" t="str">
        <f t="shared" si="246"/>
        <v/>
      </c>
      <c r="JH25" s="356" t="str">
        <f t="shared" si="247"/>
        <v/>
      </c>
      <c r="JI25" s="1785" t="str">
        <f t="shared" si="248"/>
        <v/>
      </c>
      <c r="JJ25" s="1785" t="str">
        <f t="shared" si="249"/>
        <v/>
      </c>
      <c r="JK25" s="1785">
        <f t="shared" si="250"/>
        <v>24</v>
      </c>
      <c r="JL25" s="1785" t="str">
        <f t="shared" si="251"/>
        <v/>
      </c>
      <c r="JM25" s="1785" t="str">
        <f t="shared" si="252"/>
        <v/>
      </c>
      <c r="JN25" s="1785" t="str">
        <f t="shared" si="253"/>
        <v/>
      </c>
      <c r="JO25" s="1785" t="str">
        <f t="shared" si="254"/>
        <v/>
      </c>
      <c r="JP25" s="1785" t="str">
        <f t="shared" si="255"/>
        <v/>
      </c>
      <c r="JQ25" s="1785" t="str">
        <f t="shared" si="256"/>
        <v/>
      </c>
      <c r="JR25" s="1785" t="str">
        <f t="shared" si="257"/>
        <v/>
      </c>
      <c r="JS25" s="1785" t="str">
        <f t="shared" si="258"/>
        <v/>
      </c>
      <c r="JT25" s="1785" t="str">
        <f t="shared" si="259"/>
        <v/>
      </c>
      <c r="JU25" s="1785" t="str">
        <f t="shared" si="260"/>
        <v/>
      </c>
      <c r="JV25" s="1785" t="str">
        <f t="shared" si="261"/>
        <v/>
      </c>
      <c r="JW25" s="1785" t="str">
        <f t="shared" si="262"/>
        <v/>
      </c>
      <c r="JX25" s="1785" t="str">
        <f t="shared" si="263"/>
        <v/>
      </c>
      <c r="JY25" s="1785" t="str">
        <f t="shared" si="264"/>
        <v/>
      </c>
      <c r="JZ25" s="1785" t="str">
        <f t="shared" si="265"/>
        <v/>
      </c>
      <c r="KA25" s="1785" t="str">
        <f t="shared" si="266"/>
        <v/>
      </c>
      <c r="KB25" s="1785" t="str">
        <f t="shared" si="267"/>
        <v/>
      </c>
      <c r="KC25" s="1785" t="str">
        <f t="shared" si="268"/>
        <v/>
      </c>
      <c r="KD25" s="1785" t="str">
        <f t="shared" si="269"/>
        <v/>
      </c>
      <c r="KE25" s="1785" t="str">
        <f t="shared" si="270"/>
        <v/>
      </c>
      <c r="KF25" s="1785" t="str">
        <f t="shared" si="271"/>
        <v/>
      </c>
      <c r="KG25" s="1785" t="str">
        <f t="shared" si="272"/>
        <v/>
      </c>
      <c r="KH25" s="1785" t="str">
        <f t="shared" si="273"/>
        <v/>
      </c>
      <c r="KI25" s="1785" t="str">
        <f t="shared" si="274"/>
        <v/>
      </c>
      <c r="KJ25" s="1785" t="str">
        <f t="shared" si="275"/>
        <v/>
      </c>
      <c r="KK25" s="1785" t="str">
        <f t="shared" si="276"/>
        <v/>
      </c>
      <c r="KL25" s="1785" t="str">
        <f t="shared" si="277"/>
        <v/>
      </c>
      <c r="KM25" s="1785" t="str">
        <f t="shared" si="278"/>
        <v/>
      </c>
      <c r="KN25" s="1785" t="str">
        <f t="shared" si="279"/>
        <v/>
      </c>
      <c r="KO25" s="1785" t="str">
        <f t="shared" si="280"/>
        <v/>
      </c>
      <c r="KP25" s="1785" t="str">
        <f t="shared" si="281"/>
        <v/>
      </c>
      <c r="KQ25" s="1785" t="str">
        <f t="shared" si="282"/>
        <v/>
      </c>
      <c r="KR25" s="1785" t="str">
        <f t="shared" si="283"/>
        <v/>
      </c>
      <c r="KS25" s="1785" t="str">
        <f t="shared" si="284"/>
        <v/>
      </c>
      <c r="KT25" s="1785" t="str">
        <f t="shared" si="285"/>
        <v/>
      </c>
      <c r="KU25" s="1785" t="str">
        <f t="shared" si="286"/>
        <v/>
      </c>
      <c r="KV25" s="1785" t="str">
        <f t="shared" si="287"/>
        <v/>
      </c>
      <c r="KW25" s="1785" t="str">
        <f t="shared" si="288"/>
        <v/>
      </c>
      <c r="KX25" s="1785" t="str">
        <f t="shared" si="289"/>
        <v/>
      </c>
      <c r="KY25" s="1785" t="str">
        <f t="shared" si="290"/>
        <v/>
      </c>
      <c r="KZ25" s="1785" t="str">
        <f t="shared" si="291"/>
        <v/>
      </c>
      <c r="LA25" s="1785" t="str">
        <f t="shared" si="292"/>
        <v/>
      </c>
      <c r="LB25" s="1785" t="str">
        <f t="shared" si="293"/>
        <v/>
      </c>
      <c r="LC25" s="1785" t="str">
        <f t="shared" si="294"/>
        <v/>
      </c>
      <c r="LD25" s="1785" t="str">
        <f t="shared" si="295"/>
        <v/>
      </c>
      <c r="LE25" s="1785" t="str">
        <f t="shared" si="296"/>
        <v/>
      </c>
      <c r="LF25" s="1785" t="str">
        <f t="shared" si="297"/>
        <v/>
      </c>
      <c r="LG25" s="1785" t="str">
        <f t="shared" si="298"/>
        <v/>
      </c>
      <c r="LH25" s="1785" t="str">
        <f t="shared" si="299"/>
        <v/>
      </c>
      <c r="LI25" s="1785">
        <f t="shared" si="300"/>
        <v>24</v>
      </c>
      <c r="LJ25" s="1785" t="str">
        <f t="shared" si="301"/>
        <v/>
      </c>
      <c r="LK25" s="1785" t="str">
        <f t="shared" si="302"/>
        <v/>
      </c>
      <c r="LL25" s="1785" t="str">
        <f t="shared" si="303"/>
        <v/>
      </c>
      <c r="LM25" s="1785" t="str">
        <f t="shared" si="304"/>
        <v/>
      </c>
      <c r="LN25" s="1785" t="str">
        <f t="shared" si="305"/>
        <v/>
      </c>
      <c r="LO25" s="1785" t="str">
        <f t="shared" si="306"/>
        <v/>
      </c>
      <c r="LP25" s="1785" t="str">
        <f t="shared" si="307"/>
        <v/>
      </c>
      <c r="LQ25" s="1785" t="str">
        <f t="shared" si="308"/>
        <v/>
      </c>
      <c r="LR25" s="1785" t="str">
        <f t="shared" si="309"/>
        <v/>
      </c>
      <c r="LS25" s="1785" t="str">
        <f t="shared" si="310"/>
        <v/>
      </c>
      <c r="LT25" s="1785" t="str">
        <f t="shared" si="311"/>
        <v/>
      </c>
      <c r="LU25" s="1785" t="str">
        <f t="shared" si="312"/>
        <v/>
      </c>
      <c r="LV25" s="1785" t="str">
        <f t="shared" si="313"/>
        <v/>
      </c>
      <c r="LW25" s="1785" t="str">
        <f t="shared" si="314"/>
        <v/>
      </c>
      <c r="LX25" s="1785" t="str">
        <f t="shared" si="315"/>
        <v/>
      </c>
      <c r="LY25" s="1785" t="str">
        <f t="shared" si="316"/>
        <v/>
      </c>
      <c r="LZ25" s="1785" t="str">
        <f t="shared" si="317"/>
        <v/>
      </c>
      <c r="MA25" s="1785" t="str">
        <f t="shared" si="318"/>
        <v/>
      </c>
      <c r="MB25" s="1785" t="str">
        <f t="shared" si="319"/>
        <v/>
      </c>
      <c r="MC25" s="1785" t="str">
        <f t="shared" si="320"/>
        <v/>
      </c>
      <c r="MD25" s="1785" t="str">
        <f t="shared" si="321"/>
        <v/>
      </c>
      <c r="ME25" s="1785" t="str">
        <f t="shared" si="322"/>
        <v/>
      </c>
      <c r="MF25" s="1785" t="str">
        <f t="shared" si="323"/>
        <v/>
      </c>
      <c r="MG25" s="1785" t="str">
        <f t="shared" si="324"/>
        <v/>
      </c>
      <c r="MH25" s="1785" t="str">
        <f t="shared" si="325"/>
        <v/>
      </c>
      <c r="MI25" s="1785" t="str">
        <f t="shared" si="326"/>
        <v/>
      </c>
      <c r="MJ25" s="1785" t="str">
        <f t="shared" si="327"/>
        <v/>
      </c>
      <c r="MK25" s="1785" t="str">
        <f t="shared" si="328"/>
        <v/>
      </c>
      <c r="ML25" s="1785" t="str">
        <f t="shared" si="329"/>
        <v/>
      </c>
      <c r="MM25" s="1785" t="str">
        <f t="shared" si="330"/>
        <v/>
      </c>
      <c r="MN25" s="1785" t="str">
        <f t="shared" si="331"/>
        <v/>
      </c>
      <c r="MO25" s="1785" t="str">
        <f t="shared" si="332"/>
        <v/>
      </c>
      <c r="MP25" s="2470" t="str">
        <f t="shared" si="333"/>
        <v/>
      </c>
      <c r="MQ25" s="2470" t="str">
        <f t="shared" si="334"/>
        <v/>
      </c>
      <c r="MR25" s="2470" t="str">
        <f t="shared" si="335"/>
        <v/>
      </c>
      <c r="MS25" s="2470" t="str">
        <f t="shared" si="336"/>
        <v/>
      </c>
      <c r="MT25" s="2470" t="str">
        <f t="shared" si="337"/>
        <v/>
      </c>
      <c r="MU25" s="356" t="str">
        <f t="shared" si="338"/>
        <v/>
      </c>
      <c r="MV25" s="356" t="str">
        <f t="shared" si="339"/>
        <v/>
      </c>
      <c r="MW25" s="356" t="str">
        <f t="shared" si="340"/>
        <v/>
      </c>
      <c r="MX25" s="356" t="str">
        <f t="shared" si="341"/>
        <v/>
      </c>
      <c r="MY25" s="356" t="str">
        <f t="shared" si="342"/>
        <v/>
      </c>
      <c r="MZ25" s="356" t="str">
        <f t="shared" si="343"/>
        <v/>
      </c>
      <c r="NA25" s="356" t="str">
        <f t="shared" si="344"/>
        <v/>
      </c>
      <c r="NB25" s="356" t="str">
        <f t="shared" si="345"/>
        <v/>
      </c>
      <c r="NC25" s="356" t="str">
        <f t="shared" si="346"/>
        <v/>
      </c>
      <c r="ND25" s="356" t="str">
        <f t="shared" si="347"/>
        <v/>
      </c>
      <c r="NE25" s="356" t="str">
        <f t="shared" si="348"/>
        <v/>
      </c>
      <c r="NF25" s="356" t="str">
        <f t="shared" si="349"/>
        <v/>
      </c>
      <c r="NG25" s="356" t="str">
        <f t="shared" si="350"/>
        <v/>
      </c>
      <c r="NH25" s="356" t="str">
        <f t="shared" si="351"/>
        <v/>
      </c>
      <c r="NI25" s="356" t="str">
        <f t="shared" si="352"/>
        <v/>
      </c>
      <c r="NJ25" s="356" t="str">
        <f t="shared" si="353"/>
        <v/>
      </c>
      <c r="NK25" s="356" t="str">
        <f t="shared" si="354"/>
        <v/>
      </c>
      <c r="NL25" s="356" t="str">
        <f t="shared" si="355"/>
        <v/>
      </c>
      <c r="NM25" s="356" t="str">
        <f t="shared" si="356"/>
        <v/>
      </c>
      <c r="NN25" s="356" t="str">
        <f t="shared" si="357"/>
        <v/>
      </c>
      <c r="NO25" s="1640">
        <f t="shared" si="358"/>
        <v>0</v>
      </c>
      <c r="NP25" s="1640">
        <f t="shared" si="359"/>
        <v>0</v>
      </c>
      <c r="NQ25" s="1640">
        <f t="shared" si="360"/>
        <v>24</v>
      </c>
      <c r="NR25" s="1640">
        <f t="shared" si="361"/>
        <v>0</v>
      </c>
      <c r="NS25" s="1640">
        <f t="shared" si="362"/>
        <v>0</v>
      </c>
      <c r="NT25" s="1640">
        <f t="shared" si="368"/>
        <v>0</v>
      </c>
      <c r="NU25" s="1640">
        <f t="shared" si="369"/>
        <v>0</v>
      </c>
      <c r="NV25" s="1640">
        <f t="shared" si="370"/>
        <v>0</v>
      </c>
      <c r="NW25" s="1640">
        <f t="shared" si="371"/>
        <v>0</v>
      </c>
      <c r="NX25" s="1640">
        <f t="shared" si="372"/>
        <v>0</v>
      </c>
      <c r="NY25" s="1640">
        <f t="shared" si="363"/>
        <v>0</v>
      </c>
      <c r="NZ25" s="1640">
        <f t="shared" si="364"/>
        <v>0</v>
      </c>
      <c r="OA25" s="1640">
        <f t="shared" si="365"/>
        <v>0</v>
      </c>
      <c r="OB25" s="1640">
        <f t="shared" si="366"/>
        <v>0</v>
      </c>
      <c r="OC25" s="1640">
        <f t="shared" si="367"/>
        <v>0</v>
      </c>
      <c r="OY25" s="2499" t="s">
        <v>4311</v>
      </c>
      <c r="OZ25" s="2503">
        <v>25</v>
      </c>
    </row>
    <row r="26" spans="1:416" ht="12" customHeight="1">
      <c r="A26" s="86" t="str">
        <f t="shared" si="0"/>
        <v/>
      </c>
      <c r="B26" s="1055"/>
      <c r="C26" s="132"/>
      <c r="D26" s="1643"/>
      <c r="E26" s="133"/>
      <c r="F26" s="133"/>
      <c r="G26" s="133"/>
      <c r="H26" s="133"/>
      <c r="I26" s="133"/>
      <c r="J26" s="1036">
        <f>IF(C26="",0,HLOOKUP(C26,'Part IV-Utility Allowances'!$I$11:$M$25,15))</f>
        <v>0</v>
      </c>
      <c r="K26" s="630"/>
      <c r="L26" s="460">
        <f t="shared" si="1"/>
        <v>0</v>
      </c>
      <c r="M26" s="460">
        <f t="shared" si="2"/>
        <v>0</v>
      </c>
      <c r="N26" s="680"/>
      <c r="O26" s="1585"/>
      <c r="P26" s="680"/>
      <c r="Q26" s="134"/>
      <c r="R26" s="723"/>
      <c r="S26" s="724"/>
      <c r="T26" s="3613"/>
      <c r="U26" s="3614"/>
      <c r="V26" s="3614"/>
      <c r="W26" s="3615"/>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356" t="str">
        <f t="shared" si="213"/>
        <v/>
      </c>
      <c r="IA26" s="356" t="str">
        <f t="shared" si="214"/>
        <v/>
      </c>
      <c r="IB26" s="356" t="str">
        <f t="shared" si="215"/>
        <v/>
      </c>
      <c r="IC26" s="356" t="str">
        <f t="shared" si="216"/>
        <v/>
      </c>
      <c r="ID26" s="356" t="str">
        <f t="shared" si="217"/>
        <v/>
      </c>
      <c r="IE26" s="356" t="str">
        <f t="shared" si="218"/>
        <v/>
      </c>
      <c r="IF26" s="356" t="str">
        <f t="shared" si="219"/>
        <v/>
      </c>
      <c r="IG26" s="356" t="str">
        <f t="shared" si="220"/>
        <v/>
      </c>
      <c r="IH26" s="356" t="str">
        <f t="shared" si="221"/>
        <v/>
      </c>
      <c r="II26" s="356" t="str">
        <f t="shared" si="222"/>
        <v/>
      </c>
      <c r="IJ26" s="356" t="str">
        <f t="shared" si="223"/>
        <v/>
      </c>
      <c r="IK26" s="356" t="str">
        <f t="shared" si="224"/>
        <v/>
      </c>
      <c r="IL26" s="356" t="str">
        <f t="shared" si="225"/>
        <v/>
      </c>
      <c r="IM26" s="356" t="str">
        <f t="shared" si="226"/>
        <v/>
      </c>
      <c r="IN26" s="356" t="str">
        <f t="shared" si="227"/>
        <v/>
      </c>
      <c r="IO26" s="356" t="str">
        <f t="shared" si="228"/>
        <v/>
      </c>
      <c r="IP26" s="356" t="str">
        <f t="shared" si="229"/>
        <v/>
      </c>
      <c r="IQ26" s="356" t="str">
        <f t="shared" si="230"/>
        <v/>
      </c>
      <c r="IR26" s="356" t="str">
        <f t="shared" si="231"/>
        <v/>
      </c>
      <c r="IS26" s="356" t="str">
        <f t="shared" si="232"/>
        <v/>
      </c>
      <c r="IT26" s="356" t="str">
        <f t="shared" si="233"/>
        <v/>
      </c>
      <c r="IU26" s="356" t="str">
        <f t="shared" si="234"/>
        <v/>
      </c>
      <c r="IV26" s="356" t="str">
        <f t="shared" si="235"/>
        <v/>
      </c>
      <c r="IW26" s="356" t="str">
        <f t="shared" si="236"/>
        <v/>
      </c>
      <c r="IX26" s="356" t="str">
        <f t="shared" si="237"/>
        <v/>
      </c>
      <c r="IY26" s="356" t="str">
        <f t="shared" si="238"/>
        <v/>
      </c>
      <c r="IZ26" s="356" t="str">
        <f t="shared" si="239"/>
        <v/>
      </c>
      <c r="JA26" s="356" t="str">
        <f t="shared" si="240"/>
        <v/>
      </c>
      <c r="JB26" s="356" t="str">
        <f t="shared" si="241"/>
        <v/>
      </c>
      <c r="JC26" s="356" t="str">
        <f t="shared" si="242"/>
        <v/>
      </c>
      <c r="JD26" s="356" t="str">
        <f t="shared" si="243"/>
        <v/>
      </c>
      <c r="JE26" s="356" t="str">
        <f t="shared" si="244"/>
        <v/>
      </c>
      <c r="JF26" s="356" t="str">
        <f t="shared" si="245"/>
        <v/>
      </c>
      <c r="JG26" s="356" t="str">
        <f t="shared" si="246"/>
        <v/>
      </c>
      <c r="JH26" s="356" t="str">
        <f t="shared" si="247"/>
        <v/>
      </c>
      <c r="JI26" s="1785" t="str">
        <f t="shared" si="248"/>
        <v/>
      </c>
      <c r="JJ26" s="1785" t="str">
        <f t="shared" si="249"/>
        <v/>
      </c>
      <c r="JK26" s="1785" t="str">
        <f t="shared" si="250"/>
        <v/>
      </c>
      <c r="JL26" s="1785" t="str">
        <f t="shared" si="251"/>
        <v/>
      </c>
      <c r="JM26" s="1785" t="str">
        <f t="shared" si="252"/>
        <v/>
      </c>
      <c r="JN26" s="1785" t="str">
        <f t="shared" si="253"/>
        <v/>
      </c>
      <c r="JO26" s="1785" t="str">
        <f t="shared" si="254"/>
        <v/>
      </c>
      <c r="JP26" s="1785" t="str">
        <f t="shared" si="255"/>
        <v/>
      </c>
      <c r="JQ26" s="1785" t="str">
        <f t="shared" si="256"/>
        <v/>
      </c>
      <c r="JR26" s="1785" t="str">
        <f t="shared" si="257"/>
        <v/>
      </c>
      <c r="JS26" s="1785" t="str">
        <f t="shared" si="258"/>
        <v/>
      </c>
      <c r="JT26" s="1785" t="str">
        <f t="shared" si="259"/>
        <v/>
      </c>
      <c r="JU26" s="1785" t="str">
        <f t="shared" si="260"/>
        <v/>
      </c>
      <c r="JV26" s="1785" t="str">
        <f t="shared" si="261"/>
        <v/>
      </c>
      <c r="JW26" s="1785" t="str">
        <f t="shared" si="262"/>
        <v/>
      </c>
      <c r="JX26" s="1785" t="str">
        <f t="shared" si="263"/>
        <v/>
      </c>
      <c r="JY26" s="1785" t="str">
        <f t="shared" si="264"/>
        <v/>
      </c>
      <c r="JZ26" s="1785" t="str">
        <f t="shared" si="265"/>
        <v/>
      </c>
      <c r="KA26" s="1785" t="str">
        <f t="shared" si="266"/>
        <v/>
      </c>
      <c r="KB26" s="1785" t="str">
        <f t="shared" si="267"/>
        <v/>
      </c>
      <c r="KC26" s="1785" t="str">
        <f t="shared" si="268"/>
        <v/>
      </c>
      <c r="KD26" s="1785" t="str">
        <f t="shared" si="269"/>
        <v/>
      </c>
      <c r="KE26" s="1785" t="str">
        <f t="shared" si="270"/>
        <v/>
      </c>
      <c r="KF26" s="1785" t="str">
        <f t="shared" si="271"/>
        <v/>
      </c>
      <c r="KG26" s="1785" t="str">
        <f t="shared" si="272"/>
        <v/>
      </c>
      <c r="KH26" s="1785" t="str">
        <f t="shared" si="273"/>
        <v/>
      </c>
      <c r="KI26" s="1785" t="str">
        <f t="shared" si="274"/>
        <v/>
      </c>
      <c r="KJ26" s="1785" t="str">
        <f t="shared" si="275"/>
        <v/>
      </c>
      <c r="KK26" s="1785" t="str">
        <f t="shared" si="276"/>
        <v/>
      </c>
      <c r="KL26" s="1785" t="str">
        <f t="shared" si="277"/>
        <v/>
      </c>
      <c r="KM26" s="1785" t="str">
        <f t="shared" si="278"/>
        <v/>
      </c>
      <c r="KN26" s="1785" t="str">
        <f t="shared" si="279"/>
        <v/>
      </c>
      <c r="KO26" s="1785" t="str">
        <f t="shared" si="280"/>
        <v/>
      </c>
      <c r="KP26" s="1785" t="str">
        <f t="shared" si="281"/>
        <v/>
      </c>
      <c r="KQ26" s="1785" t="str">
        <f t="shared" si="282"/>
        <v/>
      </c>
      <c r="KR26" s="1785" t="str">
        <f t="shared" si="283"/>
        <v/>
      </c>
      <c r="KS26" s="1785" t="str">
        <f t="shared" si="284"/>
        <v/>
      </c>
      <c r="KT26" s="1785" t="str">
        <f t="shared" si="285"/>
        <v/>
      </c>
      <c r="KU26" s="1785" t="str">
        <f t="shared" si="286"/>
        <v/>
      </c>
      <c r="KV26" s="1785" t="str">
        <f t="shared" si="287"/>
        <v/>
      </c>
      <c r="KW26" s="1785" t="str">
        <f t="shared" si="288"/>
        <v/>
      </c>
      <c r="KX26" s="1785" t="str">
        <f t="shared" si="289"/>
        <v/>
      </c>
      <c r="KY26" s="1785" t="str">
        <f t="shared" si="290"/>
        <v/>
      </c>
      <c r="KZ26" s="1785" t="str">
        <f t="shared" si="291"/>
        <v/>
      </c>
      <c r="LA26" s="1785" t="str">
        <f t="shared" si="292"/>
        <v/>
      </c>
      <c r="LB26" s="1785" t="str">
        <f t="shared" si="293"/>
        <v/>
      </c>
      <c r="LC26" s="1785" t="str">
        <f t="shared" si="294"/>
        <v/>
      </c>
      <c r="LD26" s="1785" t="str">
        <f t="shared" si="295"/>
        <v/>
      </c>
      <c r="LE26" s="1785" t="str">
        <f t="shared" si="296"/>
        <v/>
      </c>
      <c r="LF26" s="1785" t="str">
        <f t="shared" si="297"/>
        <v/>
      </c>
      <c r="LG26" s="1785" t="str">
        <f t="shared" si="298"/>
        <v/>
      </c>
      <c r="LH26" s="1785" t="str">
        <f t="shared" si="299"/>
        <v/>
      </c>
      <c r="LI26" s="1785" t="str">
        <f t="shared" si="300"/>
        <v/>
      </c>
      <c r="LJ26" s="1785" t="str">
        <f t="shared" si="301"/>
        <v/>
      </c>
      <c r="LK26" s="1785" t="str">
        <f t="shared" si="302"/>
        <v/>
      </c>
      <c r="LL26" s="1785" t="str">
        <f t="shared" si="303"/>
        <v/>
      </c>
      <c r="LM26" s="1785" t="str">
        <f t="shared" si="304"/>
        <v/>
      </c>
      <c r="LN26" s="1785" t="str">
        <f t="shared" si="305"/>
        <v/>
      </c>
      <c r="LO26" s="1785" t="str">
        <f t="shared" si="306"/>
        <v/>
      </c>
      <c r="LP26" s="1785" t="str">
        <f t="shared" si="307"/>
        <v/>
      </c>
      <c r="LQ26" s="1785" t="str">
        <f t="shared" si="308"/>
        <v/>
      </c>
      <c r="LR26" s="1785" t="str">
        <f t="shared" si="309"/>
        <v/>
      </c>
      <c r="LS26" s="1785" t="str">
        <f t="shared" si="310"/>
        <v/>
      </c>
      <c r="LT26" s="1785" t="str">
        <f t="shared" si="311"/>
        <v/>
      </c>
      <c r="LU26" s="1785" t="str">
        <f t="shared" si="312"/>
        <v/>
      </c>
      <c r="LV26" s="1785" t="str">
        <f t="shared" si="313"/>
        <v/>
      </c>
      <c r="LW26" s="1785" t="str">
        <f t="shared" si="314"/>
        <v/>
      </c>
      <c r="LX26" s="1785" t="str">
        <f t="shared" si="315"/>
        <v/>
      </c>
      <c r="LY26" s="1785" t="str">
        <f t="shared" si="316"/>
        <v/>
      </c>
      <c r="LZ26" s="1785" t="str">
        <f t="shared" si="317"/>
        <v/>
      </c>
      <c r="MA26" s="1785" t="str">
        <f t="shared" si="318"/>
        <v/>
      </c>
      <c r="MB26" s="1785" t="str">
        <f t="shared" si="319"/>
        <v/>
      </c>
      <c r="MC26" s="1785" t="str">
        <f t="shared" si="320"/>
        <v/>
      </c>
      <c r="MD26" s="1785" t="str">
        <f t="shared" si="321"/>
        <v/>
      </c>
      <c r="ME26" s="1785" t="str">
        <f t="shared" si="322"/>
        <v/>
      </c>
      <c r="MF26" s="1785" t="str">
        <f t="shared" si="323"/>
        <v/>
      </c>
      <c r="MG26" s="1785" t="str">
        <f t="shared" si="324"/>
        <v/>
      </c>
      <c r="MH26" s="1785" t="str">
        <f t="shared" si="325"/>
        <v/>
      </c>
      <c r="MI26" s="1785" t="str">
        <f t="shared" si="326"/>
        <v/>
      </c>
      <c r="MJ26" s="1785" t="str">
        <f t="shared" si="327"/>
        <v/>
      </c>
      <c r="MK26" s="1785" t="str">
        <f t="shared" si="328"/>
        <v/>
      </c>
      <c r="ML26" s="1785" t="str">
        <f t="shared" si="329"/>
        <v/>
      </c>
      <c r="MM26" s="1785" t="str">
        <f t="shared" si="330"/>
        <v/>
      </c>
      <c r="MN26" s="1785" t="str">
        <f t="shared" si="331"/>
        <v/>
      </c>
      <c r="MO26" s="1785" t="str">
        <f t="shared" si="332"/>
        <v/>
      </c>
      <c r="MP26" s="2470" t="str">
        <f t="shared" si="333"/>
        <v/>
      </c>
      <c r="MQ26" s="2470" t="str">
        <f t="shared" si="334"/>
        <v/>
      </c>
      <c r="MR26" s="2470" t="str">
        <f t="shared" si="335"/>
        <v/>
      </c>
      <c r="MS26" s="2470" t="str">
        <f t="shared" si="336"/>
        <v/>
      </c>
      <c r="MT26" s="2470" t="str">
        <f t="shared" si="337"/>
        <v/>
      </c>
      <c r="MU26" s="356" t="str">
        <f t="shared" si="338"/>
        <v/>
      </c>
      <c r="MV26" s="356" t="str">
        <f t="shared" si="339"/>
        <v/>
      </c>
      <c r="MW26" s="356" t="str">
        <f t="shared" si="340"/>
        <v/>
      </c>
      <c r="MX26" s="356" t="str">
        <f t="shared" si="341"/>
        <v/>
      </c>
      <c r="MY26" s="356" t="str">
        <f t="shared" si="342"/>
        <v/>
      </c>
      <c r="MZ26" s="356" t="str">
        <f t="shared" si="343"/>
        <v/>
      </c>
      <c r="NA26" s="356" t="str">
        <f t="shared" si="344"/>
        <v/>
      </c>
      <c r="NB26" s="356" t="str">
        <f t="shared" si="345"/>
        <v/>
      </c>
      <c r="NC26" s="356" t="str">
        <f t="shared" si="346"/>
        <v/>
      </c>
      <c r="ND26" s="356" t="str">
        <f t="shared" si="347"/>
        <v/>
      </c>
      <c r="NE26" s="356" t="str">
        <f t="shared" si="348"/>
        <v/>
      </c>
      <c r="NF26" s="356" t="str">
        <f t="shared" si="349"/>
        <v/>
      </c>
      <c r="NG26" s="356" t="str">
        <f t="shared" si="350"/>
        <v/>
      </c>
      <c r="NH26" s="356" t="str">
        <f t="shared" si="351"/>
        <v/>
      </c>
      <c r="NI26" s="356" t="str">
        <f t="shared" si="352"/>
        <v/>
      </c>
      <c r="NJ26" s="356" t="str">
        <f t="shared" si="353"/>
        <v/>
      </c>
      <c r="NK26" s="356" t="str">
        <f t="shared" si="354"/>
        <v/>
      </c>
      <c r="NL26" s="356" t="str">
        <f t="shared" si="355"/>
        <v/>
      </c>
      <c r="NM26" s="356" t="str">
        <f t="shared" si="356"/>
        <v/>
      </c>
      <c r="NN26" s="356" t="str">
        <f t="shared" si="357"/>
        <v/>
      </c>
      <c r="NO26" s="1640">
        <f t="shared" si="358"/>
        <v>0</v>
      </c>
      <c r="NP26" s="1640">
        <f t="shared" si="359"/>
        <v>0</v>
      </c>
      <c r="NQ26" s="1640">
        <f t="shared" si="360"/>
        <v>0</v>
      </c>
      <c r="NR26" s="1640">
        <f t="shared" si="361"/>
        <v>0</v>
      </c>
      <c r="NS26" s="1640">
        <f t="shared" si="362"/>
        <v>0</v>
      </c>
      <c r="NT26" s="1640">
        <f t="shared" si="368"/>
        <v>0</v>
      </c>
      <c r="NU26" s="1640">
        <f t="shared" si="369"/>
        <v>0</v>
      </c>
      <c r="NV26" s="1640">
        <f t="shared" si="370"/>
        <v>0</v>
      </c>
      <c r="NW26" s="1640">
        <f t="shared" si="371"/>
        <v>0</v>
      </c>
      <c r="NX26" s="1640">
        <f t="shared" si="372"/>
        <v>0</v>
      </c>
      <c r="NY26" s="1640">
        <f t="shared" si="363"/>
        <v>0</v>
      </c>
      <c r="NZ26" s="1640">
        <f t="shared" si="364"/>
        <v>0</v>
      </c>
      <c r="OA26" s="1640">
        <f t="shared" si="365"/>
        <v>0</v>
      </c>
      <c r="OB26" s="1640">
        <f t="shared" si="366"/>
        <v>0</v>
      </c>
      <c r="OC26" s="1640">
        <f t="shared" si="367"/>
        <v>0</v>
      </c>
      <c r="OY26" s="2499" t="s">
        <v>4312</v>
      </c>
      <c r="OZ26" s="2504">
        <v>26</v>
      </c>
    </row>
    <row r="27" spans="1:416" ht="12" customHeight="1">
      <c r="A27" s="86" t="str">
        <f t="shared" si="0"/>
        <v/>
      </c>
      <c r="B27" s="1055"/>
      <c r="C27" s="132"/>
      <c r="D27" s="1643"/>
      <c r="E27" s="133"/>
      <c r="F27" s="133"/>
      <c r="G27" s="133"/>
      <c r="H27" s="133"/>
      <c r="I27" s="133"/>
      <c r="J27" s="1036">
        <f>IF(C27="",0,HLOOKUP(C27,'Part IV-Utility Allowances'!$I$11:$M$25,15))</f>
        <v>0</v>
      </c>
      <c r="K27" s="630"/>
      <c r="L27" s="460">
        <f t="shared" si="1"/>
        <v>0</v>
      </c>
      <c r="M27" s="460">
        <f t="shared" si="2"/>
        <v>0</v>
      </c>
      <c r="N27" s="680"/>
      <c r="O27" s="1585"/>
      <c r="P27" s="680"/>
      <c r="Q27" s="134"/>
      <c r="R27" s="723"/>
      <c r="S27" s="724"/>
      <c r="T27" s="3613"/>
      <c r="U27" s="3614"/>
      <c r="V27" s="3614"/>
      <c r="W27" s="3615"/>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356" t="str">
        <f t="shared" si="213"/>
        <v/>
      </c>
      <c r="IA27" s="356" t="str">
        <f t="shared" si="214"/>
        <v/>
      </c>
      <c r="IB27" s="356" t="str">
        <f t="shared" si="215"/>
        <v/>
      </c>
      <c r="IC27" s="356" t="str">
        <f t="shared" si="216"/>
        <v/>
      </c>
      <c r="ID27" s="356" t="str">
        <f t="shared" si="217"/>
        <v/>
      </c>
      <c r="IE27" s="356" t="str">
        <f t="shared" si="218"/>
        <v/>
      </c>
      <c r="IF27" s="356" t="str">
        <f t="shared" si="219"/>
        <v/>
      </c>
      <c r="IG27" s="356" t="str">
        <f t="shared" si="220"/>
        <v/>
      </c>
      <c r="IH27" s="356" t="str">
        <f t="shared" si="221"/>
        <v/>
      </c>
      <c r="II27" s="356" t="str">
        <f t="shared" si="222"/>
        <v/>
      </c>
      <c r="IJ27" s="356" t="str">
        <f t="shared" si="223"/>
        <v/>
      </c>
      <c r="IK27" s="356" t="str">
        <f t="shared" si="224"/>
        <v/>
      </c>
      <c r="IL27" s="356" t="str">
        <f t="shared" si="225"/>
        <v/>
      </c>
      <c r="IM27" s="356" t="str">
        <f t="shared" si="226"/>
        <v/>
      </c>
      <c r="IN27" s="356" t="str">
        <f t="shared" si="227"/>
        <v/>
      </c>
      <c r="IO27" s="356" t="str">
        <f t="shared" si="228"/>
        <v/>
      </c>
      <c r="IP27" s="356" t="str">
        <f t="shared" si="229"/>
        <v/>
      </c>
      <c r="IQ27" s="356" t="str">
        <f t="shared" si="230"/>
        <v/>
      </c>
      <c r="IR27" s="356" t="str">
        <f t="shared" si="231"/>
        <v/>
      </c>
      <c r="IS27" s="356" t="str">
        <f t="shared" si="232"/>
        <v/>
      </c>
      <c r="IT27" s="356" t="str">
        <f t="shared" si="233"/>
        <v/>
      </c>
      <c r="IU27" s="356" t="str">
        <f t="shared" si="234"/>
        <v/>
      </c>
      <c r="IV27" s="356" t="str">
        <f t="shared" si="235"/>
        <v/>
      </c>
      <c r="IW27" s="356" t="str">
        <f t="shared" si="236"/>
        <v/>
      </c>
      <c r="IX27" s="356" t="str">
        <f t="shared" si="237"/>
        <v/>
      </c>
      <c r="IY27" s="356" t="str">
        <f t="shared" si="238"/>
        <v/>
      </c>
      <c r="IZ27" s="356" t="str">
        <f t="shared" si="239"/>
        <v/>
      </c>
      <c r="JA27" s="356" t="str">
        <f t="shared" si="240"/>
        <v/>
      </c>
      <c r="JB27" s="356" t="str">
        <f t="shared" si="241"/>
        <v/>
      </c>
      <c r="JC27" s="356" t="str">
        <f t="shared" si="242"/>
        <v/>
      </c>
      <c r="JD27" s="356" t="str">
        <f t="shared" si="243"/>
        <v/>
      </c>
      <c r="JE27" s="356" t="str">
        <f t="shared" si="244"/>
        <v/>
      </c>
      <c r="JF27" s="356" t="str">
        <f t="shared" si="245"/>
        <v/>
      </c>
      <c r="JG27" s="356" t="str">
        <f t="shared" si="246"/>
        <v/>
      </c>
      <c r="JH27" s="356" t="str">
        <f t="shared" si="247"/>
        <v/>
      </c>
      <c r="JI27" s="1785" t="str">
        <f t="shared" si="248"/>
        <v/>
      </c>
      <c r="JJ27" s="1785" t="str">
        <f t="shared" si="249"/>
        <v/>
      </c>
      <c r="JK27" s="1785" t="str">
        <f t="shared" si="250"/>
        <v/>
      </c>
      <c r="JL27" s="1785" t="str">
        <f t="shared" si="251"/>
        <v/>
      </c>
      <c r="JM27" s="1785" t="str">
        <f t="shared" si="252"/>
        <v/>
      </c>
      <c r="JN27" s="1785" t="str">
        <f t="shared" si="253"/>
        <v/>
      </c>
      <c r="JO27" s="1785" t="str">
        <f t="shared" si="254"/>
        <v/>
      </c>
      <c r="JP27" s="1785" t="str">
        <f t="shared" si="255"/>
        <v/>
      </c>
      <c r="JQ27" s="1785" t="str">
        <f t="shared" si="256"/>
        <v/>
      </c>
      <c r="JR27" s="1785" t="str">
        <f t="shared" si="257"/>
        <v/>
      </c>
      <c r="JS27" s="1785" t="str">
        <f t="shared" si="258"/>
        <v/>
      </c>
      <c r="JT27" s="1785" t="str">
        <f t="shared" si="259"/>
        <v/>
      </c>
      <c r="JU27" s="1785" t="str">
        <f t="shared" si="260"/>
        <v/>
      </c>
      <c r="JV27" s="1785" t="str">
        <f t="shared" si="261"/>
        <v/>
      </c>
      <c r="JW27" s="1785" t="str">
        <f t="shared" si="262"/>
        <v/>
      </c>
      <c r="JX27" s="1785" t="str">
        <f t="shared" si="263"/>
        <v/>
      </c>
      <c r="JY27" s="1785" t="str">
        <f t="shared" si="264"/>
        <v/>
      </c>
      <c r="JZ27" s="1785" t="str">
        <f t="shared" si="265"/>
        <v/>
      </c>
      <c r="KA27" s="1785" t="str">
        <f t="shared" si="266"/>
        <v/>
      </c>
      <c r="KB27" s="1785" t="str">
        <f t="shared" si="267"/>
        <v/>
      </c>
      <c r="KC27" s="1785" t="str">
        <f t="shared" si="268"/>
        <v/>
      </c>
      <c r="KD27" s="1785" t="str">
        <f t="shared" si="269"/>
        <v/>
      </c>
      <c r="KE27" s="1785" t="str">
        <f t="shared" si="270"/>
        <v/>
      </c>
      <c r="KF27" s="1785" t="str">
        <f t="shared" si="271"/>
        <v/>
      </c>
      <c r="KG27" s="1785" t="str">
        <f t="shared" si="272"/>
        <v/>
      </c>
      <c r="KH27" s="1785" t="str">
        <f t="shared" si="273"/>
        <v/>
      </c>
      <c r="KI27" s="1785" t="str">
        <f t="shared" si="274"/>
        <v/>
      </c>
      <c r="KJ27" s="1785" t="str">
        <f t="shared" si="275"/>
        <v/>
      </c>
      <c r="KK27" s="1785" t="str">
        <f t="shared" si="276"/>
        <v/>
      </c>
      <c r="KL27" s="1785" t="str">
        <f t="shared" si="277"/>
        <v/>
      </c>
      <c r="KM27" s="1785" t="str">
        <f t="shared" si="278"/>
        <v/>
      </c>
      <c r="KN27" s="1785" t="str">
        <f t="shared" si="279"/>
        <v/>
      </c>
      <c r="KO27" s="1785" t="str">
        <f t="shared" si="280"/>
        <v/>
      </c>
      <c r="KP27" s="1785" t="str">
        <f t="shared" si="281"/>
        <v/>
      </c>
      <c r="KQ27" s="1785" t="str">
        <f t="shared" si="282"/>
        <v/>
      </c>
      <c r="KR27" s="1785" t="str">
        <f t="shared" si="283"/>
        <v/>
      </c>
      <c r="KS27" s="1785" t="str">
        <f t="shared" si="284"/>
        <v/>
      </c>
      <c r="KT27" s="1785" t="str">
        <f t="shared" si="285"/>
        <v/>
      </c>
      <c r="KU27" s="1785" t="str">
        <f t="shared" si="286"/>
        <v/>
      </c>
      <c r="KV27" s="1785" t="str">
        <f t="shared" si="287"/>
        <v/>
      </c>
      <c r="KW27" s="1785" t="str">
        <f t="shared" si="288"/>
        <v/>
      </c>
      <c r="KX27" s="1785" t="str">
        <f t="shared" si="289"/>
        <v/>
      </c>
      <c r="KY27" s="1785" t="str">
        <f t="shared" si="290"/>
        <v/>
      </c>
      <c r="KZ27" s="1785" t="str">
        <f t="shared" si="291"/>
        <v/>
      </c>
      <c r="LA27" s="1785" t="str">
        <f t="shared" si="292"/>
        <v/>
      </c>
      <c r="LB27" s="1785" t="str">
        <f t="shared" si="293"/>
        <v/>
      </c>
      <c r="LC27" s="1785" t="str">
        <f t="shared" si="294"/>
        <v/>
      </c>
      <c r="LD27" s="1785" t="str">
        <f t="shared" si="295"/>
        <v/>
      </c>
      <c r="LE27" s="1785" t="str">
        <f t="shared" si="296"/>
        <v/>
      </c>
      <c r="LF27" s="1785" t="str">
        <f t="shared" si="297"/>
        <v/>
      </c>
      <c r="LG27" s="1785" t="str">
        <f t="shared" si="298"/>
        <v/>
      </c>
      <c r="LH27" s="1785" t="str">
        <f t="shared" si="299"/>
        <v/>
      </c>
      <c r="LI27" s="1785" t="str">
        <f t="shared" si="300"/>
        <v/>
      </c>
      <c r="LJ27" s="1785" t="str">
        <f t="shared" si="301"/>
        <v/>
      </c>
      <c r="LK27" s="1785" t="str">
        <f t="shared" si="302"/>
        <v/>
      </c>
      <c r="LL27" s="1785" t="str">
        <f t="shared" si="303"/>
        <v/>
      </c>
      <c r="LM27" s="1785" t="str">
        <f t="shared" si="304"/>
        <v/>
      </c>
      <c r="LN27" s="1785" t="str">
        <f t="shared" si="305"/>
        <v/>
      </c>
      <c r="LO27" s="1785" t="str">
        <f t="shared" si="306"/>
        <v/>
      </c>
      <c r="LP27" s="1785" t="str">
        <f t="shared" si="307"/>
        <v/>
      </c>
      <c r="LQ27" s="1785" t="str">
        <f t="shared" si="308"/>
        <v/>
      </c>
      <c r="LR27" s="1785" t="str">
        <f t="shared" si="309"/>
        <v/>
      </c>
      <c r="LS27" s="1785" t="str">
        <f t="shared" si="310"/>
        <v/>
      </c>
      <c r="LT27" s="1785" t="str">
        <f t="shared" si="311"/>
        <v/>
      </c>
      <c r="LU27" s="1785" t="str">
        <f t="shared" si="312"/>
        <v/>
      </c>
      <c r="LV27" s="1785" t="str">
        <f t="shared" si="313"/>
        <v/>
      </c>
      <c r="LW27" s="1785" t="str">
        <f t="shared" si="314"/>
        <v/>
      </c>
      <c r="LX27" s="1785" t="str">
        <f t="shared" si="315"/>
        <v/>
      </c>
      <c r="LY27" s="1785" t="str">
        <f t="shared" si="316"/>
        <v/>
      </c>
      <c r="LZ27" s="1785" t="str">
        <f t="shared" si="317"/>
        <v/>
      </c>
      <c r="MA27" s="1785" t="str">
        <f t="shared" si="318"/>
        <v/>
      </c>
      <c r="MB27" s="1785" t="str">
        <f t="shared" si="319"/>
        <v/>
      </c>
      <c r="MC27" s="1785" t="str">
        <f t="shared" si="320"/>
        <v/>
      </c>
      <c r="MD27" s="1785" t="str">
        <f t="shared" si="321"/>
        <v/>
      </c>
      <c r="ME27" s="1785" t="str">
        <f t="shared" si="322"/>
        <v/>
      </c>
      <c r="MF27" s="1785" t="str">
        <f t="shared" si="323"/>
        <v/>
      </c>
      <c r="MG27" s="1785" t="str">
        <f t="shared" si="324"/>
        <v/>
      </c>
      <c r="MH27" s="1785" t="str">
        <f t="shared" si="325"/>
        <v/>
      </c>
      <c r="MI27" s="1785" t="str">
        <f t="shared" si="326"/>
        <v/>
      </c>
      <c r="MJ27" s="1785" t="str">
        <f t="shared" si="327"/>
        <v/>
      </c>
      <c r="MK27" s="1785" t="str">
        <f t="shared" si="328"/>
        <v/>
      </c>
      <c r="ML27" s="1785" t="str">
        <f t="shared" si="329"/>
        <v/>
      </c>
      <c r="MM27" s="1785" t="str">
        <f t="shared" si="330"/>
        <v/>
      </c>
      <c r="MN27" s="1785" t="str">
        <f t="shared" si="331"/>
        <v/>
      </c>
      <c r="MO27" s="1785" t="str">
        <f t="shared" si="332"/>
        <v/>
      </c>
      <c r="MP27" s="2470" t="str">
        <f t="shared" si="333"/>
        <v/>
      </c>
      <c r="MQ27" s="2470" t="str">
        <f t="shared" si="334"/>
        <v/>
      </c>
      <c r="MR27" s="2470" t="str">
        <f t="shared" si="335"/>
        <v/>
      </c>
      <c r="MS27" s="2470" t="str">
        <f t="shared" si="336"/>
        <v/>
      </c>
      <c r="MT27" s="2470" t="str">
        <f t="shared" si="337"/>
        <v/>
      </c>
      <c r="MU27" s="356" t="str">
        <f t="shared" si="338"/>
        <v/>
      </c>
      <c r="MV27" s="356" t="str">
        <f t="shared" si="339"/>
        <v/>
      </c>
      <c r="MW27" s="356" t="str">
        <f t="shared" si="340"/>
        <v/>
      </c>
      <c r="MX27" s="356" t="str">
        <f t="shared" si="341"/>
        <v/>
      </c>
      <c r="MY27" s="356" t="str">
        <f t="shared" si="342"/>
        <v/>
      </c>
      <c r="MZ27" s="356" t="str">
        <f t="shared" si="343"/>
        <v/>
      </c>
      <c r="NA27" s="356" t="str">
        <f t="shared" si="344"/>
        <v/>
      </c>
      <c r="NB27" s="356" t="str">
        <f t="shared" si="345"/>
        <v/>
      </c>
      <c r="NC27" s="356" t="str">
        <f t="shared" si="346"/>
        <v/>
      </c>
      <c r="ND27" s="356" t="str">
        <f t="shared" si="347"/>
        <v/>
      </c>
      <c r="NE27" s="356" t="str">
        <f t="shared" si="348"/>
        <v/>
      </c>
      <c r="NF27" s="356" t="str">
        <f t="shared" si="349"/>
        <v/>
      </c>
      <c r="NG27" s="356" t="str">
        <f t="shared" si="350"/>
        <v/>
      </c>
      <c r="NH27" s="356" t="str">
        <f t="shared" si="351"/>
        <v/>
      </c>
      <c r="NI27" s="356" t="str">
        <f t="shared" si="352"/>
        <v/>
      </c>
      <c r="NJ27" s="356" t="str">
        <f t="shared" si="353"/>
        <v/>
      </c>
      <c r="NK27" s="356" t="str">
        <f t="shared" si="354"/>
        <v/>
      </c>
      <c r="NL27" s="356" t="str">
        <f t="shared" si="355"/>
        <v/>
      </c>
      <c r="NM27" s="356" t="str">
        <f t="shared" si="356"/>
        <v/>
      </c>
      <c r="NN27" s="356" t="str">
        <f t="shared" si="357"/>
        <v/>
      </c>
      <c r="NO27" s="1640">
        <f t="shared" si="358"/>
        <v>0</v>
      </c>
      <c r="NP27" s="1640">
        <f t="shared" si="359"/>
        <v>0</v>
      </c>
      <c r="NQ27" s="1640">
        <f t="shared" si="360"/>
        <v>0</v>
      </c>
      <c r="NR27" s="1640">
        <f t="shared" si="361"/>
        <v>0</v>
      </c>
      <c r="NS27" s="1640">
        <f t="shared" si="362"/>
        <v>0</v>
      </c>
      <c r="NT27" s="1640">
        <f t="shared" si="368"/>
        <v>0</v>
      </c>
      <c r="NU27" s="1640">
        <f t="shared" si="369"/>
        <v>0</v>
      </c>
      <c r="NV27" s="1640">
        <f t="shared" si="370"/>
        <v>0</v>
      </c>
      <c r="NW27" s="1640">
        <f t="shared" si="371"/>
        <v>0</v>
      </c>
      <c r="NX27" s="1640">
        <f t="shared" si="372"/>
        <v>0</v>
      </c>
      <c r="NY27" s="1640">
        <f t="shared" si="363"/>
        <v>0</v>
      </c>
      <c r="NZ27" s="1640">
        <f t="shared" si="364"/>
        <v>0</v>
      </c>
      <c r="OA27" s="1640">
        <f t="shared" si="365"/>
        <v>0</v>
      </c>
      <c r="OB27" s="1640">
        <f t="shared" si="366"/>
        <v>0</v>
      </c>
      <c r="OC27" s="1640">
        <f t="shared" si="367"/>
        <v>0</v>
      </c>
      <c r="OY27" s="2499" t="s">
        <v>4313</v>
      </c>
      <c r="OZ27" s="2504">
        <v>27</v>
      </c>
    </row>
    <row r="28" spans="1:416" ht="12" customHeight="1">
      <c r="A28" s="86" t="str">
        <f t="shared" si="0"/>
        <v/>
      </c>
      <c r="B28" s="1055"/>
      <c r="C28" s="132"/>
      <c r="D28" s="1643"/>
      <c r="E28" s="133"/>
      <c r="F28" s="133"/>
      <c r="G28" s="133"/>
      <c r="H28" s="133"/>
      <c r="I28" s="133"/>
      <c r="J28" s="1036">
        <f>IF(C28="",0,HLOOKUP(C28,'Part IV-Utility Allowances'!$I$11:$M$25,15))</f>
        <v>0</v>
      </c>
      <c r="K28" s="630"/>
      <c r="L28" s="460">
        <f t="shared" si="1"/>
        <v>0</v>
      </c>
      <c r="M28" s="460">
        <f t="shared" si="2"/>
        <v>0</v>
      </c>
      <c r="N28" s="680"/>
      <c r="O28" s="1585"/>
      <c r="P28" s="680"/>
      <c r="Q28" s="134"/>
      <c r="R28" s="723"/>
      <c r="S28" s="724"/>
      <c r="T28" s="3613"/>
      <c r="U28" s="3614"/>
      <c r="V28" s="3614"/>
      <c r="W28" s="3615"/>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356" t="str">
        <f t="shared" si="213"/>
        <v/>
      </c>
      <c r="IA28" s="356" t="str">
        <f t="shared" si="214"/>
        <v/>
      </c>
      <c r="IB28" s="356" t="str">
        <f t="shared" si="215"/>
        <v/>
      </c>
      <c r="IC28" s="356" t="str">
        <f t="shared" si="216"/>
        <v/>
      </c>
      <c r="ID28" s="356" t="str">
        <f t="shared" si="217"/>
        <v/>
      </c>
      <c r="IE28" s="356" t="str">
        <f t="shared" si="218"/>
        <v/>
      </c>
      <c r="IF28" s="356" t="str">
        <f t="shared" si="219"/>
        <v/>
      </c>
      <c r="IG28" s="356" t="str">
        <f t="shared" si="220"/>
        <v/>
      </c>
      <c r="IH28" s="356" t="str">
        <f t="shared" si="221"/>
        <v/>
      </c>
      <c r="II28" s="356" t="str">
        <f t="shared" si="222"/>
        <v/>
      </c>
      <c r="IJ28" s="356" t="str">
        <f t="shared" si="223"/>
        <v/>
      </c>
      <c r="IK28" s="356" t="str">
        <f t="shared" si="224"/>
        <v/>
      </c>
      <c r="IL28" s="356" t="str">
        <f t="shared" si="225"/>
        <v/>
      </c>
      <c r="IM28" s="356" t="str">
        <f t="shared" si="226"/>
        <v/>
      </c>
      <c r="IN28" s="356" t="str">
        <f t="shared" si="227"/>
        <v/>
      </c>
      <c r="IO28" s="356" t="str">
        <f t="shared" si="228"/>
        <v/>
      </c>
      <c r="IP28" s="356" t="str">
        <f t="shared" si="229"/>
        <v/>
      </c>
      <c r="IQ28" s="356" t="str">
        <f t="shared" si="230"/>
        <v/>
      </c>
      <c r="IR28" s="356" t="str">
        <f t="shared" si="231"/>
        <v/>
      </c>
      <c r="IS28" s="356" t="str">
        <f t="shared" si="232"/>
        <v/>
      </c>
      <c r="IT28" s="356" t="str">
        <f t="shared" si="233"/>
        <v/>
      </c>
      <c r="IU28" s="356" t="str">
        <f t="shared" si="234"/>
        <v/>
      </c>
      <c r="IV28" s="356" t="str">
        <f t="shared" si="235"/>
        <v/>
      </c>
      <c r="IW28" s="356" t="str">
        <f t="shared" si="236"/>
        <v/>
      </c>
      <c r="IX28" s="356" t="str">
        <f t="shared" si="237"/>
        <v/>
      </c>
      <c r="IY28" s="356" t="str">
        <f t="shared" si="238"/>
        <v/>
      </c>
      <c r="IZ28" s="356" t="str">
        <f t="shared" si="239"/>
        <v/>
      </c>
      <c r="JA28" s="356" t="str">
        <f t="shared" si="240"/>
        <v/>
      </c>
      <c r="JB28" s="356" t="str">
        <f t="shared" si="241"/>
        <v/>
      </c>
      <c r="JC28" s="356" t="str">
        <f t="shared" si="242"/>
        <v/>
      </c>
      <c r="JD28" s="356" t="str">
        <f t="shared" si="243"/>
        <v/>
      </c>
      <c r="JE28" s="356" t="str">
        <f t="shared" si="244"/>
        <v/>
      </c>
      <c r="JF28" s="356" t="str">
        <f t="shared" si="245"/>
        <v/>
      </c>
      <c r="JG28" s="356" t="str">
        <f t="shared" si="246"/>
        <v/>
      </c>
      <c r="JH28" s="356" t="str">
        <f t="shared" si="247"/>
        <v/>
      </c>
      <c r="JI28" s="1785" t="str">
        <f t="shared" si="248"/>
        <v/>
      </c>
      <c r="JJ28" s="1785" t="str">
        <f t="shared" si="249"/>
        <v/>
      </c>
      <c r="JK28" s="1785" t="str">
        <f t="shared" si="250"/>
        <v/>
      </c>
      <c r="JL28" s="1785" t="str">
        <f t="shared" si="251"/>
        <v/>
      </c>
      <c r="JM28" s="1785" t="str">
        <f t="shared" si="252"/>
        <v/>
      </c>
      <c r="JN28" s="1785" t="str">
        <f t="shared" si="253"/>
        <v/>
      </c>
      <c r="JO28" s="1785" t="str">
        <f t="shared" si="254"/>
        <v/>
      </c>
      <c r="JP28" s="1785" t="str">
        <f t="shared" si="255"/>
        <v/>
      </c>
      <c r="JQ28" s="1785" t="str">
        <f t="shared" si="256"/>
        <v/>
      </c>
      <c r="JR28" s="1785" t="str">
        <f t="shared" si="257"/>
        <v/>
      </c>
      <c r="JS28" s="1785" t="str">
        <f t="shared" si="258"/>
        <v/>
      </c>
      <c r="JT28" s="1785" t="str">
        <f t="shared" si="259"/>
        <v/>
      </c>
      <c r="JU28" s="1785" t="str">
        <f t="shared" si="260"/>
        <v/>
      </c>
      <c r="JV28" s="1785" t="str">
        <f t="shared" si="261"/>
        <v/>
      </c>
      <c r="JW28" s="1785" t="str">
        <f t="shared" si="262"/>
        <v/>
      </c>
      <c r="JX28" s="1785" t="str">
        <f t="shared" si="263"/>
        <v/>
      </c>
      <c r="JY28" s="1785" t="str">
        <f t="shared" si="264"/>
        <v/>
      </c>
      <c r="JZ28" s="1785" t="str">
        <f t="shared" si="265"/>
        <v/>
      </c>
      <c r="KA28" s="1785" t="str">
        <f t="shared" si="266"/>
        <v/>
      </c>
      <c r="KB28" s="1785" t="str">
        <f t="shared" si="267"/>
        <v/>
      </c>
      <c r="KC28" s="1785" t="str">
        <f t="shared" si="268"/>
        <v/>
      </c>
      <c r="KD28" s="1785" t="str">
        <f t="shared" si="269"/>
        <v/>
      </c>
      <c r="KE28" s="1785" t="str">
        <f t="shared" si="270"/>
        <v/>
      </c>
      <c r="KF28" s="1785" t="str">
        <f t="shared" si="271"/>
        <v/>
      </c>
      <c r="KG28" s="1785" t="str">
        <f t="shared" si="272"/>
        <v/>
      </c>
      <c r="KH28" s="1785" t="str">
        <f t="shared" si="273"/>
        <v/>
      </c>
      <c r="KI28" s="1785" t="str">
        <f t="shared" si="274"/>
        <v/>
      </c>
      <c r="KJ28" s="1785" t="str">
        <f t="shared" si="275"/>
        <v/>
      </c>
      <c r="KK28" s="1785" t="str">
        <f t="shared" si="276"/>
        <v/>
      </c>
      <c r="KL28" s="1785" t="str">
        <f t="shared" si="277"/>
        <v/>
      </c>
      <c r="KM28" s="1785" t="str">
        <f t="shared" si="278"/>
        <v/>
      </c>
      <c r="KN28" s="1785" t="str">
        <f t="shared" si="279"/>
        <v/>
      </c>
      <c r="KO28" s="1785" t="str">
        <f t="shared" si="280"/>
        <v/>
      </c>
      <c r="KP28" s="1785" t="str">
        <f t="shared" si="281"/>
        <v/>
      </c>
      <c r="KQ28" s="1785" t="str">
        <f t="shared" si="282"/>
        <v/>
      </c>
      <c r="KR28" s="1785" t="str">
        <f t="shared" si="283"/>
        <v/>
      </c>
      <c r="KS28" s="1785" t="str">
        <f t="shared" si="284"/>
        <v/>
      </c>
      <c r="KT28" s="1785" t="str">
        <f t="shared" si="285"/>
        <v/>
      </c>
      <c r="KU28" s="1785" t="str">
        <f t="shared" si="286"/>
        <v/>
      </c>
      <c r="KV28" s="1785" t="str">
        <f t="shared" si="287"/>
        <v/>
      </c>
      <c r="KW28" s="1785" t="str">
        <f t="shared" si="288"/>
        <v/>
      </c>
      <c r="KX28" s="1785" t="str">
        <f t="shared" si="289"/>
        <v/>
      </c>
      <c r="KY28" s="1785" t="str">
        <f t="shared" si="290"/>
        <v/>
      </c>
      <c r="KZ28" s="1785" t="str">
        <f t="shared" si="291"/>
        <v/>
      </c>
      <c r="LA28" s="1785" t="str">
        <f t="shared" si="292"/>
        <v/>
      </c>
      <c r="LB28" s="1785" t="str">
        <f t="shared" si="293"/>
        <v/>
      </c>
      <c r="LC28" s="1785" t="str">
        <f t="shared" si="294"/>
        <v/>
      </c>
      <c r="LD28" s="1785" t="str">
        <f t="shared" si="295"/>
        <v/>
      </c>
      <c r="LE28" s="1785" t="str">
        <f t="shared" si="296"/>
        <v/>
      </c>
      <c r="LF28" s="1785" t="str">
        <f t="shared" si="297"/>
        <v/>
      </c>
      <c r="LG28" s="1785" t="str">
        <f t="shared" si="298"/>
        <v/>
      </c>
      <c r="LH28" s="1785" t="str">
        <f t="shared" si="299"/>
        <v/>
      </c>
      <c r="LI28" s="1785" t="str">
        <f t="shared" si="300"/>
        <v/>
      </c>
      <c r="LJ28" s="1785" t="str">
        <f t="shared" si="301"/>
        <v/>
      </c>
      <c r="LK28" s="1785" t="str">
        <f t="shared" si="302"/>
        <v/>
      </c>
      <c r="LL28" s="1785" t="str">
        <f t="shared" si="303"/>
        <v/>
      </c>
      <c r="LM28" s="1785" t="str">
        <f t="shared" si="304"/>
        <v/>
      </c>
      <c r="LN28" s="1785" t="str">
        <f t="shared" si="305"/>
        <v/>
      </c>
      <c r="LO28" s="1785" t="str">
        <f t="shared" si="306"/>
        <v/>
      </c>
      <c r="LP28" s="1785" t="str">
        <f t="shared" si="307"/>
        <v/>
      </c>
      <c r="LQ28" s="1785" t="str">
        <f t="shared" si="308"/>
        <v/>
      </c>
      <c r="LR28" s="1785" t="str">
        <f t="shared" si="309"/>
        <v/>
      </c>
      <c r="LS28" s="1785" t="str">
        <f t="shared" si="310"/>
        <v/>
      </c>
      <c r="LT28" s="1785" t="str">
        <f t="shared" si="311"/>
        <v/>
      </c>
      <c r="LU28" s="1785" t="str">
        <f t="shared" si="312"/>
        <v/>
      </c>
      <c r="LV28" s="1785" t="str">
        <f t="shared" si="313"/>
        <v/>
      </c>
      <c r="LW28" s="1785" t="str">
        <f t="shared" si="314"/>
        <v/>
      </c>
      <c r="LX28" s="1785" t="str">
        <f t="shared" si="315"/>
        <v/>
      </c>
      <c r="LY28" s="1785" t="str">
        <f t="shared" si="316"/>
        <v/>
      </c>
      <c r="LZ28" s="1785" t="str">
        <f t="shared" si="317"/>
        <v/>
      </c>
      <c r="MA28" s="1785" t="str">
        <f t="shared" si="318"/>
        <v/>
      </c>
      <c r="MB28" s="1785" t="str">
        <f t="shared" si="319"/>
        <v/>
      </c>
      <c r="MC28" s="1785" t="str">
        <f t="shared" si="320"/>
        <v/>
      </c>
      <c r="MD28" s="1785" t="str">
        <f t="shared" si="321"/>
        <v/>
      </c>
      <c r="ME28" s="1785" t="str">
        <f t="shared" si="322"/>
        <v/>
      </c>
      <c r="MF28" s="1785" t="str">
        <f t="shared" si="323"/>
        <v/>
      </c>
      <c r="MG28" s="1785" t="str">
        <f t="shared" si="324"/>
        <v/>
      </c>
      <c r="MH28" s="1785" t="str">
        <f t="shared" si="325"/>
        <v/>
      </c>
      <c r="MI28" s="1785" t="str">
        <f t="shared" si="326"/>
        <v/>
      </c>
      <c r="MJ28" s="1785" t="str">
        <f t="shared" si="327"/>
        <v/>
      </c>
      <c r="MK28" s="1785" t="str">
        <f t="shared" si="328"/>
        <v/>
      </c>
      <c r="ML28" s="1785" t="str">
        <f t="shared" si="329"/>
        <v/>
      </c>
      <c r="MM28" s="1785" t="str">
        <f t="shared" si="330"/>
        <v/>
      </c>
      <c r="MN28" s="1785" t="str">
        <f t="shared" si="331"/>
        <v/>
      </c>
      <c r="MO28" s="1785" t="str">
        <f t="shared" si="332"/>
        <v/>
      </c>
      <c r="MP28" s="2470" t="str">
        <f t="shared" si="333"/>
        <v/>
      </c>
      <c r="MQ28" s="2470" t="str">
        <f t="shared" si="334"/>
        <v/>
      </c>
      <c r="MR28" s="2470" t="str">
        <f t="shared" si="335"/>
        <v/>
      </c>
      <c r="MS28" s="2470" t="str">
        <f t="shared" si="336"/>
        <v/>
      </c>
      <c r="MT28" s="2470" t="str">
        <f t="shared" si="337"/>
        <v/>
      </c>
      <c r="MU28" s="356" t="str">
        <f t="shared" si="338"/>
        <v/>
      </c>
      <c r="MV28" s="356" t="str">
        <f t="shared" si="339"/>
        <v/>
      </c>
      <c r="MW28" s="356" t="str">
        <f t="shared" si="340"/>
        <v/>
      </c>
      <c r="MX28" s="356" t="str">
        <f t="shared" si="341"/>
        <v/>
      </c>
      <c r="MY28" s="356" t="str">
        <f t="shared" si="342"/>
        <v/>
      </c>
      <c r="MZ28" s="356" t="str">
        <f t="shared" si="343"/>
        <v/>
      </c>
      <c r="NA28" s="356" t="str">
        <f t="shared" si="344"/>
        <v/>
      </c>
      <c r="NB28" s="356" t="str">
        <f t="shared" si="345"/>
        <v/>
      </c>
      <c r="NC28" s="356" t="str">
        <f t="shared" si="346"/>
        <v/>
      </c>
      <c r="ND28" s="356" t="str">
        <f t="shared" si="347"/>
        <v/>
      </c>
      <c r="NE28" s="356" t="str">
        <f t="shared" si="348"/>
        <v/>
      </c>
      <c r="NF28" s="356" t="str">
        <f t="shared" si="349"/>
        <v/>
      </c>
      <c r="NG28" s="356" t="str">
        <f t="shared" si="350"/>
        <v/>
      </c>
      <c r="NH28" s="356" t="str">
        <f t="shared" si="351"/>
        <v/>
      </c>
      <c r="NI28" s="356" t="str">
        <f t="shared" si="352"/>
        <v/>
      </c>
      <c r="NJ28" s="356" t="str">
        <f t="shared" si="353"/>
        <v/>
      </c>
      <c r="NK28" s="356" t="str">
        <f t="shared" si="354"/>
        <v/>
      </c>
      <c r="NL28" s="356" t="str">
        <f t="shared" si="355"/>
        <v/>
      </c>
      <c r="NM28" s="356" t="str">
        <f t="shared" si="356"/>
        <v/>
      </c>
      <c r="NN28" s="356" t="str">
        <f t="shared" si="357"/>
        <v/>
      </c>
      <c r="NO28" s="1640">
        <f t="shared" si="358"/>
        <v>0</v>
      </c>
      <c r="NP28" s="1640">
        <f t="shared" si="359"/>
        <v>0</v>
      </c>
      <c r="NQ28" s="1640">
        <f t="shared" si="360"/>
        <v>0</v>
      </c>
      <c r="NR28" s="1640">
        <f t="shared" si="361"/>
        <v>0</v>
      </c>
      <c r="NS28" s="1640">
        <f t="shared" si="362"/>
        <v>0</v>
      </c>
      <c r="NT28" s="1640">
        <f t="shared" si="368"/>
        <v>0</v>
      </c>
      <c r="NU28" s="1640">
        <f t="shared" si="369"/>
        <v>0</v>
      </c>
      <c r="NV28" s="1640">
        <f t="shared" si="370"/>
        <v>0</v>
      </c>
      <c r="NW28" s="1640">
        <f t="shared" si="371"/>
        <v>0</v>
      </c>
      <c r="NX28" s="1640">
        <f t="shared" si="372"/>
        <v>0</v>
      </c>
      <c r="NY28" s="1640">
        <f t="shared" si="363"/>
        <v>0</v>
      </c>
      <c r="NZ28" s="1640">
        <f t="shared" si="364"/>
        <v>0</v>
      </c>
      <c r="OA28" s="1640">
        <f t="shared" si="365"/>
        <v>0</v>
      </c>
      <c r="OB28" s="1640">
        <f t="shared" si="366"/>
        <v>0</v>
      </c>
      <c r="OC28" s="1640">
        <f t="shared" si="367"/>
        <v>0</v>
      </c>
      <c r="OY28" s="2499" t="s">
        <v>4314</v>
      </c>
      <c r="OZ28" s="2504">
        <v>28</v>
      </c>
    </row>
    <row r="29" spans="1:416" ht="12" customHeight="1">
      <c r="A29" s="86" t="str">
        <f t="shared" si="0"/>
        <v/>
      </c>
      <c r="B29" s="1055"/>
      <c r="C29" s="132"/>
      <c r="D29" s="1643"/>
      <c r="E29" s="133"/>
      <c r="F29" s="133"/>
      <c r="G29" s="133"/>
      <c r="H29" s="133"/>
      <c r="I29" s="133"/>
      <c r="J29" s="1036">
        <f>IF(C29="",0,HLOOKUP(C29,'Part IV-Utility Allowances'!$I$11:$M$25,15))</f>
        <v>0</v>
      </c>
      <c r="K29" s="630"/>
      <c r="L29" s="460">
        <f t="shared" si="1"/>
        <v>0</v>
      </c>
      <c r="M29" s="460">
        <f t="shared" si="2"/>
        <v>0</v>
      </c>
      <c r="N29" s="680"/>
      <c r="O29" s="1585"/>
      <c r="P29" s="680"/>
      <c r="Q29" s="134"/>
      <c r="R29" s="723"/>
      <c r="S29" s="724"/>
      <c r="T29" s="3613"/>
      <c r="U29" s="3614"/>
      <c r="V29" s="3614"/>
      <c r="W29" s="3615"/>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356" t="str">
        <f t="shared" si="213"/>
        <v/>
      </c>
      <c r="IA29" s="356" t="str">
        <f t="shared" si="214"/>
        <v/>
      </c>
      <c r="IB29" s="356" t="str">
        <f t="shared" si="215"/>
        <v/>
      </c>
      <c r="IC29" s="356" t="str">
        <f t="shared" si="216"/>
        <v/>
      </c>
      <c r="ID29" s="356" t="str">
        <f t="shared" si="217"/>
        <v/>
      </c>
      <c r="IE29" s="356" t="str">
        <f t="shared" si="218"/>
        <v/>
      </c>
      <c r="IF29" s="356" t="str">
        <f t="shared" si="219"/>
        <v/>
      </c>
      <c r="IG29" s="356" t="str">
        <f t="shared" si="220"/>
        <v/>
      </c>
      <c r="IH29" s="356" t="str">
        <f t="shared" si="221"/>
        <v/>
      </c>
      <c r="II29" s="356" t="str">
        <f t="shared" si="222"/>
        <v/>
      </c>
      <c r="IJ29" s="356" t="str">
        <f t="shared" si="223"/>
        <v/>
      </c>
      <c r="IK29" s="356" t="str">
        <f t="shared" si="224"/>
        <v/>
      </c>
      <c r="IL29" s="356" t="str">
        <f t="shared" si="225"/>
        <v/>
      </c>
      <c r="IM29" s="356" t="str">
        <f t="shared" si="226"/>
        <v/>
      </c>
      <c r="IN29" s="356" t="str">
        <f t="shared" si="227"/>
        <v/>
      </c>
      <c r="IO29" s="356" t="str">
        <f t="shared" si="228"/>
        <v/>
      </c>
      <c r="IP29" s="356" t="str">
        <f t="shared" si="229"/>
        <v/>
      </c>
      <c r="IQ29" s="356" t="str">
        <f t="shared" si="230"/>
        <v/>
      </c>
      <c r="IR29" s="356" t="str">
        <f t="shared" si="231"/>
        <v/>
      </c>
      <c r="IS29" s="356" t="str">
        <f t="shared" si="232"/>
        <v/>
      </c>
      <c r="IT29" s="356" t="str">
        <f t="shared" si="233"/>
        <v/>
      </c>
      <c r="IU29" s="356" t="str">
        <f t="shared" si="234"/>
        <v/>
      </c>
      <c r="IV29" s="356" t="str">
        <f t="shared" si="235"/>
        <v/>
      </c>
      <c r="IW29" s="356" t="str">
        <f t="shared" si="236"/>
        <v/>
      </c>
      <c r="IX29" s="356" t="str">
        <f t="shared" si="237"/>
        <v/>
      </c>
      <c r="IY29" s="356" t="str">
        <f t="shared" si="238"/>
        <v/>
      </c>
      <c r="IZ29" s="356" t="str">
        <f t="shared" si="239"/>
        <v/>
      </c>
      <c r="JA29" s="356" t="str">
        <f t="shared" si="240"/>
        <v/>
      </c>
      <c r="JB29" s="356" t="str">
        <f t="shared" si="241"/>
        <v/>
      </c>
      <c r="JC29" s="356" t="str">
        <f t="shared" si="242"/>
        <v/>
      </c>
      <c r="JD29" s="356" t="str">
        <f t="shared" si="243"/>
        <v/>
      </c>
      <c r="JE29" s="356" t="str">
        <f t="shared" si="244"/>
        <v/>
      </c>
      <c r="JF29" s="356" t="str">
        <f t="shared" si="245"/>
        <v/>
      </c>
      <c r="JG29" s="356" t="str">
        <f t="shared" si="246"/>
        <v/>
      </c>
      <c r="JH29" s="356" t="str">
        <f t="shared" si="247"/>
        <v/>
      </c>
      <c r="JI29" s="1785" t="str">
        <f t="shared" si="248"/>
        <v/>
      </c>
      <c r="JJ29" s="1785" t="str">
        <f t="shared" si="249"/>
        <v/>
      </c>
      <c r="JK29" s="1785" t="str">
        <f t="shared" si="250"/>
        <v/>
      </c>
      <c r="JL29" s="1785" t="str">
        <f t="shared" si="251"/>
        <v/>
      </c>
      <c r="JM29" s="1785" t="str">
        <f t="shared" si="252"/>
        <v/>
      </c>
      <c r="JN29" s="1785" t="str">
        <f t="shared" si="253"/>
        <v/>
      </c>
      <c r="JO29" s="1785" t="str">
        <f t="shared" si="254"/>
        <v/>
      </c>
      <c r="JP29" s="1785" t="str">
        <f t="shared" si="255"/>
        <v/>
      </c>
      <c r="JQ29" s="1785" t="str">
        <f t="shared" si="256"/>
        <v/>
      </c>
      <c r="JR29" s="1785" t="str">
        <f t="shared" si="257"/>
        <v/>
      </c>
      <c r="JS29" s="1785" t="str">
        <f t="shared" si="258"/>
        <v/>
      </c>
      <c r="JT29" s="1785" t="str">
        <f t="shared" si="259"/>
        <v/>
      </c>
      <c r="JU29" s="1785" t="str">
        <f t="shared" si="260"/>
        <v/>
      </c>
      <c r="JV29" s="1785" t="str">
        <f t="shared" si="261"/>
        <v/>
      </c>
      <c r="JW29" s="1785" t="str">
        <f t="shared" si="262"/>
        <v/>
      </c>
      <c r="JX29" s="1785" t="str">
        <f t="shared" si="263"/>
        <v/>
      </c>
      <c r="JY29" s="1785" t="str">
        <f t="shared" si="264"/>
        <v/>
      </c>
      <c r="JZ29" s="1785" t="str">
        <f t="shared" si="265"/>
        <v/>
      </c>
      <c r="KA29" s="1785" t="str">
        <f t="shared" si="266"/>
        <v/>
      </c>
      <c r="KB29" s="1785" t="str">
        <f t="shared" si="267"/>
        <v/>
      </c>
      <c r="KC29" s="1785" t="str">
        <f t="shared" si="268"/>
        <v/>
      </c>
      <c r="KD29" s="1785" t="str">
        <f t="shared" si="269"/>
        <v/>
      </c>
      <c r="KE29" s="1785" t="str">
        <f t="shared" si="270"/>
        <v/>
      </c>
      <c r="KF29" s="1785" t="str">
        <f t="shared" si="271"/>
        <v/>
      </c>
      <c r="KG29" s="1785" t="str">
        <f t="shared" si="272"/>
        <v/>
      </c>
      <c r="KH29" s="1785" t="str">
        <f t="shared" si="273"/>
        <v/>
      </c>
      <c r="KI29" s="1785" t="str">
        <f t="shared" si="274"/>
        <v/>
      </c>
      <c r="KJ29" s="1785" t="str">
        <f t="shared" si="275"/>
        <v/>
      </c>
      <c r="KK29" s="1785" t="str">
        <f t="shared" si="276"/>
        <v/>
      </c>
      <c r="KL29" s="1785" t="str">
        <f t="shared" si="277"/>
        <v/>
      </c>
      <c r="KM29" s="1785" t="str">
        <f t="shared" si="278"/>
        <v/>
      </c>
      <c r="KN29" s="1785" t="str">
        <f t="shared" si="279"/>
        <v/>
      </c>
      <c r="KO29" s="1785" t="str">
        <f t="shared" si="280"/>
        <v/>
      </c>
      <c r="KP29" s="1785" t="str">
        <f t="shared" si="281"/>
        <v/>
      </c>
      <c r="KQ29" s="1785" t="str">
        <f t="shared" si="282"/>
        <v/>
      </c>
      <c r="KR29" s="1785" t="str">
        <f t="shared" si="283"/>
        <v/>
      </c>
      <c r="KS29" s="1785" t="str">
        <f t="shared" si="284"/>
        <v/>
      </c>
      <c r="KT29" s="1785" t="str">
        <f t="shared" si="285"/>
        <v/>
      </c>
      <c r="KU29" s="1785" t="str">
        <f t="shared" si="286"/>
        <v/>
      </c>
      <c r="KV29" s="1785" t="str">
        <f t="shared" si="287"/>
        <v/>
      </c>
      <c r="KW29" s="1785" t="str">
        <f t="shared" si="288"/>
        <v/>
      </c>
      <c r="KX29" s="1785" t="str">
        <f t="shared" si="289"/>
        <v/>
      </c>
      <c r="KY29" s="1785" t="str">
        <f t="shared" si="290"/>
        <v/>
      </c>
      <c r="KZ29" s="1785" t="str">
        <f t="shared" si="291"/>
        <v/>
      </c>
      <c r="LA29" s="1785" t="str">
        <f t="shared" si="292"/>
        <v/>
      </c>
      <c r="LB29" s="1785" t="str">
        <f t="shared" si="293"/>
        <v/>
      </c>
      <c r="LC29" s="1785" t="str">
        <f t="shared" si="294"/>
        <v/>
      </c>
      <c r="LD29" s="1785" t="str">
        <f t="shared" si="295"/>
        <v/>
      </c>
      <c r="LE29" s="1785" t="str">
        <f t="shared" si="296"/>
        <v/>
      </c>
      <c r="LF29" s="1785" t="str">
        <f t="shared" si="297"/>
        <v/>
      </c>
      <c r="LG29" s="1785" t="str">
        <f t="shared" si="298"/>
        <v/>
      </c>
      <c r="LH29" s="1785" t="str">
        <f t="shared" si="299"/>
        <v/>
      </c>
      <c r="LI29" s="1785" t="str">
        <f t="shared" si="300"/>
        <v/>
      </c>
      <c r="LJ29" s="1785" t="str">
        <f t="shared" si="301"/>
        <v/>
      </c>
      <c r="LK29" s="1785" t="str">
        <f t="shared" si="302"/>
        <v/>
      </c>
      <c r="LL29" s="1785" t="str">
        <f t="shared" si="303"/>
        <v/>
      </c>
      <c r="LM29" s="1785" t="str">
        <f t="shared" si="304"/>
        <v/>
      </c>
      <c r="LN29" s="1785" t="str">
        <f t="shared" si="305"/>
        <v/>
      </c>
      <c r="LO29" s="1785" t="str">
        <f t="shared" si="306"/>
        <v/>
      </c>
      <c r="LP29" s="1785" t="str">
        <f t="shared" si="307"/>
        <v/>
      </c>
      <c r="LQ29" s="1785" t="str">
        <f t="shared" si="308"/>
        <v/>
      </c>
      <c r="LR29" s="1785" t="str">
        <f t="shared" si="309"/>
        <v/>
      </c>
      <c r="LS29" s="1785" t="str">
        <f t="shared" si="310"/>
        <v/>
      </c>
      <c r="LT29" s="1785" t="str">
        <f t="shared" si="311"/>
        <v/>
      </c>
      <c r="LU29" s="1785" t="str">
        <f t="shared" si="312"/>
        <v/>
      </c>
      <c r="LV29" s="1785" t="str">
        <f t="shared" si="313"/>
        <v/>
      </c>
      <c r="LW29" s="1785" t="str">
        <f t="shared" si="314"/>
        <v/>
      </c>
      <c r="LX29" s="1785" t="str">
        <f t="shared" si="315"/>
        <v/>
      </c>
      <c r="LY29" s="1785" t="str">
        <f t="shared" si="316"/>
        <v/>
      </c>
      <c r="LZ29" s="1785" t="str">
        <f t="shared" si="317"/>
        <v/>
      </c>
      <c r="MA29" s="1785" t="str">
        <f t="shared" si="318"/>
        <v/>
      </c>
      <c r="MB29" s="1785" t="str">
        <f t="shared" si="319"/>
        <v/>
      </c>
      <c r="MC29" s="1785" t="str">
        <f t="shared" si="320"/>
        <v/>
      </c>
      <c r="MD29" s="1785" t="str">
        <f t="shared" si="321"/>
        <v/>
      </c>
      <c r="ME29" s="1785" t="str">
        <f t="shared" si="322"/>
        <v/>
      </c>
      <c r="MF29" s="1785" t="str">
        <f t="shared" si="323"/>
        <v/>
      </c>
      <c r="MG29" s="1785" t="str">
        <f t="shared" si="324"/>
        <v/>
      </c>
      <c r="MH29" s="1785" t="str">
        <f t="shared" si="325"/>
        <v/>
      </c>
      <c r="MI29" s="1785" t="str">
        <f t="shared" si="326"/>
        <v/>
      </c>
      <c r="MJ29" s="1785" t="str">
        <f t="shared" si="327"/>
        <v/>
      </c>
      <c r="MK29" s="1785" t="str">
        <f t="shared" si="328"/>
        <v/>
      </c>
      <c r="ML29" s="1785" t="str">
        <f t="shared" si="329"/>
        <v/>
      </c>
      <c r="MM29" s="1785" t="str">
        <f t="shared" si="330"/>
        <v/>
      </c>
      <c r="MN29" s="1785" t="str">
        <f t="shared" si="331"/>
        <v/>
      </c>
      <c r="MO29" s="1785" t="str">
        <f t="shared" si="332"/>
        <v/>
      </c>
      <c r="MP29" s="2470" t="str">
        <f t="shared" si="333"/>
        <v/>
      </c>
      <c r="MQ29" s="2470" t="str">
        <f t="shared" si="334"/>
        <v/>
      </c>
      <c r="MR29" s="2470" t="str">
        <f t="shared" si="335"/>
        <v/>
      </c>
      <c r="MS29" s="2470" t="str">
        <f t="shared" si="336"/>
        <v/>
      </c>
      <c r="MT29" s="2470" t="str">
        <f t="shared" si="337"/>
        <v/>
      </c>
      <c r="MU29" s="356" t="str">
        <f t="shared" si="338"/>
        <v/>
      </c>
      <c r="MV29" s="356" t="str">
        <f t="shared" si="339"/>
        <v/>
      </c>
      <c r="MW29" s="356" t="str">
        <f t="shared" si="340"/>
        <v/>
      </c>
      <c r="MX29" s="356" t="str">
        <f t="shared" si="341"/>
        <v/>
      </c>
      <c r="MY29" s="356" t="str">
        <f t="shared" si="342"/>
        <v/>
      </c>
      <c r="MZ29" s="356" t="str">
        <f t="shared" si="343"/>
        <v/>
      </c>
      <c r="NA29" s="356" t="str">
        <f t="shared" si="344"/>
        <v/>
      </c>
      <c r="NB29" s="356" t="str">
        <f t="shared" si="345"/>
        <v/>
      </c>
      <c r="NC29" s="356" t="str">
        <f t="shared" si="346"/>
        <v/>
      </c>
      <c r="ND29" s="356" t="str">
        <f t="shared" si="347"/>
        <v/>
      </c>
      <c r="NE29" s="356" t="str">
        <f t="shared" si="348"/>
        <v/>
      </c>
      <c r="NF29" s="356" t="str">
        <f t="shared" si="349"/>
        <v/>
      </c>
      <c r="NG29" s="356" t="str">
        <f t="shared" si="350"/>
        <v/>
      </c>
      <c r="NH29" s="356" t="str">
        <f t="shared" si="351"/>
        <v/>
      </c>
      <c r="NI29" s="356" t="str">
        <f t="shared" si="352"/>
        <v/>
      </c>
      <c r="NJ29" s="356" t="str">
        <f t="shared" si="353"/>
        <v/>
      </c>
      <c r="NK29" s="356" t="str">
        <f t="shared" si="354"/>
        <v/>
      </c>
      <c r="NL29" s="356" t="str">
        <f t="shared" si="355"/>
        <v/>
      </c>
      <c r="NM29" s="356" t="str">
        <f t="shared" si="356"/>
        <v/>
      </c>
      <c r="NN29" s="356" t="str">
        <f t="shared" si="357"/>
        <v/>
      </c>
      <c r="NO29" s="1640">
        <f t="shared" si="358"/>
        <v>0</v>
      </c>
      <c r="NP29" s="1640">
        <f t="shared" si="359"/>
        <v>0</v>
      </c>
      <c r="NQ29" s="1640">
        <f t="shared" si="360"/>
        <v>0</v>
      </c>
      <c r="NR29" s="1640">
        <f t="shared" si="361"/>
        <v>0</v>
      </c>
      <c r="NS29" s="1640">
        <f t="shared" si="362"/>
        <v>0</v>
      </c>
      <c r="NT29" s="1640">
        <f t="shared" si="368"/>
        <v>0</v>
      </c>
      <c r="NU29" s="1640">
        <f t="shared" si="369"/>
        <v>0</v>
      </c>
      <c r="NV29" s="1640">
        <f t="shared" si="370"/>
        <v>0</v>
      </c>
      <c r="NW29" s="1640">
        <f t="shared" si="371"/>
        <v>0</v>
      </c>
      <c r="NX29" s="1640">
        <f t="shared" si="372"/>
        <v>0</v>
      </c>
      <c r="NY29" s="1640">
        <f t="shared" si="363"/>
        <v>0</v>
      </c>
      <c r="NZ29" s="1640">
        <f t="shared" si="364"/>
        <v>0</v>
      </c>
      <c r="OA29" s="1640">
        <f t="shared" si="365"/>
        <v>0</v>
      </c>
      <c r="OB29" s="1640">
        <f t="shared" si="366"/>
        <v>0</v>
      </c>
      <c r="OC29" s="1640">
        <f t="shared" si="367"/>
        <v>0</v>
      </c>
      <c r="OY29" s="2499" t="s">
        <v>4315</v>
      </c>
      <c r="OZ29" s="2504">
        <v>29</v>
      </c>
    </row>
    <row r="30" spans="1:416" ht="12" customHeight="1">
      <c r="A30" s="86" t="str">
        <f t="shared" si="0"/>
        <v/>
      </c>
      <c r="B30" s="1055"/>
      <c r="C30" s="132"/>
      <c r="D30" s="1643"/>
      <c r="E30" s="133"/>
      <c r="F30" s="133"/>
      <c r="G30" s="133"/>
      <c r="H30" s="133"/>
      <c r="I30" s="133"/>
      <c r="J30" s="1036">
        <f>IF(C30="",0,HLOOKUP(C30,'Part IV-Utility Allowances'!$I$11:$M$25,15))</f>
        <v>0</v>
      </c>
      <c r="K30" s="630"/>
      <c r="L30" s="460">
        <f t="shared" si="1"/>
        <v>0</v>
      </c>
      <c r="M30" s="460">
        <f t="shared" si="2"/>
        <v>0</v>
      </c>
      <c r="N30" s="680"/>
      <c r="O30" s="1585"/>
      <c r="P30" s="680"/>
      <c r="Q30" s="134"/>
      <c r="R30" s="723"/>
      <c r="S30" s="724"/>
      <c r="T30" s="3613"/>
      <c r="U30" s="3614"/>
      <c r="V30" s="3614"/>
      <c r="W30" s="3615"/>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356" t="str">
        <f t="shared" si="213"/>
        <v/>
      </c>
      <c r="IA30" s="356" t="str">
        <f t="shared" si="214"/>
        <v/>
      </c>
      <c r="IB30" s="356" t="str">
        <f t="shared" si="215"/>
        <v/>
      </c>
      <c r="IC30" s="356" t="str">
        <f t="shared" si="216"/>
        <v/>
      </c>
      <c r="ID30" s="356" t="str">
        <f t="shared" si="217"/>
        <v/>
      </c>
      <c r="IE30" s="356" t="str">
        <f t="shared" si="218"/>
        <v/>
      </c>
      <c r="IF30" s="356" t="str">
        <f t="shared" si="219"/>
        <v/>
      </c>
      <c r="IG30" s="356" t="str">
        <f t="shared" si="220"/>
        <v/>
      </c>
      <c r="IH30" s="356" t="str">
        <f t="shared" si="221"/>
        <v/>
      </c>
      <c r="II30" s="356" t="str">
        <f t="shared" si="222"/>
        <v/>
      </c>
      <c r="IJ30" s="356" t="str">
        <f t="shared" si="223"/>
        <v/>
      </c>
      <c r="IK30" s="356" t="str">
        <f t="shared" si="224"/>
        <v/>
      </c>
      <c r="IL30" s="356" t="str">
        <f t="shared" si="225"/>
        <v/>
      </c>
      <c r="IM30" s="356" t="str">
        <f t="shared" si="226"/>
        <v/>
      </c>
      <c r="IN30" s="356" t="str">
        <f t="shared" si="227"/>
        <v/>
      </c>
      <c r="IO30" s="356" t="str">
        <f t="shared" si="228"/>
        <v/>
      </c>
      <c r="IP30" s="356" t="str">
        <f t="shared" si="229"/>
        <v/>
      </c>
      <c r="IQ30" s="356" t="str">
        <f t="shared" si="230"/>
        <v/>
      </c>
      <c r="IR30" s="356" t="str">
        <f t="shared" si="231"/>
        <v/>
      </c>
      <c r="IS30" s="356" t="str">
        <f t="shared" si="232"/>
        <v/>
      </c>
      <c r="IT30" s="356" t="str">
        <f t="shared" si="233"/>
        <v/>
      </c>
      <c r="IU30" s="356" t="str">
        <f t="shared" si="234"/>
        <v/>
      </c>
      <c r="IV30" s="356" t="str">
        <f t="shared" si="235"/>
        <v/>
      </c>
      <c r="IW30" s="356" t="str">
        <f t="shared" si="236"/>
        <v/>
      </c>
      <c r="IX30" s="356" t="str">
        <f t="shared" si="237"/>
        <v/>
      </c>
      <c r="IY30" s="356" t="str">
        <f t="shared" si="238"/>
        <v/>
      </c>
      <c r="IZ30" s="356" t="str">
        <f t="shared" si="239"/>
        <v/>
      </c>
      <c r="JA30" s="356" t="str">
        <f t="shared" si="240"/>
        <v/>
      </c>
      <c r="JB30" s="356" t="str">
        <f t="shared" si="241"/>
        <v/>
      </c>
      <c r="JC30" s="356" t="str">
        <f t="shared" si="242"/>
        <v/>
      </c>
      <c r="JD30" s="356" t="str">
        <f t="shared" si="243"/>
        <v/>
      </c>
      <c r="JE30" s="356" t="str">
        <f t="shared" si="244"/>
        <v/>
      </c>
      <c r="JF30" s="356" t="str">
        <f t="shared" si="245"/>
        <v/>
      </c>
      <c r="JG30" s="356" t="str">
        <f t="shared" si="246"/>
        <v/>
      </c>
      <c r="JH30" s="356" t="str">
        <f t="shared" si="247"/>
        <v/>
      </c>
      <c r="JI30" s="1785" t="str">
        <f t="shared" si="248"/>
        <v/>
      </c>
      <c r="JJ30" s="1785" t="str">
        <f t="shared" si="249"/>
        <v/>
      </c>
      <c r="JK30" s="1785" t="str">
        <f t="shared" si="250"/>
        <v/>
      </c>
      <c r="JL30" s="1785" t="str">
        <f t="shared" si="251"/>
        <v/>
      </c>
      <c r="JM30" s="1785" t="str">
        <f t="shared" si="252"/>
        <v/>
      </c>
      <c r="JN30" s="1785" t="str">
        <f t="shared" si="253"/>
        <v/>
      </c>
      <c r="JO30" s="1785" t="str">
        <f t="shared" si="254"/>
        <v/>
      </c>
      <c r="JP30" s="1785" t="str">
        <f t="shared" si="255"/>
        <v/>
      </c>
      <c r="JQ30" s="1785" t="str">
        <f t="shared" si="256"/>
        <v/>
      </c>
      <c r="JR30" s="1785" t="str">
        <f t="shared" si="257"/>
        <v/>
      </c>
      <c r="JS30" s="1785" t="str">
        <f t="shared" si="258"/>
        <v/>
      </c>
      <c r="JT30" s="1785" t="str">
        <f t="shared" si="259"/>
        <v/>
      </c>
      <c r="JU30" s="1785" t="str">
        <f t="shared" si="260"/>
        <v/>
      </c>
      <c r="JV30" s="1785" t="str">
        <f t="shared" si="261"/>
        <v/>
      </c>
      <c r="JW30" s="1785" t="str">
        <f t="shared" si="262"/>
        <v/>
      </c>
      <c r="JX30" s="1785" t="str">
        <f t="shared" si="263"/>
        <v/>
      </c>
      <c r="JY30" s="1785" t="str">
        <f t="shared" si="264"/>
        <v/>
      </c>
      <c r="JZ30" s="1785" t="str">
        <f t="shared" si="265"/>
        <v/>
      </c>
      <c r="KA30" s="1785" t="str">
        <f t="shared" si="266"/>
        <v/>
      </c>
      <c r="KB30" s="1785" t="str">
        <f t="shared" si="267"/>
        <v/>
      </c>
      <c r="KC30" s="1785" t="str">
        <f t="shared" si="268"/>
        <v/>
      </c>
      <c r="KD30" s="1785" t="str">
        <f t="shared" si="269"/>
        <v/>
      </c>
      <c r="KE30" s="1785" t="str">
        <f t="shared" si="270"/>
        <v/>
      </c>
      <c r="KF30" s="1785" t="str">
        <f t="shared" si="271"/>
        <v/>
      </c>
      <c r="KG30" s="1785" t="str">
        <f t="shared" si="272"/>
        <v/>
      </c>
      <c r="KH30" s="1785" t="str">
        <f t="shared" si="273"/>
        <v/>
      </c>
      <c r="KI30" s="1785" t="str">
        <f t="shared" si="274"/>
        <v/>
      </c>
      <c r="KJ30" s="1785" t="str">
        <f t="shared" si="275"/>
        <v/>
      </c>
      <c r="KK30" s="1785" t="str">
        <f t="shared" si="276"/>
        <v/>
      </c>
      <c r="KL30" s="1785" t="str">
        <f t="shared" si="277"/>
        <v/>
      </c>
      <c r="KM30" s="1785" t="str">
        <f t="shared" si="278"/>
        <v/>
      </c>
      <c r="KN30" s="1785" t="str">
        <f t="shared" si="279"/>
        <v/>
      </c>
      <c r="KO30" s="1785" t="str">
        <f t="shared" si="280"/>
        <v/>
      </c>
      <c r="KP30" s="1785" t="str">
        <f t="shared" si="281"/>
        <v/>
      </c>
      <c r="KQ30" s="1785" t="str">
        <f t="shared" si="282"/>
        <v/>
      </c>
      <c r="KR30" s="1785" t="str">
        <f t="shared" si="283"/>
        <v/>
      </c>
      <c r="KS30" s="1785" t="str">
        <f t="shared" si="284"/>
        <v/>
      </c>
      <c r="KT30" s="1785" t="str">
        <f t="shared" si="285"/>
        <v/>
      </c>
      <c r="KU30" s="1785" t="str">
        <f t="shared" si="286"/>
        <v/>
      </c>
      <c r="KV30" s="1785" t="str">
        <f t="shared" si="287"/>
        <v/>
      </c>
      <c r="KW30" s="1785" t="str">
        <f t="shared" si="288"/>
        <v/>
      </c>
      <c r="KX30" s="1785" t="str">
        <f t="shared" si="289"/>
        <v/>
      </c>
      <c r="KY30" s="1785" t="str">
        <f t="shared" si="290"/>
        <v/>
      </c>
      <c r="KZ30" s="1785" t="str">
        <f t="shared" si="291"/>
        <v/>
      </c>
      <c r="LA30" s="1785" t="str">
        <f t="shared" si="292"/>
        <v/>
      </c>
      <c r="LB30" s="1785" t="str">
        <f t="shared" si="293"/>
        <v/>
      </c>
      <c r="LC30" s="1785" t="str">
        <f t="shared" si="294"/>
        <v/>
      </c>
      <c r="LD30" s="1785" t="str">
        <f t="shared" si="295"/>
        <v/>
      </c>
      <c r="LE30" s="1785" t="str">
        <f t="shared" si="296"/>
        <v/>
      </c>
      <c r="LF30" s="1785" t="str">
        <f t="shared" si="297"/>
        <v/>
      </c>
      <c r="LG30" s="1785" t="str">
        <f t="shared" si="298"/>
        <v/>
      </c>
      <c r="LH30" s="1785" t="str">
        <f t="shared" si="299"/>
        <v/>
      </c>
      <c r="LI30" s="1785" t="str">
        <f t="shared" si="300"/>
        <v/>
      </c>
      <c r="LJ30" s="1785" t="str">
        <f t="shared" si="301"/>
        <v/>
      </c>
      <c r="LK30" s="1785" t="str">
        <f t="shared" si="302"/>
        <v/>
      </c>
      <c r="LL30" s="1785" t="str">
        <f t="shared" si="303"/>
        <v/>
      </c>
      <c r="LM30" s="1785" t="str">
        <f t="shared" si="304"/>
        <v/>
      </c>
      <c r="LN30" s="1785" t="str">
        <f t="shared" si="305"/>
        <v/>
      </c>
      <c r="LO30" s="1785" t="str">
        <f t="shared" si="306"/>
        <v/>
      </c>
      <c r="LP30" s="1785" t="str">
        <f t="shared" si="307"/>
        <v/>
      </c>
      <c r="LQ30" s="1785" t="str">
        <f t="shared" si="308"/>
        <v/>
      </c>
      <c r="LR30" s="1785" t="str">
        <f t="shared" si="309"/>
        <v/>
      </c>
      <c r="LS30" s="1785" t="str">
        <f t="shared" si="310"/>
        <v/>
      </c>
      <c r="LT30" s="1785" t="str">
        <f t="shared" si="311"/>
        <v/>
      </c>
      <c r="LU30" s="1785" t="str">
        <f t="shared" si="312"/>
        <v/>
      </c>
      <c r="LV30" s="1785" t="str">
        <f t="shared" si="313"/>
        <v/>
      </c>
      <c r="LW30" s="1785" t="str">
        <f t="shared" si="314"/>
        <v/>
      </c>
      <c r="LX30" s="1785" t="str">
        <f t="shared" si="315"/>
        <v/>
      </c>
      <c r="LY30" s="1785" t="str">
        <f t="shared" si="316"/>
        <v/>
      </c>
      <c r="LZ30" s="1785" t="str">
        <f t="shared" si="317"/>
        <v/>
      </c>
      <c r="MA30" s="1785" t="str">
        <f t="shared" si="318"/>
        <v/>
      </c>
      <c r="MB30" s="1785" t="str">
        <f t="shared" si="319"/>
        <v/>
      </c>
      <c r="MC30" s="1785" t="str">
        <f t="shared" si="320"/>
        <v/>
      </c>
      <c r="MD30" s="1785" t="str">
        <f t="shared" si="321"/>
        <v/>
      </c>
      <c r="ME30" s="1785" t="str">
        <f t="shared" si="322"/>
        <v/>
      </c>
      <c r="MF30" s="1785" t="str">
        <f t="shared" si="323"/>
        <v/>
      </c>
      <c r="MG30" s="1785" t="str">
        <f t="shared" si="324"/>
        <v/>
      </c>
      <c r="MH30" s="1785" t="str">
        <f t="shared" si="325"/>
        <v/>
      </c>
      <c r="MI30" s="1785" t="str">
        <f t="shared" si="326"/>
        <v/>
      </c>
      <c r="MJ30" s="1785" t="str">
        <f t="shared" si="327"/>
        <v/>
      </c>
      <c r="MK30" s="1785" t="str">
        <f t="shared" si="328"/>
        <v/>
      </c>
      <c r="ML30" s="1785" t="str">
        <f t="shared" si="329"/>
        <v/>
      </c>
      <c r="MM30" s="1785" t="str">
        <f t="shared" si="330"/>
        <v/>
      </c>
      <c r="MN30" s="1785" t="str">
        <f t="shared" si="331"/>
        <v/>
      </c>
      <c r="MO30" s="1785" t="str">
        <f t="shared" si="332"/>
        <v/>
      </c>
      <c r="MP30" s="2470" t="str">
        <f t="shared" si="333"/>
        <v/>
      </c>
      <c r="MQ30" s="2470" t="str">
        <f t="shared" si="334"/>
        <v/>
      </c>
      <c r="MR30" s="2470" t="str">
        <f t="shared" si="335"/>
        <v/>
      </c>
      <c r="MS30" s="2470" t="str">
        <f t="shared" si="336"/>
        <v/>
      </c>
      <c r="MT30" s="2470" t="str">
        <f t="shared" si="337"/>
        <v/>
      </c>
      <c r="MU30" s="356" t="str">
        <f t="shared" si="338"/>
        <v/>
      </c>
      <c r="MV30" s="356" t="str">
        <f t="shared" si="339"/>
        <v/>
      </c>
      <c r="MW30" s="356" t="str">
        <f t="shared" si="340"/>
        <v/>
      </c>
      <c r="MX30" s="356" t="str">
        <f t="shared" si="341"/>
        <v/>
      </c>
      <c r="MY30" s="356" t="str">
        <f t="shared" si="342"/>
        <v/>
      </c>
      <c r="MZ30" s="356" t="str">
        <f t="shared" si="343"/>
        <v/>
      </c>
      <c r="NA30" s="356" t="str">
        <f t="shared" si="344"/>
        <v/>
      </c>
      <c r="NB30" s="356" t="str">
        <f t="shared" si="345"/>
        <v/>
      </c>
      <c r="NC30" s="356" t="str">
        <f t="shared" si="346"/>
        <v/>
      </c>
      <c r="ND30" s="356" t="str">
        <f t="shared" si="347"/>
        <v/>
      </c>
      <c r="NE30" s="356" t="str">
        <f t="shared" si="348"/>
        <v/>
      </c>
      <c r="NF30" s="356" t="str">
        <f t="shared" si="349"/>
        <v/>
      </c>
      <c r="NG30" s="356" t="str">
        <f t="shared" si="350"/>
        <v/>
      </c>
      <c r="NH30" s="356" t="str">
        <f t="shared" si="351"/>
        <v/>
      </c>
      <c r="NI30" s="356" t="str">
        <f t="shared" si="352"/>
        <v/>
      </c>
      <c r="NJ30" s="356" t="str">
        <f t="shared" si="353"/>
        <v/>
      </c>
      <c r="NK30" s="356" t="str">
        <f t="shared" si="354"/>
        <v/>
      </c>
      <c r="NL30" s="356" t="str">
        <f t="shared" si="355"/>
        <v/>
      </c>
      <c r="NM30" s="356" t="str">
        <f t="shared" si="356"/>
        <v/>
      </c>
      <c r="NN30" s="356" t="str">
        <f t="shared" si="357"/>
        <v/>
      </c>
      <c r="NO30" s="1640">
        <f t="shared" si="358"/>
        <v>0</v>
      </c>
      <c r="NP30" s="1640">
        <f t="shared" si="359"/>
        <v>0</v>
      </c>
      <c r="NQ30" s="1640">
        <f t="shared" si="360"/>
        <v>0</v>
      </c>
      <c r="NR30" s="1640">
        <f t="shared" si="361"/>
        <v>0</v>
      </c>
      <c r="NS30" s="1640">
        <f t="shared" si="362"/>
        <v>0</v>
      </c>
      <c r="NT30" s="1640">
        <f t="shared" si="368"/>
        <v>0</v>
      </c>
      <c r="NU30" s="1640">
        <f t="shared" si="369"/>
        <v>0</v>
      </c>
      <c r="NV30" s="1640">
        <f t="shared" si="370"/>
        <v>0</v>
      </c>
      <c r="NW30" s="1640">
        <f t="shared" si="371"/>
        <v>0</v>
      </c>
      <c r="NX30" s="1640">
        <f t="shared" si="372"/>
        <v>0</v>
      </c>
      <c r="NY30" s="1640">
        <f t="shared" si="363"/>
        <v>0</v>
      </c>
      <c r="NZ30" s="1640">
        <f t="shared" si="364"/>
        <v>0</v>
      </c>
      <c r="OA30" s="1640">
        <f t="shared" si="365"/>
        <v>0</v>
      </c>
      <c r="OB30" s="1640">
        <f t="shared" si="366"/>
        <v>0</v>
      </c>
      <c r="OC30" s="1640">
        <f t="shared" si="367"/>
        <v>0</v>
      </c>
      <c r="OY30" s="2499" t="s">
        <v>4316</v>
      </c>
      <c r="OZ30" s="2504">
        <v>30</v>
      </c>
    </row>
    <row r="31" spans="1:416" ht="12" customHeight="1">
      <c r="A31" s="86" t="str">
        <f t="shared" si="0"/>
        <v/>
      </c>
      <c r="B31" s="1055"/>
      <c r="C31" s="132"/>
      <c r="D31" s="1643"/>
      <c r="E31" s="133"/>
      <c r="F31" s="133"/>
      <c r="G31" s="133"/>
      <c r="H31" s="133"/>
      <c r="I31" s="133"/>
      <c r="J31" s="1036">
        <f>IF(C31="",0,HLOOKUP(C31,'Part IV-Utility Allowances'!$I$11:$M$25,15))</f>
        <v>0</v>
      </c>
      <c r="K31" s="630"/>
      <c r="L31" s="460">
        <f t="shared" si="1"/>
        <v>0</v>
      </c>
      <c r="M31" s="460">
        <f t="shared" si="2"/>
        <v>0</v>
      </c>
      <c r="N31" s="680"/>
      <c r="O31" s="1585"/>
      <c r="P31" s="680"/>
      <c r="Q31" s="134"/>
      <c r="R31" s="723"/>
      <c r="S31" s="724"/>
      <c r="T31" s="3613"/>
      <c r="U31" s="3614"/>
      <c r="V31" s="3614"/>
      <c r="W31" s="3615"/>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356" t="str">
        <f t="shared" si="213"/>
        <v/>
      </c>
      <c r="IA31" s="356" t="str">
        <f t="shared" si="214"/>
        <v/>
      </c>
      <c r="IB31" s="356" t="str">
        <f t="shared" si="215"/>
        <v/>
      </c>
      <c r="IC31" s="356" t="str">
        <f t="shared" si="216"/>
        <v/>
      </c>
      <c r="ID31" s="356" t="str">
        <f t="shared" si="217"/>
        <v/>
      </c>
      <c r="IE31" s="356" t="str">
        <f t="shared" si="218"/>
        <v/>
      </c>
      <c r="IF31" s="356" t="str">
        <f t="shared" si="219"/>
        <v/>
      </c>
      <c r="IG31" s="356" t="str">
        <f t="shared" si="220"/>
        <v/>
      </c>
      <c r="IH31" s="356" t="str">
        <f t="shared" si="221"/>
        <v/>
      </c>
      <c r="II31" s="356" t="str">
        <f t="shared" si="222"/>
        <v/>
      </c>
      <c r="IJ31" s="356" t="str">
        <f t="shared" si="223"/>
        <v/>
      </c>
      <c r="IK31" s="356" t="str">
        <f t="shared" si="224"/>
        <v/>
      </c>
      <c r="IL31" s="356" t="str">
        <f t="shared" si="225"/>
        <v/>
      </c>
      <c r="IM31" s="356" t="str">
        <f t="shared" si="226"/>
        <v/>
      </c>
      <c r="IN31" s="356" t="str">
        <f t="shared" si="227"/>
        <v/>
      </c>
      <c r="IO31" s="356" t="str">
        <f t="shared" si="228"/>
        <v/>
      </c>
      <c r="IP31" s="356" t="str">
        <f t="shared" si="229"/>
        <v/>
      </c>
      <c r="IQ31" s="356" t="str">
        <f t="shared" si="230"/>
        <v/>
      </c>
      <c r="IR31" s="356" t="str">
        <f t="shared" si="231"/>
        <v/>
      </c>
      <c r="IS31" s="356" t="str">
        <f t="shared" si="232"/>
        <v/>
      </c>
      <c r="IT31" s="356" t="str">
        <f t="shared" si="233"/>
        <v/>
      </c>
      <c r="IU31" s="356" t="str">
        <f t="shared" si="234"/>
        <v/>
      </c>
      <c r="IV31" s="356" t="str">
        <f t="shared" si="235"/>
        <v/>
      </c>
      <c r="IW31" s="356" t="str">
        <f t="shared" si="236"/>
        <v/>
      </c>
      <c r="IX31" s="356" t="str">
        <f t="shared" si="237"/>
        <v/>
      </c>
      <c r="IY31" s="356" t="str">
        <f t="shared" si="238"/>
        <v/>
      </c>
      <c r="IZ31" s="356" t="str">
        <f t="shared" si="239"/>
        <v/>
      </c>
      <c r="JA31" s="356" t="str">
        <f t="shared" si="240"/>
        <v/>
      </c>
      <c r="JB31" s="356" t="str">
        <f t="shared" si="241"/>
        <v/>
      </c>
      <c r="JC31" s="356" t="str">
        <f t="shared" si="242"/>
        <v/>
      </c>
      <c r="JD31" s="356" t="str">
        <f t="shared" si="243"/>
        <v/>
      </c>
      <c r="JE31" s="356" t="str">
        <f t="shared" si="244"/>
        <v/>
      </c>
      <c r="JF31" s="356" t="str">
        <f t="shared" si="245"/>
        <v/>
      </c>
      <c r="JG31" s="356" t="str">
        <f t="shared" si="246"/>
        <v/>
      </c>
      <c r="JH31" s="356" t="str">
        <f t="shared" si="247"/>
        <v/>
      </c>
      <c r="JI31" s="1785" t="str">
        <f t="shared" si="248"/>
        <v/>
      </c>
      <c r="JJ31" s="1785" t="str">
        <f t="shared" si="249"/>
        <v/>
      </c>
      <c r="JK31" s="1785" t="str">
        <f t="shared" si="250"/>
        <v/>
      </c>
      <c r="JL31" s="1785" t="str">
        <f t="shared" si="251"/>
        <v/>
      </c>
      <c r="JM31" s="1785" t="str">
        <f t="shared" si="252"/>
        <v/>
      </c>
      <c r="JN31" s="1785" t="str">
        <f t="shared" si="253"/>
        <v/>
      </c>
      <c r="JO31" s="1785" t="str">
        <f t="shared" si="254"/>
        <v/>
      </c>
      <c r="JP31" s="1785" t="str">
        <f t="shared" si="255"/>
        <v/>
      </c>
      <c r="JQ31" s="1785" t="str">
        <f t="shared" si="256"/>
        <v/>
      </c>
      <c r="JR31" s="1785" t="str">
        <f t="shared" si="257"/>
        <v/>
      </c>
      <c r="JS31" s="1785" t="str">
        <f t="shared" si="258"/>
        <v/>
      </c>
      <c r="JT31" s="1785" t="str">
        <f t="shared" si="259"/>
        <v/>
      </c>
      <c r="JU31" s="1785" t="str">
        <f t="shared" si="260"/>
        <v/>
      </c>
      <c r="JV31" s="1785" t="str">
        <f t="shared" si="261"/>
        <v/>
      </c>
      <c r="JW31" s="1785" t="str">
        <f t="shared" si="262"/>
        <v/>
      </c>
      <c r="JX31" s="1785" t="str">
        <f t="shared" si="263"/>
        <v/>
      </c>
      <c r="JY31" s="1785" t="str">
        <f t="shared" si="264"/>
        <v/>
      </c>
      <c r="JZ31" s="1785" t="str">
        <f t="shared" si="265"/>
        <v/>
      </c>
      <c r="KA31" s="1785" t="str">
        <f t="shared" si="266"/>
        <v/>
      </c>
      <c r="KB31" s="1785" t="str">
        <f t="shared" si="267"/>
        <v/>
      </c>
      <c r="KC31" s="1785" t="str">
        <f t="shared" si="268"/>
        <v/>
      </c>
      <c r="KD31" s="1785" t="str">
        <f t="shared" si="269"/>
        <v/>
      </c>
      <c r="KE31" s="1785" t="str">
        <f t="shared" si="270"/>
        <v/>
      </c>
      <c r="KF31" s="1785" t="str">
        <f t="shared" si="271"/>
        <v/>
      </c>
      <c r="KG31" s="1785" t="str">
        <f t="shared" si="272"/>
        <v/>
      </c>
      <c r="KH31" s="1785" t="str">
        <f t="shared" si="273"/>
        <v/>
      </c>
      <c r="KI31" s="1785" t="str">
        <f t="shared" si="274"/>
        <v/>
      </c>
      <c r="KJ31" s="1785" t="str">
        <f t="shared" si="275"/>
        <v/>
      </c>
      <c r="KK31" s="1785" t="str">
        <f t="shared" si="276"/>
        <v/>
      </c>
      <c r="KL31" s="1785" t="str">
        <f t="shared" si="277"/>
        <v/>
      </c>
      <c r="KM31" s="1785" t="str">
        <f t="shared" si="278"/>
        <v/>
      </c>
      <c r="KN31" s="1785" t="str">
        <f t="shared" si="279"/>
        <v/>
      </c>
      <c r="KO31" s="1785" t="str">
        <f t="shared" si="280"/>
        <v/>
      </c>
      <c r="KP31" s="1785" t="str">
        <f t="shared" si="281"/>
        <v/>
      </c>
      <c r="KQ31" s="1785" t="str">
        <f t="shared" si="282"/>
        <v/>
      </c>
      <c r="KR31" s="1785" t="str">
        <f t="shared" si="283"/>
        <v/>
      </c>
      <c r="KS31" s="1785" t="str">
        <f t="shared" si="284"/>
        <v/>
      </c>
      <c r="KT31" s="1785" t="str">
        <f t="shared" si="285"/>
        <v/>
      </c>
      <c r="KU31" s="1785" t="str">
        <f t="shared" si="286"/>
        <v/>
      </c>
      <c r="KV31" s="1785" t="str">
        <f t="shared" si="287"/>
        <v/>
      </c>
      <c r="KW31" s="1785" t="str">
        <f t="shared" si="288"/>
        <v/>
      </c>
      <c r="KX31" s="1785" t="str">
        <f t="shared" si="289"/>
        <v/>
      </c>
      <c r="KY31" s="1785" t="str">
        <f t="shared" si="290"/>
        <v/>
      </c>
      <c r="KZ31" s="1785" t="str">
        <f t="shared" si="291"/>
        <v/>
      </c>
      <c r="LA31" s="1785" t="str">
        <f t="shared" si="292"/>
        <v/>
      </c>
      <c r="LB31" s="1785" t="str">
        <f t="shared" si="293"/>
        <v/>
      </c>
      <c r="LC31" s="1785" t="str">
        <f t="shared" si="294"/>
        <v/>
      </c>
      <c r="LD31" s="1785" t="str">
        <f t="shared" si="295"/>
        <v/>
      </c>
      <c r="LE31" s="1785" t="str">
        <f t="shared" si="296"/>
        <v/>
      </c>
      <c r="LF31" s="1785" t="str">
        <f t="shared" si="297"/>
        <v/>
      </c>
      <c r="LG31" s="1785" t="str">
        <f t="shared" si="298"/>
        <v/>
      </c>
      <c r="LH31" s="1785" t="str">
        <f t="shared" si="299"/>
        <v/>
      </c>
      <c r="LI31" s="1785" t="str">
        <f t="shared" si="300"/>
        <v/>
      </c>
      <c r="LJ31" s="1785" t="str">
        <f t="shared" si="301"/>
        <v/>
      </c>
      <c r="LK31" s="1785" t="str">
        <f t="shared" si="302"/>
        <v/>
      </c>
      <c r="LL31" s="1785" t="str">
        <f t="shared" si="303"/>
        <v/>
      </c>
      <c r="LM31" s="1785" t="str">
        <f t="shared" si="304"/>
        <v/>
      </c>
      <c r="LN31" s="1785" t="str">
        <f t="shared" si="305"/>
        <v/>
      </c>
      <c r="LO31" s="1785" t="str">
        <f t="shared" si="306"/>
        <v/>
      </c>
      <c r="LP31" s="1785" t="str">
        <f t="shared" si="307"/>
        <v/>
      </c>
      <c r="LQ31" s="1785" t="str">
        <f t="shared" si="308"/>
        <v/>
      </c>
      <c r="LR31" s="1785" t="str">
        <f t="shared" si="309"/>
        <v/>
      </c>
      <c r="LS31" s="1785" t="str">
        <f t="shared" si="310"/>
        <v/>
      </c>
      <c r="LT31" s="1785" t="str">
        <f t="shared" si="311"/>
        <v/>
      </c>
      <c r="LU31" s="1785" t="str">
        <f t="shared" si="312"/>
        <v/>
      </c>
      <c r="LV31" s="1785" t="str">
        <f t="shared" si="313"/>
        <v/>
      </c>
      <c r="LW31" s="1785" t="str">
        <f t="shared" si="314"/>
        <v/>
      </c>
      <c r="LX31" s="1785" t="str">
        <f t="shared" si="315"/>
        <v/>
      </c>
      <c r="LY31" s="1785" t="str">
        <f t="shared" si="316"/>
        <v/>
      </c>
      <c r="LZ31" s="1785" t="str">
        <f t="shared" si="317"/>
        <v/>
      </c>
      <c r="MA31" s="1785" t="str">
        <f t="shared" si="318"/>
        <v/>
      </c>
      <c r="MB31" s="1785" t="str">
        <f t="shared" si="319"/>
        <v/>
      </c>
      <c r="MC31" s="1785" t="str">
        <f t="shared" si="320"/>
        <v/>
      </c>
      <c r="MD31" s="1785" t="str">
        <f t="shared" si="321"/>
        <v/>
      </c>
      <c r="ME31" s="1785" t="str">
        <f t="shared" si="322"/>
        <v/>
      </c>
      <c r="MF31" s="1785" t="str">
        <f t="shared" si="323"/>
        <v/>
      </c>
      <c r="MG31" s="1785" t="str">
        <f t="shared" si="324"/>
        <v/>
      </c>
      <c r="MH31" s="1785" t="str">
        <f t="shared" si="325"/>
        <v/>
      </c>
      <c r="MI31" s="1785" t="str">
        <f t="shared" si="326"/>
        <v/>
      </c>
      <c r="MJ31" s="1785" t="str">
        <f t="shared" si="327"/>
        <v/>
      </c>
      <c r="MK31" s="1785" t="str">
        <f t="shared" si="328"/>
        <v/>
      </c>
      <c r="ML31" s="1785" t="str">
        <f t="shared" si="329"/>
        <v/>
      </c>
      <c r="MM31" s="1785" t="str">
        <f t="shared" si="330"/>
        <v/>
      </c>
      <c r="MN31" s="1785" t="str">
        <f t="shared" si="331"/>
        <v/>
      </c>
      <c r="MO31" s="1785" t="str">
        <f t="shared" si="332"/>
        <v/>
      </c>
      <c r="MP31" s="2470" t="str">
        <f t="shared" si="333"/>
        <v/>
      </c>
      <c r="MQ31" s="2470" t="str">
        <f t="shared" si="334"/>
        <v/>
      </c>
      <c r="MR31" s="2470" t="str">
        <f t="shared" si="335"/>
        <v/>
      </c>
      <c r="MS31" s="2470" t="str">
        <f t="shared" si="336"/>
        <v/>
      </c>
      <c r="MT31" s="2470" t="str">
        <f t="shared" si="337"/>
        <v/>
      </c>
      <c r="MU31" s="356" t="str">
        <f t="shared" si="338"/>
        <v/>
      </c>
      <c r="MV31" s="356" t="str">
        <f t="shared" si="339"/>
        <v/>
      </c>
      <c r="MW31" s="356" t="str">
        <f t="shared" si="340"/>
        <v/>
      </c>
      <c r="MX31" s="356" t="str">
        <f t="shared" si="341"/>
        <v/>
      </c>
      <c r="MY31" s="356" t="str">
        <f t="shared" si="342"/>
        <v/>
      </c>
      <c r="MZ31" s="356" t="str">
        <f t="shared" si="343"/>
        <v/>
      </c>
      <c r="NA31" s="356" t="str">
        <f t="shared" si="344"/>
        <v/>
      </c>
      <c r="NB31" s="356" t="str">
        <f t="shared" si="345"/>
        <v/>
      </c>
      <c r="NC31" s="356" t="str">
        <f t="shared" si="346"/>
        <v/>
      </c>
      <c r="ND31" s="356" t="str">
        <f t="shared" si="347"/>
        <v/>
      </c>
      <c r="NE31" s="356" t="str">
        <f t="shared" si="348"/>
        <v/>
      </c>
      <c r="NF31" s="356" t="str">
        <f t="shared" si="349"/>
        <v/>
      </c>
      <c r="NG31" s="356" t="str">
        <f t="shared" si="350"/>
        <v/>
      </c>
      <c r="NH31" s="356" t="str">
        <f t="shared" si="351"/>
        <v/>
      </c>
      <c r="NI31" s="356" t="str">
        <f t="shared" si="352"/>
        <v/>
      </c>
      <c r="NJ31" s="356" t="str">
        <f t="shared" si="353"/>
        <v/>
      </c>
      <c r="NK31" s="356" t="str">
        <f t="shared" si="354"/>
        <v/>
      </c>
      <c r="NL31" s="356" t="str">
        <f t="shared" si="355"/>
        <v/>
      </c>
      <c r="NM31" s="356" t="str">
        <f t="shared" si="356"/>
        <v/>
      </c>
      <c r="NN31" s="356" t="str">
        <f t="shared" si="357"/>
        <v/>
      </c>
      <c r="NO31" s="1640">
        <f t="shared" si="358"/>
        <v>0</v>
      </c>
      <c r="NP31" s="1640">
        <f t="shared" si="359"/>
        <v>0</v>
      </c>
      <c r="NQ31" s="1640">
        <f t="shared" si="360"/>
        <v>0</v>
      </c>
      <c r="NR31" s="1640">
        <f t="shared" si="361"/>
        <v>0</v>
      </c>
      <c r="NS31" s="1640">
        <f t="shared" si="362"/>
        <v>0</v>
      </c>
      <c r="NT31" s="1640">
        <f t="shared" si="368"/>
        <v>0</v>
      </c>
      <c r="NU31" s="1640">
        <f t="shared" si="369"/>
        <v>0</v>
      </c>
      <c r="NV31" s="1640">
        <f t="shared" si="370"/>
        <v>0</v>
      </c>
      <c r="NW31" s="1640">
        <f t="shared" si="371"/>
        <v>0</v>
      </c>
      <c r="NX31" s="1640">
        <f t="shared" si="372"/>
        <v>0</v>
      </c>
      <c r="NY31" s="1640">
        <f t="shared" si="363"/>
        <v>0</v>
      </c>
      <c r="NZ31" s="1640">
        <f t="shared" si="364"/>
        <v>0</v>
      </c>
      <c r="OA31" s="1640">
        <f t="shared" si="365"/>
        <v>0</v>
      </c>
      <c r="OB31" s="1640">
        <f t="shared" si="366"/>
        <v>0</v>
      </c>
      <c r="OC31" s="1640">
        <f t="shared" si="367"/>
        <v>0</v>
      </c>
      <c r="OY31" s="2499" t="s">
        <v>4317</v>
      </c>
      <c r="OZ31" s="2506">
        <v>31</v>
      </c>
    </row>
    <row r="32" spans="1:416" ht="12" customHeight="1">
      <c r="A32" s="86" t="str">
        <f t="shared" si="0"/>
        <v/>
      </c>
      <c r="B32" s="1055"/>
      <c r="C32" s="132"/>
      <c r="D32" s="1643"/>
      <c r="E32" s="133"/>
      <c r="F32" s="133"/>
      <c r="G32" s="133"/>
      <c r="H32" s="133"/>
      <c r="I32" s="133"/>
      <c r="J32" s="1036">
        <f>IF(C32="",0,HLOOKUP(C32,'Part IV-Utility Allowances'!$I$11:$M$25,15))</f>
        <v>0</v>
      </c>
      <c r="K32" s="630"/>
      <c r="L32" s="460">
        <f t="shared" si="1"/>
        <v>0</v>
      </c>
      <c r="M32" s="460">
        <f t="shared" si="2"/>
        <v>0</v>
      </c>
      <c r="N32" s="680"/>
      <c r="O32" s="1585"/>
      <c r="P32" s="680"/>
      <c r="Q32" s="134"/>
      <c r="R32" s="723"/>
      <c r="S32" s="724"/>
      <c r="T32" s="3613"/>
      <c r="U32" s="3614"/>
      <c r="V32" s="3614"/>
      <c r="W32" s="3615"/>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356" t="str">
        <f t="shared" si="213"/>
        <v/>
      </c>
      <c r="IA32" s="356" t="str">
        <f t="shared" si="214"/>
        <v/>
      </c>
      <c r="IB32" s="356" t="str">
        <f t="shared" si="215"/>
        <v/>
      </c>
      <c r="IC32" s="356" t="str">
        <f t="shared" si="216"/>
        <v/>
      </c>
      <c r="ID32" s="356" t="str">
        <f t="shared" si="217"/>
        <v/>
      </c>
      <c r="IE32" s="356" t="str">
        <f t="shared" si="218"/>
        <v/>
      </c>
      <c r="IF32" s="356" t="str">
        <f t="shared" si="219"/>
        <v/>
      </c>
      <c r="IG32" s="356" t="str">
        <f t="shared" si="220"/>
        <v/>
      </c>
      <c r="IH32" s="356" t="str">
        <f t="shared" si="221"/>
        <v/>
      </c>
      <c r="II32" s="356" t="str">
        <f t="shared" si="222"/>
        <v/>
      </c>
      <c r="IJ32" s="356" t="str">
        <f t="shared" si="223"/>
        <v/>
      </c>
      <c r="IK32" s="356" t="str">
        <f t="shared" si="224"/>
        <v/>
      </c>
      <c r="IL32" s="356" t="str">
        <f t="shared" si="225"/>
        <v/>
      </c>
      <c r="IM32" s="356" t="str">
        <f t="shared" si="226"/>
        <v/>
      </c>
      <c r="IN32" s="356" t="str">
        <f t="shared" si="227"/>
        <v/>
      </c>
      <c r="IO32" s="356" t="str">
        <f t="shared" si="228"/>
        <v/>
      </c>
      <c r="IP32" s="356" t="str">
        <f t="shared" si="229"/>
        <v/>
      </c>
      <c r="IQ32" s="356" t="str">
        <f t="shared" si="230"/>
        <v/>
      </c>
      <c r="IR32" s="356" t="str">
        <f t="shared" si="231"/>
        <v/>
      </c>
      <c r="IS32" s="356" t="str">
        <f t="shared" si="232"/>
        <v/>
      </c>
      <c r="IT32" s="356" t="str">
        <f t="shared" si="233"/>
        <v/>
      </c>
      <c r="IU32" s="356" t="str">
        <f t="shared" si="234"/>
        <v/>
      </c>
      <c r="IV32" s="356" t="str">
        <f t="shared" si="235"/>
        <v/>
      </c>
      <c r="IW32" s="356" t="str">
        <f t="shared" si="236"/>
        <v/>
      </c>
      <c r="IX32" s="356" t="str">
        <f t="shared" si="237"/>
        <v/>
      </c>
      <c r="IY32" s="356" t="str">
        <f t="shared" si="238"/>
        <v/>
      </c>
      <c r="IZ32" s="356" t="str">
        <f t="shared" si="239"/>
        <v/>
      </c>
      <c r="JA32" s="356" t="str">
        <f t="shared" si="240"/>
        <v/>
      </c>
      <c r="JB32" s="356" t="str">
        <f t="shared" si="241"/>
        <v/>
      </c>
      <c r="JC32" s="356" t="str">
        <f t="shared" si="242"/>
        <v/>
      </c>
      <c r="JD32" s="356" t="str">
        <f t="shared" si="243"/>
        <v/>
      </c>
      <c r="JE32" s="356" t="str">
        <f t="shared" si="244"/>
        <v/>
      </c>
      <c r="JF32" s="356" t="str">
        <f t="shared" si="245"/>
        <v/>
      </c>
      <c r="JG32" s="356" t="str">
        <f t="shared" si="246"/>
        <v/>
      </c>
      <c r="JH32" s="356" t="str">
        <f t="shared" si="247"/>
        <v/>
      </c>
      <c r="JI32" s="1785" t="str">
        <f t="shared" si="248"/>
        <v/>
      </c>
      <c r="JJ32" s="1785" t="str">
        <f t="shared" si="249"/>
        <v/>
      </c>
      <c r="JK32" s="1785" t="str">
        <f t="shared" si="250"/>
        <v/>
      </c>
      <c r="JL32" s="1785" t="str">
        <f t="shared" si="251"/>
        <v/>
      </c>
      <c r="JM32" s="1785" t="str">
        <f t="shared" si="252"/>
        <v/>
      </c>
      <c r="JN32" s="1785" t="str">
        <f t="shared" si="253"/>
        <v/>
      </c>
      <c r="JO32" s="1785" t="str">
        <f t="shared" si="254"/>
        <v/>
      </c>
      <c r="JP32" s="1785" t="str">
        <f t="shared" si="255"/>
        <v/>
      </c>
      <c r="JQ32" s="1785" t="str">
        <f t="shared" si="256"/>
        <v/>
      </c>
      <c r="JR32" s="1785" t="str">
        <f t="shared" si="257"/>
        <v/>
      </c>
      <c r="JS32" s="1785" t="str">
        <f t="shared" si="258"/>
        <v/>
      </c>
      <c r="JT32" s="1785" t="str">
        <f t="shared" si="259"/>
        <v/>
      </c>
      <c r="JU32" s="1785" t="str">
        <f t="shared" si="260"/>
        <v/>
      </c>
      <c r="JV32" s="1785" t="str">
        <f t="shared" si="261"/>
        <v/>
      </c>
      <c r="JW32" s="1785" t="str">
        <f t="shared" si="262"/>
        <v/>
      </c>
      <c r="JX32" s="1785" t="str">
        <f t="shared" si="263"/>
        <v/>
      </c>
      <c r="JY32" s="1785" t="str">
        <f t="shared" si="264"/>
        <v/>
      </c>
      <c r="JZ32" s="1785" t="str">
        <f t="shared" si="265"/>
        <v/>
      </c>
      <c r="KA32" s="1785" t="str">
        <f t="shared" si="266"/>
        <v/>
      </c>
      <c r="KB32" s="1785" t="str">
        <f t="shared" si="267"/>
        <v/>
      </c>
      <c r="KC32" s="1785" t="str">
        <f t="shared" si="268"/>
        <v/>
      </c>
      <c r="KD32" s="1785" t="str">
        <f t="shared" si="269"/>
        <v/>
      </c>
      <c r="KE32" s="1785" t="str">
        <f t="shared" si="270"/>
        <v/>
      </c>
      <c r="KF32" s="1785" t="str">
        <f t="shared" si="271"/>
        <v/>
      </c>
      <c r="KG32" s="1785" t="str">
        <f t="shared" si="272"/>
        <v/>
      </c>
      <c r="KH32" s="1785" t="str">
        <f t="shared" si="273"/>
        <v/>
      </c>
      <c r="KI32" s="1785" t="str">
        <f t="shared" si="274"/>
        <v/>
      </c>
      <c r="KJ32" s="1785" t="str">
        <f t="shared" si="275"/>
        <v/>
      </c>
      <c r="KK32" s="1785" t="str">
        <f t="shared" si="276"/>
        <v/>
      </c>
      <c r="KL32" s="1785" t="str">
        <f t="shared" si="277"/>
        <v/>
      </c>
      <c r="KM32" s="1785" t="str">
        <f t="shared" si="278"/>
        <v/>
      </c>
      <c r="KN32" s="1785" t="str">
        <f t="shared" si="279"/>
        <v/>
      </c>
      <c r="KO32" s="1785" t="str">
        <f t="shared" si="280"/>
        <v/>
      </c>
      <c r="KP32" s="1785" t="str">
        <f t="shared" si="281"/>
        <v/>
      </c>
      <c r="KQ32" s="1785" t="str">
        <f t="shared" si="282"/>
        <v/>
      </c>
      <c r="KR32" s="1785" t="str">
        <f t="shared" si="283"/>
        <v/>
      </c>
      <c r="KS32" s="1785" t="str">
        <f t="shared" si="284"/>
        <v/>
      </c>
      <c r="KT32" s="1785" t="str">
        <f t="shared" si="285"/>
        <v/>
      </c>
      <c r="KU32" s="1785" t="str">
        <f t="shared" si="286"/>
        <v/>
      </c>
      <c r="KV32" s="1785" t="str">
        <f t="shared" si="287"/>
        <v/>
      </c>
      <c r="KW32" s="1785" t="str">
        <f t="shared" si="288"/>
        <v/>
      </c>
      <c r="KX32" s="1785" t="str">
        <f t="shared" si="289"/>
        <v/>
      </c>
      <c r="KY32" s="1785" t="str">
        <f t="shared" si="290"/>
        <v/>
      </c>
      <c r="KZ32" s="1785" t="str">
        <f t="shared" si="291"/>
        <v/>
      </c>
      <c r="LA32" s="1785" t="str">
        <f t="shared" si="292"/>
        <v/>
      </c>
      <c r="LB32" s="1785" t="str">
        <f t="shared" si="293"/>
        <v/>
      </c>
      <c r="LC32" s="1785" t="str">
        <f t="shared" si="294"/>
        <v/>
      </c>
      <c r="LD32" s="1785" t="str">
        <f t="shared" si="295"/>
        <v/>
      </c>
      <c r="LE32" s="1785" t="str">
        <f t="shared" si="296"/>
        <v/>
      </c>
      <c r="LF32" s="1785" t="str">
        <f t="shared" si="297"/>
        <v/>
      </c>
      <c r="LG32" s="1785" t="str">
        <f t="shared" si="298"/>
        <v/>
      </c>
      <c r="LH32" s="1785" t="str">
        <f t="shared" si="299"/>
        <v/>
      </c>
      <c r="LI32" s="1785" t="str">
        <f t="shared" si="300"/>
        <v/>
      </c>
      <c r="LJ32" s="1785" t="str">
        <f t="shared" si="301"/>
        <v/>
      </c>
      <c r="LK32" s="1785" t="str">
        <f t="shared" si="302"/>
        <v/>
      </c>
      <c r="LL32" s="1785" t="str">
        <f t="shared" si="303"/>
        <v/>
      </c>
      <c r="LM32" s="1785" t="str">
        <f t="shared" si="304"/>
        <v/>
      </c>
      <c r="LN32" s="1785" t="str">
        <f t="shared" si="305"/>
        <v/>
      </c>
      <c r="LO32" s="1785" t="str">
        <f t="shared" si="306"/>
        <v/>
      </c>
      <c r="LP32" s="1785" t="str">
        <f t="shared" si="307"/>
        <v/>
      </c>
      <c r="LQ32" s="1785" t="str">
        <f t="shared" si="308"/>
        <v/>
      </c>
      <c r="LR32" s="1785" t="str">
        <f t="shared" si="309"/>
        <v/>
      </c>
      <c r="LS32" s="1785" t="str">
        <f t="shared" si="310"/>
        <v/>
      </c>
      <c r="LT32" s="1785" t="str">
        <f t="shared" si="311"/>
        <v/>
      </c>
      <c r="LU32" s="1785" t="str">
        <f t="shared" si="312"/>
        <v/>
      </c>
      <c r="LV32" s="1785" t="str">
        <f t="shared" si="313"/>
        <v/>
      </c>
      <c r="LW32" s="1785" t="str">
        <f t="shared" si="314"/>
        <v/>
      </c>
      <c r="LX32" s="1785" t="str">
        <f t="shared" si="315"/>
        <v/>
      </c>
      <c r="LY32" s="1785" t="str">
        <f t="shared" si="316"/>
        <v/>
      </c>
      <c r="LZ32" s="1785" t="str">
        <f t="shared" si="317"/>
        <v/>
      </c>
      <c r="MA32" s="1785" t="str">
        <f t="shared" si="318"/>
        <v/>
      </c>
      <c r="MB32" s="1785" t="str">
        <f t="shared" si="319"/>
        <v/>
      </c>
      <c r="MC32" s="1785" t="str">
        <f t="shared" si="320"/>
        <v/>
      </c>
      <c r="MD32" s="1785" t="str">
        <f t="shared" si="321"/>
        <v/>
      </c>
      <c r="ME32" s="1785" t="str">
        <f t="shared" si="322"/>
        <v/>
      </c>
      <c r="MF32" s="1785" t="str">
        <f t="shared" si="323"/>
        <v/>
      </c>
      <c r="MG32" s="1785" t="str">
        <f t="shared" si="324"/>
        <v/>
      </c>
      <c r="MH32" s="1785" t="str">
        <f t="shared" si="325"/>
        <v/>
      </c>
      <c r="MI32" s="1785" t="str">
        <f t="shared" si="326"/>
        <v/>
      </c>
      <c r="MJ32" s="1785" t="str">
        <f t="shared" si="327"/>
        <v/>
      </c>
      <c r="MK32" s="1785" t="str">
        <f t="shared" si="328"/>
        <v/>
      </c>
      <c r="ML32" s="1785" t="str">
        <f t="shared" si="329"/>
        <v/>
      </c>
      <c r="MM32" s="1785" t="str">
        <f t="shared" si="330"/>
        <v/>
      </c>
      <c r="MN32" s="1785" t="str">
        <f t="shared" si="331"/>
        <v/>
      </c>
      <c r="MO32" s="1785" t="str">
        <f t="shared" si="332"/>
        <v/>
      </c>
      <c r="MP32" s="2470" t="str">
        <f t="shared" si="333"/>
        <v/>
      </c>
      <c r="MQ32" s="2470" t="str">
        <f t="shared" si="334"/>
        <v/>
      </c>
      <c r="MR32" s="2470" t="str">
        <f t="shared" si="335"/>
        <v/>
      </c>
      <c r="MS32" s="2470" t="str">
        <f t="shared" si="336"/>
        <v/>
      </c>
      <c r="MT32" s="2470" t="str">
        <f t="shared" si="337"/>
        <v/>
      </c>
      <c r="MU32" s="356" t="str">
        <f t="shared" si="338"/>
        <v/>
      </c>
      <c r="MV32" s="356" t="str">
        <f t="shared" si="339"/>
        <v/>
      </c>
      <c r="MW32" s="356" t="str">
        <f t="shared" si="340"/>
        <v/>
      </c>
      <c r="MX32" s="356" t="str">
        <f t="shared" si="341"/>
        <v/>
      </c>
      <c r="MY32" s="356" t="str">
        <f t="shared" si="342"/>
        <v/>
      </c>
      <c r="MZ32" s="356" t="str">
        <f t="shared" si="343"/>
        <v/>
      </c>
      <c r="NA32" s="356" t="str">
        <f t="shared" si="344"/>
        <v/>
      </c>
      <c r="NB32" s="356" t="str">
        <f t="shared" si="345"/>
        <v/>
      </c>
      <c r="NC32" s="356" t="str">
        <f t="shared" si="346"/>
        <v/>
      </c>
      <c r="ND32" s="356" t="str">
        <f t="shared" si="347"/>
        <v/>
      </c>
      <c r="NE32" s="356" t="str">
        <f t="shared" si="348"/>
        <v/>
      </c>
      <c r="NF32" s="356" t="str">
        <f t="shared" si="349"/>
        <v/>
      </c>
      <c r="NG32" s="356" t="str">
        <f t="shared" si="350"/>
        <v/>
      </c>
      <c r="NH32" s="356" t="str">
        <f t="shared" si="351"/>
        <v/>
      </c>
      <c r="NI32" s="356" t="str">
        <f t="shared" si="352"/>
        <v/>
      </c>
      <c r="NJ32" s="356" t="str">
        <f t="shared" si="353"/>
        <v/>
      </c>
      <c r="NK32" s="356" t="str">
        <f t="shared" si="354"/>
        <v/>
      </c>
      <c r="NL32" s="356" t="str">
        <f t="shared" si="355"/>
        <v/>
      </c>
      <c r="NM32" s="356" t="str">
        <f t="shared" si="356"/>
        <v/>
      </c>
      <c r="NN32" s="356" t="str">
        <f t="shared" si="357"/>
        <v/>
      </c>
      <c r="NO32" s="1640">
        <f t="shared" si="358"/>
        <v>0</v>
      </c>
      <c r="NP32" s="1640">
        <f t="shared" si="359"/>
        <v>0</v>
      </c>
      <c r="NQ32" s="1640">
        <f t="shared" si="360"/>
        <v>0</v>
      </c>
      <c r="NR32" s="1640">
        <f t="shared" si="361"/>
        <v>0</v>
      </c>
      <c r="NS32" s="1640">
        <f t="shared" si="362"/>
        <v>0</v>
      </c>
      <c r="NT32" s="1640">
        <f t="shared" si="368"/>
        <v>0</v>
      </c>
      <c r="NU32" s="1640">
        <f t="shared" si="369"/>
        <v>0</v>
      </c>
      <c r="NV32" s="1640">
        <f t="shared" si="370"/>
        <v>0</v>
      </c>
      <c r="NW32" s="1640">
        <f t="shared" si="371"/>
        <v>0</v>
      </c>
      <c r="NX32" s="1640">
        <f t="shared" si="372"/>
        <v>0</v>
      </c>
      <c r="NY32" s="1640">
        <f t="shared" si="363"/>
        <v>0</v>
      </c>
      <c r="NZ32" s="1640">
        <f t="shared" si="364"/>
        <v>0</v>
      </c>
      <c r="OA32" s="1640">
        <f t="shared" si="365"/>
        <v>0</v>
      </c>
      <c r="OB32" s="1640">
        <f t="shared" si="366"/>
        <v>0</v>
      </c>
      <c r="OC32" s="1640">
        <f t="shared" si="367"/>
        <v>0</v>
      </c>
      <c r="OY32" s="2499" t="s">
        <v>4318</v>
      </c>
      <c r="OZ32" s="2504">
        <v>32</v>
      </c>
    </row>
    <row r="33" spans="1:416" ht="12" customHeight="1">
      <c r="A33" s="86" t="str">
        <f t="shared" si="0"/>
        <v/>
      </c>
      <c r="B33" s="1055"/>
      <c r="C33" s="132"/>
      <c r="D33" s="1643"/>
      <c r="E33" s="133"/>
      <c r="F33" s="133"/>
      <c r="G33" s="133"/>
      <c r="H33" s="133"/>
      <c r="I33" s="133"/>
      <c r="J33" s="1036">
        <f>IF(C33="",0,HLOOKUP(C33,'Part IV-Utility Allowances'!$I$11:$M$25,15))</f>
        <v>0</v>
      </c>
      <c r="K33" s="630"/>
      <c r="L33" s="460">
        <f t="shared" si="1"/>
        <v>0</v>
      </c>
      <c r="M33" s="460">
        <f t="shared" si="2"/>
        <v>0</v>
      </c>
      <c r="N33" s="680"/>
      <c r="O33" s="1585"/>
      <c r="P33" s="680"/>
      <c r="Q33" s="134"/>
      <c r="R33" s="723"/>
      <c r="S33" s="724"/>
      <c r="T33" s="3613"/>
      <c r="U33" s="3614"/>
      <c r="V33" s="3614"/>
      <c r="W33" s="3615"/>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356" t="str">
        <f t="shared" si="213"/>
        <v/>
      </c>
      <c r="IA33" s="356" t="str">
        <f t="shared" si="214"/>
        <v/>
      </c>
      <c r="IB33" s="356" t="str">
        <f t="shared" si="215"/>
        <v/>
      </c>
      <c r="IC33" s="356" t="str">
        <f t="shared" si="216"/>
        <v/>
      </c>
      <c r="ID33" s="356" t="str">
        <f t="shared" si="217"/>
        <v/>
      </c>
      <c r="IE33" s="356" t="str">
        <f t="shared" si="218"/>
        <v/>
      </c>
      <c r="IF33" s="356" t="str">
        <f t="shared" si="219"/>
        <v/>
      </c>
      <c r="IG33" s="356" t="str">
        <f t="shared" si="220"/>
        <v/>
      </c>
      <c r="IH33" s="356" t="str">
        <f t="shared" si="221"/>
        <v/>
      </c>
      <c r="II33" s="356" t="str">
        <f t="shared" si="222"/>
        <v/>
      </c>
      <c r="IJ33" s="356" t="str">
        <f t="shared" si="223"/>
        <v/>
      </c>
      <c r="IK33" s="356" t="str">
        <f t="shared" si="224"/>
        <v/>
      </c>
      <c r="IL33" s="356" t="str">
        <f t="shared" si="225"/>
        <v/>
      </c>
      <c r="IM33" s="356" t="str">
        <f t="shared" si="226"/>
        <v/>
      </c>
      <c r="IN33" s="356" t="str">
        <f t="shared" si="227"/>
        <v/>
      </c>
      <c r="IO33" s="356" t="str">
        <f t="shared" si="228"/>
        <v/>
      </c>
      <c r="IP33" s="356" t="str">
        <f t="shared" si="229"/>
        <v/>
      </c>
      <c r="IQ33" s="356" t="str">
        <f t="shared" si="230"/>
        <v/>
      </c>
      <c r="IR33" s="356" t="str">
        <f t="shared" si="231"/>
        <v/>
      </c>
      <c r="IS33" s="356" t="str">
        <f t="shared" si="232"/>
        <v/>
      </c>
      <c r="IT33" s="356" t="str">
        <f t="shared" si="233"/>
        <v/>
      </c>
      <c r="IU33" s="356" t="str">
        <f t="shared" si="234"/>
        <v/>
      </c>
      <c r="IV33" s="356" t="str">
        <f t="shared" si="235"/>
        <v/>
      </c>
      <c r="IW33" s="356" t="str">
        <f t="shared" si="236"/>
        <v/>
      </c>
      <c r="IX33" s="356" t="str">
        <f t="shared" si="237"/>
        <v/>
      </c>
      <c r="IY33" s="356" t="str">
        <f t="shared" si="238"/>
        <v/>
      </c>
      <c r="IZ33" s="356" t="str">
        <f t="shared" si="239"/>
        <v/>
      </c>
      <c r="JA33" s="356" t="str">
        <f t="shared" si="240"/>
        <v/>
      </c>
      <c r="JB33" s="356" t="str">
        <f t="shared" si="241"/>
        <v/>
      </c>
      <c r="JC33" s="356" t="str">
        <f t="shared" si="242"/>
        <v/>
      </c>
      <c r="JD33" s="356" t="str">
        <f t="shared" si="243"/>
        <v/>
      </c>
      <c r="JE33" s="356" t="str">
        <f t="shared" si="244"/>
        <v/>
      </c>
      <c r="JF33" s="356" t="str">
        <f t="shared" si="245"/>
        <v/>
      </c>
      <c r="JG33" s="356" t="str">
        <f t="shared" si="246"/>
        <v/>
      </c>
      <c r="JH33" s="356" t="str">
        <f t="shared" si="247"/>
        <v/>
      </c>
      <c r="JI33" s="1785" t="str">
        <f t="shared" si="248"/>
        <v/>
      </c>
      <c r="JJ33" s="1785" t="str">
        <f t="shared" si="249"/>
        <v/>
      </c>
      <c r="JK33" s="1785" t="str">
        <f t="shared" si="250"/>
        <v/>
      </c>
      <c r="JL33" s="1785" t="str">
        <f t="shared" si="251"/>
        <v/>
      </c>
      <c r="JM33" s="1785" t="str">
        <f t="shared" si="252"/>
        <v/>
      </c>
      <c r="JN33" s="1785" t="str">
        <f t="shared" si="253"/>
        <v/>
      </c>
      <c r="JO33" s="1785" t="str">
        <f t="shared" si="254"/>
        <v/>
      </c>
      <c r="JP33" s="1785" t="str">
        <f t="shared" si="255"/>
        <v/>
      </c>
      <c r="JQ33" s="1785" t="str">
        <f t="shared" si="256"/>
        <v/>
      </c>
      <c r="JR33" s="1785" t="str">
        <f t="shared" si="257"/>
        <v/>
      </c>
      <c r="JS33" s="1785" t="str">
        <f t="shared" si="258"/>
        <v/>
      </c>
      <c r="JT33" s="1785" t="str">
        <f t="shared" si="259"/>
        <v/>
      </c>
      <c r="JU33" s="1785" t="str">
        <f t="shared" si="260"/>
        <v/>
      </c>
      <c r="JV33" s="1785" t="str">
        <f t="shared" si="261"/>
        <v/>
      </c>
      <c r="JW33" s="1785" t="str">
        <f t="shared" si="262"/>
        <v/>
      </c>
      <c r="JX33" s="1785" t="str">
        <f t="shared" si="263"/>
        <v/>
      </c>
      <c r="JY33" s="1785" t="str">
        <f t="shared" si="264"/>
        <v/>
      </c>
      <c r="JZ33" s="1785" t="str">
        <f t="shared" si="265"/>
        <v/>
      </c>
      <c r="KA33" s="1785" t="str">
        <f t="shared" si="266"/>
        <v/>
      </c>
      <c r="KB33" s="1785" t="str">
        <f t="shared" si="267"/>
        <v/>
      </c>
      <c r="KC33" s="1785" t="str">
        <f t="shared" si="268"/>
        <v/>
      </c>
      <c r="KD33" s="1785" t="str">
        <f t="shared" si="269"/>
        <v/>
      </c>
      <c r="KE33" s="1785" t="str">
        <f t="shared" si="270"/>
        <v/>
      </c>
      <c r="KF33" s="1785" t="str">
        <f t="shared" si="271"/>
        <v/>
      </c>
      <c r="KG33" s="1785" t="str">
        <f t="shared" si="272"/>
        <v/>
      </c>
      <c r="KH33" s="1785" t="str">
        <f t="shared" si="273"/>
        <v/>
      </c>
      <c r="KI33" s="1785" t="str">
        <f t="shared" si="274"/>
        <v/>
      </c>
      <c r="KJ33" s="1785" t="str">
        <f t="shared" si="275"/>
        <v/>
      </c>
      <c r="KK33" s="1785" t="str">
        <f t="shared" si="276"/>
        <v/>
      </c>
      <c r="KL33" s="1785" t="str">
        <f t="shared" si="277"/>
        <v/>
      </c>
      <c r="KM33" s="1785" t="str">
        <f t="shared" si="278"/>
        <v/>
      </c>
      <c r="KN33" s="1785" t="str">
        <f t="shared" si="279"/>
        <v/>
      </c>
      <c r="KO33" s="1785" t="str">
        <f t="shared" si="280"/>
        <v/>
      </c>
      <c r="KP33" s="1785" t="str">
        <f t="shared" si="281"/>
        <v/>
      </c>
      <c r="KQ33" s="1785" t="str">
        <f t="shared" si="282"/>
        <v/>
      </c>
      <c r="KR33" s="1785" t="str">
        <f t="shared" si="283"/>
        <v/>
      </c>
      <c r="KS33" s="1785" t="str">
        <f t="shared" si="284"/>
        <v/>
      </c>
      <c r="KT33" s="1785" t="str">
        <f t="shared" si="285"/>
        <v/>
      </c>
      <c r="KU33" s="1785" t="str">
        <f t="shared" si="286"/>
        <v/>
      </c>
      <c r="KV33" s="1785" t="str">
        <f t="shared" si="287"/>
        <v/>
      </c>
      <c r="KW33" s="1785" t="str">
        <f t="shared" si="288"/>
        <v/>
      </c>
      <c r="KX33" s="1785" t="str">
        <f t="shared" si="289"/>
        <v/>
      </c>
      <c r="KY33" s="1785" t="str">
        <f t="shared" si="290"/>
        <v/>
      </c>
      <c r="KZ33" s="1785" t="str">
        <f t="shared" si="291"/>
        <v/>
      </c>
      <c r="LA33" s="1785" t="str">
        <f t="shared" si="292"/>
        <v/>
      </c>
      <c r="LB33" s="1785" t="str">
        <f t="shared" si="293"/>
        <v/>
      </c>
      <c r="LC33" s="1785" t="str">
        <f t="shared" si="294"/>
        <v/>
      </c>
      <c r="LD33" s="1785" t="str">
        <f t="shared" si="295"/>
        <v/>
      </c>
      <c r="LE33" s="1785" t="str">
        <f t="shared" si="296"/>
        <v/>
      </c>
      <c r="LF33" s="1785" t="str">
        <f t="shared" si="297"/>
        <v/>
      </c>
      <c r="LG33" s="1785" t="str">
        <f t="shared" si="298"/>
        <v/>
      </c>
      <c r="LH33" s="1785" t="str">
        <f t="shared" si="299"/>
        <v/>
      </c>
      <c r="LI33" s="1785" t="str">
        <f t="shared" si="300"/>
        <v/>
      </c>
      <c r="LJ33" s="1785" t="str">
        <f t="shared" si="301"/>
        <v/>
      </c>
      <c r="LK33" s="1785" t="str">
        <f t="shared" si="302"/>
        <v/>
      </c>
      <c r="LL33" s="1785" t="str">
        <f t="shared" si="303"/>
        <v/>
      </c>
      <c r="LM33" s="1785" t="str">
        <f t="shared" si="304"/>
        <v/>
      </c>
      <c r="LN33" s="1785" t="str">
        <f t="shared" si="305"/>
        <v/>
      </c>
      <c r="LO33" s="1785" t="str">
        <f t="shared" si="306"/>
        <v/>
      </c>
      <c r="LP33" s="1785" t="str">
        <f t="shared" si="307"/>
        <v/>
      </c>
      <c r="LQ33" s="1785" t="str">
        <f t="shared" si="308"/>
        <v/>
      </c>
      <c r="LR33" s="1785" t="str">
        <f t="shared" si="309"/>
        <v/>
      </c>
      <c r="LS33" s="1785" t="str">
        <f t="shared" si="310"/>
        <v/>
      </c>
      <c r="LT33" s="1785" t="str">
        <f t="shared" si="311"/>
        <v/>
      </c>
      <c r="LU33" s="1785" t="str">
        <f t="shared" si="312"/>
        <v/>
      </c>
      <c r="LV33" s="1785" t="str">
        <f t="shared" si="313"/>
        <v/>
      </c>
      <c r="LW33" s="1785" t="str">
        <f t="shared" si="314"/>
        <v/>
      </c>
      <c r="LX33" s="1785" t="str">
        <f t="shared" si="315"/>
        <v/>
      </c>
      <c r="LY33" s="1785" t="str">
        <f t="shared" si="316"/>
        <v/>
      </c>
      <c r="LZ33" s="1785" t="str">
        <f t="shared" si="317"/>
        <v/>
      </c>
      <c r="MA33" s="1785" t="str">
        <f t="shared" si="318"/>
        <v/>
      </c>
      <c r="MB33" s="1785" t="str">
        <f t="shared" si="319"/>
        <v/>
      </c>
      <c r="MC33" s="1785" t="str">
        <f t="shared" si="320"/>
        <v/>
      </c>
      <c r="MD33" s="1785" t="str">
        <f t="shared" si="321"/>
        <v/>
      </c>
      <c r="ME33" s="1785" t="str">
        <f t="shared" si="322"/>
        <v/>
      </c>
      <c r="MF33" s="1785" t="str">
        <f t="shared" si="323"/>
        <v/>
      </c>
      <c r="MG33" s="1785" t="str">
        <f t="shared" si="324"/>
        <v/>
      </c>
      <c r="MH33" s="1785" t="str">
        <f t="shared" si="325"/>
        <v/>
      </c>
      <c r="MI33" s="1785" t="str">
        <f t="shared" si="326"/>
        <v/>
      </c>
      <c r="MJ33" s="1785" t="str">
        <f t="shared" si="327"/>
        <v/>
      </c>
      <c r="MK33" s="1785" t="str">
        <f t="shared" si="328"/>
        <v/>
      </c>
      <c r="ML33" s="1785" t="str">
        <f t="shared" si="329"/>
        <v/>
      </c>
      <c r="MM33" s="1785" t="str">
        <f t="shared" si="330"/>
        <v/>
      </c>
      <c r="MN33" s="1785" t="str">
        <f t="shared" si="331"/>
        <v/>
      </c>
      <c r="MO33" s="1785" t="str">
        <f t="shared" si="332"/>
        <v/>
      </c>
      <c r="MP33" s="2470" t="str">
        <f t="shared" si="333"/>
        <v/>
      </c>
      <c r="MQ33" s="2470" t="str">
        <f t="shared" si="334"/>
        <v/>
      </c>
      <c r="MR33" s="2470" t="str">
        <f t="shared" si="335"/>
        <v/>
      </c>
      <c r="MS33" s="2470" t="str">
        <f t="shared" si="336"/>
        <v/>
      </c>
      <c r="MT33" s="2470" t="str">
        <f t="shared" si="337"/>
        <v/>
      </c>
      <c r="MU33" s="356" t="str">
        <f t="shared" si="338"/>
        <v/>
      </c>
      <c r="MV33" s="356" t="str">
        <f t="shared" si="339"/>
        <v/>
      </c>
      <c r="MW33" s="356" t="str">
        <f t="shared" si="340"/>
        <v/>
      </c>
      <c r="MX33" s="356" t="str">
        <f t="shared" si="341"/>
        <v/>
      </c>
      <c r="MY33" s="356" t="str">
        <f t="shared" si="342"/>
        <v/>
      </c>
      <c r="MZ33" s="356" t="str">
        <f t="shared" si="343"/>
        <v/>
      </c>
      <c r="NA33" s="356" t="str">
        <f t="shared" si="344"/>
        <v/>
      </c>
      <c r="NB33" s="356" t="str">
        <f t="shared" si="345"/>
        <v/>
      </c>
      <c r="NC33" s="356" t="str">
        <f t="shared" si="346"/>
        <v/>
      </c>
      <c r="ND33" s="356" t="str">
        <f t="shared" si="347"/>
        <v/>
      </c>
      <c r="NE33" s="356" t="str">
        <f t="shared" si="348"/>
        <v/>
      </c>
      <c r="NF33" s="356" t="str">
        <f t="shared" si="349"/>
        <v/>
      </c>
      <c r="NG33" s="356" t="str">
        <f t="shared" si="350"/>
        <v/>
      </c>
      <c r="NH33" s="356" t="str">
        <f t="shared" si="351"/>
        <v/>
      </c>
      <c r="NI33" s="356" t="str">
        <f t="shared" si="352"/>
        <v/>
      </c>
      <c r="NJ33" s="356" t="str">
        <f t="shared" si="353"/>
        <v/>
      </c>
      <c r="NK33" s="356" t="str">
        <f t="shared" si="354"/>
        <v/>
      </c>
      <c r="NL33" s="356" t="str">
        <f t="shared" si="355"/>
        <v/>
      </c>
      <c r="NM33" s="356" t="str">
        <f t="shared" si="356"/>
        <v/>
      </c>
      <c r="NN33" s="356" t="str">
        <f t="shared" si="357"/>
        <v/>
      </c>
      <c r="NO33" s="1640">
        <f t="shared" si="358"/>
        <v>0</v>
      </c>
      <c r="NP33" s="1640">
        <f t="shared" si="359"/>
        <v>0</v>
      </c>
      <c r="NQ33" s="1640">
        <f t="shared" si="360"/>
        <v>0</v>
      </c>
      <c r="NR33" s="1640">
        <f t="shared" si="361"/>
        <v>0</v>
      </c>
      <c r="NS33" s="1640">
        <f t="shared" si="362"/>
        <v>0</v>
      </c>
      <c r="NT33" s="1640">
        <f t="shared" si="368"/>
        <v>0</v>
      </c>
      <c r="NU33" s="1640">
        <f t="shared" si="369"/>
        <v>0</v>
      </c>
      <c r="NV33" s="1640">
        <f t="shared" si="370"/>
        <v>0</v>
      </c>
      <c r="NW33" s="1640">
        <f t="shared" si="371"/>
        <v>0</v>
      </c>
      <c r="NX33" s="1640">
        <f t="shared" si="372"/>
        <v>0</v>
      </c>
      <c r="NY33" s="1640">
        <f t="shared" si="363"/>
        <v>0</v>
      </c>
      <c r="NZ33" s="1640">
        <f t="shared" si="364"/>
        <v>0</v>
      </c>
      <c r="OA33" s="1640">
        <f t="shared" si="365"/>
        <v>0</v>
      </c>
      <c r="OB33" s="1640">
        <f t="shared" si="366"/>
        <v>0</v>
      </c>
      <c r="OC33" s="1640">
        <f t="shared" si="367"/>
        <v>0</v>
      </c>
      <c r="OY33" s="2499" t="s">
        <v>4319</v>
      </c>
      <c r="OZ33" s="2503">
        <v>33</v>
      </c>
    </row>
    <row r="34" spans="1:416" ht="12" customHeight="1">
      <c r="A34" s="86" t="str">
        <f t="shared" si="0"/>
        <v/>
      </c>
      <c r="B34" s="1055"/>
      <c r="C34" s="132"/>
      <c r="D34" s="1643"/>
      <c r="E34" s="133"/>
      <c r="F34" s="133"/>
      <c r="G34" s="133"/>
      <c r="H34" s="133"/>
      <c r="I34" s="133"/>
      <c r="J34" s="1036">
        <f>IF(C34="",0,HLOOKUP(C34,'Part IV-Utility Allowances'!$I$11:$M$25,15))</f>
        <v>0</v>
      </c>
      <c r="K34" s="630"/>
      <c r="L34" s="460">
        <f t="shared" si="1"/>
        <v>0</v>
      </c>
      <c r="M34" s="460">
        <f t="shared" si="2"/>
        <v>0</v>
      </c>
      <c r="N34" s="680"/>
      <c r="O34" s="1585"/>
      <c r="P34" s="680"/>
      <c r="Q34" s="134"/>
      <c r="R34" s="723"/>
      <c r="S34" s="724"/>
      <c r="T34" s="3613"/>
      <c r="U34" s="3614"/>
      <c r="V34" s="3614"/>
      <c r="W34" s="3615"/>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356" t="str">
        <f t="shared" si="213"/>
        <v/>
      </c>
      <c r="IA34" s="356" t="str">
        <f t="shared" si="214"/>
        <v/>
      </c>
      <c r="IB34" s="356" t="str">
        <f t="shared" si="215"/>
        <v/>
      </c>
      <c r="IC34" s="356" t="str">
        <f t="shared" si="216"/>
        <v/>
      </c>
      <c r="ID34" s="356" t="str">
        <f t="shared" si="217"/>
        <v/>
      </c>
      <c r="IE34" s="356" t="str">
        <f t="shared" si="218"/>
        <v/>
      </c>
      <c r="IF34" s="356" t="str">
        <f t="shared" si="219"/>
        <v/>
      </c>
      <c r="IG34" s="356" t="str">
        <f t="shared" si="220"/>
        <v/>
      </c>
      <c r="IH34" s="356" t="str">
        <f t="shared" si="221"/>
        <v/>
      </c>
      <c r="II34" s="356" t="str">
        <f t="shared" si="222"/>
        <v/>
      </c>
      <c r="IJ34" s="356" t="str">
        <f t="shared" si="223"/>
        <v/>
      </c>
      <c r="IK34" s="356" t="str">
        <f t="shared" si="224"/>
        <v/>
      </c>
      <c r="IL34" s="356" t="str">
        <f t="shared" si="225"/>
        <v/>
      </c>
      <c r="IM34" s="356" t="str">
        <f t="shared" si="226"/>
        <v/>
      </c>
      <c r="IN34" s="356" t="str">
        <f t="shared" si="227"/>
        <v/>
      </c>
      <c r="IO34" s="356" t="str">
        <f t="shared" si="228"/>
        <v/>
      </c>
      <c r="IP34" s="356" t="str">
        <f t="shared" si="229"/>
        <v/>
      </c>
      <c r="IQ34" s="356" t="str">
        <f t="shared" si="230"/>
        <v/>
      </c>
      <c r="IR34" s="356" t="str">
        <f t="shared" si="231"/>
        <v/>
      </c>
      <c r="IS34" s="356" t="str">
        <f t="shared" si="232"/>
        <v/>
      </c>
      <c r="IT34" s="356" t="str">
        <f t="shared" si="233"/>
        <v/>
      </c>
      <c r="IU34" s="356" t="str">
        <f t="shared" si="234"/>
        <v/>
      </c>
      <c r="IV34" s="356" t="str">
        <f t="shared" si="235"/>
        <v/>
      </c>
      <c r="IW34" s="356" t="str">
        <f t="shared" si="236"/>
        <v/>
      </c>
      <c r="IX34" s="356" t="str">
        <f t="shared" si="237"/>
        <v/>
      </c>
      <c r="IY34" s="356" t="str">
        <f t="shared" si="238"/>
        <v/>
      </c>
      <c r="IZ34" s="356" t="str">
        <f t="shared" si="239"/>
        <v/>
      </c>
      <c r="JA34" s="356" t="str">
        <f t="shared" si="240"/>
        <v/>
      </c>
      <c r="JB34" s="356" t="str">
        <f t="shared" si="241"/>
        <v/>
      </c>
      <c r="JC34" s="356" t="str">
        <f t="shared" si="242"/>
        <v/>
      </c>
      <c r="JD34" s="356" t="str">
        <f t="shared" si="243"/>
        <v/>
      </c>
      <c r="JE34" s="356" t="str">
        <f t="shared" si="244"/>
        <v/>
      </c>
      <c r="JF34" s="356" t="str">
        <f t="shared" si="245"/>
        <v/>
      </c>
      <c r="JG34" s="356" t="str">
        <f t="shared" si="246"/>
        <v/>
      </c>
      <c r="JH34" s="356" t="str">
        <f t="shared" si="247"/>
        <v/>
      </c>
      <c r="JI34" s="1785" t="str">
        <f t="shared" si="248"/>
        <v/>
      </c>
      <c r="JJ34" s="1785" t="str">
        <f t="shared" si="249"/>
        <v/>
      </c>
      <c r="JK34" s="1785" t="str">
        <f t="shared" si="250"/>
        <v/>
      </c>
      <c r="JL34" s="1785" t="str">
        <f t="shared" si="251"/>
        <v/>
      </c>
      <c r="JM34" s="1785" t="str">
        <f t="shared" si="252"/>
        <v/>
      </c>
      <c r="JN34" s="1785" t="str">
        <f t="shared" si="253"/>
        <v/>
      </c>
      <c r="JO34" s="1785" t="str">
        <f t="shared" si="254"/>
        <v/>
      </c>
      <c r="JP34" s="1785" t="str">
        <f t="shared" si="255"/>
        <v/>
      </c>
      <c r="JQ34" s="1785" t="str">
        <f t="shared" si="256"/>
        <v/>
      </c>
      <c r="JR34" s="1785" t="str">
        <f t="shared" si="257"/>
        <v/>
      </c>
      <c r="JS34" s="1785" t="str">
        <f t="shared" si="258"/>
        <v/>
      </c>
      <c r="JT34" s="1785" t="str">
        <f t="shared" si="259"/>
        <v/>
      </c>
      <c r="JU34" s="1785" t="str">
        <f t="shared" si="260"/>
        <v/>
      </c>
      <c r="JV34" s="1785" t="str">
        <f t="shared" si="261"/>
        <v/>
      </c>
      <c r="JW34" s="1785" t="str">
        <f t="shared" si="262"/>
        <v/>
      </c>
      <c r="JX34" s="1785" t="str">
        <f t="shared" si="263"/>
        <v/>
      </c>
      <c r="JY34" s="1785" t="str">
        <f t="shared" si="264"/>
        <v/>
      </c>
      <c r="JZ34" s="1785" t="str">
        <f t="shared" si="265"/>
        <v/>
      </c>
      <c r="KA34" s="1785" t="str">
        <f t="shared" si="266"/>
        <v/>
      </c>
      <c r="KB34" s="1785" t="str">
        <f t="shared" si="267"/>
        <v/>
      </c>
      <c r="KC34" s="1785" t="str">
        <f t="shared" si="268"/>
        <v/>
      </c>
      <c r="KD34" s="1785" t="str">
        <f t="shared" si="269"/>
        <v/>
      </c>
      <c r="KE34" s="1785" t="str">
        <f t="shared" si="270"/>
        <v/>
      </c>
      <c r="KF34" s="1785" t="str">
        <f t="shared" si="271"/>
        <v/>
      </c>
      <c r="KG34" s="1785" t="str">
        <f t="shared" si="272"/>
        <v/>
      </c>
      <c r="KH34" s="1785" t="str">
        <f t="shared" si="273"/>
        <v/>
      </c>
      <c r="KI34" s="1785" t="str">
        <f t="shared" si="274"/>
        <v/>
      </c>
      <c r="KJ34" s="1785" t="str">
        <f t="shared" si="275"/>
        <v/>
      </c>
      <c r="KK34" s="1785" t="str">
        <f t="shared" si="276"/>
        <v/>
      </c>
      <c r="KL34" s="1785" t="str">
        <f t="shared" si="277"/>
        <v/>
      </c>
      <c r="KM34" s="1785" t="str">
        <f t="shared" si="278"/>
        <v/>
      </c>
      <c r="KN34" s="1785" t="str">
        <f t="shared" si="279"/>
        <v/>
      </c>
      <c r="KO34" s="1785" t="str">
        <f t="shared" si="280"/>
        <v/>
      </c>
      <c r="KP34" s="1785" t="str">
        <f t="shared" si="281"/>
        <v/>
      </c>
      <c r="KQ34" s="1785" t="str">
        <f t="shared" si="282"/>
        <v/>
      </c>
      <c r="KR34" s="1785" t="str">
        <f t="shared" si="283"/>
        <v/>
      </c>
      <c r="KS34" s="1785" t="str">
        <f t="shared" si="284"/>
        <v/>
      </c>
      <c r="KT34" s="1785" t="str">
        <f t="shared" si="285"/>
        <v/>
      </c>
      <c r="KU34" s="1785" t="str">
        <f t="shared" si="286"/>
        <v/>
      </c>
      <c r="KV34" s="1785" t="str">
        <f t="shared" si="287"/>
        <v/>
      </c>
      <c r="KW34" s="1785" t="str">
        <f t="shared" si="288"/>
        <v/>
      </c>
      <c r="KX34" s="1785" t="str">
        <f t="shared" si="289"/>
        <v/>
      </c>
      <c r="KY34" s="1785" t="str">
        <f t="shared" si="290"/>
        <v/>
      </c>
      <c r="KZ34" s="1785" t="str">
        <f t="shared" si="291"/>
        <v/>
      </c>
      <c r="LA34" s="1785" t="str">
        <f t="shared" si="292"/>
        <v/>
      </c>
      <c r="LB34" s="1785" t="str">
        <f t="shared" si="293"/>
        <v/>
      </c>
      <c r="LC34" s="1785" t="str">
        <f t="shared" si="294"/>
        <v/>
      </c>
      <c r="LD34" s="1785" t="str">
        <f t="shared" si="295"/>
        <v/>
      </c>
      <c r="LE34" s="1785" t="str">
        <f t="shared" si="296"/>
        <v/>
      </c>
      <c r="LF34" s="1785" t="str">
        <f t="shared" si="297"/>
        <v/>
      </c>
      <c r="LG34" s="1785" t="str">
        <f t="shared" si="298"/>
        <v/>
      </c>
      <c r="LH34" s="1785" t="str">
        <f t="shared" si="299"/>
        <v/>
      </c>
      <c r="LI34" s="1785" t="str">
        <f t="shared" si="300"/>
        <v/>
      </c>
      <c r="LJ34" s="1785" t="str">
        <f t="shared" si="301"/>
        <v/>
      </c>
      <c r="LK34" s="1785" t="str">
        <f t="shared" si="302"/>
        <v/>
      </c>
      <c r="LL34" s="1785" t="str">
        <f t="shared" si="303"/>
        <v/>
      </c>
      <c r="LM34" s="1785" t="str">
        <f t="shared" si="304"/>
        <v/>
      </c>
      <c r="LN34" s="1785" t="str">
        <f t="shared" si="305"/>
        <v/>
      </c>
      <c r="LO34" s="1785" t="str">
        <f t="shared" si="306"/>
        <v/>
      </c>
      <c r="LP34" s="1785" t="str">
        <f t="shared" si="307"/>
        <v/>
      </c>
      <c r="LQ34" s="1785" t="str">
        <f t="shared" si="308"/>
        <v/>
      </c>
      <c r="LR34" s="1785" t="str">
        <f t="shared" si="309"/>
        <v/>
      </c>
      <c r="LS34" s="1785" t="str">
        <f t="shared" si="310"/>
        <v/>
      </c>
      <c r="LT34" s="1785" t="str">
        <f t="shared" si="311"/>
        <v/>
      </c>
      <c r="LU34" s="1785" t="str">
        <f t="shared" si="312"/>
        <v/>
      </c>
      <c r="LV34" s="1785" t="str">
        <f t="shared" si="313"/>
        <v/>
      </c>
      <c r="LW34" s="1785" t="str">
        <f t="shared" si="314"/>
        <v/>
      </c>
      <c r="LX34" s="1785" t="str">
        <f t="shared" si="315"/>
        <v/>
      </c>
      <c r="LY34" s="1785" t="str">
        <f t="shared" si="316"/>
        <v/>
      </c>
      <c r="LZ34" s="1785" t="str">
        <f t="shared" si="317"/>
        <v/>
      </c>
      <c r="MA34" s="1785" t="str">
        <f t="shared" si="318"/>
        <v/>
      </c>
      <c r="MB34" s="1785" t="str">
        <f t="shared" si="319"/>
        <v/>
      </c>
      <c r="MC34" s="1785" t="str">
        <f t="shared" si="320"/>
        <v/>
      </c>
      <c r="MD34" s="1785" t="str">
        <f t="shared" si="321"/>
        <v/>
      </c>
      <c r="ME34" s="1785" t="str">
        <f t="shared" si="322"/>
        <v/>
      </c>
      <c r="MF34" s="1785" t="str">
        <f t="shared" si="323"/>
        <v/>
      </c>
      <c r="MG34" s="1785" t="str">
        <f t="shared" si="324"/>
        <v/>
      </c>
      <c r="MH34" s="1785" t="str">
        <f t="shared" si="325"/>
        <v/>
      </c>
      <c r="MI34" s="1785" t="str">
        <f t="shared" si="326"/>
        <v/>
      </c>
      <c r="MJ34" s="1785" t="str">
        <f t="shared" si="327"/>
        <v/>
      </c>
      <c r="MK34" s="1785" t="str">
        <f t="shared" si="328"/>
        <v/>
      </c>
      <c r="ML34" s="1785" t="str">
        <f t="shared" si="329"/>
        <v/>
      </c>
      <c r="MM34" s="1785" t="str">
        <f t="shared" si="330"/>
        <v/>
      </c>
      <c r="MN34" s="1785" t="str">
        <f t="shared" si="331"/>
        <v/>
      </c>
      <c r="MO34" s="1785" t="str">
        <f t="shared" si="332"/>
        <v/>
      </c>
      <c r="MP34" s="2470" t="str">
        <f t="shared" si="333"/>
        <v/>
      </c>
      <c r="MQ34" s="2470" t="str">
        <f t="shared" si="334"/>
        <v/>
      </c>
      <c r="MR34" s="2470" t="str">
        <f t="shared" si="335"/>
        <v/>
      </c>
      <c r="MS34" s="2470" t="str">
        <f t="shared" si="336"/>
        <v/>
      </c>
      <c r="MT34" s="2470" t="str">
        <f t="shared" si="337"/>
        <v/>
      </c>
      <c r="MU34" s="356" t="str">
        <f t="shared" si="338"/>
        <v/>
      </c>
      <c r="MV34" s="356" t="str">
        <f t="shared" si="339"/>
        <v/>
      </c>
      <c r="MW34" s="356" t="str">
        <f t="shared" si="340"/>
        <v/>
      </c>
      <c r="MX34" s="356" t="str">
        <f t="shared" si="341"/>
        <v/>
      </c>
      <c r="MY34" s="356" t="str">
        <f t="shared" si="342"/>
        <v/>
      </c>
      <c r="MZ34" s="356" t="str">
        <f t="shared" si="343"/>
        <v/>
      </c>
      <c r="NA34" s="356" t="str">
        <f t="shared" si="344"/>
        <v/>
      </c>
      <c r="NB34" s="356" t="str">
        <f t="shared" si="345"/>
        <v/>
      </c>
      <c r="NC34" s="356" t="str">
        <f t="shared" si="346"/>
        <v/>
      </c>
      <c r="ND34" s="356" t="str">
        <f t="shared" si="347"/>
        <v/>
      </c>
      <c r="NE34" s="356" t="str">
        <f t="shared" si="348"/>
        <v/>
      </c>
      <c r="NF34" s="356" t="str">
        <f t="shared" si="349"/>
        <v/>
      </c>
      <c r="NG34" s="356" t="str">
        <f t="shared" si="350"/>
        <v/>
      </c>
      <c r="NH34" s="356" t="str">
        <f t="shared" si="351"/>
        <v/>
      </c>
      <c r="NI34" s="356" t="str">
        <f t="shared" si="352"/>
        <v/>
      </c>
      <c r="NJ34" s="356" t="str">
        <f t="shared" si="353"/>
        <v/>
      </c>
      <c r="NK34" s="356" t="str">
        <f t="shared" si="354"/>
        <v/>
      </c>
      <c r="NL34" s="356" t="str">
        <f t="shared" si="355"/>
        <v/>
      </c>
      <c r="NM34" s="356" t="str">
        <f t="shared" si="356"/>
        <v/>
      </c>
      <c r="NN34" s="356" t="str">
        <f t="shared" si="357"/>
        <v/>
      </c>
      <c r="NO34" s="1640">
        <f t="shared" si="358"/>
        <v>0</v>
      </c>
      <c r="NP34" s="1640">
        <f t="shared" si="359"/>
        <v>0</v>
      </c>
      <c r="NQ34" s="1640">
        <f t="shared" si="360"/>
        <v>0</v>
      </c>
      <c r="NR34" s="1640">
        <f t="shared" si="361"/>
        <v>0</v>
      </c>
      <c r="NS34" s="1640">
        <f t="shared" si="362"/>
        <v>0</v>
      </c>
      <c r="NT34" s="1640">
        <f t="shared" si="368"/>
        <v>0</v>
      </c>
      <c r="NU34" s="1640">
        <f t="shared" si="369"/>
        <v>0</v>
      </c>
      <c r="NV34" s="1640">
        <f t="shared" si="370"/>
        <v>0</v>
      </c>
      <c r="NW34" s="1640">
        <f t="shared" si="371"/>
        <v>0</v>
      </c>
      <c r="NX34" s="1640">
        <f t="shared" si="372"/>
        <v>0</v>
      </c>
      <c r="NY34" s="1640">
        <f t="shared" si="363"/>
        <v>0</v>
      </c>
      <c r="NZ34" s="1640">
        <f t="shared" si="364"/>
        <v>0</v>
      </c>
      <c r="OA34" s="1640">
        <f t="shared" si="365"/>
        <v>0</v>
      </c>
      <c r="OB34" s="1640">
        <f t="shared" si="366"/>
        <v>0</v>
      </c>
      <c r="OC34" s="1640">
        <f t="shared" si="367"/>
        <v>0</v>
      </c>
      <c r="OY34" s="2499" t="s">
        <v>4320</v>
      </c>
      <c r="OZ34" s="2504">
        <v>34</v>
      </c>
    </row>
    <row r="35" spans="1:416" ht="12" customHeight="1">
      <c r="A35" s="86" t="str">
        <f t="shared" si="0"/>
        <v/>
      </c>
      <c r="B35" s="1055"/>
      <c r="C35" s="132"/>
      <c r="D35" s="1643"/>
      <c r="E35" s="133"/>
      <c r="F35" s="133"/>
      <c r="G35" s="133"/>
      <c r="H35" s="133"/>
      <c r="I35" s="133"/>
      <c r="J35" s="1036">
        <f>IF(C35="",0,HLOOKUP(C35,'Part IV-Utility Allowances'!$I$11:$M$25,15))</f>
        <v>0</v>
      </c>
      <c r="K35" s="630"/>
      <c r="L35" s="460">
        <f t="shared" si="1"/>
        <v>0</v>
      </c>
      <c r="M35" s="460">
        <f t="shared" si="2"/>
        <v>0</v>
      </c>
      <c r="N35" s="680"/>
      <c r="O35" s="1585"/>
      <c r="P35" s="680"/>
      <c r="Q35" s="134"/>
      <c r="R35" s="723"/>
      <c r="S35" s="724"/>
      <c r="T35" s="3613"/>
      <c r="U35" s="3614"/>
      <c r="V35" s="3614"/>
      <c r="W35" s="3615"/>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356" t="str">
        <f t="shared" si="213"/>
        <v/>
      </c>
      <c r="IA35" s="356" t="str">
        <f t="shared" si="214"/>
        <v/>
      </c>
      <c r="IB35" s="356" t="str">
        <f t="shared" si="215"/>
        <v/>
      </c>
      <c r="IC35" s="356" t="str">
        <f t="shared" si="216"/>
        <v/>
      </c>
      <c r="ID35" s="356" t="str">
        <f t="shared" si="217"/>
        <v/>
      </c>
      <c r="IE35" s="356" t="str">
        <f t="shared" si="218"/>
        <v/>
      </c>
      <c r="IF35" s="356" t="str">
        <f t="shared" si="219"/>
        <v/>
      </c>
      <c r="IG35" s="356" t="str">
        <f t="shared" si="220"/>
        <v/>
      </c>
      <c r="IH35" s="356" t="str">
        <f t="shared" si="221"/>
        <v/>
      </c>
      <c r="II35" s="356" t="str">
        <f t="shared" si="222"/>
        <v/>
      </c>
      <c r="IJ35" s="356" t="str">
        <f t="shared" si="223"/>
        <v/>
      </c>
      <c r="IK35" s="356" t="str">
        <f t="shared" si="224"/>
        <v/>
      </c>
      <c r="IL35" s="356" t="str">
        <f t="shared" si="225"/>
        <v/>
      </c>
      <c r="IM35" s="356" t="str">
        <f t="shared" si="226"/>
        <v/>
      </c>
      <c r="IN35" s="356" t="str">
        <f t="shared" si="227"/>
        <v/>
      </c>
      <c r="IO35" s="356" t="str">
        <f t="shared" si="228"/>
        <v/>
      </c>
      <c r="IP35" s="356" t="str">
        <f t="shared" si="229"/>
        <v/>
      </c>
      <c r="IQ35" s="356" t="str">
        <f t="shared" si="230"/>
        <v/>
      </c>
      <c r="IR35" s="356" t="str">
        <f t="shared" si="231"/>
        <v/>
      </c>
      <c r="IS35" s="356" t="str">
        <f t="shared" si="232"/>
        <v/>
      </c>
      <c r="IT35" s="356" t="str">
        <f t="shared" si="233"/>
        <v/>
      </c>
      <c r="IU35" s="356" t="str">
        <f t="shared" si="234"/>
        <v/>
      </c>
      <c r="IV35" s="356" t="str">
        <f t="shared" si="235"/>
        <v/>
      </c>
      <c r="IW35" s="356" t="str">
        <f t="shared" si="236"/>
        <v/>
      </c>
      <c r="IX35" s="356" t="str">
        <f t="shared" si="237"/>
        <v/>
      </c>
      <c r="IY35" s="356" t="str">
        <f t="shared" si="238"/>
        <v/>
      </c>
      <c r="IZ35" s="356" t="str">
        <f t="shared" si="239"/>
        <v/>
      </c>
      <c r="JA35" s="356" t="str">
        <f t="shared" si="240"/>
        <v/>
      </c>
      <c r="JB35" s="356" t="str">
        <f t="shared" si="241"/>
        <v/>
      </c>
      <c r="JC35" s="356" t="str">
        <f t="shared" si="242"/>
        <v/>
      </c>
      <c r="JD35" s="356" t="str">
        <f t="shared" si="243"/>
        <v/>
      </c>
      <c r="JE35" s="356" t="str">
        <f t="shared" si="244"/>
        <v/>
      </c>
      <c r="JF35" s="356" t="str">
        <f t="shared" si="245"/>
        <v/>
      </c>
      <c r="JG35" s="356" t="str">
        <f t="shared" si="246"/>
        <v/>
      </c>
      <c r="JH35" s="356" t="str">
        <f t="shared" si="247"/>
        <v/>
      </c>
      <c r="JI35" s="1785" t="str">
        <f t="shared" si="248"/>
        <v/>
      </c>
      <c r="JJ35" s="1785" t="str">
        <f t="shared" si="249"/>
        <v/>
      </c>
      <c r="JK35" s="1785" t="str">
        <f t="shared" si="250"/>
        <v/>
      </c>
      <c r="JL35" s="1785" t="str">
        <f t="shared" si="251"/>
        <v/>
      </c>
      <c r="JM35" s="1785" t="str">
        <f t="shared" si="252"/>
        <v/>
      </c>
      <c r="JN35" s="1785" t="str">
        <f t="shared" si="253"/>
        <v/>
      </c>
      <c r="JO35" s="1785" t="str">
        <f t="shared" si="254"/>
        <v/>
      </c>
      <c r="JP35" s="1785" t="str">
        <f t="shared" si="255"/>
        <v/>
      </c>
      <c r="JQ35" s="1785" t="str">
        <f t="shared" si="256"/>
        <v/>
      </c>
      <c r="JR35" s="1785" t="str">
        <f t="shared" si="257"/>
        <v/>
      </c>
      <c r="JS35" s="1785" t="str">
        <f t="shared" si="258"/>
        <v/>
      </c>
      <c r="JT35" s="1785" t="str">
        <f t="shared" si="259"/>
        <v/>
      </c>
      <c r="JU35" s="1785" t="str">
        <f t="shared" si="260"/>
        <v/>
      </c>
      <c r="JV35" s="1785" t="str">
        <f t="shared" si="261"/>
        <v/>
      </c>
      <c r="JW35" s="1785" t="str">
        <f t="shared" si="262"/>
        <v/>
      </c>
      <c r="JX35" s="1785" t="str">
        <f t="shared" si="263"/>
        <v/>
      </c>
      <c r="JY35" s="1785" t="str">
        <f t="shared" si="264"/>
        <v/>
      </c>
      <c r="JZ35" s="1785" t="str">
        <f t="shared" si="265"/>
        <v/>
      </c>
      <c r="KA35" s="1785" t="str">
        <f t="shared" si="266"/>
        <v/>
      </c>
      <c r="KB35" s="1785" t="str">
        <f t="shared" si="267"/>
        <v/>
      </c>
      <c r="KC35" s="1785" t="str">
        <f t="shared" si="268"/>
        <v/>
      </c>
      <c r="KD35" s="1785" t="str">
        <f t="shared" si="269"/>
        <v/>
      </c>
      <c r="KE35" s="1785" t="str">
        <f t="shared" si="270"/>
        <v/>
      </c>
      <c r="KF35" s="1785" t="str">
        <f t="shared" si="271"/>
        <v/>
      </c>
      <c r="KG35" s="1785" t="str">
        <f t="shared" si="272"/>
        <v/>
      </c>
      <c r="KH35" s="1785" t="str">
        <f t="shared" si="273"/>
        <v/>
      </c>
      <c r="KI35" s="1785" t="str">
        <f t="shared" si="274"/>
        <v/>
      </c>
      <c r="KJ35" s="1785" t="str">
        <f t="shared" si="275"/>
        <v/>
      </c>
      <c r="KK35" s="1785" t="str">
        <f t="shared" si="276"/>
        <v/>
      </c>
      <c r="KL35" s="1785" t="str">
        <f t="shared" si="277"/>
        <v/>
      </c>
      <c r="KM35" s="1785" t="str">
        <f t="shared" si="278"/>
        <v/>
      </c>
      <c r="KN35" s="1785" t="str">
        <f t="shared" si="279"/>
        <v/>
      </c>
      <c r="KO35" s="1785" t="str">
        <f t="shared" si="280"/>
        <v/>
      </c>
      <c r="KP35" s="1785" t="str">
        <f t="shared" si="281"/>
        <v/>
      </c>
      <c r="KQ35" s="1785" t="str">
        <f t="shared" si="282"/>
        <v/>
      </c>
      <c r="KR35" s="1785" t="str">
        <f t="shared" si="283"/>
        <v/>
      </c>
      <c r="KS35" s="1785" t="str">
        <f t="shared" si="284"/>
        <v/>
      </c>
      <c r="KT35" s="1785" t="str">
        <f t="shared" si="285"/>
        <v/>
      </c>
      <c r="KU35" s="1785" t="str">
        <f t="shared" si="286"/>
        <v/>
      </c>
      <c r="KV35" s="1785" t="str">
        <f t="shared" si="287"/>
        <v/>
      </c>
      <c r="KW35" s="1785" t="str">
        <f t="shared" si="288"/>
        <v/>
      </c>
      <c r="KX35" s="1785" t="str">
        <f t="shared" si="289"/>
        <v/>
      </c>
      <c r="KY35" s="1785" t="str">
        <f t="shared" si="290"/>
        <v/>
      </c>
      <c r="KZ35" s="1785" t="str">
        <f t="shared" si="291"/>
        <v/>
      </c>
      <c r="LA35" s="1785" t="str">
        <f t="shared" si="292"/>
        <v/>
      </c>
      <c r="LB35" s="1785" t="str">
        <f t="shared" si="293"/>
        <v/>
      </c>
      <c r="LC35" s="1785" t="str">
        <f t="shared" si="294"/>
        <v/>
      </c>
      <c r="LD35" s="1785" t="str">
        <f t="shared" si="295"/>
        <v/>
      </c>
      <c r="LE35" s="1785" t="str">
        <f t="shared" si="296"/>
        <v/>
      </c>
      <c r="LF35" s="1785" t="str">
        <f t="shared" si="297"/>
        <v/>
      </c>
      <c r="LG35" s="1785" t="str">
        <f t="shared" si="298"/>
        <v/>
      </c>
      <c r="LH35" s="1785" t="str">
        <f t="shared" si="299"/>
        <v/>
      </c>
      <c r="LI35" s="1785" t="str">
        <f t="shared" si="300"/>
        <v/>
      </c>
      <c r="LJ35" s="1785" t="str">
        <f t="shared" si="301"/>
        <v/>
      </c>
      <c r="LK35" s="1785" t="str">
        <f t="shared" si="302"/>
        <v/>
      </c>
      <c r="LL35" s="1785" t="str">
        <f t="shared" si="303"/>
        <v/>
      </c>
      <c r="LM35" s="1785" t="str">
        <f t="shared" si="304"/>
        <v/>
      </c>
      <c r="LN35" s="1785" t="str">
        <f t="shared" si="305"/>
        <v/>
      </c>
      <c r="LO35" s="1785" t="str">
        <f t="shared" si="306"/>
        <v/>
      </c>
      <c r="LP35" s="1785" t="str">
        <f t="shared" si="307"/>
        <v/>
      </c>
      <c r="LQ35" s="1785" t="str">
        <f t="shared" si="308"/>
        <v/>
      </c>
      <c r="LR35" s="1785" t="str">
        <f t="shared" si="309"/>
        <v/>
      </c>
      <c r="LS35" s="1785" t="str">
        <f t="shared" si="310"/>
        <v/>
      </c>
      <c r="LT35" s="1785" t="str">
        <f t="shared" si="311"/>
        <v/>
      </c>
      <c r="LU35" s="1785" t="str">
        <f t="shared" si="312"/>
        <v/>
      </c>
      <c r="LV35" s="1785" t="str">
        <f t="shared" si="313"/>
        <v/>
      </c>
      <c r="LW35" s="1785" t="str">
        <f t="shared" si="314"/>
        <v/>
      </c>
      <c r="LX35" s="1785" t="str">
        <f t="shared" si="315"/>
        <v/>
      </c>
      <c r="LY35" s="1785" t="str">
        <f t="shared" si="316"/>
        <v/>
      </c>
      <c r="LZ35" s="1785" t="str">
        <f t="shared" si="317"/>
        <v/>
      </c>
      <c r="MA35" s="1785" t="str">
        <f t="shared" si="318"/>
        <v/>
      </c>
      <c r="MB35" s="1785" t="str">
        <f t="shared" si="319"/>
        <v/>
      </c>
      <c r="MC35" s="1785" t="str">
        <f t="shared" si="320"/>
        <v/>
      </c>
      <c r="MD35" s="1785" t="str">
        <f t="shared" si="321"/>
        <v/>
      </c>
      <c r="ME35" s="1785" t="str">
        <f t="shared" si="322"/>
        <v/>
      </c>
      <c r="MF35" s="1785" t="str">
        <f t="shared" si="323"/>
        <v/>
      </c>
      <c r="MG35" s="1785" t="str">
        <f t="shared" si="324"/>
        <v/>
      </c>
      <c r="MH35" s="1785" t="str">
        <f t="shared" si="325"/>
        <v/>
      </c>
      <c r="MI35" s="1785" t="str">
        <f t="shared" si="326"/>
        <v/>
      </c>
      <c r="MJ35" s="1785" t="str">
        <f t="shared" si="327"/>
        <v/>
      </c>
      <c r="MK35" s="1785" t="str">
        <f t="shared" si="328"/>
        <v/>
      </c>
      <c r="ML35" s="1785" t="str">
        <f t="shared" si="329"/>
        <v/>
      </c>
      <c r="MM35" s="1785" t="str">
        <f t="shared" si="330"/>
        <v/>
      </c>
      <c r="MN35" s="1785" t="str">
        <f t="shared" si="331"/>
        <v/>
      </c>
      <c r="MO35" s="1785" t="str">
        <f t="shared" si="332"/>
        <v/>
      </c>
      <c r="MP35" s="2470" t="str">
        <f t="shared" si="333"/>
        <v/>
      </c>
      <c r="MQ35" s="2470" t="str">
        <f t="shared" si="334"/>
        <v/>
      </c>
      <c r="MR35" s="2470" t="str">
        <f t="shared" si="335"/>
        <v/>
      </c>
      <c r="MS35" s="2470" t="str">
        <f t="shared" si="336"/>
        <v/>
      </c>
      <c r="MT35" s="2470" t="str">
        <f t="shared" si="337"/>
        <v/>
      </c>
      <c r="MU35" s="356" t="str">
        <f t="shared" si="338"/>
        <v/>
      </c>
      <c r="MV35" s="356" t="str">
        <f t="shared" si="339"/>
        <v/>
      </c>
      <c r="MW35" s="356" t="str">
        <f t="shared" si="340"/>
        <v/>
      </c>
      <c r="MX35" s="356" t="str">
        <f t="shared" si="341"/>
        <v/>
      </c>
      <c r="MY35" s="356" t="str">
        <f t="shared" si="342"/>
        <v/>
      </c>
      <c r="MZ35" s="356" t="str">
        <f t="shared" si="343"/>
        <v/>
      </c>
      <c r="NA35" s="356" t="str">
        <f t="shared" si="344"/>
        <v/>
      </c>
      <c r="NB35" s="356" t="str">
        <f t="shared" si="345"/>
        <v/>
      </c>
      <c r="NC35" s="356" t="str">
        <f t="shared" si="346"/>
        <v/>
      </c>
      <c r="ND35" s="356" t="str">
        <f t="shared" si="347"/>
        <v/>
      </c>
      <c r="NE35" s="356" t="str">
        <f t="shared" si="348"/>
        <v/>
      </c>
      <c r="NF35" s="356" t="str">
        <f t="shared" si="349"/>
        <v/>
      </c>
      <c r="NG35" s="356" t="str">
        <f t="shared" si="350"/>
        <v/>
      </c>
      <c r="NH35" s="356" t="str">
        <f t="shared" si="351"/>
        <v/>
      </c>
      <c r="NI35" s="356" t="str">
        <f t="shared" si="352"/>
        <v/>
      </c>
      <c r="NJ35" s="356" t="str">
        <f t="shared" si="353"/>
        <v/>
      </c>
      <c r="NK35" s="356" t="str">
        <f t="shared" si="354"/>
        <v/>
      </c>
      <c r="NL35" s="356" t="str">
        <f t="shared" si="355"/>
        <v/>
      </c>
      <c r="NM35" s="356" t="str">
        <f t="shared" si="356"/>
        <v/>
      </c>
      <c r="NN35" s="356" t="str">
        <f t="shared" si="357"/>
        <v/>
      </c>
      <c r="NO35" s="1640">
        <f t="shared" si="358"/>
        <v>0</v>
      </c>
      <c r="NP35" s="1640">
        <f t="shared" si="359"/>
        <v>0</v>
      </c>
      <c r="NQ35" s="1640">
        <f t="shared" si="360"/>
        <v>0</v>
      </c>
      <c r="NR35" s="1640">
        <f t="shared" si="361"/>
        <v>0</v>
      </c>
      <c r="NS35" s="1640">
        <f t="shared" si="362"/>
        <v>0</v>
      </c>
      <c r="NT35" s="1640">
        <f t="shared" si="368"/>
        <v>0</v>
      </c>
      <c r="NU35" s="1640">
        <f t="shared" si="369"/>
        <v>0</v>
      </c>
      <c r="NV35" s="1640">
        <f t="shared" si="370"/>
        <v>0</v>
      </c>
      <c r="NW35" s="1640">
        <f t="shared" si="371"/>
        <v>0</v>
      </c>
      <c r="NX35" s="1640">
        <f t="shared" si="372"/>
        <v>0</v>
      </c>
      <c r="NY35" s="1640">
        <f t="shared" si="363"/>
        <v>0</v>
      </c>
      <c r="NZ35" s="1640">
        <f t="shared" si="364"/>
        <v>0</v>
      </c>
      <c r="OA35" s="1640">
        <f t="shared" si="365"/>
        <v>0</v>
      </c>
      <c r="OB35" s="1640">
        <f t="shared" si="366"/>
        <v>0</v>
      </c>
      <c r="OC35" s="1640">
        <f t="shared" si="367"/>
        <v>0</v>
      </c>
      <c r="OY35" s="2499" t="s">
        <v>4321</v>
      </c>
      <c r="OZ35" s="2504">
        <v>35</v>
      </c>
    </row>
    <row r="36" spans="1:416" ht="12" customHeight="1">
      <c r="A36" s="86" t="str">
        <f t="shared" si="0"/>
        <v/>
      </c>
      <c r="B36" s="1055"/>
      <c r="C36" s="132"/>
      <c r="D36" s="1643"/>
      <c r="E36" s="133"/>
      <c r="F36" s="133"/>
      <c r="G36" s="133"/>
      <c r="H36" s="133"/>
      <c r="I36" s="133"/>
      <c r="J36" s="1036">
        <f>IF(C36="",0,HLOOKUP(C36,'Part IV-Utility Allowances'!$I$11:$M$25,15))</f>
        <v>0</v>
      </c>
      <c r="K36" s="630"/>
      <c r="L36" s="460">
        <f t="shared" si="1"/>
        <v>0</v>
      </c>
      <c r="M36" s="460">
        <f t="shared" si="2"/>
        <v>0</v>
      </c>
      <c r="N36" s="680"/>
      <c r="O36" s="1585"/>
      <c r="P36" s="680"/>
      <c r="Q36" s="134"/>
      <c r="R36" s="723"/>
      <c r="S36" s="724"/>
      <c r="T36" s="3613"/>
      <c r="U36" s="3614"/>
      <c r="V36" s="3614"/>
      <c r="W36" s="3615"/>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356" t="str">
        <f t="shared" si="213"/>
        <v/>
      </c>
      <c r="IA36" s="356" t="str">
        <f t="shared" si="214"/>
        <v/>
      </c>
      <c r="IB36" s="356" t="str">
        <f t="shared" si="215"/>
        <v/>
      </c>
      <c r="IC36" s="356" t="str">
        <f t="shared" si="216"/>
        <v/>
      </c>
      <c r="ID36" s="356" t="str">
        <f t="shared" si="217"/>
        <v/>
      </c>
      <c r="IE36" s="356" t="str">
        <f t="shared" si="218"/>
        <v/>
      </c>
      <c r="IF36" s="356" t="str">
        <f t="shared" si="219"/>
        <v/>
      </c>
      <c r="IG36" s="356" t="str">
        <f t="shared" si="220"/>
        <v/>
      </c>
      <c r="IH36" s="356" t="str">
        <f t="shared" si="221"/>
        <v/>
      </c>
      <c r="II36" s="356" t="str">
        <f t="shared" si="222"/>
        <v/>
      </c>
      <c r="IJ36" s="356" t="str">
        <f t="shared" si="223"/>
        <v/>
      </c>
      <c r="IK36" s="356" t="str">
        <f t="shared" si="224"/>
        <v/>
      </c>
      <c r="IL36" s="356" t="str">
        <f t="shared" si="225"/>
        <v/>
      </c>
      <c r="IM36" s="356" t="str">
        <f t="shared" si="226"/>
        <v/>
      </c>
      <c r="IN36" s="356" t="str">
        <f t="shared" si="227"/>
        <v/>
      </c>
      <c r="IO36" s="356" t="str">
        <f t="shared" si="228"/>
        <v/>
      </c>
      <c r="IP36" s="356" t="str">
        <f t="shared" si="229"/>
        <v/>
      </c>
      <c r="IQ36" s="356" t="str">
        <f t="shared" si="230"/>
        <v/>
      </c>
      <c r="IR36" s="356" t="str">
        <f t="shared" si="231"/>
        <v/>
      </c>
      <c r="IS36" s="356" t="str">
        <f t="shared" si="232"/>
        <v/>
      </c>
      <c r="IT36" s="356" t="str">
        <f t="shared" si="233"/>
        <v/>
      </c>
      <c r="IU36" s="356" t="str">
        <f t="shared" si="234"/>
        <v/>
      </c>
      <c r="IV36" s="356" t="str">
        <f t="shared" si="235"/>
        <v/>
      </c>
      <c r="IW36" s="356" t="str">
        <f t="shared" si="236"/>
        <v/>
      </c>
      <c r="IX36" s="356" t="str">
        <f t="shared" si="237"/>
        <v/>
      </c>
      <c r="IY36" s="356" t="str">
        <f t="shared" si="238"/>
        <v/>
      </c>
      <c r="IZ36" s="356" t="str">
        <f t="shared" si="239"/>
        <v/>
      </c>
      <c r="JA36" s="356" t="str">
        <f t="shared" si="240"/>
        <v/>
      </c>
      <c r="JB36" s="356" t="str">
        <f t="shared" si="241"/>
        <v/>
      </c>
      <c r="JC36" s="356" t="str">
        <f t="shared" si="242"/>
        <v/>
      </c>
      <c r="JD36" s="356" t="str">
        <f t="shared" si="243"/>
        <v/>
      </c>
      <c r="JE36" s="356" t="str">
        <f t="shared" si="244"/>
        <v/>
      </c>
      <c r="JF36" s="356" t="str">
        <f t="shared" si="245"/>
        <v/>
      </c>
      <c r="JG36" s="356" t="str">
        <f t="shared" si="246"/>
        <v/>
      </c>
      <c r="JH36" s="356" t="str">
        <f t="shared" si="247"/>
        <v/>
      </c>
      <c r="JI36" s="1785" t="str">
        <f t="shared" si="248"/>
        <v/>
      </c>
      <c r="JJ36" s="1785" t="str">
        <f t="shared" si="249"/>
        <v/>
      </c>
      <c r="JK36" s="1785" t="str">
        <f t="shared" si="250"/>
        <v/>
      </c>
      <c r="JL36" s="1785" t="str">
        <f t="shared" si="251"/>
        <v/>
      </c>
      <c r="JM36" s="1785" t="str">
        <f t="shared" si="252"/>
        <v/>
      </c>
      <c r="JN36" s="1785" t="str">
        <f t="shared" si="253"/>
        <v/>
      </c>
      <c r="JO36" s="1785" t="str">
        <f t="shared" si="254"/>
        <v/>
      </c>
      <c r="JP36" s="1785" t="str">
        <f t="shared" si="255"/>
        <v/>
      </c>
      <c r="JQ36" s="1785" t="str">
        <f t="shared" si="256"/>
        <v/>
      </c>
      <c r="JR36" s="1785" t="str">
        <f t="shared" si="257"/>
        <v/>
      </c>
      <c r="JS36" s="1785" t="str">
        <f t="shared" si="258"/>
        <v/>
      </c>
      <c r="JT36" s="1785" t="str">
        <f t="shared" si="259"/>
        <v/>
      </c>
      <c r="JU36" s="1785" t="str">
        <f t="shared" si="260"/>
        <v/>
      </c>
      <c r="JV36" s="1785" t="str">
        <f t="shared" si="261"/>
        <v/>
      </c>
      <c r="JW36" s="1785" t="str">
        <f t="shared" si="262"/>
        <v/>
      </c>
      <c r="JX36" s="1785" t="str">
        <f t="shared" si="263"/>
        <v/>
      </c>
      <c r="JY36" s="1785" t="str">
        <f t="shared" si="264"/>
        <v/>
      </c>
      <c r="JZ36" s="1785" t="str">
        <f t="shared" si="265"/>
        <v/>
      </c>
      <c r="KA36" s="1785" t="str">
        <f t="shared" si="266"/>
        <v/>
      </c>
      <c r="KB36" s="1785" t="str">
        <f t="shared" si="267"/>
        <v/>
      </c>
      <c r="KC36" s="1785" t="str">
        <f t="shared" si="268"/>
        <v/>
      </c>
      <c r="KD36" s="1785" t="str">
        <f t="shared" si="269"/>
        <v/>
      </c>
      <c r="KE36" s="1785" t="str">
        <f t="shared" si="270"/>
        <v/>
      </c>
      <c r="KF36" s="1785" t="str">
        <f t="shared" si="271"/>
        <v/>
      </c>
      <c r="KG36" s="1785" t="str">
        <f t="shared" si="272"/>
        <v/>
      </c>
      <c r="KH36" s="1785" t="str">
        <f t="shared" si="273"/>
        <v/>
      </c>
      <c r="KI36" s="1785" t="str">
        <f t="shared" si="274"/>
        <v/>
      </c>
      <c r="KJ36" s="1785" t="str">
        <f t="shared" si="275"/>
        <v/>
      </c>
      <c r="KK36" s="1785" t="str">
        <f t="shared" si="276"/>
        <v/>
      </c>
      <c r="KL36" s="1785" t="str">
        <f t="shared" si="277"/>
        <v/>
      </c>
      <c r="KM36" s="1785" t="str">
        <f t="shared" si="278"/>
        <v/>
      </c>
      <c r="KN36" s="1785" t="str">
        <f t="shared" si="279"/>
        <v/>
      </c>
      <c r="KO36" s="1785" t="str">
        <f t="shared" si="280"/>
        <v/>
      </c>
      <c r="KP36" s="1785" t="str">
        <f t="shared" si="281"/>
        <v/>
      </c>
      <c r="KQ36" s="1785" t="str">
        <f t="shared" si="282"/>
        <v/>
      </c>
      <c r="KR36" s="1785" t="str">
        <f t="shared" si="283"/>
        <v/>
      </c>
      <c r="KS36" s="1785" t="str">
        <f t="shared" si="284"/>
        <v/>
      </c>
      <c r="KT36" s="1785" t="str">
        <f t="shared" si="285"/>
        <v/>
      </c>
      <c r="KU36" s="1785" t="str">
        <f t="shared" si="286"/>
        <v/>
      </c>
      <c r="KV36" s="1785" t="str">
        <f t="shared" si="287"/>
        <v/>
      </c>
      <c r="KW36" s="1785" t="str">
        <f t="shared" si="288"/>
        <v/>
      </c>
      <c r="KX36" s="1785" t="str">
        <f t="shared" si="289"/>
        <v/>
      </c>
      <c r="KY36" s="1785" t="str">
        <f t="shared" si="290"/>
        <v/>
      </c>
      <c r="KZ36" s="1785" t="str">
        <f t="shared" si="291"/>
        <v/>
      </c>
      <c r="LA36" s="1785" t="str">
        <f t="shared" si="292"/>
        <v/>
      </c>
      <c r="LB36" s="1785" t="str">
        <f t="shared" si="293"/>
        <v/>
      </c>
      <c r="LC36" s="1785" t="str">
        <f t="shared" si="294"/>
        <v/>
      </c>
      <c r="LD36" s="1785" t="str">
        <f t="shared" si="295"/>
        <v/>
      </c>
      <c r="LE36" s="1785" t="str">
        <f t="shared" si="296"/>
        <v/>
      </c>
      <c r="LF36" s="1785" t="str">
        <f t="shared" si="297"/>
        <v/>
      </c>
      <c r="LG36" s="1785" t="str">
        <f t="shared" si="298"/>
        <v/>
      </c>
      <c r="LH36" s="1785" t="str">
        <f t="shared" si="299"/>
        <v/>
      </c>
      <c r="LI36" s="1785" t="str">
        <f t="shared" si="300"/>
        <v/>
      </c>
      <c r="LJ36" s="1785" t="str">
        <f t="shared" si="301"/>
        <v/>
      </c>
      <c r="LK36" s="1785" t="str">
        <f t="shared" si="302"/>
        <v/>
      </c>
      <c r="LL36" s="1785" t="str">
        <f t="shared" si="303"/>
        <v/>
      </c>
      <c r="LM36" s="1785" t="str">
        <f t="shared" si="304"/>
        <v/>
      </c>
      <c r="LN36" s="1785" t="str">
        <f t="shared" si="305"/>
        <v/>
      </c>
      <c r="LO36" s="1785" t="str">
        <f t="shared" si="306"/>
        <v/>
      </c>
      <c r="LP36" s="1785" t="str">
        <f t="shared" si="307"/>
        <v/>
      </c>
      <c r="LQ36" s="1785" t="str">
        <f t="shared" si="308"/>
        <v/>
      </c>
      <c r="LR36" s="1785" t="str">
        <f t="shared" si="309"/>
        <v/>
      </c>
      <c r="LS36" s="1785" t="str">
        <f t="shared" si="310"/>
        <v/>
      </c>
      <c r="LT36" s="1785" t="str">
        <f t="shared" si="311"/>
        <v/>
      </c>
      <c r="LU36" s="1785" t="str">
        <f t="shared" si="312"/>
        <v/>
      </c>
      <c r="LV36" s="1785" t="str">
        <f t="shared" si="313"/>
        <v/>
      </c>
      <c r="LW36" s="1785" t="str">
        <f t="shared" si="314"/>
        <v/>
      </c>
      <c r="LX36" s="1785" t="str">
        <f t="shared" si="315"/>
        <v/>
      </c>
      <c r="LY36" s="1785" t="str">
        <f t="shared" si="316"/>
        <v/>
      </c>
      <c r="LZ36" s="1785" t="str">
        <f t="shared" si="317"/>
        <v/>
      </c>
      <c r="MA36" s="1785" t="str">
        <f t="shared" si="318"/>
        <v/>
      </c>
      <c r="MB36" s="1785" t="str">
        <f t="shared" si="319"/>
        <v/>
      </c>
      <c r="MC36" s="1785" t="str">
        <f t="shared" si="320"/>
        <v/>
      </c>
      <c r="MD36" s="1785" t="str">
        <f t="shared" si="321"/>
        <v/>
      </c>
      <c r="ME36" s="1785" t="str">
        <f t="shared" si="322"/>
        <v/>
      </c>
      <c r="MF36" s="1785" t="str">
        <f t="shared" si="323"/>
        <v/>
      </c>
      <c r="MG36" s="1785" t="str">
        <f t="shared" si="324"/>
        <v/>
      </c>
      <c r="MH36" s="1785" t="str">
        <f t="shared" si="325"/>
        <v/>
      </c>
      <c r="MI36" s="1785" t="str">
        <f t="shared" si="326"/>
        <v/>
      </c>
      <c r="MJ36" s="1785" t="str">
        <f t="shared" si="327"/>
        <v/>
      </c>
      <c r="MK36" s="1785" t="str">
        <f t="shared" si="328"/>
        <v/>
      </c>
      <c r="ML36" s="1785" t="str">
        <f t="shared" si="329"/>
        <v/>
      </c>
      <c r="MM36" s="1785" t="str">
        <f t="shared" si="330"/>
        <v/>
      </c>
      <c r="MN36" s="1785" t="str">
        <f t="shared" si="331"/>
        <v/>
      </c>
      <c r="MO36" s="1785" t="str">
        <f t="shared" si="332"/>
        <v/>
      </c>
      <c r="MP36" s="2470" t="str">
        <f t="shared" si="333"/>
        <v/>
      </c>
      <c r="MQ36" s="2470" t="str">
        <f t="shared" si="334"/>
        <v/>
      </c>
      <c r="MR36" s="2470" t="str">
        <f t="shared" si="335"/>
        <v/>
      </c>
      <c r="MS36" s="2470" t="str">
        <f t="shared" si="336"/>
        <v/>
      </c>
      <c r="MT36" s="2470" t="str">
        <f t="shared" si="337"/>
        <v/>
      </c>
      <c r="MU36" s="356" t="str">
        <f t="shared" si="338"/>
        <v/>
      </c>
      <c r="MV36" s="356" t="str">
        <f t="shared" si="339"/>
        <v/>
      </c>
      <c r="MW36" s="356" t="str">
        <f t="shared" si="340"/>
        <v/>
      </c>
      <c r="MX36" s="356" t="str">
        <f t="shared" si="341"/>
        <v/>
      </c>
      <c r="MY36" s="356" t="str">
        <f t="shared" si="342"/>
        <v/>
      </c>
      <c r="MZ36" s="356" t="str">
        <f t="shared" si="343"/>
        <v/>
      </c>
      <c r="NA36" s="356" t="str">
        <f t="shared" si="344"/>
        <v/>
      </c>
      <c r="NB36" s="356" t="str">
        <f t="shared" si="345"/>
        <v/>
      </c>
      <c r="NC36" s="356" t="str">
        <f t="shared" si="346"/>
        <v/>
      </c>
      <c r="ND36" s="356" t="str">
        <f t="shared" si="347"/>
        <v/>
      </c>
      <c r="NE36" s="356" t="str">
        <f t="shared" si="348"/>
        <v/>
      </c>
      <c r="NF36" s="356" t="str">
        <f t="shared" si="349"/>
        <v/>
      </c>
      <c r="NG36" s="356" t="str">
        <f t="shared" si="350"/>
        <v/>
      </c>
      <c r="NH36" s="356" t="str">
        <f t="shared" si="351"/>
        <v/>
      </c>
      <c r="NI36" s="356" t="str">
        <f t="shared" si="352"/>
        <v/>
      </c>
      <c r="NJ36" s="356" t="str">
        <f t="shared" si="353"/>
        <v/>
      </c>
      <c r="NK36" s="356" t="str">
        <f t="shared" si="354"/>
        <v/>
      </c>
      <c r="NL36" s="356" t="str">
        <f t="shared" si="355"/>
        <v/>
      </c>
      <c r="NM36" s="356" t="str">
        <f t="shared" si="356"/>
        <v/>
      </c>
      <c r="NN36" s="356" t="str">
        <f t="shared" si="357"/>
        <v/>
      </c>
      <c r="NO36" s="1640">
        <f t="shared" si="358"/>
        <v>0</v>
      </c>
      <c r="NP36" s="1640">
        <f t="shared" si="359"/>
        <v>0</v>
      </c>
      <c r="NQ36" s="1640">
        <f t="shared" si="360"/>
        <v>0</v>
      </c>
      <c r="NR36" s="1640">
        <f t="shared" si="361"/>
        <v>0</v>
      </c>
      <c r="NS36" s="1640">
        <f t="shared" si="362"/>
        <v>0</v>
      </c>
      <c r="NT36" s="1640">
        <f t="shared" si="368"/>
        <v>0</v>
      </c>
      <c r="NU36" s="1640">
        <f t="shared" si="369"/>
        <v>0</v>
      </c>
      <c r="NV36" s="1640">
        <f t="shared" si="370"/>
        <v>0</v>
      </c>
      <c r="NW36" s="1640">
        <f t="shared" si="371"/>
        <v>0</v>
      </c>
      <c r="NX36" s="1640">
        <f t="shared" si="372"/>
        <v>0</v>
      </c>
      <c r="NY36" s="1640">
        <f t="shared" si="363"/>
        <v>0</v>
      </c>
      <c r="NZ36" s="1640">
        <f t="shared" si="364"/>
        <v>0</v>
      </c>
      <c r="OA36" s="1640">
        <f t="shared" si="365"/>
        <v>0</v>
      </c>
      <c r="OB36" s="1640">
        <f t="shared" si="366"/>
        <v>0</v>
      </c>
      <c r="OC36" s="1640">
        <f t="shared" si="367"/>
        <v>0</v>
      </c>
      <c r="OY36" s="2499" t="s">
        <v>4322</v>
      </c>
      <c r="OZ36" s="2503">
        <v>36</v>
      </c>
    </row>
    <row r="37" spans="1:416" ht="12" customHeight="1">
      <c r="A37" s="86" t="str">
        <f t="shared" si="0"/>
        <v/>
      </c>
      <c r="B37" s="1055"/>
      <c r="C37" s="132"/>
      <c r="D37" s="1643"/>
      <c r="E37" s="133"/>
      <c r="F37" s="133"/>
      <c r="G37" s="133"/>
      <c r="H37" s="133"/>
      <c r="I37" s="133"/>
      <c r="J37" s="1036">
        <f>IF(C37="",0,HLOOKUP(C37,'Part IV-Utility Allowances'!$I$11:$M$25,15))</f>
        <v>0</v>
      </c>
      <c r="K37" s="630"/>
      <c r="L37" s="460">
        <f t="shared" si="1"/>
        <v>0</v>
      </c>
      <c r="M37" s="460">
        <f t="shared" si="2"/>
        <v>0</v>
      </c>
      <c r="N37" s="680"/>
      <c r="O37" s="1585"/>
      <c r="P37" s="680"/>
      <c r="Q37" s="134"/>
      <c r="R37" s="723"/>
      <c r="S37" s="724"/>
      <c r="T37" s="3613"/>
      <c r="U37" s="3614"/>
      <c r="V37" s="3614"/>
      <c r="W37" s="3615"/>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356" t="str">
        <f t="shared" si="213"/>
        <v/>
      </c>
      <c r="IA37" s="356" t="str">
        <f t="shared" si="214"/>
        <v/>
      </c>
      <c r="IB37" s="356" t="str">
        <f t="shared" si="215"/>
        <v/>
      </c>
      <c r="IC37" s="356" t="str">
        <f t="shared" si="216"/>
        <v/>
      </c>
      <c r="ID37" s="356" t="str">
        <f t="shared" si="217"/>
        <v/>
      </c>
      <c r="IE37" s="356" t="str">
        <f t="shared" si="218"/>
        <v/>
      </c>
      <c r="IF37" s="356" t="str">
        <f t="shared" si="219"/>
        <v/>
      </c>
      <c r="IG37" s="356" t="str">
        <f t="shared" si="220"/>
        <v/>
      </c>
      <c r="IH37" s="356" t="str">
        <f t="shared" si="221"/>
        <v/>
      </c>
      <c r="II37" s="356" t="str">
        <f t="shared" si="222"/>
        <v/>
      </c>
      <c r="IJ37" s="356" t="str">
        <f t="shared" si="223"/>
        <v/>
      </c>
      <c r="IK37" s="356" t="str">
        <f t="shared" si="224"/>
        <v/>
      </c>
      <c r="IL37" s="356" t="str">
        <f t="shared" si="225"/>
        <v/>
      </c>
      <c r="IM37" s="356" t="str">
        <f t="shared" si="226"/>
        <v/>
      </c>
      <c r="IN37" s="356" t="str">
        <f t="shared" si="227"/>
        <v/>
      </c>
      <c r="IO37" s="356" t="str">
        <f t="shared" si="228"/>
        <v/>
      </c>
      <c r="IP37" s="356" t="str">
        <f t="shared" si="229"/>
        <v/>
      </c>
      <c r="IQ37" s="356" t="str">
        <f t="shared" si="230"/>
        <v/>
      </c>
      <c r="IR37" s="356" t="str">
        <f t="shared" si="231"/>
        <v/>
      </c>
      <c r="IS37" s="356" t="str">
        <f t="shared" si="232"/>
        <v/>
      </c>
      <c r="IT37" s="356" t="str">
        <f t="shared" si="233"/>
        <v/>
      </c>
      <c r="IU37" s="356" t="str">
        <f t="shared" si="234"/>
        <v/>
      </c>
      <c r="IV37" s="356" t="str">
        <f t="shared" si="235"/>
        <v/>
      </c>
      <c r="IW37" s="356" t="str">
        <f t="shared" si="236"/>
        <v/>
      </c>
      <c r="IX37" s="356" t="str">
        <f t="shared" si="237"/>
        <v/>
      </c>
      <c r="IY37" s="356" t="str">
        <f t="shared" si="238"/>
        <v/>
      </c>
      <c r="IZ37" s="356" t="str">
        <f t="shared" si="239"/>
        <v/>
      </c>
      <c r="JA37" s="356" t="str">
        <f t="shared" si="240"/>
        <v/>
      </c>
      <c r="JB37" s="356" t="str">
        <f t="shared" si="241"/>
        <v/>
      </c>
      <c r="JC37" s="356" t="str">
        <f t="shared" si="242"/>
        <v/>
      </c>
      <c r="JD37" s="356" t="str">
        <f t="shared" si="243"/>
        <v/>
      </c>
      <c r="JE37" s="356" t="str">
        <f t="shared" si="244"/>
        <v/>
      </c>
      <c r="JF37" s="356" t="str">
        <f t="shared" si="245"/>
        <v/>
      </c>
      <c r="JG37" s="356" t="str">
        <f t="shared" si="246"/>
        <v/>
      </c>
      <c r="JH37" s="356" t="str">
        <f t="shared" si="247"/>
        <v/>
      </c>
      <c r="JI37" s="1785" t="str">
        <f t="shared" si="248"/>
        <v/>
      </c>
      <c r="JJ37" s="1785" t="str">
        <f t="shared" si="249"/>
        <v/>
      </c>
      <c r="JK37" s="1785" t="str">
        <f t="shared" si="250"/>
        <v/>
      </c>
      <c r="JL37" s="1785" t="str">
        <f t="shared" si="251"/>
        <v/>
      </c>
      <c r="JM37" s="1785" t="str">
        <f t="shared" si="252"/>
        <v/>
      </c>
      <c r="JN37" s="1785" t="str">
        <f t="shared" si="253"/>
        <v/>
      </c>
      <c r="JO37" s="1785" t="str">
        <f t="shared" si="254"/>
        <v/>
      </c>
      <c r="JP37" s="1785" t="str">
        <f t="shared" si="255"/>
        <v/>
      </c>
      <c r="JQ37" s="1785" t="str">
        <f t="shared" si="256"/>
        <v/>
      </c>
      <c r="JR37" s="1785" t="str">
        <f t="shared" si="257"/>
        <v/>
      </c>
      <c r="JS37" s="1785" t="str">
        <f t="shared" si="258"/>
        <v/>
      </c>
      <c r="JT37" s="1785" t="str">
        <f t="shared" si="259"/>
        <v/>
      </c>
      <c r="JU37" s="1785" t="str">
        <f t="shared" si="260"/>
        <v/>
      </c>
      <c r="JV37" s="1785" t="str">
        <f t="shared" si="261"/>
        <v/>
      </c>
      <c r="JW37" s="1785" t="str">
        <f t="shared" si="262"/>
        <v/>
      </c>
      <c r="JX37" s="1785" t="str">
        <f t="shared" si="263"/>
        <v/>
      </c>
      <c r="JY37" s="1785" t="str">
        <f t="shared" si="264"/>
        <v/>
      </c>
      <c r="JZ37" s="1785" t="str">
        <f t="shared" si="265"/>
        <v/>
      </c>
      <c r="KA37" s="1785" t="str">
        <f t="shared" si="266"/>
        <v/>
      </c>
      <c r="KB37" s="1785" t="str">
        <f t="shared" si="267"/>
        <v/>
      </c>
      <c r="KC37" s="1785" t="str">
        <f t="shared" si="268"/>
        <v/>
      </c>
      <c r="KD37" s="1785" t="str">
        <f t="shared" si="269"/>
        <v/>
      </c>
      <c r="KE37" s="1785" t="str">
        <f t="shared" si="270"/>
        <v/>
      </c>
      <c r="KF37" s="1785" t="str">
        <f t="shared" si="271"/>
        <v/>
      </c>
      <c r="KG37" s="1785" t="str">
        <f t="shared" si="272"/>
        <v/>
      </c>
      <c r="KH37" s="1785" t="str">
        <f t="shared" si="273"/>
        <v/>
      </c>
      <c r="KI37" s="1785" t="str">
        <f t="shared" si="274"/>
        <v/>
      </c>
      <c r="KJ37" s="1785" t="str">
        <f t="shared" si="275"/>
        <v/>
      </c>
      <c r="KK37" s="1785" t="str">
        <f t="shared" si="276"/>
        <v/>
      </c>
      <c r="KL37" s="1785" t="str">
        <f t="shared" si="277"/>
        <v/>
      </c>
      <c r="KM37" s="1785" t="str">
        <f t="shared" si="278"/>
        <v/>
      </c>
      <c r="KN37" s="1785" t="str">
        <f t="shared" si="279"/>
        <v/>
      </c>
      <c r="KO37" s="1785" t="str">
        <f t="shared" si="280"/>
        <v/>
      </c>
      <c r="KP37" s="1785" t="str">
        <f t="shared" si="281"/>
        <v/>
      </c>
      <c r="KQ37" s="1785" t="str">
        <f t="shared" si="282"/>
        <v/>
      </c>
      <c r="KR37" s="1785" t="str">
        <f t="shared" si="283"/>
        <v/>
      </c>
      <c r="KS37" s="1785" t="str">
        <f t="shared" si="284"/>
        <v/>
      </c>
      <c r="KT37" s="1785" t="str">
        <f t="shared" si="285"/>
        <v/>
      </c>
      <c r="KU37" s="1785" t="str">
        <f t="shared" si="286"/>
        <v/>
      </c>
      <c r="KV37" s="1785" t="str">
        <f t="shared" si="287"/>
        <v/>
      </c>
      <c r="KW37" s="1785" t="str">
        <f t="shared" si="288"/>
        <v/>
      </c>
      <c r="KX37" s="1785" t="str">
        <f t="shared" si="289"/>
        <v/>
      </c>
      <c r="KY37" s="1785" t="str">
        <f t="shared" si="290"/>
        <v/>
      </c>
      <c r="KZ37" s="1785" t="str">
        <f t="shared" si="291"/>
        <v/>
      </c>
      <c r="LA37" s="1785" t="str">
        <f t="shared" si="292"/>
        <v/>
      </c>
      <c r="LB37" s="1785" t="str">
        <f t="shared" si="293"/>
        <v/>
      </c>
      <c r="LC37" s="1785" t="str">
        <f t="shared" si="294"/>
        <v/>
      </c>
      <c r="LD37" s="1785" t="str">
        <f t="shared" si="295"/>
        <v/>
      </c>
      <c r="LE37" s="1785" t="str">
        <f t="shared" si="296"/>
        <v/>
      </c>
      <c r="LF37" s="1785" t="str">
        <f t="shared" si="297"/>
        <v/>
      </c>
      <c r="LG37" s="1785" t="str">
        <f t="shared" si="298"/>
        <v/>
      </c>
      <c r="LH37" s="1785" t="str">
        <f t="shared" si="299"/>
        <v/>
      </c>
      <c r="LI37" s="1785" t="str">
        <f t="shared" si="300"/>
        <v/>
      </c>
      <c r="LJ37" s="1785" t="str">
        <f t="shared" si="301"/>
        <v/>
      </c>
      <c r="LK37" s="1785" t="str">
        <f t="shared" si="302"/>
        <v/>
      </c>
      <c r="LL37" s="1785" t="str">
        <f t="shared" si="303"/>
        <v/>
      </c>
      <c r="LM37" s="1785" t="str">
        <f t="shared" si="304"/>
        <v/>
      </c>
      <c r="LN37" s="1785" t="str">
        <f t="shared" si="305"/>
        <v/>
      </c>
      <c r="LO37" s="1785" t="str">
        <f t="shared" si="306"/>
        <v/>
      </c>
      <c r="LP37" s="1785" t="str">
        <f t="shared" si="307"/>
        <v/>
      </c>
      <c r="LQ37" s="1785" t="str">
        <f t="shared" si="308"/>
        <v/>
      </c>
      <c r="LR37" s="1785" t="str">
        <f t="shared" si="309"/>
        <v/>
      </c>
      <c r="LS37" s="1785" t="str">
        <f t="shared" si="310"/>
        <v/>
      </c>
      <c r="LT37" s="1785" t="str">
        <f t="shared" si="311"/>
        <v/>
      </c>
      <c r="LU37" s="1785" t="str">
        <f t="shared" si="312"/>
        <v/>
      </c>
      <c r="LV37" s="1785" t="str">
        <f t="shared" si="313"/>
        <v/>
      </c>
      <c r="LW37" s="1785" t="str">
        <f t="shared" si="314"/>
        <v/>
      </c>
      <c r="LX37" s="1785" t="str">
        <f t="shared" si="315"/>
        <v/>
      </c>
      <c r="LY37" s="1785" t="str">
        <f t="shared" si="316"/>
        <v/>
      </c>
      <c r="LZ37" s="1785" t="str">
        <f t="shared" si="317"/>
        <v/>
      </c>
      <c r="MA37" s="1785" t="str">
        <f t="shared" si="318"/>
        <v/>
      </c>
      <c r="MB37" s="1785" t="str">
        <f t="shared" si="319"/>
        <v/>
      </c>
      <c r="MC37" s="1785" t="str">
        <f t="shared" si="320"/>
        <v/>
      </c>
      <c r="MD37" s="1785" t="str">
        <f t="shared" si="321"/>
        <v/>
      </c>
      <c r="ME37" s="1785" t="str">
        <f t="shared" si="322"/>
        <v/>
      </c>
      <c r="MF37" s="1785" t="str">
        <f t="shared" si="323"/>
        <v/>
      </c>
      <c r="MG37" s="1785" t="str">
        <f t="shared" si="324"/>
        <v/>
      </c>
      <c r="MH37" s="1785" t="str">
        <f t="shared" si="325"/>
        <v/>
      </c>
      <c r="MI37" s="1785" t="str">
        <f t="shared" si="326"/>
        <v/>
      </c>
      <c r="MJ37" s="1785" t="str">
        <f t="shared" si="327"/>
        <v/>
      </c>
      <c r="MK37" s="1785" t="str">
        <f t="shared" si="328"/>
        <v/>
      </c>
      <c r="ML37" s="1785" t="str">
        <f t="shared" si="329"/>
        <v/>
      </c>
      <c r="MM37" s="1785" t="str">
        <f t="shared" si="330"/>
        <v/>
      </c>
      <c r="MN37" s="1785" t="str">
        <f t="shared" si="331"/>
        <v/>
      </c>
      <c r="MO37" s="1785" t="str">
        <f t="shared" si="332"/>
        <v/>
      </c>
      <c r="MP37" s="2470" t="str">
        <f t="shared" si="333"/>
        <v/>
      </c>
      <c r="MQ37" s="2470" t="str">
        <f t="shared" si="334"/>
        <v/>
      </c>
      <c r="MR37" s="2470" t="str">
        <f t="shared" si="335"/>
        <v/>
      </c>
      <c r="MS37" s="2470" t="str">
        <f t="shared" si="336"/>
        <v/>
      </c>
      <c r="MT37" s="2470" t="str">
        <f t="shared" si="337"/>
        <v/>
      </c>
      <c r="MU37" s="356" t="str">
        <f t="shared" si="338"/>
        <v/>
      </c>
      <c r="MV37" s="356" t="str">
        <f t="shared" si="339"/>
        <v/>
      </c>
      <c r="MW37" s="356" t="str">
        <f t="shared" si="340"/>
        <v/>
      </c>
      <c r="MX37" s="356" t="str">
        <f t="shared" si="341"/>
        <v/>
      </c>
      <c r="MY37" s="356" t="str">
        <f t="shared" si="342"/>
        <v/>
      </c>
      <c r="MZ37" s="356" t="str">
        <f t="shared" si="343"/>
        <v/>
      </c>
      <c r="NA37" s="356" t="str">
        <f t="shared" si="344"/>
        <v/>
      </c>
      <c r="NB37" s="356" t="str">
        <f t="shared" si="345"/>
        <v/>
      </c>
      <c r="NC37" s="356" t="str">
        <f t="shared" si="346"/>
        <v/>
      </c>
      <c r="ND37" s="356" t="str">
        <f t="shared" si="347"/>
        <v/>
      </c>
      <c r="NE37" s="356" t="str">
        <f t="shared" si="348"/>
        <v/>
      </c>
      <c r="NF37" s="356" t="str">
        <f t="shared" si="349"/>
        <v/>
      </c>
      <c r="NG37" s="356" t="str">
        <f t="shared" si="350"/>
        <v/>
      </c>
      <c r="NH37" s="356" t="str">
        <f t="shared" si="351"/>
        <v/>
      </c>
      <c r="NI37" s="356" t="str">
        <f t="shared" si="352"/>
        <v/>
      </c>
      <c r="NJ37" s="356" t="str">
        <f t="shared" si="353"/>
        <v/>
      </c>
      <c r="NK37" s="356" t="str">
        <f t="shared" si="354"/>
        <v/>
      </c>
      <c r="NL37" s="356" t="str">
        <f t="shared" si="355"/>
        <v/>
      </c>
      <c r="NM37" s="356" t="str">
        <f t="shared" si="356"/>
        <v/>
      </c>
      <c r="NN37" s="356" t="str">
        <f t="shared" si="357"/>
        <v/>
      </c>
      <c r="NO37" s="1640">
        <f t="shared" si="358"/>
        <v>0</v>
      </c>
      <c r="NP37" s="1640">
        <f t="shared" si="359"/>
        <v>0</v>
      </c>
      <c r="NQ37" s="1640">
        <f t="shared" si="360"/>
        <v>0</v>
      </c>
      <c r="NR37" s="1640">
        <f t="shared" si="361"/>
        <v>0</v>
      </c>
      <c r="NS37" s="1640">
        <f t="shared" si="362"/>
        <v>0</v>
      </c>
      <c r="NT37" s="1640">
        <f t="shared" si="368"/>
        <v>0</v>
      </c>
      <c r="NU37" s="1640">
        <f t="shared" si="369"/>
        <v>0</v>
      </c>
      <c r="NV37" s="1640">
        <f t="shared" si="370"/>
        <v>0</v>
      </c>
      <c r="NW37" s="1640">
        <f t="shared" si="371"/>
        <v>0</v>
      </c>
      <c r="NX37" s="1640">
        <f t="shared" si="372"/>
        <v>0</v>
      </c>
      <c r="NY37" s="1640">
        <f t="shared" si="363"/>
        <v>0</v>
      </c>
      <c r="NZ37" s="1640">
        <f t="shared" si="364"/>
        <v>0</v>
      </c>
      <c r="OA37" s="1640">
        <f t="shared" si="365"/>
        <v>0</v>
      </c>
      <c r="OB37" s="1640">
        <f t="shared" si="366"/>
        <v>0</v>
      </c>
      <c r="OC37" s="1640">
        <f t="shared" si="367"/>
        <v>0</v>
      </c>
      <c r="OY37" s="2499" t="s">
        <v>4323</v>
      </c>
      <c r="OZ37" s="2504">
        <v>37</v>
      </c>
    </row>
    <row r="38" spans="1:416" ht="12" customHeight="1">
      <c r="A38" s="86" t="str">
        <f t="shared" si="0"/>
        <v/>
      </c>
      <c r="B38" s="1055"/>
      <c r="C38" s="132"/>
      <c r="D38" s="1643"/>
      <c r="E38" s="133"/>
      <c r="F38" s="133"/>
      <c r="G38" s="133"/>
      <c r="H38" s="133"/>
      <c r="I38" s="133"/>
      <c r="J38" s="1036">
        <f>IF(C38="",0,HLOOKUP(C38,'Part IV-Utility Allowances'!$I$11:$M$25,15))</f>
        <v>0</v>
      </c>
      <c r="K38" s="630"/>
      <c r="L38" s="460">
        <f t="shared" si="1"/>
        <v>0</v>
      </c>
      <c r="M38" s="460">
        <f t="shared" si="2"/>
        <v>0</v>
      </c>
      <c r="N38" s="680"/>
      <c r="O38" s="1585"/>
      <c r="P38" s="680"/>
      <c r="Q38" s="134"/>
      <c r="R38" s="723"/>
      <c r="S38" s="724"/>
      <c r="T38" s="3613"/>
      <c r="U38" s="3614"/>
      <c r="V38" s="3614"/>
      <c r="W38" s="3615"/>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356" t="str">
        <f t="shared" si="213"/>
        <v/>
      </c>
      <c r="IA38" s="356" t="str">
        <f t="shared" si="214"/>
        <v/>
      </c>
      <c r="IB38" s="356" t="str">
        <f t="shared" si="215"/>
        <v/>
      </c>
      <c r="IC38" s="356" t="str">
        <f t="shared" si="216"/>
        <v/>
      </c>
      <c r="ID38" s="356" t="str">
        <f t="shared" si="217"/>
        <v/>
      </c>
      <c r="IE38" s="356" t="str">
        <f t="shared" si="218"/>
        <v/>
      </c>
      <c r="IF38" s="356" t="str">
        <f t="shared" si="219"/>
        <v/>
      </c>
      <c r="IG38" s="356" t="str">
        <f t="shared" si="220"/>
        <v/>
      </c>
      <c r="IH38" s="356" t="str">
        <f t="shared" si="221"/>
        <v/>
      </c>
      <c r="II38" s="356" t="str">
        <f t="shared" si="222"/>
        <v/>
      </c>
      <c r="IJ38" s="356" t="str">
        <f t="shared" si="223"/>
        <v/>
      </c>
      <c r="IK38" s="356" t="str">
        <f t="shared" si="224"/>
        <v/>
      </c>
      <c r="IL38" s="356" t="str">
        <f t="shared" si="225"/>
        <v/>
      </c>
      <c r="IM38" s="356" t="str">
        <f t="shared" si="226"/>
        <v/>
      </c>
      <c r="IN38" s="356" t="str">
        <f t="shared" si="227"/>
        <v/>
      </c>
      <c r="IO38" s="356" t="str">
        <f t="shared" si="228"/>
        <v/>
      </c>
      <c r="IP38" s="356" t="str">
        <f t="shared" si="229"/>
        <v/>
      </c>
      <c r="IQ38" s="356" t="str">
        <f t="shared" si="230"/>
        <v/>
      </c>
      <c r="IR38" s="356" t="str">
        <f t="shared" si="231"/>
        <v/>
      </c>
      <c r="IS38" s="356" t="str">
        <f t="shared" si="232"/>
        <v/>
      </c>
      <c r="IT38" s="356" t="str">
        <f t="shared" si="233"/>
        <v/>
      </c>
      <c r="IU38" s="356" t="str">
        <f t="shared" si="234"/>
        <v/>
      </c>
      <c r="IV38" s="356" t="str">
        <f t="shared" si="235"/>
        <v/>
      </c>
      <c r="IW38" s="356" t="str">
        <f t="shared" si="236"/>
        <v/>
      </c>
      <c r="IX38" s="356" t="str">
        <f t="shared" si="237"/>
        <v/>
      </c>
      <c r="IY38" s="356" t="str">
        <f t="shared" si="238"/>
        <v/>
      </c>
      <c r="IZ38" s="356" t="str">
        <f t="shared" si="239"/>
        <v/>
      </c>
      <c r="JA38" s="356" t="str">
        <f t="shared" si="240"/>
        <v/>
      </c>
      <c r="JB38" s="356" t="str">
        <f t="shared" si="241"/>
        <v/>
      </c>
      <c r="JC38" s="356" t="str">
        <f t="shared" si="242"/>
        <v/>
      </c>
      <c r="JD38" s="356" t="str">
        <f t="shared" si="243"/>
        <v/>
      </c>
      <c r="JE38" s="356" t="str">
        <f t="shared" si="244"/>
        <v/>
      </c>
      <c r="JF38" s="356" t="str">
        <f t="shared" si="245"/>
        <v/>
      </c>
      <c r="JG38" s="356" t="str">
        <f t="shared" si="246"/>
        <v/>
      </c>
      <c r="JH38" s="356" t="str">
        <f t="shared" si="247"/>
        <v/>
      </c>
      <c r="JI38" s="1785" t="str">
        <f t="shared" si="248"/>
        <v/>
      </c>
      <c r="JJ38" s="1785" t="str">
        <f t="shared" si="249"/>
        <v/>
      </c>
      <c r="JK38" s="1785" t="str">
        <f t="shared" si="250"/>
        <v/>
      </c>
      <c r="JL38" s="1785" t="str">
        <f t="shared" si="251"/>
        <v/>
      </c>
      <c r="JM38" s="1785" t="str">
        <f t="shared" si="252"/>
        <v/>
      </c>
      <c r="JN38" s="1785" t="str">
        <f t="shared" si="253"/>
        <v/>
      </c>
      <c r="JO38" s="1785" t="str">
        <f t="shared" si="254"/>
        <v/>
      </c>
      <c r="JP38" s="1785" t="str">
        <f t="shared" si="255"/>
        <v/>
      </c>
      <c r="JQ38" s="1785" t="str">
        <f t="shared" si="256"/>
        <v/>
      </c>
      <c r="JR38" s="1785" t="str">
        <f t="shared" si="257"/>
        <v/>
      </c>
      <c r="JS38" s="1785" t="str">
        <f t="shared" si="258"/>
        <v/>
      </c>
      <c r="JT38" s="1785" t="str">
        <f t="shared" si="259"/>
        <v/>
      </c>
      <c r="JU38" s="1785" t="str">
        <f t="shared" si="260"/>
        <v/>
      </c>
      <c r="JV38" s="1785" t="str">
        <f t="shared" si="261"/>
        <v/>
      </c>
      <c r="JW38" s="1785" t="str">
        <f t="shared" si="262"/>
        <v/>
      </c>
      <c r="JX38" s="1785" t="str">
        <f t="shared" si="263"/>
        <v/>
      </c>
      <c r="JY38" s="1785" t="str">
        <f t="shared" si="264"/>
        <v/>
      </c>
      <c r="JZ38" s="1785" t="str">
        <f t="shared" si="265"/>
        <v/>
      </c>
      <c r="KA38" s="1785" t="str">
        <f t="shared" si="266"/>
        <v/>
      </c>
      <c r="KB38" s="1785" t="str">
        <f t="shared" si="267"/>
        <v/>
      </c>
      <c r="KC38" s="1785" t="str">
        <f t="shared" si="268"/>
        <v/>
      </c>
      <c r="KD38" s="1785" t="str">
        <f t="shared" si="269"/>
        <v/>
      </c>
      <c r="KE38" s="1785" t="str">
        <f t="shared" si="270"/>
        <v/>
      </c>
      <c r="KF38" s="1785" t="str">
        <f t="shared" si="271"/>
        <v/>
      </c>
      <c r="KG38" s="1785" t="str">
        <f t="shared" si="272"/>
        <v/>
      </c>
      <c r="KH38" s="1785" t="str">
        <f t="shared" si="273"/>
        <v/>
      </c>
      <c r="KI38" s="1785" t="str">
        <f t="shared" si="274"/>
        <v/>
      </c>
      <c r="KJ38" s="1785" t="str">
        <f t="shared" si="275"/>
        <v/>
      </c>
      <c r="KK38" s="1785" t="str">
        <f t="shared" si="276"/>
        <v/>
      </c>
      <c r="KL38" s="1785" t="str">
        <f t="shared" si="277"/>
        <v/>
      </c>
      <c r="KM38" s="1785" t="str">
        <f t="shared" si="278"/>
        <v/>
      </c>
      <c r="KN38" s="1785" t="str">
        <f t="shared" si="279"/>
        <v/>
      </c>
      <c r="KO38" s="1785" t="str">
        <f t="shared" si="280"/>
        <v/>
      </c>
      <c r="KP38" s="1785" t="str">
        <f t="shared" si="281"/>
        <v/>
      </c>
      <c r="KQ38" s="1785" t="str">
        <f t="shared" si="282"/>
        <v/>
      </c>
      <c r="KR38" s="1785" t="str">
        <f t="shared" si="283"/>
        <v/>
      </c>
      <c r="KS38" s="1785" t="str">
        <f t="shared" si="284"/>
        <v/>
      </c>
      <c r="KT38" s="1785" t="str">
        <f t="shared" si="285"/>
        <v/>
      </c>
      <c r="KU38" s="1785" t="str">
        <f t="shared" si="286"/>
        <v/>
      </c>
      <c r="KV38" s="1785" t="str">
        <f t="shared" si="287"/>
        <v/>
      </c>
      <c r="KW38" s="1785" t="str">
        <f t="shared" si="288"/>
        <v/>
      </c>
      <c r="KX38" s="1785" t="str">
        <f t="shared" si="289"/>
        <v/>
      </c>
      <c r="KY38" s="1785" t="str">
        <f t="shared" si="290"/>
        <v/>
      </c>
      <c r="KZ38" s="1785" t="str">
        <f t="shared" si="291"/>
        <v/>
      </c>
      <c r="LA38" s="1785" t="str">
        <f t="shared" si="292"/>
        <v/>
      </c>
      <c r="LB38" s="1785" t="str">
        <f t="shared" si="293"/>
        <v/>
      </c>
      <c r="LC38" s="1785" t="str">
        <f t="shared" si="294"/>
        <v/>
      </c>
      <c r="LD38" s="1785" t="str">
        <f t="shared" si="295"/>
        <v/>
      </c>
      <c r="LE38" s="1785" t="str">
        <f t="shared" si="296"/>
        <v/>
      </c>
      <c r="LF38" s="1785" t="str">
        <f t="shared" si="297"/>
        <v/>
      </c>
      <c r="LG38" s="1785" t="str">
        <f t="shared" si="298"/>
        <v/>
      </c>
      <c r="LH38" s="1785" t="str">
        <f t="shared" si="299"/>
        <v/>
      </c>
      <c r="LI38" s="1785" t="str">
        <f t="shared" si="300"/>
        <v/>
      </c>
      <c r="LJ38" s="1785" t="str">
        <f t="shared" si="301"/>
        <v/>
      </c>
      <c r="LK38" s="1785" t="str">
        <f t="shared" si="302"/>
        <v/>
      </c>
      <c r="LL38" s="1785" t="str">
        <f t="shared" si="303"/>
        <v/>
      </c>
      <c r="LM38" s="1785" t="str">
        <f t="shared" si="304"/>
        <v/>
      </c>
      <c r="LN38" s="1785" t="str">
        <f t="shared" si="305"/>
        <v/>
      </c>
      <c r="LO38" s="1785" t="str">
        <f t="shared" si="306"/>
        <v/>
      </c>
      <c r="LP38" s="1785" t="str">
        <f t="shared" si="307"/>
        <v/>
      </c>
      <c r="LQ38" s="1785" t="str">
        <f t="shared" si="308"/>
        <v/>
      </c>
      <c r="LR38" s="1785" t="str">
        <f t="shared" si="309"/>
        <v/>
      </c>
      <c r="LS38" s="1785" t="str">
        <f t="shared" si="310"/>
        <v/>
      </c>
      <c r="LT38" s="1785" t="str">
        <f t="shared" si="311"/>
        <v/>
      </c>
      <c r="LU38" s="1785" t="str">
        <f t="shared" si="312"/>
        <v/>
      </c>
      <c r="LV38" s="1785" t="str">
        <f t="shared" si="313"/>
        <v/>
      </c>
      <c r="LW38" s="1785" t="str">
        <f t="shared" si="314"/>
        <v/>
      </c>
      <c r="LX38" s="1785" t="str">
        <f t="shared" si="315"/>
        <v/>
      </c>
      <c r="LY38" s="1785" t="str">
        <f t="shared" si="316"/>
        <v/>
      </c>
      <c r="LZ38" s="1785" t="str">
        <f t="shared" si="317"/>
        <v/>
      </c>
      <c r="MA38" s="1785" t="str">
        <f t="shared" si="318"/>
        <v/>
      </c>
      <c r="MB38" s="1785" t="str">
        <f t="shared" si="319"/>
        <v/>
      </c>
      <c r="MC38" s="1785" t="str">
        <f t="shared" si="320"/>
        <v/>
      </c>
      <c r="MD38" s="1785" t="str">
        <f t="shared" si="321"/>
        <v/>
      </c>
      <c r="ME38" s="1785" t="str">
        <f t="shared" si="322"/>
        <v/>
      </c>
      <c r="MF38" s="1785" t="str">
        <f t="shared" si="323"/>
        <v/>
      </c>
      <c r="MG38" s="1785" t="str">
        <f t="shared" si="324"/>
        <v/>
      </c>
      <c r="MH38" s="1785" t="str">
        <f t="shared" si="325"/>
        <v/>
      </c>
      <c r="MI38" s="1785" t="str">
        <f t="shared" si="326"/>
        <v/>
      </c>
      <c r="MJ38" s="1785" t="str">
        <f t="shared" si="327"/>
        <v/>
      </c>
      <c r="MK38" s="1785" t="str">
        <f t="shared" si="328"/>
        <v/>
      </c>
      <c r="ML38" s="1785" t="str">
        <f t="shared" si="329"/>
        <v/>
      </c>
      <c r="MM38" s="1785" t="str">
        <f t="shared" si="330"/>
        <v/>
      </c>
      <c r="MN38" s="1785" t="str">
        <f t="shared" si="331"/>
        <v/>
      </c>
      <c r="MO38" s="1785" t="str">
        <f t="shared" si="332"/>
        <v/>
      </c>
      <c r="MP38" s="2470" t="str">
        <f t="shared" si="333"/>
        <v/>
      </c>
      <c r="MQ38" s="2470" t="str">
        <f t="shared" si="334"/>
        <v/>
      </c>
      <c r="MR38" s="2470" t="str">
        <f t="shared" si="335"/>
        <v/>
      </c>
      <c r="MS38" s="2470" t="str">
        <f t="shared" si="336"/>
        <v/>
      </c>
      <c r="MT38" s="2470" t="str">
        <f t="shared" si="337"/>
        <v/>
      </c>
      <c r="MU38" s="356" t="str">
        <f t="shared" si="338"/>
        <v/>
      </c>
      <c r="MV38" s="356" t="str">
        <f t="shared" si="339"/>
        <v/>
      </c>
      <c r="MW38" s="356" t="str">
        <f t="shared" si="340"/>
        <v/>
      </c>
      <c r="MX38" s="356" t="str">
        <f t="shared" si="341"/>
        <v/>
      </c>
      <c r="MY38" s="356" t="str">
        <f t="shared" si="342"/>
        <v/>
      </c>
      <c r="MZ38" s="356" t="str">
        <f t="shared" si="343"/>
        <v/>
      </c>
      <c r="NA38" s="356" t="str">
        <f t="shared" si="344"/>
        <v/>
      </c>
      <c r="NB38" s="356" t="str">
        <f t="shared" si="345"/>
        <v/>
      </c>
      <c r="NC38" s="356" t="str">
        <f t="shared" si="346"/>
        <v/>
      </c>
      <c r="ND38" s="356" t="str">
        <f t="shared" si="347"/>
        <v/>
      </c>
      <c r="NE38" s="356" t="str">
        <f t="shared" si="348"/>
        <v/>
      </c>
      <c r="NF38" s="356" t="str">
        <f t="shared" si="349"/>
        <v/>
      </c>
      <c r="NG38" s="356" t="str">
        <f t="shared" si="350"/>
        <v/>
      </c>
      <c r="NH38" s="356" t="str">
        <f t="shared" si="351"/>
        <v/>
      </c>
      <c r="NI38" s="356" t="str">
        <f t="shared" si="352"/>
        <v/>
      </c>
      <c r="NJ38" s="356" t="str">
        <f t="shared" si="353"/>
        <v/>
      </c>
      <c r="NK38" s="356" t="str">
        <f t="shared" si="354"/>
        <v/>
      </c>
      <c r="NL38" s="356" t="str">
        <f t="shared" si="355"/>
        <v/>
      </c>
      <c r="NM38" s="356" t="str">
        <f t="shared" si="356"/>
        <v/>
      </c>
      <c r="NN38" s="356" t="str">
        <f t="shared" si="357"/>
        <v/>
      </c>
      <c r="NO38" s="1640">
        <f t="shared" si="358"/>
        <v>0</v>
      </c>
      <c r="NP38" s="1640">
        <f t="shared" si="359"/>
        <v>0</v>
      </c>
      <c r="NQ38" s="1640">
        <f t="shared" si="360"/>
        <v>0</v>
      </c>
      <c r="NR38" s="1640">
        <f t="shared" si="361"/>
        <v>0</v>
      </c>
      <c r="NS38" s="1640">
        <f t="shared" si="362"/>
        <v>0</v>
      </c>
      <c r="NT38" s="1640">
        <f t="shared" si="368"/>
        <v>0</v>
      </c>
      <c r="NU38" s="1640">
        <f t="shared" si="369"/>
        <v>0</v>
      </c>
      <c r="NV38" s="1640">
        <f t="shared" si="370"/>
        <v>0</v>
      </c>
      <c r="NW38" s="1640">
        <f t="shared" si="371"/>
        <v>0</v>
      </c>
      <c r="NX38" s="1640">
        <f t="shared" si="372"/>
        <v>0</v>
      </c>
      <c r="NY38" s="1640">
        <f t="shared" si="363"/>
        <v>0</v>
      </c>
      <c r="NZ38" s="1640">
        <f t="shared" si="364"/>
        <v>0</v>
      </c>
      <c r="OA38" s="1640">
        <f t="shared" si="365"/>
        <v>0</v>
      </c>
      <c r="OB38" s="1640">
        <f t="shared" si="366"/>
        <v>0</v>
      </c>
      <c r="OC38" s="1640">
        <f t="shared" si="367"/>
        <v>0</v>
      </c>
      <c r="OY38" s="2499" t="s">
        <v>4324</v>
      </c>
      <c r="OZ38" s="2504">
        <v>38</v>
      </c>
    </row>
    <row r="39" spans="1:416" ht="12" customHeight="1">
      <c r="A39" s="86" t="str">
        <f t="shared" si="0"/>
        <v/>
      </c>
      <c r="B39" s="1055"/>
      <c r="C39" s="132"/>
      <c r="D39" s="1643"/>
      <c r="E39" s="133"/>
      <c r="F39" s="133"/>
      <c r="G39" s="133"/>
      <c r="H39" s="133"/>
      <c r="I39" s="133"/>
      <c r="J39" s="1036">
        <f>IF(C39="",0,HLOOKUP(C39,'Part IV-Utility Allowances'!$I$11:$M$25,15))</f>
        <v>0</v>
      </c>
      <c r="K39" s="630"/>
      <c r="L39" s="460">
        <f t="shared" si="1"/>
        <v>0</v>
      </c>
      <c r="M39" s="460">
        <f t="shared" si="2"/>
        <v>0</v>
      </c>
      <c r="N39" s="680"/>
      <c r="O39" s="1585"/>
      <c r="P39" s="680"/>
      <c r="Q39" s="134"/>
      <c r="R39" s="723"/>
      <c r="S39" s="724"/>
      <c r="T39" s="3613"/>
      <c r="U39" s="3614"/>
      <c r="V39" s="3614"/>
      <c r="W39" s="3615"/>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356" t="str">
        <f t="shared" si="213"/>
        <v/>
      </c>
      <c r="IA39" s="356" t="str">
        <f t="shared" si="214"/>
        <v/>
      </c>
      <c r="IB39" s="356" t="str">
        <f t="shared" si="215"/>
        <v/>
      </c>
      <c r="IC39" s="356" t="str">
        <f t="shared" si="216"/>
        <v/>
      </c>
      <c r="ID39" s="356" t="str">
        <f t="shared" si="217"/>
        <v/>
      </c>
      <c r="IE39" s="356" t="str">
        <f t="shared" si="218"/>
        <v/>
      </c>
      <c r="IF39" s="356" t="str">
        <f t="shared" si="219"/>
        <v/>
      </c>
      <c r="IG39" s="356" t="str">
        <f t="shared" si="220"/>
        <v/>
      </c>
      <c r="IH39" s="356" t="str">
        <f t="shared" si="221"/>
        <v/>
      </c>
      <c r="II39" s="356" t="str">
        <f t="shared" si="222"/>
        <v/>
      </c>
      <c r="IJ39" s="356" t="str">
        <f t="shared" si="223"/>
        <v/>
      </c>
      <c r="IK39" s="356" t="str">
        <f t="shared" si="224"/>
        <v/>
      </c>
      <c r="IL39" s="356" t="str">
        <f t="shared" si="225"/>
        <v/>
      </c>
      <c r="IM39" s="356" t="str">
        <f t="shared" si="226"/>
        <v/>
      </c>
      <c r="IN39" s="356" t="str">
        <f t="shared" si="227"/>
        <v/>
      </c>
      <c r="IO39" s="356" t="str">
        <f t="shared" si="228"/>
        <v/>
      </c>
      <c r="IP39" s="356" t="str">
        <f t="shared" si="229"/>
        <v/>
      </c>
      <c r="IQ39" s="356" t="str">
        <f t="shared" si="230"/>
        <v/>
      </c>
      <c r="IR39" s="356" t="str">
        <f t="shared" si="231"/>
        <v/>
      </c>
      <c r="IS39" s="356" t="str">
        <f t="shared" si="232"/>
        <v/>
      </c>
      <c r="IT39" s="356" t="str">
        <f t="shared" si="233"/>
        <v/>
      </c>
      <c r="IU39" s="356" t="str">
        <f t="shared" si="234"/>
        <v/>
      </c>
      <c r="IV39" s="356" t="str">
        <f t="shared" si="235"/>
        <v/>
      </c>
      <c r="IW39" s="356" t="str">
        <f t="shared" si="236"/>
        <v/>
      </c>
      <c r="IX39" s="356" t="str">
        <f t="shared" si="237"/>
        <v/>
      </c>
      <c r="IY39" s="356" t="str">
        <f t="shared" si="238"/>
        <v/>
      </c>
      <c r="IZ39" s="356" t="str">
        <f t="shared" si="239"/>
        <v/>
      </c>
      <c r="JA39" s="356" t="str">
        <f t="shared" si="240"/>
        <v/>
      </c>
      <c r="JB39" s="356" t="str">
        <f t="shared" si="241"/>
        <v/>
      </c>
      <c r="JC39" s="356" t="str">
        <f t="shared" si="242"/>
        <v/>
      </c>
      <c r="JD39" s="356" t="str">
        <f t="shared" si="243"/>
        <v/>
      </c>
      <c r="JE39" s="356" t="str">
        <f t="shared" si="244"/>
        <v/>
      </c>
      <c r="JF39" s="356" t="str">
        <f t="shared" si="245"/>
        <v/>
      </c>
      <c r="JG39" s="356" t="str">
        <f t="shared" si="246"/>
        <v/>
      </c>
      <c r="JH39" s="356" t="str">
        <f t="shared" si="247"/>
        <v/>
      </c>
      <c r="JI39" s="1785" t="str">
        <f t="shared" si="248"/>
        <v/>
      </c>
      <c r="JJ39" s="1785" t="str">
        <f t="shared" si="249"/>
        <v/>
      </c>
      <c r="JK39" s="1785" t="str">
        <f t="shared" si="250"/>
        <v/>
      </c>
      <c r="JL39" s="1785" t="str">
        <f t="shared" si="251"/>
        <v/>
      </c>
      <c r="JM39" s="1785" t="str">
        <f t="shared" si="252"/>
        <v/>
      </c>
      <c r="JN39" s="1785" t="str">
        <f t="shared" si="253"/>
        <v/>
      </c>
      <c r="JO39" s="1785" t="str">
        <f t="shared" si="254"/>
        <v/>
      </c>
      <c r="JP39" s="1785" t="str">
        <f t="shared" si="255"/>
        <v/>
      </c>
      <c r="JQ39" s="1785" t="str">
        <f t="shared" si="256"/>
        <v/>
      </c>
      <c r="JR39" s="1785" t="str">
        <f t="shared" si="257"/>
        <v/>
      </c>
      <c r="JS39" s="1785" t="str">
        <f t="shared" si="258"/>
        <v/>
      </c>
      <c r="JT39" s="1785" t="str">
        <f t="shared" si="259"/>
        <v/>
      </c>
      <c r="JU39" s="1785" t="str">
        <f t="shared" si="260"/>
        <v/>
      </c>
      <c r="JV39" s="1785" t="str">
        <f t="shared" si="261"/>
        <v/>
      </c>
      <c r="JW39" s="1785" t="str">
        <f t="shared" si="262"/>
        <v/>
      </c>
      <c r="JX39" s="1785" t="str">
        <f t="shared" si="263"/>
        <v/>
      </c>
      <c r="JY39" s="1785" t="str">
        <f t="shared" si="264"/>
        <v/>
      </c>
      <c r="JZ39" s="1785" t="str">
        <f t="shared" si="265"/>
        <v/>
      </c>
      <c r="KA39" s="1785" t="str">
        <f t="shared" si="266"/>
        <v/>
      </c>
      <c r="KB39" s="1785" t="str">
        <f t="shared" si="267"/>
        <v/>
      </c>
      <c r="KC39" s="1785" t="str">
        <f t="shared" si="268"/>
        <v/>
      </c>
      <c r="KD39" s="1785" t="str">
        <f t="shared" si="269"/>
        <v/>
      </c>
      <c r="KE39" s="1785" t="str">
        <f t="shared" si="270"/>
        <v/>
      </c>
      <c r="KF39" s="1785" t="str">
        <f t="shared" si="271"/>
        <v/>
      </c>
      <c r="KG39" s="1785" t="str">
        <f t="shared" si="272"/>
        <v/>
      </c>
      <c r="KH39" s="1785" t="str">
        <f t="shared" si="273"/>
        <v/>
      </c>
      <c r="KI39" s="1785" t="str">
        <f t="shared" si="274"/>
        <v/>
      </c>
      <c r="KJ39" s="1785" t="str">
        <f t="shared" si="275"/>
        <v/>
      </c>
      <c r="KK39" s="1785" t="str">
        <f t="shared" si="276"/>
        <v/>
      </c>
      <c r="KL39" s="1785" t="str">
        <f t="shared" si="277"/>
        <v/>
      </c>
      <c r="KM39" s="1785" t="str">
        <f t="shared" si="278"/>
        <v/>
      </c>
      <c r="KN39" s="1785" t="str">
        <f t="shared" si="279"/>
        <v/>
      </c>
      <c r="KO39" s="1785" t="str">
        <f t="shared" si="280"/>
        <v/>
      </c>
      <c r="KP39" s="1785" t="str">
        <f t="shared" si="281"/>
        <v/>
      </c>
      <c r="KQ39" s="1785" t="str">
        <f t="shared" si="282"/>
        <v/>
      </c>
      <c r="KR39" s="1785" t="str">
        <f t="shared" si="283"/>
        <v/>
      </c>
      <c r="KS39" s="1785" t="str">
        <f t="shared" si="284"/>
        <v/>
      </c>
      <c r="KT39" s="1785" t="str">
        <f t="shared" si="285"/>
        <v/>
      </c>
      <c r="KU39" s="1785" t="str">
        <f t="shared" si="286"/>
        <v/>
      </c>
      <c r="KV39" s="1785" t="str">
        <f t="shared" si="287"/>
        <v/>
      </c>
      <c r="KW39" s="1785" t="str">
        <f t="shared" si="288"/>
        <v/>
      </c>
      <c r="KX39" s="1785" t="str">
        <f t="shared" si="289"/>
        <v/>
      </c>
      <c r="KY39" s="1785" t="str">
        <f t="shared" si="290"/>
        <v/>
      </c>
      <c r="KZ39" s="1785" t="str">
        <f t="shared" si="291"/>
        <v/>
      </c>
      <c r="LA39" s="1785" t="str">
        <f t="shared" si="292"/>
        <v/>
      </c>
      <c r="LB39" s="1785" t="str">
        <f t="shared" si="293"/>
        <v/>
      </c>
      <c r="LC39" s="1785" t="str">
        <f t="shared" si="294"/>
        <v/>
      </c>
      <c r="LD39" s="1785" t="str">
        <f t="shared" si="295"/>
        <v/>
      </c>
      <c r="LE39" s="1785" t="str">
        <f t="shared" si="296"/>
        <v/>
      </c>
      <c r="LF39" s="1785" t="str">
        <f t="shared" si="297"/>
        <v/>
      </c>
      <c r="LG39" s="1785" t="str">
        <f t="shared" si="298"/>
        <v/>
      </c>
      <c r="LH39" s="1785" t="str">
        <f t="shared" si="299"/>
        <v/>
      </c>
      <c r="LI39" s="1785" t="str">
        <f t="shared" si="300"/>
        <v/>
      </c>
      <c r="LJ39" s="1785" t="str">
        <f t="shared" si="301"/>
        <v/>
      </c>
      <c r="LK39" s="1785" t="str">
        <f t="shared" si="302"/>
        <v/>
      </c>
      <c r="LL39" s="1785" t="str">
        <f t="shared" si="303"/>
        <v/>
      </c>
      <c r="LM39" s="1785" t="str">
        <f t="shared" si="304"/>
        <v/>
      </c>
      <c r="LN39" s="1785" t="str">
        <f t="shared" si="305"/>
        <v/>
      </c>
      <c r="LO39" s="1785" t="str">
        <f t="shared" si="306"/>
        <v/>
      </c>
      <c r="LP39" s="1785" t="str">
        <f t="shared" si="307"/>
        <v/>
      </c>
      <c r="LQ39" s="1785" t="str">
        <f t="shared" si="308"/>
        <v/>
      </c>
      <c r="LR39" s="1785" t="str">
        <f t="shared" si="309"/>
        <v/>
      </c>
      <c r="LS39" s="1785" t="str">
        <f t="shared" si="310"/>
        <v/>
      </c>
      <c r="LT39" s="1785" t="str">
        <f t="shared" si="311"/>
        <v/>
      </c>
      <c r="LU39" s="1785" t="str">
        <f t="shared" si="312"/>
        <v/>
      </c>
      <c r="LV39" s="1785" t="str">
        <f t="shared" si="313"/>
        <v/>
      </c>
      <c r="LW39" s="1785" t="str">
        <f t="shared" si="314"/>
        <v/>
      </c>
      <c r="LX39" s="1785" t="str">
        <f t="shared" si="315"/>
        <v/>
      </c>
      <c r="LY39" s="1785" t="str">
        <f t="shared" si="316"/>
        <v/>
      </c>
      <c r="LZ39" s="1785" t="str">
        <f t="shared" si="317"/>
        <v/>
      </c>
      <c r="MA39" s="1785" t="str">
        <f t="shared" si="318"/>
        <v/>
      </c>
      <c r="MB39" s="1785" t="str">
        <f t="shared" si="319"/>
        <v/>
      </c>
      <c r="MC39" s="1785" t="str">
        <f t="shared" si="320"/>
        <v/>
      </c>
      <c r="MD39" s="1785" t="str">
        <f t="shared" si="321"/>
        <v/>
      </c>
      <c r="ME39" s="1785" t="str">
        <f t="shared" si="322"/>
        <v/>
      </c>
      <c r="MF39" s="1785" t="str">
        <f t="shared" si="323"/>
        <v/>
      </c>
      <c r="MG39" s="1785" t="str">
        <f t="shared" si="324"/>
        <v/>
      </c>
      <c r="MH39" s="1785" t="str">
        <f t="shared" si="325"/>
        <v/>
      </c>
      <c r="MI39" s="1785" t="str">
        <f t="shared" si="326"/>
        <v/>
      </c>
      <c r="MJ39" s="1785" t="str">
        <f t="shared" si="327"/>
        <v/>
      </c>
      <c r="MK39" s="1785" t="str">
        <f t="shared" si="328"/>
        <v/>
      </c>
      <c r="ML39" s="1785" t="str">
        <f t="shared" si="329"/>
        <v/>
      </c>
      <c r="MM39" s="1785" t="str">
        <f t="shared" si="330"/>
        <v/>
      </c>
      <c r="MN39" s="1785" t="str">
        <f t="shared" si="331"/>
        <v/>
      </c>
      <c r="MO39" s="1785" t="str">
        <f t="shared" si="332"/>
        <v/>
      </c>
      <c r="MP39" s="2470" t="str">
        <f t="shared" si="333"/>
        <v/>
      </c>
      <c r="MQ39" s="2470" t="str">
        <f t="shared" si="334"/>
        <v/>
      </c>
      <c r="MR39" s="2470" t="str">
        <f t="shared" si="335"/>
        <v/>
      </c>
      <c r="MS39" s="2470" t="str">
        <f t="shared" si="336"/>
        <v/>
      </c>
      <c r="MT39" s="2470" t="str">
        <f t="shared" si="337"/>
        <v/>
      </c>
      <c r="MU39" s="356" t="str">
        <f t="shared" si="338"/>
        <v/>
      </c>
      <c r="MV39" s="356" t="str">
        <f t="shared" si="339"/>
        <v/>
      </c>
      <c r="MW39" s="356" t="str">
        <f t="shared" si="340"/>
        <v/>
      </c>
      <c r="MX39" s="356" t="str">
        <f t="shared" si="341"/>
        <v/>
      </c>
      <c r="MY39" s="356" t="str">
        <f t="shared" si="342"/>
        <v/>
      </c>
      <c r="MZ39" s="356" t="str">
        <f t="shared" si="343"/>
        <v/>
      </c>
      <c r="NA39" s="356" t="str">
        <f t="shared" si="344"/>
        <v/>
      </c>
      <c r="NB39" s="356" t="str">
        <f t="shared" si="345"/>
        <v/>
      </c>
      <c r="NC39" s="356" t="str">
        <f t="shared" si="346"/>
        <v/>
      </c>
      <c r="ND39" s="356" t="str">
        <f t="shared" si="347"/>
        <v/>
      </c>
      <c r="NE39" s="356" t="str">
        <f t="shared" si="348"/>
        <v/>
      </c>
      <c r="NF39" s="356" t="str">
        <f t="shared" si="349"/>
        <v/>
      </c>
      <c r="NG39" s="356" t="str">
        <f t="shared" si="350"/>
        <v/>
      </c>
      <c r="NH39" s="356" t="str">
        <f t="shared" si="351"/>
        <v/>
      </c>
      <c r="NI39" s="356" t="str">
        <f t="shared" si="352"/>
        <v/>
      </c>
      <c r="NJ39" s="356" t="str">
        <f t="shared" si="353"/>
        <v/>
      </c>
      <c r="NK39" s="356" t="str">
        <f t="shared" si="354"/>
        <v/>
      </c>
      <c r="NL39" s="356" t="str">
        <f t="shared" si="355"/>
        <v/>
      </c>
      <c r="NM39" s="356" t="str">
        <f t="shared" si="356"/>
        <v/>
      </c>
      <c r="NN39" s="356" t="str">
        <f t="shared" si="357"/>
        <v/>
      </c>
      <c r="NO39" s="1640">
        <f t="shared" si="358"/>
        <v>0</v>
      </c>
      <c r="NP39" s="1640">
        <f t="shared" si="359"/>
        <v>0</v>
      </c>
      <c r="NQ39" s="1640">
        <f t="shared" si="360"/>
        <v>0</v>
      </c>
      <c r="NR39" s="1640">
        <f t="shared" si="361"/>
        <v>0</v>
      </c>
      <c r="NS39" s="1640">
        <f t="shared" si="362"/>
        <v>0</v>
      </c>
      <c r="NT39" s="1640">
        <f t="shared" si="368"/>
        <v>0</v>
      </c>
      <c r="NU39" s="1640">
        <f t="shared" si="369"/>
        <v>0</v>
      </c>
      <c r="NV39" s="1640">
        <f t="shared" si="370"/>
        <v>0</v>
      </c>
      <c r="NW39" s="1640">
        <f t="shared" si="371"/>
        <v>0</v>
      </c>
      <c r="NX39" s="1640">
        <f t="shared" si="372"/>
        <v>0</v>
      </c>
      <c r="NY39" s="1640">
        <f t="shared" si="363"/>
        <v>0</v>
      </c>
      <c r="NZ39" s="1640">
        <f t="shared" si="364"/>
        <v>0</v>
      </c>
      <c r="OA39" s="1640">
        <f t="shared" si="365"/>
        <v>0</v>
      </c>
      <c r="OB39" s="1640">
        <f t="shared" si="366"/>
        <v>0</v>
      </c>
      <c r="OC39" s="1640">
        <f t="shared" si="367"/>
        <v>0</v>
      </c>
      <c r="OY39" s="2499" t="s">
        <v>4325</v>
      </c>
      <c r="OZ39" s="2504">
        <v>39</v>
      </c>
    </row>
    <row r="40" spans="1:416" ht="12" customHeight="1">
      <c r="A40" s="86" t="str">
        <f t="shared" si="0"/>
        <v/>
      </c>
      <c r="B40" s="1055"/>
      <c r="C40" s="132"/>
      <c r="D40" s="1643"/>
      <c r="E40" s="133"/>
      <c r="F40" s="133"/>
      <c r="G40" s="133"/>
      <c r="H40" s="133"/>
      <c r="I40" s="133"/>
      <c r="J40" s="1036">
        <f>IF(C40="",0,HLOOKUP(C40,'Part IV-Utility Allowances'!$I$11:$M$25,15))</f>
        <v>0</v>
      </c>
      <c r="K40" s="630"/>
      <c r="L40" s="460">
        <f t="shared" si="1"/>
        <v>0</v>
      </c>
      <c r="M40" s="460">
        <f t="shared" si="2"/>
        <v>0</v>
      </c>
      <c r="N40" s="680"/>
      <c r="O40" s="1585"/>
      <c r="P40" s="680"/>
      <c r="Q40" s="134"/>
      <c r="R40" s="723"/>
      <c r="S40" s="724"/>
      <c r="T40" s="3613"/>
      <c r="U40" s="3614"/>
      <c r="V40" s="3614"/>
      <c r="W40" s="3615"/>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356" t="str">
        <f t="shared" si="213"/>
        <v/>
      </c>
      <c r="IA40" s="356" t="str">
        <f t="shared" si="214"/>
        <v/>
      </c>
      <c r="IB40" s="356" t="str">
        <f t="shared" si="215"/>
        <v/>
      </c>
      <c r="IC40" s="356" t="str">
        <f t="shared" si="216"/>
        <v/>
      </c>
      <c r="ID40" s="356" t="str">
        <f t="shared" si="217"/>
        <v/>
      </c>
      <c r="IE40" s="356" t="str">
        <f t="shared" si="218"/>
        <v/>
      </c>
      <c r="IF40" s="356" t="str">
        <f t="shared" si="219"/>
        <v/>
      </c>
      <c r="IG40" s="356" t="str">
        <f t="shared" si="220"/>
        <v/>
      </c>
      <c r="IH40" s="356" t="str">
        <f t="shared" si="221"/>
        <v/>
      </c>
      <c r="II40" s="356" t="str">
        <f t="shared" si="222"/>
        <v/>
      </c>
      <c r="IJ40" s="356" t="str">
        <f t="shared" si="223"/>
        <v/>
      </c>
      <c r="IK40" s="356" t="str">
        <f t="shared" si="224"/>
        <v/>
      </c>
      <c r="IL40" s="356" t="str">
        <f t="shared" si="225"/>
        <v/>
      </c>
      <c r="IM40" s="356" t="str">
        <f t="shared" si="226"/>
        <v/>
      </c>
      <c r="IN40" s="356" t="str">
        <f t="shared" si="227"/>
        <v/>
      </c>
      <c r="IO40" s="356" t="str">
        <f t="shared" si="228"/>
        <v/>
      </c>
      <c r="IP40" s="356" t="str">
        <f t="shared" si="229"/>
        <v/>
      </c>
      <c r="IQ40" s="356" t="str">
        <f t="shared" si="230"/>
        <v/>
      </c>
      <c r="IR40" s="356" t="str">
        <f t="shared" si="231"/>
        <v/>
      </c>
      <c r="IS40" s="356" t="str">
        <f t="shared" si="232"/>
        <v/>
      </c>
      <c r="IT40" s="356" t="str">
        <f t="shared" si="233"/>
        <v/>
      </c>
      <c r="IU40" s="356" t="str">
        <f t="shared" si="234"/>
        <v/>
      </c>
      <c r="IV40" s="356" t="str">
        <f t="shared" si="235"/>
        <v/>
      </c>
      <c r="IW40" s="356" t="str">
        <f t="shared" si="236"/>
        <v/>
      </c>
      <c r="IX40" s="356" t="str">
        <f t="shared" si="237"/>
        <v/>
      </c>
      <c r="IY40" s="356" t="str">
        <f t="shared" si="238"/>
        <v/>
      </c>
      <c r="IZ40" s="356" t="str">
        <f t="shared" si="239"/>
        <v/>
      </c>
      <c r="JA40" s="356" t="str">
        <f t="shared" si="240"/>
        <v/>
      </c>
      <c r="JB40" s="356" t="str">
        <f t="shared" si="241"/>
        <v/>
      </c>
      <c r="JC40" s="356" t="str">
        <f t="shared" si="242"/>
        <v/>
      </c>
      <c r="JD40" s="356" t="str">
        <f t="shared" si="243"/>
        <v/>
      </c>
      <c r="JE40" s="356" t="str">
        <f t="shared" si="244"/>
        <v/>
      </c>
      <c r="JF40" s="356" t="str">
        <f t="shared" si="245"/>
        <v/>
      </c>
      <c r="JG40" s="356" t="str">
        <f t="shared" si="246"/>
        <v/>
      </c>
      <c r="JH40" s="356" t="str">
        <f t="shared" si="247"/>
        <v/>
      </c>
      <c r="JI40" s="1785" t="str">
        <f t="shared" si="248"/>
        <v/>
      </c>
      <c r="JJ40" s="1785" t="str">
        <f t="shared" si="249"/>
        <v/>
      </c>
      <c r="JK40" s="1785" t="str">
        <f t="shared" si="250"/>
        <v/>
      </c>
      <c r="JL40" s="1785" t="str">
        <f t="shared" si="251"/>
        <v/>
      </c>
      <c r="JM40" s="1785" t="str">
        <f t="shared" si="252"/>
        <v/>
      </c>
      <c r="JN40" s="1785" t="str">
        <f t="shared" si="253"/>
        <v/>
      </c>
      <c r="JO40" s="1785" t="str">
        <f t="shared" si="254"/>
        <v/>
      </c>
      <c r="JP40" s="1785" t="str">
        <f t="shared" si="255"/>
        <v/>
      </c>
      <c r="JQ40" s="1785" t="str">
        <f t="shared" si="256"/>
        <v/>
      </c>
      <c r="JR40" s="1785" t="str">
        <f t="shared" si="257"/>
        <v/>
      </c>
      <c r="JS40" s="1785" t="str">
        <f t="shared" si="258"/>
        <v/>
      </c>
      <c r="JT40" s="1785" t="str">
        <f t="shared" si="259"/>
        <v/>
      </c>
      <c r="JU40" s="1785" t="str">
        <f t="shared" si="260"/>
        <v/>
      </c>
      <c r="JV40" s="1785" t="str">
        <f t="shared" si="261"/>
        <v/>
      </c>
      <c r="JW40" s="1785" t="str">
        <f t="shared" si="262"/>
        <v/>
      </c>
      <c r="JX40" s="1785" t="str">
        <f t="shared" si="263"/>
        <v/>
      </c>
      <c r="JY40" s="1785" t="str">
        <f t="shared" si="264"/>
        <v/>
      </c>
      <c r="JZ40" s="1785" t="str">
        <f t="shared" si="265"/>
        <v/>
      </c>
      <c r="KA40" s="1785" t="str">
        <f t="shared" si="266"/>
        <v/>
      </c>
      <c r="KB40" s="1785" t="str">
        <f t="shared" si="267"/>
        <v/>
      </c>
      <c r="KC40" s="1785" t="str">
        <f t="shared" si="268"/>
        <v/>
      </c>
      <c r="KD40" s="1785" t="str">
        <f t="shared" si="269"/>
        <v/>
      </c>
      <c r="KE40" s="1785" t="str">
        <f t="shared" si="270"/>
        <v/>
      </c>
      <c r="KF40" s="1785" t="str">
        <f t="shared" si="271"/>
        <v/>
      </c>
      <c r="KG40" s="1785" t="str">
        <f t="shared" si="272"/>
        <v/>
      </c>
      <c r="KH40" s="1785" t="str">
        <f t="shared" si="273"/>
        <v/>
      </c>
      <c r="KI40" s="1785" t="str">
        <f t="shared" si="274"/>
        <v/>
      </c>
      <c r="KJ40" s="1785" t="str">
        <f t="shared" si="275"/>
        <v/>
      </c>
      <c r="KK40" s="1785" t="str">
        <f t="shared" si="276"/>
        <v/>
      </c>
      <c r="KL40" s="1785" t="str">
        <f t="shared" si="277"/>
        <v/>
      </c>
      <c r="KM40" s="1785" t="str">
        <f t="shared" si="278"/>
        <v/>
      </c>
      <c r="KN40" s="1785" t="str">
        <f t="shared" si="279"/>
        <v/>
      </c>
      <c r="KO40" s="1785" t="str">
        <f t="shared" si="280"/>
        <v/>
      </c>
      <c r="KP40" s="1785" t="str">
        <f t="shared" si="281"/>
        <v/>
      </c>
      <c r="KQ40" s="1785" t="str">
        <f t="shared" si="282"/>
        <v/>
      </c>
      <c r="KR40" s="1785" t="str">
        <f t="shared" si="283"/>
        <v/>
      </c>
      <c r="KS40" s="1785" t="str">
        <f t="shared" si="284"/>
        <v/>
      </c>
      <c r="KT40" s="1785" t="str">
        <f t="shared" si="285"/>
        <v/>
      </c>
      <c r="KU40" s="1785" t="str">
        <f t="shared" si="286"/>
        <v/>
      </c>
      <c r="KV40" s="1785" t="str">
        <f t="shared" si="287"/>
        <v/>
      </c>
      <c r="KW40" s="1785" t="str">
        <f t="shared" si="288"/>
        <v/>
      </c>
      <c r="KX40" s="1785" t="str">
        <f t="shared" si="289"/>
        <v/>
      </c>
      <c r="KY40" s="1785" t="str">
        <f t="shared" si="290"/>
        <v/>
      </c>
      <c r="KZ40" s="1785" t="str">
        <f t="shared" si="291"/>
        <v/>
      </c>
      <c r="LA40" s="1785" t="str">
        <f t="shared" si="292"/>
        <v/>
      </c>
      <c r="LB40" s="1785" t="str">
        <f t="shared" si="293"/>
        <v/>
      </c>
      <c r="LC40" s="1785" t="str">
        <f t="shared" si="294"/>
        <v/>
      </c>
      <c r="LD40" s="1785" t="str">
        <f t="shared" si="295"/>
        <v/>
      </c>
      <c r="LE40" s="1785" t="str">
        <f t="shared" si="296"/>
        <v/>
      </c>
      <c r="LF40" s="1785" t="str">
        <f t="shared" si="297"/>
        <v/>
      </c>
      <c r="LG40" s="1785" t="str">
        <f t="shared" si="298"/>
        <v/>
      </c>
      <c r="LH40" s="1785" t="str">
        <f t="shared" si="299"/>
        <v/>
      </c>
      <c r="LI40" s="1785" t="str">
        <f t="shared" si="300"/>
        <v/>
      </c>
      <c r="LJ40" s="1785" t="str">
        <f t="shared" si="301"/>
        <v/>
      </c>
      <c r="LK40" s="1785" t="str">
        <f t="shared" si="302"/>
        <v/>
      </c>
      <c r="LL40" s="1785" t="str">
        <f t="shared" si="303"/>
        <v/>
      </c>
      <c r="LM40" s="1785" t="str">
        <f t="shared" si="304"/>
        <v/>
      </c>
      <c r="LN40" s="1785" t="str">
        <f t="shared" si="305"/>
        <v/>
      </c>
      <c r="LO40" s="1785" t="str">
        <f t="shared" si="306"/>
        <v/>
      </c>
      <c r="LP40" s="1785" t="str">
        <f t="shared" si="307"/>
        <v/>
      </c>
      <c r="LQ40" s="1785" t="str">
        <f t="shared" si="308"/>
        <v/>
      </c>
      <c r="LR40" s="1785" t="str">
        <f t="shared" si="309"/>
        <v/>
      </c>
      <c r="LS40" s="1785" t="str">
        <f t="shared" si="310"/>
        <v/>
      </c>
      <c r="LT40" s="1785" t="str">
        <f t="shared" si="311"/>
        <v/>
      </c>
      <c r="LU40" s="1785" t="str">
        <f t="shared" si="312"/>
        <v/>
      </c>
      <c r="LV40" s="1785" t="str">
        <f t="shared" si="313"/>
        <v/>
      </c>
      <c r="LW40" s="1785" t="str">
        <f t="shared" si="314"/>
        <v/>
      </c>
      <c r="LX40" s="1785" t="str">
        <f t="shared" si="315"/>
        <v/>
      </c>
      <c r="LY40" s="1785" t="str">
        <f t="shared" si="316"/>
        <v/>
      </c>
      <c r="LZ40" s="1785" t="str">
        <f t="shared" si="317"/>
        <v/>
      </c>
      <c r="MA40" s="1785" t="str">
        <f t="shared" si="318"/>
        <v/>
      </c>
      <c r="MB40" s="1785" t="str">
        <f t="shared" si="319"/>
        <v/>
      </c>
      <c r="MC40" s="1785" t="str">
        <f t="shared" si="320"/>
        <v/>
      </c>
      <c r="MD40" s="1785" t="str">
        <f t="shared" si="321"/>
        <v/>
      </c>
      <c r="ME40" s="1785" t="str">
        <f t="shared" si="322"/>
        <v/>
      </c>
      <c r="MF40" s="1785" t="str">
        <f t="shared" si="323"/>
        <v/>
      </c>
      <c r="MG40" s="1785" t="str">
        <f t="shared" si="324"/>
        <v/>
      </c>
      <c r="MH40" s="1785" t="str">
        <f t="shared" si="325"/>
        <v/>
      </c>
      <c r="MI40" s="1785" t="str">
        <f t="shared" si="326"/>
        <v/>
      </c>
      <c r="MJ40" s="1785" t="str">
        <f t="shared" si="327"/>
        <v/>
      </c>
      <c r="MK40" s="1785" t="str">
        <f t="shared" si="328"/>
        <v/>
      </c>
      <c r="ML40" s="1785" t="str">
        <f t="shared" si="329"/>
        <v/>
      </c>
      <c r="MM40" s="1785" t="str">
        <f t="shared" si="330"/>
        <v/>
      </c>
      <c r="MN40" s="1785" t="str">
        <f t="shared" si="331"/>
        <v/>
      </c>
      <c r="MO40" s="1785" t="str">
        <f t="shared" si="332"/>
        <v/>
      </c>
      <c r="MP40" s="2470" t="str">
        <f t="shared" si="333"/>
        <v/>
      </c>
      <c r="MQ40" s="2470" t="str">
        <f t="shared" si="334"/>
        <v/>
      </c>
      <c r="MR40" s="2470" t="str">
        <f t="shared" si="335"/>
        <v/>
      </c>
      <c r="MS40" s="2470" t="str">
        <f t="shared" si="336"/>
        <v/>
      </c>
      <c r="MT40" s="2470" t="str">
        <f t="shared" si="337"/>
        <v/>
      </c>
      <c r="MU40" s="356" t="str">
        <f t="shared" si="338"/>
        <v/>
      </c>
      <c r="MV40" s="356" t="str">
        <f t="shared" si="339"/>
        <v/>
      </c>
      <c r="MW40" s="356" t="str">
        <f t="shared" si="340"/>
        <v/>
      </c>
      <c r="MX40" s="356" t="str">
        <f t="shared" si="341"/>
        <v/>
      </c>
      <c r="MY40" s="356" t="str">
        <f t="shared" si="342"/>
        <v/>
      </c>
      <c r="MZ40" s="356" t="str">
        <f t="shared" si="343"/>
        <v/>
      </c>
      <c r="NA40" s="356" t="str">
        <f t="shared" si="344"/>
        <v/>
      </c>
      <c r="NB40" s="356" t="str">
        <f t="shared" si="345"/>
        <v/>
      </c>
      <c r="NC40" s="356" t="str">
        <f t="shared" si="346"/>
        <v/>
      </c>
      <c r="ND40" s="356" t="str">
        <f t="shared" si="347"/>
        <v/>
      </c>
      <c r="NE40" s="356" t="str">
        <f t="shared" si="348"/>
        <v/>
      </c>
      <c r="NF40" s="356" t="str">
        <f t="shared" si="349"/>
        <v/>
      </c>
      <c r="NG40" s="356" t="str">
        <f t="shared" si="350"/>
        <v/>
      </c>
      <c r="NH40" s="356" t="str">
        <f t="shared" si="351"/>
        <v/>
      </c>
      <c r="NI40" s="356" t="str">
        <f t="shared" si="352"/>
        <v/>
      </c>
      <c r="NJ40" s="356" t="str">
        <f t="shared" si="353"/>
        <v/>
      </c>
      <c r="NK40" s="356" t="str">
        <f t="shared" si="354"/>
        <v/>
      </c>
      <c r="NL40" s="356" t="str">
        <f t="shared" si="355"/>
        <v/>
      </c>
      <c r="NM40" s="356" t="str">
        <f t="shared" si="356"/>
        <v/>
      </c>
      <c r="NN40" s="356" t="str">
        <f t="shared" si="357"/>
        <v/>
      </c>
      <c r="NO40" s="1640">
        <f t="shared" si="358"/>
        <v>0</v>
      </c>
      <c r="NP40" s="1640">
        <f t="shared" si="359"/>
        <v>0</v>
      </c>
      <c r="NQ40" s="1640">
        <f t="shared" si="360"/>
        <v>0</v>
      </c>
      <c r="NR40" s="1640">
        <f t="shared" si="361"/>
        <v>0</v>
      </c>
      <c r="NS40" s="1640">
        <f t="shared" si="362"/>
        <v>0</v>
      </c>
      <c r="NT40" s="1640">
        <f t="shared" si="368"/>
        <v>0</v>
      </c>
      <c r="NU40" s="1640">
        <f t="shared" si="369"/>
        <v>0</v>
      </c>
      <c r="NV40" s="1640">
        <f t="shared" si="370"/>
        <v>0</v>
      </c>
      <c r="NW40" s="1640">
        <f t="shared" si="371"/>
        <v>0</v>
      </c>
      <c r="NX40" s="1640">
        <f t="shared" si="372"/>
        <v>0</v>
      </c>
      <c r="NY40" s="1640">
        <f t="shared" si="363"/>
        <v>0</v>
      </c>
      <c r="NZ40" s="1640">
        <f t="shared" si="364"/>
        <v>0</v>
      </c>
      <c r="OA40" s="1640">
        <f t="shared" si="365"/>
        <v>0</v>
      </c>
      <c r="OB40" s="1640">
        <f t="shared" si="366"/>
        <v>0</v>
      </c>
      <c r="OC40" s="1640">
        <f t="shared" si="367"/>
        <v>0</v>
      </c>
      <c r="OY40" s="2499" t="s">
        <v>4326</v>
      </c>
      <c r="OZ40" s="2504">
        <v>40</v>
      </c>
    </row>
    <row r="41" spans="1:416" ht="12" customHeight="1">
      <c r="A41" s="86" t="str">
        <f t="shared" si="0"/>
        <v/>
      </c>
      <c r="B41" s="1055"/>
      <c r="C41" s="132"/>
      <c r="D41" s="1643"/>
      <c r="E41" s="133"/>
      <c r="F41" s="133"/>
      <c r="G41" s="133"/>
      <c r="H41" s="133"/>
      <c r="I41" s="133"/>
      <c r="J41" s="1036">
        <f>IF(C41="",0,HLOOKUP(C41,'Part IV-Utility Allowances'!$I$11:$M$25,15))</f>
        <v>0</v>
      </c>
      <c r="K41" s="630"/>
      <c r="L41" s="460">
        <f t="shared" si="1"/>
        <v>0</v>
      </c>
      <c r="M41" s="460">
        <f t="shared" si="2"/>
        <v>0</v>
      </c>
      <c r="N41" s="680"/>
      <c r="O41" s="1585"/>
      <c r="P41" s="680"/>
      <c r="Q41" s="134"/>
      <c r="R41" s="723"/>
      <c r="S41" s="724"/>
      <c r="T41" s="3613"/>
      <c r="U41" s="3614"/>
      <c r="V41" s="3614"/>
      <c r="W41" s="3615"/>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356" t="str">
        <f t="shared" si="213"/>
        <v/>
      </c>
      <c r="IA41" s="356" t="str">
        <f t="shared" si="214"/>
        <v/>
      </c>
      <c r="IB41" s="356" t="str">
        <f t="shared" si="215"/>
        <v/>
      </c>
      <c r="IC41" s="356" t="str">
        <f t="shared" si="216"/>
        <v/>
      </c>
      <c r="ID41" s="356" t="str">
        <f t="shared" si="217"/>
        <v/>
      </c>
      <c r="IE41" s="356" t="str">
        <f t="shared" si="218"/>
        <v/>
      </c>
      <c r="IF41" s="356" t="str">
        <f t="shared" si="219"/>
        <v/>
      </c>
      <c r="IG41" s="356" t="str">
        <f t="shared" si="220"/>
        <v/>
      </c>
      <c r="IH41" s="356" t="str">
        <f t="shared" si="221"/>
        <v/>
      </c>
      <c r="II41" s="356" t="str">
        <f t="shared" si="222"/>
        <v/>
      </c>
      <c r="IJ41" s="356" t="str">
        <f t="shared" si="223"/>
        <v/>
      </c>
      <c r="IK41" s="356" t="str">
        <f t="shared" si="224"/>
        <v/>
      </c>
      <c r="IL41" s="356" t="str">
        <f t="shared" si="225"/>
        <v/>
      </c>
      <c r="IM41" s="356" t="str">
        <f t="shared" si="226"/>
        <v/>
      </c>
      <c r="IN41" s="356" t="str">
        <f t="shared" si="227"/>
        <v/>
      </c>
      <c r="IO41" s="356" t="str">
        <f t="shared" si="228"/>
        <v/>
      </c>
      <c r="IP41" s="356" t="str">
        <f t="shared" si="229"/>
        <v/>
      </c>
      <c r="IQ41" s="356" t="str">
        <f t="shared" si="230"/>
        <v/>
      </c>
      <c r="IR41" s="356" t="str">
        <f t="shared" si="231"/>
        <v/>
      </c>
      <c r="IS41" s="356" t="str">
        <f t="shared" si="232"/>
        <v/>
      </c>
      <c r="IT41" s="356" t="str">
        <f t="shared" si="233"/>
        <v/>
      </c>
      <c r="IU41" s="356" t="str">
        <f t="shared" si="234"/>
        <v/>
      </c>
      <c r="IV41" s="356" t="str">
        <f t="shared" si="235"/>
        <v/>
      </c>
      <c r="IW41" s="356" t="str">
        <f t="shared" si="236"/>
        <v/>
      </c>
      <c r="IX41" s="356" t="str">
        <f t="shared" si="237"/>
        <v/>
      </c>
      <c r="IY41" s="356" t="str">
        <f t="shared" si="238"/>
        <v/>
      </c>
      <c r="IZ41" s="356" t="str">
        <f t="shared" si="239"/>
        <v/>
      </c>
      <c r="JA41" s="356" t="str">
        <f t="shared" si="240"/>
        <v/>
      </c>
      <c r="JB41" s="356" t="str">
        <f t="shared" si="241"/>
        <v/>
      </c>
      <c r="JC41" s="356" t="str">
        <f t="shared" si="242"/>
        <v/>
      </c>
      <c r="JD41" s="356" t="str">
        <f t="shared" si="243"/>
        <v/>
      </c>
      <c r="JE41" s="356" t="str">
        <f t="shared" si="244"/>
        <v/>
      </c>
      <c r="JF41" s="356" t="str">
        <f t="shared" si="245"/>
        <v/>
      </c>
      <c r="JG41" s="356" t="str">
        <f t="shared" si="246"/>
        <v/>
      </c>
      <c r="JH41" s="356" t="str">
        <f t="shared" si="247"/>
        <v/>
      </c>
      <c r="JI41" s="1785" t="str">
        <f t="shared" si="248"/>
        <v/>
      </c>
      <c r="JJ41" s="1785" t="str">
        <f t="shared" si="249"/>
        <v/>
      </c>
      <c r="JK41" s="1785" t="str">
        <f t="shared" si="250"/>
        <v/>
      </c>
      <c r="JL41" s="1785" t="str">
        <f t="shared" si="251"/>
        <v/>
      </c>
      <c r="JM41" s="1785" t="str">
        <f t="shared" si="252"/>
        <v/>
      </c>
      <c r="JN41" s="1785" t="str">
        <f t="shared" si="253"/>
        <v/>
      </c>
      <c r="JO41" s="1785" t="str">
        <f t="shared" si="254"/>
        <v/>
      </c>
      <c r="JP41" s="1785" t="str">
        <f t="shared" si="255"/>
        <v/>
      </c>
      <c r="JQ41" s="1785" t="str">
        <f t="shared" si="256"/>
        <v/>
      </c>
      <c r="JR41" s="1785" t="str">
        <f t="shared" si="257"/>
        <v/>
      </c>
      <c r="JS41" s="1785" t="str">
        <f t="shared" si="258"/>
        <v/>
      </c>
      <c r="JT41" s="1785" t="str">
        <f t="shared" si="259"/>
        <v/>
      </c>
      <c r="JU41" s="1785" t="str">
        <f t="shared" si="260"/>
        <v/>
      </c>
      <c r="JV41" s="1785" t="str">
        <f t="shared" si="261"/>
        <v/>
      </c>
      <c r="JW41" s="1785" t="str">
        <f t="shared" si="262"/>
        <v/>
      </c>
      <c r="JX41" s="1785" t="str">
        <f t="shared" si="263"/>
        <v/>
      </c>
      <c r="JY41" s="1785" t="str">
        <f t="shared" si="264"/>
        <v/>
      </c>
      <c r="JZ41" s="1785" t="str">
        <f t="shared" si="265"/>
        <v/>
      </c>
      <c r="KA41" s="1785" t="str">
        <f t="shared" si="266"/>
        <v/>
      </c>
      <c r="KB41" s="1785" t="str">
        <f t="shared" si="267"/>
        <v/>
      </c>
      <c r="KC41" s="1785" t="str">
        <f t="shared" si="268"/>
        <v/>
      </c>
      <c r="KD41" s="1785" t="str">
        <f t="shared" si="269"/>
        <v/>
      </c>
      <c r="KE41" s="1785" t="str">
        <f t="shared" si="270"/>
        <v/>
      </c>
      <c r="KF41" s="1785" t="str">
        <f t="shared" si="271"/>
        <v/>
      </c>
      <c r="KG41" s="1785" t="str">
        <f t="shared" si="272"/>
        <v/>
      </c>
      <c r="KH41" s="1785" t="str">
        <f t="shared" si="273"/>
        <v/>
      </c>
      <c r="KI41" s="1785" t="str">
        <f t="shared" si="274"/>
        <v/>
      </c>
      <c r="KJ41" s="1785" t="str">
        <f t="shared" si="275"/>
        <v/>
      </c>
      <c r="KK41" s="1785" t="str">
        <f t="shared" si="276"/>
        <v/>
      </c>
      <c r="KL41" s="1785" t="str">
        <f t="shared" si="277"/>
        <v/>
      </c>
      <c r="KM41" s="1785" t="str">
        <f t="shared" si="278"/>
        <v/>
      </c>
      <c r="KN41" s="1785" t="str">
        <f t="shared" si="279"/>
        <v/>
      </c>
      <c r="KO41" s="1785" t="str">
        <f t="shared" si="280"/>
        <v/>
      </c>
      <c r="KP41" s="1785" t="str">
        <f t="shared" si="281"/>
        <v/>
      </c>
      <c r="KQ41" s="1785" t="str">
        <f t="shared" si="282"/>
        <v/>
      </c>
      <c r="KR41" s="1785" t="str">
        <f t="shared" si="283"/>
        <v/>
      </c>
      <c r="KS41" s="1785" t="str">
        <f t="shared" si="284"/>
        <v/>
      </c>
      <c r="KT41" s="1785" t="str">
        <f t="shared" si="285"/>
        <v/>
      </c>
      <c r="KU41" s="1785" t="str">
        <f t="shared" si="286"/>
        <v/>
      </c>
      <c r="KV41" s="1785" t="str">
        <f t="shared" si="287"/>
        <v/>
      </c>
      <c r="KW41" s="1785" t="str">
        <f t="shared" si="288"/>
        <v/>
      </c>
      <c r="KX41" s="1785" t="str">
        <f t="shared" si="289"/>
        <v/>
      </c>
      <c r="KY41" s="1785" t="str">
        <f t="shared" si="290"/>
        <v/>
      </c>
      <c r="KZ41" s="1785" t="str">
        <f t="shared" si="291"/>
        <v/>
      </c>
      <c r="LA41" s="1785" t="str">
        <f t="shared" si="292"/>
        <v/>
      </c>
      <c r="LB41" s="1785" t="str">
        <f t="shared" si="293"/>
        <v/>
      </c>
      <c r="LC41" s="1785" t="str">
        <f t="shared" si="294"/>
        <v/>
      </c>
      <c r="LD41" s="1785" t="str">
        <f t="shared" si="295"/>
        <v/>
      </c>
      <c r="LE41" s="1785" t="str">
        <f t="shared" si="296"/>
        <v/>
      </c>
      <c r="LF41" s="1785" t="str">
        <f t="shared" si="297"/>
        <v/>
      </c>
      <c r="LG41" s="1785" t="str">
        <f t="shared" si="298"/>
        <v/>
      </c>
      <c r="LH41" s="1785" t="str">
        <f t="shared" si="299"/>
        <v/>
      </c>
      <c r="LI41" s="1785" t="str">
        <f t="shared" si="300"/>
        <v/>
      </c>
      <c r="LJ41" s="1785" t="str">
        <f t="shared" si="301"/>
        <v/>
      </c>
      <c r="LK41" s="1785" t="str">
        <f t="shared" si="302"/>
        <v/>
      </c>
      <c r="LL41" s="1785" t="str">
        <f t="shared" si="303"/>
        <v/>
      </c>
      <c r="LM41" s="1785" t="str">
        <f t="shared" si="304"/>
        <v/>
      </c>
      <c r="LN41" s="1785" t="str">
        <f t="shared" si="305"/>
        <v/>
      </c>
      <c r="LO41" s="1785" t="str">
        <f t="shared" si="306"/>
        <v/>
      </c>
      <c r="LP41" s="1785" t="str">
        <f t="shared" si="307"/>
        <v/>
      </c>
      <c r="LQ41" s="1785" t="str">
        <f t="shared" si="308"/>
        <v/>
      </c>
      <c r="LR41" s="1785" t="str">
        <f t="shared" si="309"/>
        <v/>
      </c>
      <c r="LS41" s="1785" t="str">
        <f t="shared" si="310"/>
        <v/>
      </c>
      <c r="LT41" s="1785" t="str">
        <f t="shared" si="311"/>
        <v/>
      </c>
      <c r="LU41" s="1785" t="str">
        <f t="shared" si="312"/>
        <v/>
      </c>
      <c r="LV41" s="1785" t="str">
        <f t="shared" si="313"/>
        <v/>
      </c>
      <c r="LW41" s="1785" t="str">
        <f t="shared" si="314"/>
        <v/>
      </c>
      <c r="LX41" s="1785" t="str">
        <f t="shared" si="315"/>
        <v/>
      </c>
      <c r="LY41" s="1785" t="str">
        <f t="shared" si="316"/>
        <v/>
      </c>
      <c r="LZ41" s="1785" t="str">
        <f t="shared" si="317"/>
        <v/>
      </c>
      <c r="MA41" s="1785" t="str">
        <f t="shared" si="318"/>
        <v/>
      </c>
      <c r="MB41" s="1785" t="str">
        <f t="shared" si="319"/>
        <v/>
      </c>
      <c r="MC41" s="1785" t="str">
        <f t="shared" si="320"/>
        <v/>
      </c>
      <c r="MD41" s="1785" t="str">
        <f t="shared" si="321"/>
        <v/>
      </c>
      <c r="ME41" s="1785" t="str">
        <f t="shared" si="322"/>
        <v/>
      </c>
      <c r="MF41" s="1785" t="str">
        <f t="shared" si="323"/>
        <v/>
      </c>
      <c r="MG41" s="1785" t="str">
        <f t="shared" si="324"/>
        <v/>
      </c>
      <c r="MH41" s="1785" t="str">
        <f t="shared" si="325"/>
        <v/>
      </c>
      <c r="MI41" s="1785" t="str">
        <f t="shared" si="326"/>
        <v/>
      </c>
      <c r="MJ41" s="1785" t="str">
        <f t="shared" si="327"/>
        <v/>
      </c>
      <c r="MK41" s="1785" t="str">
        <f t="shared" si="328"/>
        <v/>
      </c>
      <c r="ML41" s="1785" t="str">
        <f t="shared" si="329"/>
        <v/>
      </c>
      <c r="MM41" s="1785" t="str">
        <f t="shared" si="330"/>
        <v/>
      </c>
      <c r="MN41" s="1785" t="str">
        <f t="shared" si="331"/>
        <v/>
      </c>
      <c r="MO41" s="1785" t="str">
        <f t="shared" si="332"/>
        <v/>
      </c>
      <c r="MP41" s="2470" t="str">
        <f t="shared" si="333"/>
        <v/>
      </c>
      <c r="MQ41" s="2470" t="str">
        <f t="shared" si="334"/>
        <v/>
      </c>
      <c r="MR41" s="2470" t="str">
        <f t="shared" si="335"/>
        <v/>
      </c>
      <c r="MS41" s="2470" t="str">
        <f t="shared" si="336"/>
        <v/>
      </c>
      <c r="MT41" s="2470" t="str">
        <f t="shared" si="337"/>
        <v/>
      </c>
      <c r="MU41" s="356" t="str">
        <f t="shared" si="338"/>
        <v/>
      </c>
      <c r="MV41" s="356" t="str">
        <f t="shared" si="339"/>
        <v/>
      </c>
      <c r="MW41" s="356" t="str">
        <f t="shared" si="340"/>
        <v/>
      </c>
      <c r="MX41" s="356" t="str">
        <f t="shared" si="341"/>
        <v/>
      </c>
      <c r="MY41" s="356" t="str">
        <f t="shared" si="342"/>
        <v/>
      </c>
      <c r="MZ41" s="356" t="str">
        <f t="shared" si="343"/>
        <v/>
      </c>
      <c r="NA41" s="356" t="str">
        <f t="shared" si="344"/>
        <v/>
      </c>
      <c r="NB41" s="356" t="str">
        <f t="shared" si="345"/>
        <v/>
      </c>
      <c r="NC41" s="356" t="str">
        <f t="shared" si="346"/>
        <v/>
      </c>
      <c r="ND41" s="356" t="str">
        <f t="shared" si="347"/>
        <v/>
      </c>
      <c r="NE41" s="356" t="str">
        <f t="shared" si="348"/>
        <v/>
      </c>
      <c r="NF41" s="356" t="str">
        <f t="shared" si="349"/>
        <v/>
      </c>
      <c r="NG41" s="356" t="str">
        <f t="shared" si="350"/>
        <v/>
      </c>
      <c r="NH41" s="356" t="str">
        <f t="shared" si="351"/>
        <v/>
      </c>
      <c r="NI41" s="356" t="str">
        <f t="shared" si="352"/>
        <v/>
      </c>
      <c r="NJ41" s="356" t="str">
        <f t="shared" si="353"/>
        <v/>
      </c>
      <c r="NK41" s="356" t="str">
        <f t="shared" si="354"/>
        <v/>
      </c>
      <c r="NL41" s="356" t="str">
        <f t="shared" si="355"/>
        <v/>
      </c>
      <c r="NM41" s="356" t="str">
        <f t="shared" si="356"/>
        <v/>
      </c>
      <c r="NN41" s="356" t="str">
        <f t="shared" si="357"/>
        <v/>
      </c>
      <c r="NO41" s="1640">
        <f t="shared" si="358"/>
        <v>0</v>
      </c>
      <c r="NP41" s="1640">
        <f t="shared" si="359"/>
        <v>0</v>
      </c>
      <c r="NQ41" s="1640">
        <f t="shared" si="360"/>
        <v>0</v>
      </c>
      <c r="NR41" s="1640">
        <f t="shared" si="361"/>
        <v>0</v>
      </c>
      <c r="NS41" s="1640">
        <f t="shared" si="362"/>
        <v>0</v>
      </c>
      <c r="NT41" s="1640">
        <f t="shared" si="368"/>
        <v>0</v>
      </c>
      <c r="NU41" s="1640">
        <f t="shared" si="369"/>
        <v>0</v>
      </c>
      <c r="NV41" s="1640">
        <f t="shared" si="370"/>
        <v>0</v>
      </c>
      <c r="NW41" s="1640">
        <f t="shared" si="371"/>
        <v>0</v>
      </c>
      <c r="NX41" s="1640">
        <f t="shared" si="372"/>
        <v>0</v>
      </c>
      <c r="NY41" s="1640">
        <f t="shared" si="363"/>
        <v>0</v>
      </c>
      <c r="NZ41" s="1640">
        <f t="shared" si="364"/>
        <v>0</v>
      </c>
      <c r="OA41" s="1640">
        <f t="shared" si="365"/>
        <v>0</v>
      </c>
      <c r="OB41" s="1640">
        <f t="shared" si="366"/>
        <v>0</v>
      </c>
      <c r="OC41" s="1640">
        <f t="shared" si="367"/>
        <v>0</v>
      </c>
      <c r="OY41" s="2499" t="s">
        <v>4327</v>
      </c>
      <c r="OZ41" s="2504">
        <v>41</v>
      </c>
    </row>
    <row r="42" spans="1:416" ht="12" customHeight="1">
      <c r="A42" s="86" t="str">
        <f t="shared" si="0"/>
        <v/>
      </c>
      <c r="B42" s="1055"/>
      <c r="C42" s="132"/>
      <c r="D42" s="1643"/>
      <c r="E42" s="133"/>
      <c r="F42" s="133"/>
      <c r="G42" s="133"/>
      <c r="H42" s="133"/>
      <c r="I42" s="133"/>
      <c r="J42" s="1036">
        <f>IF(C42="",0,HLOOKUP(C42,'Part IV-Utility Allowances'!$I$11:$M$25,15))</f>
        <v>0</v>
      </c>
      <c r="K42" s="630"/>
      <c r="L42" s="460">
        <f t="shared" si="1"/>
        <v>0</v>
      </c>
      <c r="M42" s="460">
        <f t="shared" si="2"/>
        <v>0</v>
      </c>
      <c r="N42" s="680"/>
      <c r="O42" s="1585"/>
      <c r="P42" s="680"/>
      <c r="Q42" s="134"/>
      <c r="R42" s="723"/>
      <c r="S42" s="724"/>
      <c r="T42" s="3613"/>
      <c r="U42" s="3614"/>
      <c r="V42" s="3614"/>
      <c r="W42" s="3615"/>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356" t="str">
        <f t="shared" si="213"/>
        <v/>
      </c>
      <c r="IA42" s="356" t="str">
        <f t="shared" si="214"/>
        <v/>
      </c>
      <c r="IB42" s="356" t="str">
        <f t="shared" si="215"/>
        <v/>
      </c>
      <c r="IC42" s="356" t="str">
        <f t="shared" si="216"/>
        <v/>
      </c>
      <c r="ID42" s="356" t="str">
        <f t="shared" si="217"/>
        <v/>
      </c>
      <c r="IE42" s="356" t="str">
        <f t="shared" si="218"/>
        <v/>
      </c>
      <c r="IF42" s="356" t="str">
        <f t="shared" si="219"/>
        <v/>
      </c>
      <c r="IG42" s="356" t="str">
        <f t="shared" si="220"/>
        <v/>
      </c>
      <c r="IH42" s="356" t="str">
        <f t="shared" si="221"/>
        <v/>
      </c>
      <c r="II42" s="356" t="str">
        <f t="shared" si="222"/>
        <v/>
      </c>
      <c r="IJ42" s="356" t="str">
        <f t="shared" si="223"/>
        <v/>
      </c>
      <c r="IK42" s="356" t="str">
        <f t="shared" si="224"/>
        <v/>
      </c>
      <c r="IL42" s="356" t="str">
        <f t="shared" si="225"/>
        <v/>
      </c>
      <c r="IM42" s="356" t="str">
        <f t="shared" si="226"/>
        <v/>
      </c>
      <c r="IN42" s="356" t="str">
        <f t="shared" si="227"/>
        <v/>
      </c>
      <c r="IO42" s="356" t="str">
        <f t="shared" si="228"/>
        <v/>
      </c>
      <c r="IP42" s="356" t="str">
        <f t="shared" si="229"/>
        <v/>
      </c>
      <c r="IQ42" s="356" t="str">
        <f t="shared" si="230"/>
        <v/>
      </c>
      <c r="IR42" s="356" t="str">
        <f t="shared" si="231"/>
        <v/>
      </c>
      <c r="IS42" s="356" t="str">
        <f t="shared" si="232"/>
        <v/>
      </c>
      <c r="IT42" s="356" t="str">
        <f t="shared" si="233"/>
        <v/>
      </c>
      <c r="IU42" s="356" t="str">
        <f t="shared" si="234"/>
        <v/>
      </c>
      <c r="IV42" s="356" t="str">
        <f t="shared" si="235"/>
        <v/>
      </c>
      <c r="IW42" s="356" t="str">
        <f t="shared" si="236"/>
        <v/>
      </c>
      <c r="IX42" s="356" t="str">
        <f t="shared" si="237"/>
        <v/>
      </c>
      <c r="IY42" s="356" t="str">
        <f t="shared" si="238"/>
        <v/>
      </c>
      <c r="IZ42" s="356" t="str">
        <f t="shared" si="239"/>
        <v/>
      </c>
      <c r="JA42" s="356" t="str">
        <f t="shared" si="240"/>
        <v/>
      </c>
      <c r="JB42" s="356" t="str">
        <f t="shared" si="241"/>
        <v/>
      </c>
      <c r="JC42" s="356" t="str">
        <f t="shared" si="242"/>
        <v/>
      </c>
      <c r="JD42" s="356" t="str">
        <f t="shared" si="243"/>
        <v/>
      </c>
      <c r="JE42" s="356" t="str">
        <f t="shared" si="244"/>
        <v/>
      </c>
      <c r="JF42" s="356" t="str">
        <f t="shared" si="245"/>
        <v/>
      </c>
      <c r="JG42" s="356" t="str">
        <f t="shared" si="246"/>
        <v/>
      </c>
      <c r="JH42" s="356" t="str">
        <f t="shared" si="247"/>
        <v/>
      </c>
      <c r="JI42" s="1785" t="str">
        <f t="shared" si="248"/>
        <v/>
      </c>
      <c r="JJ42" s="1785" t="str">
        <f t="shared" si="249"/>
        <v/>
      </c>
      <c r="JK42" s="1785" t="str">
        <f t="shared" si="250"/>
        <v/>
      </c>
      <c r="JL42" s="1785" t="str">
        <f t="shared" si="251"/>
        <v/>
      </c>
      <c r="JM42" s="1785" t="str">
        <f t="shared" si="252"/>
        <v/>
      </c>
      <c r="JN42" s="1785" t="str">
        <f t="shared" si="253"/>
        <v/>
      </c>
      <c r="JO42" s="1785" t="str">
        <f t="shared" si="254"/>
        <v/>
      </c>
      <c r="JP42" s="1785" t="str">
        <f t="shared" si="255"/>
        <v/>
      </c>
      <c r="JQ42" s="1785" t="str">
        <f t="shared" si="256"/>
        <v/>
      </c>
      <c r="JR42" s="1785" t="str">
        <f t="shared" si="257"/>
        <v/>
      </c>
      <c r="JS42" s="1785" t="str">
        <f t="shared" si="258"/>
        <v/>
      </c>
      <c r="JT42" s="1785" t="str">
        <f t="shared" si="259"/>
        <v/>
      </c>
      <c r="JU42" s="1785" t="str">
        <f t="shared" si="260"/>
        <v/>
      </c>
      <c r="JV42" s="1785" t="str">
        <f t="shared" si="261"/>
        <v/>
      </c>
      <c r="JW42" s="1785" t="str">
        <f t="shared" si="262"/>
        <v/>
      </c>
      <c r="JX42" s="1785" t="str">
        <f t="shared" si="263"/>
        <v/>
      </c>
      <c r="JY42" s="1785" t="str">
        <f t="shared" si="264"/>
        <v/>
      </c>
      <c r="JZ42" s="1785" t="str">
        <f t="shared" si="265"/>
        <v/>
      </c>
      <c r="KA42" s="1785" t="str">
        <f t="shared" si="266"/>
        <v/>
      </c>
      <c r="KB42" s="1785" t="str">
        <f t="shared" si="267"/>
        <v/>
      </c>
      <c r="KC42" s="1785" t="str">
        <f t="shared" si="268"/>
        <v/>
      </c>
      <c r="KD42" s="1785" t="str">
        <f t="shared" si="269"/>
        <v/>
      </c>
      <c r="KE42" s="1785" t="str">
        <f t="shared" si="270"/>
        <v/>
      </c>
      <c r="KF42" s="1785" t="str">
        <f t="shared" si="271"/>
        <v/>
      </c>
      <c r="KG42" s="1785" t="str">
        <f t="shared" si="272"/>
        <v/>
      </c>
      <c r="KH42" s="1785" t="str">
        <f t="shared" si="273"/>
        <v/>
      </c>
      <c r="KI42" s="1785" t="str">
        <f t="shared" si="274"/>
        <v/>
      </c>
      <c r="KJ42" s="1785" t="str">
        <f t="shared" si="275"/>
        <v/>
      </c>
      <c r="KK42" s="1785" t="str">
        <f t="shared" si="276"/>
        <v/>
      </c>
      <c r="KL42" s="1785" t="str">
        <f t="shared" si="277"/>
        <v/>
      </c>
      <c r="KM42" s="1785" t="str">
        <f t="shared" si="278"/>
        <v/>
      </c>
      <c r="KN42" s="1785" t="str">
        <f t="shared" si="279"/>
        <v/>
      </c>
      <c r="KO42" s="1785" t="str">
        <f t="shared" si="280"/>
        <v/>
      </c>
      <c r="KP42" s="1785" t="str">
        <f t="shared" si="281"/>
        <v/>
      </c>
      <c r="KQ42" s="1785" t="str">
        <f t="shared" si="282"/>
        <v/>
      </c>
      <c r="KR42" s="1785" t="str">
        <f t="shared" si="283"/>
        <v/>
      </c>
      <c r="KS42" s="1785" t="str">
        <f t="shared" si="284"/>
        <v/>
      </c>
      <c r="KT42" s="1785" t="str">
        <f t="shared" si="285"/>
        <v/>
      </c>
      <c r="KU42" s="1785" t="str">
        <f t="shared" si="286"/>
        <v/>
      </c>
      <c r="KV42" s="1785" t="str">
        <f t="shared" si="287"/>
        <v/>
      </c>
      <c r="KW42" s="1785" t="str">
        <f t="shared" si="288"/>
        <v/>
      </c>
      <c r="KX42" s="1785" t="str">
        <f t="shared" si="289"/>
        <v/>
      </c>
      <c r="KY42" s="1785" t="str">
        <f t="shared" si="290"/>
        <v/>
      </c>
      <c r="KZ42" s="1785" t="str">
        <f t="shared" si="291"/>
        <v/>
      </c>
      <c r="LA42" s="1785" t="str">
        <f t="shared" si="292"/>
        <v/>
      </c>
      <c r="LB42" s="1785" t="str">
        <f t="shared" si="293"/>
        <v/>
      </c>
      <c r="LC42" s="1785" t="str">
        <f t="shared" si="294"/>
        <v/>
      </c>
      <c r="LD42" s="1785" t="str">
        <f t="shared" si="295"/>
        <v/>
      </c>
      <c r="LE42" s="1785" t="str">
        <f t="shared" si="296"/>
        <v/>
      </c>
      <c r="LF42" s="1785" t="str">
        <f t="shared" si="297"/>
        <v/>
      </c>
      <c r="LG42" s="1785" t="str">
        <f t="shared" si="298"/>
        <v/>
      </c>
      <c r="LH42" s="1785" t="str">
        <f t="shared" si="299"/>
        <v/>
      </c>
      <c r="LI42" s="1785" t="str">
        <f t="shared" si="300"/>
        <v/>
      </c>
      <c r="LJ42" s="1785" t="str">
        <f t="shared" si="301"/>
        <v/>
      </c>
      <c r="LK42" s="1785" t="str">
        <f t="shared" si="302"/>
        <v/>
      </c>
      <c r="LL42" s="1785" t="str">
        <f t="shared" si="303"/>
        <v/>
      </c>
      <c r="LM42" s="1785" t="str">
        <f t="shared" si="304"/>
        <v/>
      </c>
      <c r="LN42" s="1785" t="str">
        <f t="shared" si="305"/>
        <v/>
      </c>
      <c r="LO42" s="1785" t="str">
        <f t="shared" si="306"/>
        <v/>
      </c>
      <c r="LP42" s="1785" t="str">
        <f t="shared" si="307"/>
        <v/>
      </c>
      <c r="LQ42" s="1785" t="str">
        <f t="shared" si="308"/>
        <v/>
      </c>
      <c r="LR42" s="1785" t="str">
        <f t="shared" si="309"/>
        <v/>
      </c>
      <c r="LS42" s="1785" t="str">
        <f t="shared" si="310"/>
        <v/>
      </c>
      <c r="LT42" s="1785" t="str">
        <f t="shared" si="311"/>
        <v/>
      </c>
      <c r="LU42" s="1785" t="str">
        <f t="shared" si="312"/>
        <v/>
      </c>
      <c r="LV42" s="1785" t="str">
        <f t="shared" si="313"/>
        <v/>
      </c>
      <c r="LW42" s="1785" t="str">
        <f t="shared" si="314"/>
        <v/>
      </c>
      <c r="LX42" s="1785" t="str">
        <f t="shared" si="315"/>
        <v/>
      </c>
      <c r="LY42" s="1785" t="str">
        <f t="shared" si="316"/>
        <v/>
      </c>
      <c r="LZ42" s="1785" t="str">
        <f t="shared" si="317"/>
        <v/>
      </c>
      <c r="MA42" s="1785" t="str">
        <f t="shared" si="318"/>
        <v/>
      </c>
      <c r="MB42" s="1785" t="str">
        <f t="shared" si="319"/>
        <v/>
      </c>
      <c r="MC42" s="1785" t="str">
        <f t="shared" si="320"/>
        <v/>
      </c>
      <c r="MD42" s="1785" t="str">
        <f t="shared" si="321"/>
        <v/>
      </c>
      <c r="ME42" s="1785" t="str">
        <f t="shared" si="322"/>
        <v/>
      </c>
      <c r="MF42" s="1785" t="str">
        <f t="shared" si="323"/>
        <v/>
      </c>
      <c r="MG42" s="1785" t="str">
        <f t="shared" si="324"/>
        <v/>
      </c>
      <c r="MH42" s="1785" t="str">
        <f t="shared" si="325"/>
        <v/>
      </c>
      <c r="MI42" s="1785" t="str">
        <f t="shared" si="326"/>
        <v/>
      </c>
      <c r="MJ42" s="1785" t="str">
        <f t="shared" si="327"/>
        <v/>
      </c>
      <c r="MK42" s="1785" t="str">
        <f t="shared" si="328"/>
        <v/>
      </c>
      <c r="ML42" s="1785" t="str">
        <f t="shared" si="329"/>
        <v/>
      </c>
      <c r="MM42" s="1785" t="str">
        <f t="shared" si="330"/>
        <v/>
      </c>
      <c r="MN42" s="1785" t="str">
        <f t="shared" si="331"/>
        <v/>
      </c>
      <c r="MO42" s="1785" t="str">
        <f t="shared" si="332"/>
        <v/>
      </c>
      <c r="MP42" s="2470" t="str">
        <f t="shared" si="333"/>
        <v/>
      </c>
      <c r="MQ42" s="2470" t="str">
        <f t="shared" si="334"/>
        <v/>
      </c>
      <c r="MR42" s="2470" t="str">
        <f t="shared" si="335"/>
        <v/>
      </c>
      <c r="MS42" s="2470" t="str">
        <f t="shared" si="336"/>
        <v/>
      </c>
      <c r="MT42" s="2470" t="str">
        <f t="shared" si="337"/>
        <v/>
      </c>
      <c r="MU42" s="356" t="str">
        <f t="shared" si="338"/>
        <v/>
      </c>
      <c r="MV42" s="356" t="str">
        <f t="shared" si="339"/>
        <v/>
      </c>
      <c r="MW42" s="356" t="str">
        <f t="shared" si="340"/>
        <v/>
      </c>
      <c r="MX42" s="356" t="str">
        <f t="shared" si="341"/>
        <v/>
      </c>
      <c r="MY42" s="356" t="str">
        <f t="shared" si="342"/>
        <v/>
      </c>
      <c r="MZ42" s="356" t="str">
        <f t="shared" si="343"/>
        <v/>
      </c>
      <c r="NA42" s="356" t="str">
        <f t="shared" si="344"/>
        <v/>
      </c>
      <c r="NB42" s="356" t="str">
        <f t="shared" si="345"/>
        <v/>
      </c>
      <c r="NC42" s="356" t="str">
        <f t="shared" si="346"/>
        <v/>
      </c>
      <c r="ND42" s="356" t="str">
        <f t="shared" si="347"/>
        <v/>
      </c>
      <c r="NE42" s="356" t="str">
        <f t="shared" si="348"/>
        <v/>
      </c>
      <c r="NF42" s="356" t="str">
        <f t="shared" si="349"/>
        <v/>
      </c>
      <c r="NG42" s="356" t="str">
        <f t="shared" si="350"/>
        <v/>
      </c>
      <c r="NH42" s="356" t="str">
        <f t="shared" si="351"/>
        <v/>
      </c>
      <c r="NI42" s="356" t="str">
        <f t="shared" si="352"/>
        <v/>
      </c>
      <c r="NJ42" s="356" t="str">
        <f t="shared" si="353"/>
        <v/>
      </c>
      <c r="NK42" s="356" t="str">
        <f t="shared" si="354"/>
        <v/>
      </c>
      <c r="NL42" s="356" t="str">
        <f t="shared" si="355"/>
        <v/>
      </c>
      <c r="NM42" s="356" t="str">
        <f t="shared" si="356"/>
        <v/>
      </c>
      <c r="NN42" s="356" t="str">
        <f t="shared" si="357"/>
        <v/>
      </c>
      <c r="NO42" s="1640">
        <f t="shared" si="358"/>
        <v>0</v>
      </c>
      <c r="NP42" s="1640">
        <f t="shared" si="359"/>
        <v>0</v>
      </c>
      <c r="NQ42" s="1640">
        <f t="shared" si="360"/>
        <v>0</v>
      </c>
      <c r="NR42" s="1640">
        <f t="shared" si="361"/>
        <v>0</v>
      </c>
      <c r="NS42" s="1640">
        <f t="shared" si="362"/>
        <v>0</v>
      </c>
      <c r="NT42" s="1640">
        <f t="shared" si="368"/>
        <v>0</v>
      </c>
      <c r="NU42" s="1640">
        <f t="shared" si="369"/>
        <v>0</v>
      </c>
      <c r="NV42" s="1640">
        <f t="shared" si="370"/>
        <v>0</v>
      </c>
      <c r="NW42" s="1640">
        <f t="shared" si="371"/>
        <v>0</v>
      </c>
      <c r="NX42" s="1640">
        <f t="shared" si="372"/>
        <v>0</v>
      </c>
      <c r="NY42" s="1640">
        <f t="shared" si="363"/>
        <v>0</v>
      </c>
      <c r="NZ42" s="1640">
        <f t="shared" si="364"/>
        <v>0</v>
      </c>
      <c r="OA42" s="1640">
        <f t="shared" si="365"/>
        <v>0</v>
      </c>
      <c r="OB42" s="1640">
        <f t="shared" si="366"/>
        <v>0</v>
      </c>
      <c r="OC42" s="1640">
        <f t="shared" si="367"/>
        <v>0</v>
      </c>
      <c r="OY42" s="2499" t="s">
        <v>4328</v>
      </c>
      <c r="OZ42" s="2506">
        <v>42</v>
      </c>
    </row>
    <row r="43" spans="1:416" ht="12" customHeight="1">
      <c r="A43" s="86" t="str">
        <f t="shared" si="0"/>
        <v/>
      </c>
      <c r="B43" s="1055"/>
      <c r="C43" s="132"/>
      <c r="D43" s="1643"/>
      <c r="E43" s="133"/>
      <c r="F43" s="133"/>
      <c r="G43" s="133"/>
      <c r="H43" s="133"/>
      <c r="I43" s="133"/>
      <c r="J43" s="1036">
        <f>IF(C43="",0,HLOOKUP(C43,'Part IV-Utility Allowances'!$I$11:$M$25,15))</f>
        <v>0</v>
      </c>
      <c r="K43" s="630"/>
      <c r="L43" s="460">
        <f t="shared" si="1"/>
        <v>0</v>
      </c>
      <c r="M43" s="460">
        <f t="shared" si="2"/>
        <v>0</v>
      </c>
      <c r="N43" s="680"/>
      <c r="O43" s="1585"/>
      <c r="P43" s="680"/>
      <c r="Q43" s="134"/>
      <c r="R43" s="723"/>
      <c r="S43" s="724"/>
      <c r="T43" s="3613"/>
      <c r="U43" s="3614"/>
      <c r="V43" s="3614"/>
      <c r="W43" s="3615"/>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356" t="str">
        <f t="shared" si="213"/>
        <v/>
      </c>
      <c r="IA43" s="356" t="str">
        <f t="shared" si="214"/>
        <v/>
      </c>
      <c r="IB43" s="356" t="str">
        <f t="shared" si="215"/>
        <v/>
      </c>
      <c r="IC43" s="356" t="str">
        <f t="shared" si="216"/>
        <v/>
      </c>
      <c r="ID43" s="356" t="str">
        <f t="shared" si="217"/>
        <v/>
      </c>
      <c r="IE43" s="356" t="str">
        <f t="shared" si="218"/>
        <v/>
      </c>
      <c r="IF43" s="356" t="str">
        <f t="shared" si="219"/>
        <v/>
      </c>
      <c r="IG43" s="356" t="str">
        <f t="shared" si="220"/>
        <v/>
      </c>
      <c r="IH43" s="356" t="str">
        <f t="shared" si="221"/>
        <v/>
      </c>
      <c r="II43" s="356" t="str">
        <f t="shared" si="222"/>
        <v/>
      </c>
      <c r="IJ43" s="356" t="str">
        <f t="shared" si="223"/>
        <v/>
      </c>
      <c r="IK43" s="356" t="str">
        <f t="shared" si="224"/>
        <v/>
      </c>
      <c r="IL43" s="356" t="str">
        <f t="shared" si="225"/>
        <v/>
      </c>
      <c r="IM43" s="356" t="str">
        <f t="shared" si="226"/>
        <v/>
      </c>
      <c r="IN43" s="356" t="str">
        <f t="shared" si="227"/>
        <v/>
      </c>
      <c r="IO43" s="356" t="str">
        <f t="shared" si="228"/>
        <v/>
      </c>
      <c r="IP43" s="356" t="str">
        <f t="shared" si="229"/>
        <v/>
      </c>
      <c r="IQ43" s="356" t="str">
        <f t="shared" si="230"/>
        <v/>
      </c>
      <c r="IR43" s="356" t="str">
        <f t="shared" si="231"/>
        <v/>
      </c>
      <c r="IS43" s="356" t="str">
        <f t="shared" si="232"/>
        <v/>
      </c>
      <c r="IT43" s="356" t="str">
        <f t="shared" si="233"/>
        <v/>
      </c>
      <c r="IU43" s="356" t="str">
        <f t="shared" si="234"/>
        <v/>
      </c>
      <c r="IV43" s="356" t="str">
        <f t="shared" si="235"/>
        <v/>
      </c>
      <c r="IW43" s="356" t="str">
        <f t="shared" si="236"/>
        <v/>
      </c>
      <c r="IX43" s="356" t="str">
        <f t="shared" si="237"/>
        <v/>
      </c>
      <c r="IY43" s="356" t="str">
        <f t="shared" si="238"/>
        <v/>
      </c>
      <c r="IZ43" s="356" t="str">
        <f t="shared" si="239"/>
        <v/>
      </c>
      <c r="JA43" s="356" t="str">
        <f t="shared" si="240"/>
        <v/>
      </c>
      <c r="JB43" s="356" t="str">
        <f t="shared" si="241"/>
        <v/>
      </c>
      <c r="JC43" s="356" t="str">
        <f t="shared" si="242"/>
        <v/>
      </c>
      <c r="JD43" s="356" t="str">
        <f t="shared" si="243"/>
        <v/>
      </c>
      <c r="JE43" s="356" t="str">
        <f t="shared" si="244"/>
        <v/>
      </c>
      <c r="JF43" s="356" t="str">
        <f t="shared" si="245"/>
        <v/>
      </c>
      <c r="JG43" s="356" t="str">
        <f t="shared" si="246"/>
        <v/>
      </c>
      <c r="JH43" s="356" t="str">
        <f t="shared" si="247"/>
        <v/>
      </c>
      <c r="JI43" s="1785" t="str">
        <f t="shared" si="248"/>
        <v/>
      </c>
      <c r="JJ43" s="1785" t="str">
        <f t="shared" si="249"/>
        <v/>
      </c>
      <c r="JK43" s="1785" t="str">
        <f t="shared" si="250"/>
        <v/>
      </c>
      <c r="JL43" s="1785" t="str">
        <f t="shared" si="251"/>
        <v/>
      </c>
      <c r="JM43" s="1785" t="str">
        <f t="shared" si="252"/>
        <v/>
      </c>
      <c r="JN43" s="1785" t="str">
        <f t="shared" si="253"/>
        <v/>
      </c>
      <c r="JO43" s="1785" t="str">
        <f t="shared" si="254"/>
        <v/>
      </c>
      <c r="JP43" s="1785" t="str">
        <f t="shared" si="255"/>
        <v/>
      </c>
      <c r="JQ43" s="1785" t="str">
        <f t="shared" si="256"/>
        <v/>
      </c>
      <c r="JR43" s="1785" t="str">
        <f t="shared" si="257"/>
        <v/>
      </c>
      <c r="JS43" s="1785" t="str">
        <f t="shared" si="258"/>
        <v/>
      </c>
      <c r="JT43" s="1785" t="str">
        <f t="shared" si="259"/>
        <v/>
      </c>
      <c r="JU43" s="1785" t="str">
        <f t="shared" si="260"/>
        <v/>
      </c>
      <c r="JV43" s="1785" t="str">
        <f t="shared" si="261"/>
        <v/>
      </c>
      <c r="JW43" s="1785" t="str">
        <f t="shared" si="262"/>
        <v/>
      </c>
      <c r="JX43" s="1785" t="str">
        <f t="shared" si="263"/>
        <v/>
      </c>
      <c r="JY43" s="1785" t="str">
        <f t="shared" si="264"/>
        <v/>
      </c>
      <c r="JZ43" s="1785" t="str">
        <f t="shared" si="265"/>
        <v/>
      </c>
      <c r="KA43" s="1785" t="str">
        <f t="shared" si="266"/>
        <v/>
      </c>
      <c r="KB43" s="1785" t="str">
        <f t="shared" si="267"/>
        <v/>
      </c>
      <c r="KC43" s="1785" t="str">
        <f t="shared" si="268"/>
        <v/>
      </c>
      <c r="KD43" s="1785" t="str">
        <f t="shared" si="269"/>
        <v/>
      </c>
      <c r="KE43" s="1785" t="str">
        <f t="shared" si="270"/>
        <v/>
      </c>
      <c r="KF43" s="1785" t="str">
        <f t="shared" si="271"/>
        <v/>
      </c>
      <c r="KG43" s="1785" t="str">
        <f t="shared" si="272"/>
        <v/>
      </c>
      <c r="KH43" s="1785" t="str">
        <f t="shared" si="273"/>
        <v/>
      </c>
      <c r="KI43" s="1785" t="str">
        <f t="shared" si="274"/>
        <v/>
      </c>
      <c r="KJ43" s="1785" t="str">
        <f t="shared" si="275"/>
        <v/>
      </c>
      <c r="KK43" s="1785" t="str">
        <f t="shared" si="276"/>
        <v/>
      </c>
      <c r="KL43" s="1785" t="str">
        <f t="shared" si="277"/>
        <v/>
      </c>
      <c r="KM43" s="1785" t="str">
        <f t="shared" si="278"/>
        <v/>
      </c>
      <c r="KN43" s="1785" t="str">
        <f t="shared" si="279"/>
        <v/>
      </c>
      <c r="KO43" s="1785" t="str">
        <f t="shared" si="280"/>
        <v/>
      </c>
      <c r="KP43" s="1785" t="str">
        <f t="shared" si="281"/>
        <v/>
      </c>
      <c r="KQ43" s="1785" t="str">
        <f t="shared" si="282"/>
        <v/>
      </c>
      <c r="KR43" s="1785" t="str">
        <f t="shared" si="283"/>
        <v/>
      </c>
      <c r="KS43" s="1785" t="str">
        <f t="shared" si="284"/>
        <v/>
      </c>
      <c r="KT43" s="1785" t="str">
        <f t="shared" si="285"/>
        <v/>
      </c>
      <c r="KU43" s="1785" t="str">
        <f t="shared" si="286"/>
        <v/>
      </c>
      <c r="KV43" s="1785" t="str">
        <f t="shared" si="287"/>
        <v/>
      </c>
      <c r="KW43" s="1785" t="str">
        <f t="shared" si="288"/>
        <v/>
      </c>
      <c r="KX43" s="1785" t="str">
        <f t="shared" si="289"/>
        <v/>
      </c>
      <c r="KY43" s="1785" t="str">
        <f t="shared" si="290"/>
        <v/>
      </c>
      <c r="KZ43" s="1785" t="str">
        <f t="shared" si="291"/>
        <v/>
      </c>
      <c r="LA43" s="1785" t="str">
        <f t="shared" si="292"/>
        <v/>
      </c>
      <c r="LB43" s="1785" t="str">
        <f t="shared" si="293"/>
        <v/>
      </c>
      <c r="LC43" s="1785" t="str">
        <f t="shared" si="294"/>
        <v/>
      </c>
      <c r="LD43" s="1785" t="str">
        <f t="shared" si="295"/>
        <v/>
      </c>
      <c r="LE43" s="1785" t="str">
        <f t="shared" si="296"/>
        <v/>
      </c>
      <c r="LF43" s="1785" t="str">
        <f t="shared" si="297"/>
        <v/>
      </c>
      <c r="LG43" s="1785" t="str">
        <f t="shared" si="298"/>
        <v/>
      </c>
      <c r="LH43" s="1785" t="str">
        <f t="shared" si="299"/>
        <v/>
      </c>
      <c r="LI43" s="1785" t="str">
        <f t="shared" si="300"/>
        <v/>
      </c>
      <c r="LJ43" s="1785" t="str">
        <f t="shared" si="301"/>
        <v/>
      </c>
      <c r="LK43" s="1785" t="str">
        <f t="shared" si="302"/>
        <v/>
      </c>
      <c r="LL43" s="1785" t="str">
        <f t="shared" si="303"/>
        <v/>
      </c>
      <c r="LM43" s="1785" t="str">
        <f t="shared" si="304"/>
        <v/>
      </c>
      <c r="LN43" s="1785" t="str">
        <f t="shared" si="305"/>
        <v/>
      </c>
      <c r="LO43" s="1785" t="str">
        <f t="shared" si="306"/>
        <v/>
      </c>
      <c r="LP43" s="1785" t="str">
        <f t="shared" si="307"/>
        <v/>
      </c>
      <c r="LQ43" s="1785" t="str">
        <f t="shared" si="308"/>
        <v/>
      </c>
      <c r="LR43" s="1785" t="str">
        <f t="shared" si="309"/>
        <v/>
      </c>
      <c r="LS43" s="1785" t="str">
        <f t="shared" si="310"/>
        <v/>
      </c>
      <c r="LT43" s="1785" t="str">
        <f t="shared" si="311"/>
        <v/>
      </c>
      <c r="LU43" s="1785" t="str">
        <f t="shared" si="312"/>
        <v/>
      </c>
      <c r="LV43" s="1785" t="str">
        <f t="shared" si="313"/>
        <v/>
      </c>
      <c r="LW43" s="1785" t="str">
        <f t="shared" si="314"/>
        <v/>
      </c>
      <c r="LX43" s="1785" t="str">
        <f t="shared" si="315"/>
        <v/>
      </c>
      <c r="LY43" s="1785" t="str">
        <f t="shared" si="316"/>
        <v/>
      </c>
      <c r="LZ43" s="1785" t="str">
        <f t="shared" si="317"/>
        <v/>
      </c>
      <c r="MA43" s="1785" t="str">
        <f t="shared" si="318"/>
        <v/>
      </c>
      <c r="MB43" s="1785" t="str">
        <f t="shared" si="319"/>
        <v/>
      </c>
      <c r="MC43" s="1785" t="str">
        <f t="shared" si="320"/>
        <v/>
      </c>
      <c r="MD43" s="1785" t="str">
        <f t="shared" si="321"/>
        <v/>
      </c>
      <c r="ME43" s="1785" t="str">
        <f t="shared" si="322"/>
        <v/>
      </c>
      <c r="MF43" s="1785" t="str">
        <f t="shared" si="323"/>
        <v/>
      </c>
      <c r="MG43" s="1785" t="str">
        <f t="shared" si="324"/>
        <v/>
      </c>
      <c r="MH43" s="1785" t="str">
        <f t="shared" si="325"/>
        <v/>
      </c>
      <c r="MI43" s="1785" t="str">
        <f t="shared" si="326"/>
        <v/>
      </c>
      <c r="MJ43" s="1785" t="str">
        <f t="shared" si="327"/>
        <v/>
      </c>
      <c r="MK43" s="1785" t="str">
        <f t="shared" si="328"/>
        <v/>
      </c>
      <c r="ML43" s="1785" t="str">
        <f t="shared" si="329"/>
        <v/>
      </c>
      <c r="MM43" s="1785" t="str">
        <f t="shared" si="330"/>
        <v/>
      </c>
      <c r="MN43" s="1785" t="str">
        <f t="shared" si="331"/>
        <v/>
      </c>
      <c r="MO43" s="1785" t="str">
        <f t="shared" si="332"/>
        <v/>
      </c>
      <c r="MP43" s="2470" t="str">
        <f t="shared" si="333"/>
        <v/>
      </c>
      <c r="MQ43" s="2470" t="str">
        <f t="shared" si="334"/>
        <v/>
      </c>
      <c r="MR43" s="2470" t="str">
        <f t="shared" si="335"/>
        <v/>
      </c>
      <c r="MS43" s="2470" t="str">
        <f t="shared" si="336"/>
        <v/>
      </c>
      <c r="MT43" s="2470" t="str">
        <f t="shared" si="337"/>
        <v/>
      </c>
      <c r="MU43" s="356" t="str">
        <f t="shared" si="338"/>
        <v/>
      </c>
      <c r="MV43" s="356" t="str">
        <f t="shared" si="339"/>
        <v/>
      </c>
      <c r="MW43" s="356" t="str">
        <f t="shared" si="340"/>
        <v/>
      </c>
      <c r="MX43" s="356" t="str">
        <f t="shared" si="341"/>
        <v/>
      </c>
      <c r="MY43" s="356" t="str">
        <f t="shared" si="342"/>
        <v/>
      </c>
      <c r="MZ43" s="356" t="str">
        <f t="shared" si="343"/>
        <v/>
      </c>
      <c r="NA43" s="356" t="str">
        <f t="shared" si="344"/>
        <v/>
      </c>
      <c r="NB43" s="356" t="str">
        <f t="shared" si="345"/>
        <v/>
      </c>
      <c r="NC43" s="356" t="str">
        <f t="shared" si="346"/>
        <v/>
      </c>
      <c r="ND43" s="356" t="str">
        <f t="shared" si="347"/>
        <v/>
      </c>
      <c r="NE43" s="356" t="str">
        <f t="shared" si="348"/>
        <v/>
      </c>
      <c r="NF43" s="356" t="str">
        <f t="shared" si="349"/>
        <v/>
      </c>
      <c r="NG43" s="356" t="str">
        <f t="shared" si="350"/>
        <v/>
      </c>
      <c r="NH43" s="356" t="str">
        <f t="shared" si="351"/>
        <v/>
      </c>
      <c r="NI43" s="356" t="str">
        <f t="shared" si="352"/>
        <v/>
      </c>
      <c r="NJ43" s="356" t="str">
        <f t="shared" si="353"/>
        <v/>
      </c>
      <c r="NK43" s="356" t="str">
        <f t="shared" si="354"/>
        <v/>
      </c>
      <c r="NL43" s="356" t="str">
        <f t="shared" si="355"/>
        <v/>
      </c>
      <c r="NM43" s="356" t="str">
        <f t="shared" si="356"/>
        <v/>
      </c>
      <c r="NN43" s="356" t="str">
        <f t="shared" si="357"/>
        <v/>
      </c>
      <c r="NO43" s="1640">
        <f t="shared" si="358"/>
        <v>0</v>
      </c>
      <c r="NP43" s="1640">
        <f t="shared" si="359"/>
        <v>0</v>
      </c>
      <c r="NQ43" s="1640">
        <f t="shared" si="360"/>
        <v>0</v>
      </c>
      <c r="NR43" s="1640">
        <f t="shared" si="361"/>
        <v>0</v>
      </c>
      <c r="NS43" s="1640">
        <f t="shared" si="362"/>
        <v>0</v>
      </c>
      <c r="NT43" s="1640">
        <f t="shared" si="368"/>
        <v>0</v>
      </c>
      <c r="NU43" s="1640">
        <f t="shared" si="369"/>
        <v>0</v>
      </c>
      <c r="NV43" s="1640">
        <f t="shared" si="370"/>
        <v>0</v>
      </c>
      <c r="NW43" s="1640">
        <f t="shared" si="371"/>
        <v>0</v>
      </c>
      <c r="NX43" s="1640">
        <f t="shared" si="372"/>
        <v>0</v>
      </c>
      <c r="NY43" s="1640">
        <f t="shared" si="363"/>
        <v>0</v>
      </c>
      <c r="NZ43" s="1640">
        <f t="shared" si="364"/>
        <v>0</v>
      </c>
      <c r="OA43" s="1640">
        <f t="shared" si="365"/>
        <v>0</v>
      </c>
      <c r="OB43" s="1640">
        <f t="shared" si="366"/>
        <v>0</v>
      </c>
      <c r="OC43" s="1640">
        <f t="shared" si="367"/>
        <v>0</v>
      </c>
      <c r="OY43" s="2499" t="s">
        <v>4329</v>
      </c>
      <c r="OZ43" s="2504">
        <v>43</v>
      </c>
    </row>
    <row r="44" spans="1:416" ht="12" customHeight="1">
      <c r="A44" s="86" t="str">
        <f t="shared" si="0"/>
        <v/>
      </c>
      <c r="B44" s="1055"/>
      <c r="C44" s="132"/>
      <c r="D44" s="1643"/>
      <c r="E44" s="133"/>
      <c r="F44" s="133"/>
      <c r="G44" s="133"/>
      <c r="H44" s="133"/>
      <c r="I44" s="133"/>
      <c r="J44" s="1036">
        <f>IF(C44="",0,HLOOKUP(C44,'Part IV-Utility Allowances'!$I$11:$M$25,15))</f>
        <v>0</v>
      </c>
      <c r="K44" s="630"/>
      <c r="L44" s="460">
        <f t="shared" si="1"/>
        <v>0</v>
      </c>
      <c r="M44" s="460">
        <f t="shared" si="2"/>
        <v>0</v>
      </c>
      <c r="N44" s="680"/>
      <c r="O44" s="1585"/>
      <c r="P44" s="680"/>
      <c r="Q44" s="134"/>
      <c r="R44" s="723"/>
      <c r="S44" s="724"/>
      <c r="T44" s="3613"/>
      <c r="U44" s="3614"/>
      <c r="V44" s="3614"/>
      <c r="W44" s="3615"/>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356" t="str">
        <f t="shared" si="213"/>
        <v/>
      </c>
      <c r="IA44" s="356" t="str">
        <f t="shared" si="214"/>
        <v/>
      </c>
      <c r="IB44" s="356" t="str">
        <f t="shared" si="215"/>
        <v/>
      </c>
      <c r="IC44" s="356" t="str">
        <f t="shared" si="216"/>
        <v/>
      </c>
      <c r="ID44" s="356" t="str">
        <f t="shared" si="217"/>
        <v/>
      </c>
      <c r="IE44" s="356" t="str">
        <f t="shared" si="218"/>
        <v/>
      </c>
      <c r="IF44" s="356" t="str">
        <f t="shared" si="219"/>
        <v/>
      </c>
      <c r="IG44" s="356" t="str">
        <f t="shared" si="220"/>
        <v/>
      </c>
      <c r="IH44" s="356" t="str">
        <f t="shared" si="221"/>
        <v/>
      </c>
      <c r="II44" s="356" t="str">
        <f t="shared" si="222"/>
        <v/>
      </c>
      <c r="IJ44" s="356" t="str">
        <f t="shared" si="223"/>
        <v/>
      </c>
      <c r="IK44" s="356" t="str">
        <f t="shared" si="224"/>
        <v/>
      </c>
      <c r="IL44" s="356" t="str">
        <f t="shared" si="225"/>
        <v/>
      </c>
      <c r="IM44" s="356" t="str">
        <f t="shared" si="226"/>
        <v/>
      </c>
      <c r="IN44" s="356" t="str">
        <f t="shared" si="227"/>
        <v/>
      </c>
      <c r="IO44" s="356" t="str">
        <f t="shared" si="228"/>
        <v/>
      </c>
      <c r="IP44" s="356" t="str">
        <f t="shared" si="229"/>
        <v/>
      </c>
      <c r="IQ44" s="356" t="str">
        <f t="shared" si="230"/>
        <v/>
      </c>
      <c r="IR44" s="356" t="str">
        <f t="shared" si="231"/>
        <v/>
      </c>
      <c r="IS44" s="356" t="str">
        <f t="shared" si="232"/>
        <v/>
      </c>
      <c r="IT44" s="356" t="str">
        <f t="shared" si="233"/>
        <v/>
      </c>
      <c r="IU44" s="356" t="str">
        <f t="shared" si="234"/>
        <v/>
      </c>
      <c r="IV44" s="356" t="str">
        <f t="shared" si="235"/>
        <v/>
      </c>
      <c r="IW44" s="356" t="str">
        <f t="shared" si="236"/>
        <v/>
      </c>
      <c r="IX44" s="356" t="str">
        <f t="shared" si="237"/>
        <v/>
      </c>
      <c r="IY44" s="356" t="str">
        <f t="shared" si="238"/>
        <v/>
      </c>
      <c r="IZ44" s="356" t="str">
        <f t="shared" si="239"/>
        <v/>
      </c>
      <c r="JA44" s="356" t="str">
        <f t="shared" si="240"/>
        <v/>
      </c>
      <c r="JB44" s="356" t="str">
        <f t="shared" si="241"/>
        <v/>
      </c>
      <c r="JC44" s="356" t="str">
        <f t="shared" si="242"/>
        <v/>
      </c>
      <c r="JD44" s="356" t="str">
        <f t="shared" si="243"/>
        <v/>
      </c>
      <c r="JE44" s="356" t="str">
        <f t="shared" si="244"/>
        <v/>
      </c>
      <c r="JF44" s="356" t="str">
        <f t="shared" si="245"/>
        <v/>
      </c>
      <c r="JG44" s="356" t="str">
        <f t="shared" si="246"/>
        <v/>
      </c>
      <c r="JH44" s="356" t="str">
        <f t="shared" si="247"/>
        <v/>
      </c>
      <c r="JI44" s="1785" t="str">
        <f t="shared" si="248"/>
        <v/>
      </c>
      <c r="JJ44" s="1785" t="str">
        <f t="shared" si="249"/>
        <v/>
      </c>
      <c r="JK44" s="1785" t="str">
        <f t="shared" si="250"/>
        <v/>
      </c>
      <c r="JL44" s="1785" t="str">
        <f t="shared" si="251"/>
        <v/>
      </c>
      <c r="JM44" s="1785" t="str">
        <f t="shared" si="252"/>
        <v/>
      </c>
      <c r="JN44" s="1785" t="str">
        <f t="shared" si="253"/>
        <v/>
      </c>
      <c r="JO44" s="1785" t="str">
        <f t="shared" si="254"/>
        <v/>
      </c>
      <c r="JP44" s="1785" t="str">
        <f t="shared" si="255"/>
        <v/>
      </c>
      <c r="JQ44" s="1785" t="str">
        <f t="shared" si="256"/>
        <v/>
      </c>
      <c r="JR44" s="1785" t="str">
        <f t="shared" si="257"/>
        <v/>
      </c>
      <c r="JS44" s="1785" t="str">
        <f t="shared" si="258"/>
        <v/>
      </c>
      <c r="JT44" s="1785" t="str">
        <f t="shared" si="259"/>
        <v/>
      </c>
      <c r="JU44" s="1785" t="str">
        <f t="shared" si="260"/>
        <v/>
      </c>
      <c r="JV44" s="1785" t="str">
        <f t="shared" si="261"/>
        <v/>
      </c>
      <c r="JW44" s="1785" t="str">
        <f t="shared" si="262"/>
        <v/>
      </c>
      <c r="JX44" s="1785" t="str">
        <f t="shared" si="263"/>
        <v/>
      </c>
      <c r="JY44" s="1785" t="str">
        <f t="shared" si="264"/>
        <v/>
      </c>
      <c r="JZ44" s="1785" t="str">
        <f t="shared" si="265"/>
        <v/>
      </c>
      <c r="KA44" s="1785" t="str">
        <f t="shared" si="266"/>
        <v/>
      </c>
      <c r="KB44" s="1785" t="str">
        <f t="shared" si="267"/>
        <v/>
      </c>
      <c r="KC44" s="1785" t="str">
        <f t="shared" si="268"/>
        <v/>
      </c>
      <c r="KD44" s="1785" t="str">
        <f t="shared" si="269"/>
        <v/>
      </c>
      <c r="KE44" s="1785" t="str">
        <f t="shared" si="270"/>
        <v/>
      </c>
      <c r="KF44" s="1785" t="str">
        <f t="shared" si="271"/>
        <v/>
      </c>
      <c r="KG44" s="1785" t="str">
        <f t="shared" si="272"/>
        <v/>
      </c>
      <c r="KH44" s="1785" t="str">
        <f t="shared" si="273"/>
        <v/>
      </c>
      <c r="KI44" s="1785" t="str">
        <f t="shared" si="274"/>
        <v/>
      </c>
      <c r="KJ44" s="1785" t="str">
        <f t="shared" si="275"/>
        <v/>
      </c>
      <c r="KK44" s="1785" t="str">
        <f t="shared" si="276"/>
        <v/>
      </c>
      <c r="KL44" s="1785" t="str">
        <f t="shared" si="277"/>
        <v/>
      </c>
      <c r="KM44" s="1785" t="str">
        <f t="shared" si="278"/>
        <v/>
      </c>
      <c r="KN44" s="1785" t="str">
        <f t="shared" si="279"/>
        <v/>
      </c>
      <c r="KO44" s="1785" t="str">
        <f t="shared" si="280"/>
        <v/>
      </c>
      <c r="KP44" s="1785" t="str">
        <f t="shared" si="281"/>
        <v/>
      </c>
      <c r="KQ44" s="1785" t="str">
        <f t="shared" si="282"/>
        <v/>
      </c>
      <c r="KR44" s="1785" t="str">
        <f t="shared" si="283"/>
        <v/>
      </c>
      <c r="KS44" s="1785" t="str">
        <f t="shared" si="284"/>
        <v/>
      </c>
      <c r="KT44" s="1785" t="str">
        <f t="shared" si="285"/>
        <v/>
      </c>
      <c r="KU44" s="1785" t="str">
        <f t="shared" si="286"/>
        <v/>
      </c>
      <c r="KV44" s="1785" t="str">
        <f t="shared" si="287"/>
        <v/>
      </c>
      <c r="KW44" s="1785" t="str">
        <f t="shared" si="288"/>
        <v/>
      </c>
      <c r="KX44" s="1785" t="str">
        <f t="shared" si="289"/>
        <v/>
      </c>
      <c r="KY44" s="1785" t="str">
        <f t="shared" si="290"/>
        <v/>
      </c>
      <c r="KZ44" s="1785" t="str">
        <f t="shared" si="291"/>
        <v/>
      </c>
      <c r="LA44" s="1785" t="str">
        <f t="shared" si="292"/>
        <v/>
      </c>
      <c r="LB44" s="1785" t="str">
        <f t="shared" si="293"/>
        <v/>
      </c>
      <c r="LC44" s="1785" t="str">
        <f t="shared" si="294"/>
        <v/>
      </c>
      <c r="LD44" s="1785" t="str">
        <f t="shared" si="295"/>
        <v/>
      </c>
      <c r="LE44" s="1785" t="str">
        <f t="shared" si="296"/>
        <v/>
      </c>
      <c r="LF44" s="1785" t="str">
        <f t="shared" si="297"/>
        <v/>
      </c>
      <c r="LG44" s="1785" t="str">
        <f t="shared" si="298"/>
        <v/>
      </c>
      <c r="LH44" s="1785" t="str">
        <f t="shared" si="299"/>
        <v/>
      </c>
      <c r="LI44" s="1785" t="str">
        <f t="shared" si="300"/>
        <v/>
      </c>
      <c r="LJ44" s="1785" t="str">
        <f t="shared" si="301"/>
        <v/>
      </c>
      <c r="LK44" s="1785" t="str">
        <f t="shared" si="302"/>
        <v/>
      </c>
      <c r="LL44" s="1785" t="str">
        <f t="shared" si="303"/>
        <v/>
      </c>
      <c r="LM44" s="1785" t="str">
        <f t="shared" si="304"/>
        <v/>
      </c>
      <c r="LN44" s="1785" t="str">
        <f t="shared" si="305"/>
        <v/>
      </c>
      <c r="LO44" s="1785" t="str">
        <f t="shared" si="306"/>
        <v/>
      </c>
      <c r="LP44" s="1785" t="str">
        <f t="shared" si="307"/>
        <v/>
      </c>
      <c r="LQ44" s="1785" t="str">
        <f t="shared" si="308"/>
        <v/>
      </c>
      <c r="LR44" s="1785" t="str">
        <f t="shared" si="309"/>
        <v/>
      </c>
      <c r="LS44" s="1785" t="str">
        <f t="shared" si="310"/>
        <v/>
      </c>
      <c r="LT44" s="1785" t="str">
        <f t="shared" si="311"/>
        <v/>
      </c>
      <c r="LU44" s="1785" t="str">
        <f t="shared" si="312"/>
        <v/>
      </c>
      <c r="LV44" s="1785" t="str">
        <f t="shared" si="313"/>
        <v/>
      </c>
      <c r="LW44" s="1785" t="str">
        <f t="shared" si="314"/>
        <v/>
      </c>
      <c r="LX44" s="1785" t="str">
        <f t="shared" si="315"/>
        <v/>
      </c>
      <c r="LY44" s="1785" t="str">
        <f t="shared" si="316"/>
        <v/>
      </c>
      <c r="LZ44" s="1785" t="str">
        <f t="shared" si="317"/>
        <v/>
      </c>
      <c r="MA44" s="1785" t="str">
        <f t="shared" si="318"/>
        <v/>
      </c>
      <c r="MB44" s="1785" t="str">
        <f t="shared" si="319"/>
        <v/>
      </c>
      <c r="MC44" s="1785" t="str">
        <f t="shared" si="320"/>
        <v/>
      </c>
      <c r="MD44" s="1785" t="str">
        <f t="shared" si="321"/>
        <v/>
      </c>
      <c r="ME44" s="1785" t="str">
        <f t="shared" si="322"/>
        <v/>
      </c>
      <c r="MF44" s="1785" t="str">
        <f t="shared" si="323"/>
        <v/>
      </c>
      <c r="MG44" s="1785" t="str">
        <f t="shared" si="324"/>
        <v/>
      </c>
      <c r="MH44" s="1785" t="str">
        <f t="shared" si="325"/>
        <v/>
      </c>
      <c r="MI44" s="1785" t="str">
        <f t="shared" si="326"/>
        <v/>
      </c>
      <c r="MJ44" s="1785" t="str">
        <f t="shared" si="327"/>
        <v/>
      </c>
      <c r="MK44" s="1785" t="str">
        <f t="shared" si="328"/>
        <v/>
      </c>
      <c r="ML44" s="1785" t="str">
        <f t="shared" si="329"/>
        <v/>
      </c>
      <c r="MM44" s="1785" t="str">
        <f t="shared" si="330"/>
        <v/>
      </c>
      <c r="MN44" s="1785" t="str">
        <f t="shared" si="331"/>
        <v/>
      </c>
      <c r="MO44" s="1785" t="str">
        <f t="shared" si="332"/>
        <v/>
      </c>
      <c r="MP44" s="2470" t="str">
        <f t="shared" si="333"/>
        <v/>
      </c>
      <c r="MQ44" s="2470" t="str">
        <f t="shared" si="334"/>
        <v/>
      </c>
      <c r="MR44" s="2470" t="str">
        <f t="shared" si="335"/>
        <v/>
      </c>
      <c r="MS44" s="2470" t="str">
        <f t="shared" si="336"/>
        <v/>
      </c>
      <c r="MT44" s="2470" t="str">
        <f t="shared" si="337"/>
        <v/>
      </c>
      <c r="MU44" s="356" t="str">
        <f t="shared" si="338"/>
        <v/>
      </c>
      <c r="MV44" s="356" t="str">
        <f t="shared" si="339"/>
        <v/>
      </c>
      <c r="MW44" s="356" t="str">
        <f t="shared" si="340"/>
        <v/>
      </c>
      <c r="MX44" s="356" t="str">
        <f t="shared" si="341"/>
        <v/>
      </c>
      <c r="MY44" s="356" t="str">
        <f t="shared" si="342"/>
        <v/>
      </c>
      <c r="MZ44" s="356" t="str">
        <f t="shared" si="343"/>
        <v/>
      </c>
      <c r="NA44" s="356" t="str">
        <f t="shared" si="344"/>
        <v/>
      </c>
      <c r="NB44" s="356" t="str">
        <f t="shared" si="345"/>
        <v/>
      </c>
      <c r="NC44" s="356" t="str">
        <f t="shared" si="346"/>
        <v/>
      </c>
      <c r="ND44" s="356" t="str">
        <f t="shared" si="347"/>
        <v/>
      </c>
      <c r="NE44" s="356" t="str">
        <f t="shared" si="348"/>
        <v/>
      </c>
      <c r="NF44" s="356" t="str">
        <f t="shared" si="349"/>
        <v/>
      </c>
      <c r="NG44" s="356" t="str">
        <f t="shared" si="350"/>
        <v/>
      </c>
      <c r="NH44" s="356" t="str">
        <f t="shared" si="351"/>
        <v/>
      </c>
      <c r="NI44" s="356" t="str">
        <f t="shared" si="352"/>
        <v/>
      </c>
      <c r="NJ44" s="356" t="str">
        <f t="shared" si="353"/>
        <v/>
      </c>
      <c r="NK44" s="356" t="str">
        <f t="shared" si="354"/>
        <v/>
      </c>
      <c r="NL44" s="356" t="str">
        <f t="shared" si="355"/>
        <v/>
      </c>
      <c r="NM44" s="356" t="str">
        <f t="shared" si="356"/>
        <v/>
      </c>
      <c r="NN44" s="356" t="str">
        <f t="shared" si="357"/>
        <v/>
      </c>
      <c r="NO44" s="1640">
        <f t="shared" si="358"/>
        <v>0</v>
      </c>
      <c r="NP44" s="1640">
        <f t="shared" si="359"/>
        <v>0</v>
      </c>
      <c r="NQ44" s="1640">
        <f t="shared" si="360"/>
        <v>0</v>
      </c>
      <c r="NR44" s="1640">
        <f t="shared" si="361"/>
        <v>0</v>
      </c>
      <c r="NS44" s="1640">
        <f t="shared" si="362"/>
        <v>0</v>
      </c>
      <c r="NT44" s="1640">
        <f t="shared" si="368"/>
        <v>0</v>
      </c>
      <c r="NU44" s="1640">
        <f t="shared" si="369"/>
        <v>0</v>
      </c>
      <c r="NV44" s="1640">
        <f t="shared" si="370"/>
        <v>0</v>
      </c>
      <c r="NW44" s="1640">
        <f t="shared" si="371"/>
        <v>0</v>
      </c>
      <c r="NX44" s="1640">
        <f t="shared" si="372"/>
        <v>0</v>
      </c>
      <c r="NY44" s="1640">
        <f t="shared" si="363"/>
        <v>0</v>
      </c>
      <c r="NZ44" s="1640">
        <f t="shared" si="364"/>
        <v>0</v>
      </c>
      <c r="OA44" s="1640">
        <f t="shared" si="365"/>
        <v>0</v>
      </c>
      <c r="OB44" s="1640">
        <f t="shared" si="366"/>
        <v>0</v>
      </c>
      <c r="OC44" s="1640">
        <f t="shared" si="367"/>
        <v>0</v>
      </c>
      <c r="OY44" s="2499" t="s">
        <v>4330</v>
      </c>
      <c r="OZ44" s="2503">
        <v>44</v>
      </c>
    </row>
    <row r="45" spans="1:416" ht="12" customHeight="1">
      <c r="A45" s="86" t="str">
        <f t="shared" si="0"/>
        <v/>
      </c>
      <c r="B45" s="1055"/>
      <c r="C45" s="132"/>
      <c r="D45" s="1643"/>
      <c r="E45" s="133"/>
      <c r="F45" s="133"/>
      <c r="G45" s="133"/>
      <c r="H45" s="133"/>
      <c r="I45" s="133"/>
      <c r="J45" s="1036">
        <f>IF(C45="",0,HLOOKUP(C45,'Part IV-Utility Allowances'!$I$11:$M$25,15))</f>
        <v>0</v>
      </c>
      <c r="K45" s="630"/>
      <c r="L45" s="460">
        <f t="shared" si="1"/>
        <v>0</v>
      </c>
      <c r="M45" s="460">
        <f t="shared" si="2"/>
        <v>0</v>
      </c>
      <c r="N45" s="680"/>
      <c r="O45" s="1585"/>
      <c r="P45" s="680"/>
      <c r="Q45" s="134"/>
      <c r="R45" s="723"/>
      <c r="S45" s="724"/>
      <c r="T45" s="3613"/>
      <c r="U45" s="3614"/>
      <c r="V45" s="3614"/>
      <c r="W45" s="3615"/>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356" t="str">
        <f t="shared" si="213"/>
        <v/>
      </c>
      <c r="IA45" s="356" t="str">
        <f t="shared" si="214"/>
        <v/>
      </c>
      <c r="IB45" s="356" t="str">
        <f t="shared" si="215"/>
        <v/>
      </c>
      <c r="IC45" s="356" t="str">
        <f t="shared" si="216"/>
        <v/>
      </c>
      <c r="ID45" s="356" t="str">
        <f t="shared" si="217"/>
        <v/>
      </c>
      <c r="IE45" s="356" t="str">
        <f t="shared" si="218"/>
        <v/>
      </c>
      <c r="IF45" s="356" t="str">
        <f t="shared" si="219"/>
        <v/>
      </c>
      <c r="IG45" s="356" t="str">
        <f t="shared" si="220"/>
        <v/>
      </c>
      <c r="IH45" s="356" t="str">
        <f t="shared" si="221"/>
        <v/>
      </c>
      <c r="II45" s="356" t="str">
        <f t="shared" si="222"/>
        <v/>
      </c>
      <c r="IJ45" s="356" t="str">
        <f t="shared" si="223"/>
        <v/>
      </c>
      <c r="IK45" s="356" t="str">
        <f t="shared" si="224"/>
        <v/>
      </c>
      <c r="IL45" s="356" t="str">
        <f t="shared" si="225"/>
        <v/>
      </c>
      <c r="IM45" s="356" t="str">
        <f t="shared" si="226"/>
        <v/>
      </c>
      <c r="IN45" s="356" t="str">
        <f t="shared" si="227"/>
        <v/>
      </c>
      <c r="IO45" s="356" t="str">
        <f t="shared" si="228"/>
        <v/>
      </c>
      <c r="IP45" s="356" t="str">
        <f t="shared" si="229"/>
        <v/>
      </c>
      <c r="IQ45" s="356" t="str">
        <f t="shared" si="230"/>
        <v/>
      </c>
      <c r="IR45" s="356" t="str">
        <f t="shared" si="231"/>
        <v/>
      </c>
      <c r="IS45" s="356" t="str">
        <f t="shared" si="232"/>
        <v/>
      </c>
      <c r="IT45" s="356" t="str">
        <f t="shared" si="233"/>
        <v/>
      </c>
      <c r="IU45" s="356" t="str">
        <f t="shared" si="234"/>
        <v/>
      </c>
      <c r="IV45" s="356" t="str">
        <f t="shared" si="235"/>
        <v/>
      </c>
      <c r="IW45" s="356" t="str">
        <f t="shared" si="236"/>
        <v/>
      </c>
      <c r="IX45" s="356" t="str">
        <f t="shared" si="237"/>
        <v/>
      </c>
      <c r="IY45" s="356" t="str">
        <f t="shared" si="238"/>
        <v/>
      </c>
      <c r="IZ45" s="356" t="str">
        <f t="shared" si="239"/>
        <v/>
      </c>
      <c r="JA45" s="356" t="str">
        <f t="shared" si="240"/>
        <v/>
      </c>
      <c r="JB45" s="356" t="str">
        <f t="shared" si="241"/>
        <v/>
      </c>
      <c r="JC45" s="356" t="str">
        <f t="shared" si="242"/>
        <v/>
      </c>
      <c r="JD45" s="356" t="str">
        <f t="shared" si="243"/>
        <v/>
      </c>
      <c r="JE45" s="356" t="str">
        <f t="shared" si="244"/>
        <v/>
      </c>
      <c r="JF45" s="356" t="str">
        <f t="shared" si="245"/>
        <v/>
      </c>
      <c r="JG45" s="356" t="str">
        <f t="shared" si="246"/>
        <v/>
      </c>
      <c r="JH45" s="356" t="str">
        <f t="shared" si="247"/>
        <v/>
      </c>
      <c r="JI45" s="1785" t="str">
        <f t="shared" si="248"/>
        <v/>
      </c>
      <c r="JJ45" s="1785" t="str">
        <f t="shared" si="249"/>
        <v/>
      </c>
      <c r="JK45" s="1785" t="str">
        <f t="shared" si="250"/>
        <v/>
      </c>
      <c r="JL45" s="1785" t="str">
        <f t="shared" si="251"/>
        <v/>
      </c>
      <c r="JM45" s="1785" t="str">
        <f t="shared" si="252"/>
        <v/>
      </c>
      <c r="JN45" s="1785" t="str">
        <f t="shared" si="253"/>
        <v/>
      </c>
      <c r="JO45" s="1785" t="str">
        <f t="shared" si="254"/>
        <v/>
      </c>
      <c r="JP45" s="1785" t="str">
        <f t="shared" si="255"/>
        <v/>
      </c>
      <c r="JQ45" s="1785" t="str">
        <f t="shared" si="256"/>
        <v/>
      </c>
      <c r="JR45" s="1785" t="str">
        <f t="shared" si="257"/>
        <v/>
      </c>
      <c r="JS45" s="1785" t="str">
        <f t="shared" si="258"/>
        <v/>
      </c>
      <c r="JT45" s="1785" t="str">
        <f t="shared" si="259"/>
        <v/>
      </c>
      <c r="JU45" s="1785" t="str">
        <f t="shared" si="260"/>
        <v/>
      </c>
      <c r="JV45" s="1785" t="str">
        <f t="shared" si="261"/>
        <v/>
      </c>
      <c r="JW45" s="1785" t="str">
        <f t="shared" si="262"/>
        <v/>
      </c>
      <c r="JX45" s="1785" t="str">
        <f t="shared" si="263"/>
        <v/>
      </c>
      <c r="JY45" s="1785" t="str">
        <f t="shared" si="264"/>
        <v/>
      </c>
      <c r="JZ45" s="1785" t="str">
        <f t="shared" si="265"/>
        <v/>
      </c>
      <c r="KA45" s="1785" t="str">
        <f t="shared" si="266"/>
        <v/>
      </c>
      <c r="KB45" s="1785" t="str">
        <f t="shared" si="267"/>
        <v/>
      </c>
      <c r="KC45" s="1785" t="str">
        <f t="shared" si="268"/>
        <v/>
      </c>
      <c r="KD45" s="1785" t="str">
        <f t="shared" si="269"/>
        <v/>
      </c>
      <c r="KE45" s="1785" t="str">
        <f t="shared" si="270"/>
        <v/>
      </c>
      <c r="KF45" s="1785" t="str">
        <f t="shared" si="271"/>
        <v/>
      </c>
      <c r="KG45" s="1785" t="str">
        <f t="shared" si="272"/>
        <v/>
      </c>
      <c r="KH45" s="1785" t="str">
        <f t="shared" si="273"/>
        <v/>
      </c>
      <c r="KI45" s="1785" t="str">
        <f t="shared" si="274"/>
        <v/>
      </c>
      <c r="KJ45" s="1785" t="str">
        <f t="shared" si="275"/>
        <v/>
      </c>
      <c r="KK45" s="1785" t="str">
        <f t="shared" si="276"/>
        <v/>
      </c>
      <c r="KL45" s="1785" t="str">
        <f t="shared" si="277"/>
        <v/>
      </c>
      <c r="KM45" s="1785" t="str">
        <f t="shared" si="278"/>
        <v/>
      </c>
      <c r="KN45" s="1785" t="str">
        <f t="shared" si="279"/>
        <v/>
      </c>
      <c r="KO45" s="1785" t="str">
        <f t="shared" si="280"/>
        <v/>
      </c>
      <c r="KP45" s="1785" t="str">
        <f t="shared" si="281"/>
        <v/>
      </c>
      <c r="KQ45" s="1785" t="str">
        <f t="shared" si="282"/>
        <v/>
      </c>
      <c r="KR45" s="1785" t="str">
        <f t="shared" si="283"/>
        <v/>
      </c>
      <c r="KS45" s="1785" t="str">
        <f t="shared" si="284"/>
        <v/>
      </c>
      <c r="KT45" s="1785" t="str">
        <f t="shared" si="285"/>
        <v/>
      </c>
      <c r="KU45" s="1785" t="str">
        <f t="shared" si="286"/>
        <v/>
      </c>
      <c r="KV45" s="1785" t="str">
        <f t="shared" si="287"/>
        <v/>
      </c>
      <c r="KW45" s="1785" t="str">
        <f t="shared" si="288"/>
        <v/>
      </c>
      <c r="KX45" s="1785" t="str">
        <f t="shared" si="289"/>
        <v/>
      </c>
      <c r="KY45" s="1785" t="str">
        <f t="shared" si="290"/>
        <v/>
      </c>
      <c r="KZ45" s="1785" t="str">
        <f t="shared" si="291"/>
        <v/>
      </c>
      <c r="LA45" s="1785" t="str">
        <f t="shared" si="292"/>
        <v/>
      </c>
      <c r="LB45" s="1785" t="str">
        <f t="shared" si="293"/>
        <v/>
      </c>
      <c r="LC45" s="1785" t="str">
        <f t="shared" si="294"/>
        <v/>
      </c>
      <c r="LD45" s="1785" t="str">
        <f t="shared" si="295"/>
        <v/>
      </c>
      <c r="LE45" s="1785" t="str">
        <f t="shared" si="296"/>
        <v/>
      </c>
      <c r="LF45" s="1785" t="str">
        <f t="shared" si="297"/>
        <v/>
      </c>
      <c r="LG45" s="1785" t="str">
        <f t="shared" si="298"/>
        <v/>
      </c>
      <c r="LH45" s="1785" t="str">
        <f t="shared" si="299"/>
        <v/>
      </c>
      <c r="LI45" s="1785" t="str">
        <f t="shared" si="300"/>
        <v/>
      </c>
      <c r="LJ45" s="1785" t="str">
        <f t="shared" si="301"/>
        <v/>
      </c>
      <c r="LK45" s="1785" t="str">
        <f t="shared" si="302"/>
        <v/>
      </c>
      <c r="LL45" s="1785" t="str">
        <f t="shared" si="303"/>
        <v/>
      </c>
      <c r="LM45" s="1785" t="str">
        <f t="shared" si="304"/>
        <v/>
      </c>
      <c r="LN45" s="1785" t="str">
        <f t="shared" si="305"/>
        <v/>
      </c>
      <c r="LO45" s="1785" t="str">
        <f t="shared" si="306"/>
        <v/>
      </c>
      <c r="LP45" s="1785" t="str">
        <f t="shared" si="307"/>
        <v/>
      </c>
      <c r="LQ45" s="1785" t="str">
        <f t="shared" si="308"/>
        <v/>
      </c>
      <c r="LR45" s="1785" t="str">
        <f t="shared" si="309"/>
        <v/>
      </c>
      <c r="LS45" s="1785" t="str">
        <f t="shared" si="310"/>
        <v/>
      </c>
      <c r="LT45" s="1785" t="str">
        <f t="shared" si="311"/>
        <v/>
      </c>
      <c r="LU45" s="1785" t="str">
        <f t="shared" si="312"/>
        <v/>
      </c>
      <c r="LV45" s="1785" t="str">
        <f t="shared" si="313"/>
        <v/>
      </c>
      <c r="LW45" s="1785" t="str">
        <f t="shared" si="314"/>
        <v/>
      </c>
      <c r="LX45" s="1785" t="str">
        <f t="shared" si="315"/>
        <v/>
      </c>
      <c r="LY45" s="1785" t="str">
        <f t="shared" si="316"/>
        <v/>
      </c>
      <c r="LZ45" s="1785" t="str">
        <f t="shared" si="317"/>
        <v/>
      </c>
      <c r="MA45" s="1785" t="str">
        <f t="shared" si="318"/>
        <v/>
      </c>
      <c r="MB45" s="1785" t="str">
        <f t="shared" si="319"/>
        <v/>
      </c>
      <c r="MC45" s="1785" t="str">
        <f t="shared" si="320"/>
        <v/>
      </c>
      <c r="MD45" s="1785" t="str">
        <f t="shared" si="321"/>
        <v/>
      </c>
      <c r="ME45" s="1785" t="str">
        <f t="shared" si="322"/>
        <v/>
      </c>
      <c r="MF45" s="1785" t="str">
        <f t="shared" si="323"/>
        <v/>
      </c>
      <c r="MG45" s="1785" t="str">
        <f t="shared" si="324"/>
        <v/>
      </c>
      <c r="MH45" s="1785" t="str">
        <f t="shared" si="325"/>
        <v/>
      </c>
      <c r="MI45" s="1785" t="str">
        <f t="shared" si="326"/>
        <v/>
      </c>
      <c r="MJ45" s="1785" t="str">
        <f t="shared" si="327"/>
        <v/>
      </c>
      <c r="MK45" s="1785" t="str">
        <f t="shared" si="328"/>
        <v/>
      </c>
      <c r="ML45" s="1785" t="str">
        <f t="shared" si="329"/>
        <v/>
      </c>
      <c r="MM45" s="1785" t="str">
        <f t="shared" si="330"/>
        <v/>
      </c>
      <c r="MN45" s="1785" t="str">
        <f t="shared" si="331"/>
        <v/>
      </c>
      <c r="MO45" s="1785" t="str">
        <f t="shared" si="332"/>
        <v/>
      </c>
      <c r="MP45" s="2470" t="str">
        <f t="shared" si="333"/>
        <v/>
      </c>
      <c r="MQ45" s="2470" t="str">
        <f t="shared" si="334"/>
        <v/>
      </c>
      <c r="MR45" s="2470" t="str">
        <f t="shared" si="335"/>
        <v/>
      </c>
      <c r="MS45" s="2470" t="str">
        <f t="shared" si="336"/>
        <v/>
      </c>
      <c r="MT45" s="2470" t="str">
        <f t="shared" si="337"/>
        <v/>
      </c>
      <c r="MU45" s="356" t="str">
        <f t="shared" si="338"/>
        <v/>
      </c>
      <c r="MV45" s="356" t="str">
        <f t="shared" si="339"/>
        <v/>
      </c>
      <c r="MW45" s="356" t="str">
        <f t="shared" si="340"/>
        <v/>
      </c>
      <c r="MX45" s="356" t="str">
        <f t="shared" si="341"/>
        <v/>
      </c>
      <c r="MY45" s="356" t="str">
        <f t="shared" si="342"/>
        <v/>
      </c>
      <c r="MZ45" s="356" t="str">
        <f t="shared" si="343"/>
        <v/>
      </c>
      <c r="NA45" s="356" t="str">
        <f t="shared" si="344"/>
        <v/>
      </c>
      <c r="NB45" s="356" t="str">
        <f t="shared" si="345"/>
        <v/>
      </c>
      <c r="NC45" s="356" t="str">
        <f t="shared" si="346"/>
        <v/>
      </c>
      <c r="ND45" s="356" t="str">
        <f t="shared" si="347"/>
        <v/>
      </c>
      <c r="NE45" s="356" t="str">
        <f t="shared" si="348"/>
        <v/>
      </c>
      <c r="NF45" s="356" t="str">
        <f t="shared" si="349"/>
        <v/>
      </c>
      <c r="NG45" s="356" t="str">
        <f t="shared" si="350"/>
        <v/>
      </c>
      <c r="NH45" s="356" t="str">
        <f t="shared" si="351"/>
        <v/>
      </c>
      <c r="NI45" s="356" t="str">
        <f t="shared" si="352"/>
        <v/>
      </c>
      <c r="NJ45" s="356" t="str">
        <f t="shared" si="353"/>
        <v/>
      </c>
      <c r="NK45" s="356" t="str">
        <f t="shared" si="354"/>
        <v/>
      </c>
      <c r="NL45" s="356" t="str">
        <f t="shared" si="355"/>
        <v/>
      </c>
      <c r="NM45" s="356" t="str">
        <f t="shared" si="356"/>
        <v/>
      </c>
      <c r="NN45" s="356" t="str">
        <f t="shared" si="357"/>
        <v/>
      </c>
      <c r="NO45" s="1640">
        <f t="shared" si="358"/>
        <v>0</v>
      </c>
      <c r="NP45" s="1640">
        <f t="shared" si="359"/>
        <v>0</v>
      </c>
      <c r="NQ45" s="1640">
        <f t="shared" si="360"/>
        <v>0</v>
      </c>
      <c r="NR45" s="1640">
        <f t="shared" si="361"/>
        <v>0</v>
      </c>
      <c r="NS45" s="1640">
        <f t="shared" si="362"/>
        <v>0</v>
      </c>
      <c r="NT45" s="1640">
        <f t="shared" si="368"/>
        <v>0</v>
      </c>
      <c r="NU45" s="1640">
        <f t="shared" si="369"/>
        <v>0</v>
      </c>
      <c r="NV45" s="1640">
        <f t="shared" si="370"/>
        <v>0</v>
      </c>
      <c r="NW45" s="1640">
        <f t="shared" si="371"/>
        <v>0</v>
      </c>
      <c r="NX45" s="1640">
        <f t="shared" si="372"/>
        <v>0</v>
      </c>
      <c r="NY45" s="1640">
        <f t="shared" si="363"/>
        <v>0</v>
      </c>
      <c r="NZ45" s="1640">
        <f t="shared" si="364"/>
        <v>0</v>
      </c>
      <c r="OA45" s="1640">
        <f t="shared" si="365"/>
        <v>0</v>
      </c>
      <c r="OB45" s="1640">
        <f t="shared" si="366"/>
        <v>0</v>
      </c>
      <c r="OC45" s="1640">
        <f t="shared" si="367"/>
        <v>0</v>
      </c>
      <c r="OY45" s="2499" t="s">
        <v>4331</v>
      </c>
      <c r="OZ45" s="2504">
        <v>45</v>
      </c>
    </row>
    <row r="46" spans="1:416" ht="12" customHeight="1">
      <c r="A46" s="86" t="str">
        <f t="shared" si="0"/>
        <v/>
      </c>
      <c r="B46" s="1055"/>
      <c r="C46" s="132"/>
      <c r="D46" s="1643"/>
      <c r="E46" s="133"/>
      <c r="F46" s="133"/>
      <c r="G46" s="133"/>
      <c r="H46" s="133"/>
      <c r="I46" s="133"/>
      <c r="J46" s="1036">
        <f>IF(C46="",0,HLOOKUP(C46,'Part IV-Utility Allowances'!$I$11:$M$25,15))</f>
        <v>0</v>
      </c>
      <c r="K46" s="630"/>
      <c r="L46" s="460">
        <f t="shared" si="1"/>
        <v>0</v>
      </c>
      <c r="M46" s="460">
        <f t="shared" si="2"/>
        <v>0</v>
      </c>
      <c r="N46" s="680"/>
      <c r="O46" s="1585"/>
      <c r="P46" s="680"/>
      <c r="Q46" s="134"/>
      <c r="R46" s="723"/>
      <c r="S46" s="724"/>
      <c r="T46" s="3613"/>
      <c r="U46" s="3614"/>
      <c r="V46" s="3614"/>
      <c r="W46" s="3615"/>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356" t="str">
        <f t="shared" si="213"/>
        <v/>
      </c>
      <c r="IA46" s="356" t="str">
        <f t="shared" si="214"/>
        <v/>
      </c>
      <c r="IB46" s="356" t="str">
        <f t="shared" si="215"/>
        <v/>
      </c>
      <c r="IC46" s="356" t="str">
        <f t="shared" si="216"/>
        <v/>
      </c>
      <c r="ID46" s="356" t="str">
        <f t="shared" si="217"/>
        <v/>
      </c>
      <c r="IE46" s="356" t="str">
        <f t="shared" si="218"/>
        <v/>
      </c>
      <c r="IF46" s="356" t="str">
        <f t="shared" si="219"/>
        <v/>
      </c>
      <c r="IG46" s="356" t="str">
        <f t="shared" si="220"/>
        <v/>
      </c>
      <c r="IH46" s="356" t="str">
        <f t="shared" si="221"/>
        <v/>
      </c>
      <c r="II46" s="356" t="str">
        <f t="shared" si="222"/>
        <v/>
      </c>
      <c r="IJ46" s="356" t="str">
        <f t="shared" si="223"/>
        <v/>
      </c>
      <c r="IK46" s="356" t="str">
        <f t="shared" si="224"/>
        <v/>
      </c>
      <c r="IL46" s="356" t="str">
        <f t="shared" si="225"/>
        <v/>
      </c>
      <c r="IM46" s="356" t="str">
        <f t="shared" si="226"/>
        <v/>
      </c>
      <c r="IN46" s="356" t="str">
        <f t="shared" si="227"/>
        <v/>
      </c>
      <c r="IO46" s="356" t="str">
        <f t="shared" si="228"/>
        <v/>
      </c>
      <c r="IP46" s="356" t="str">
        <f t="shared" si="229"/>
        <v/>
      </c>
      <c r="IQ46" s="356" t="str">
        <f t="shared" si="230"/>
        <v/>
      </c>
      <c r="IR46" s="356" t="str">
        <f t="shared" si="231"/>
        <v/>
      </c>
      <c r="IS46" s="356" t="str">
        <f t="shared" si="232"/>
        <v/>
      </c>
      <c r="IT46" s="356" t="str">
        <f t="shared" si="233"/>
        <v/>
      </c>
      <c r="IU46" s="356" t="str">
        <f t="shared" si="234"/>
        <v/>
      </c>
      <c r="IV46" s="356" t="str">
        <f t="shared" si="235"/>
        <v/>
      </c>
      <c r="IW46" s="356" t="str">
        <f t="shared" si="236"/>
        <v/>
      </c>
      <c r="IX46" s="356" t="str">
        <f t="shared" si="237"/>
        <v/>
      </c>
      <c r="IY46" s="356" t="str">
        <f t="shared" si="238"/>
        <v/>
      </c>
      <c r="IZ46" s="356" t="str">
        <f t="shared" si="239"/>
        <v/>
      </c>
      <c r="JA46" s="356" t="str">
        <f t="shared" si="240"/>
        <v/>
      </c>
      <c r="JB46" s="356" t="str">
        <f t="shared" si="241"/>
        <v/>
      </c>
      <c r="JC46" s="356" t="str">
        <f t="shared" si="242"/>
        <v/>
      </c>
      <c r="JD46" s="356" t="str">
        <f t="shared" si="243"/>
        <v/>
      </c>
      <c r="JE46" s="356" t="str">
        <f t="shared" si="244"/>
        <v/>
      </c>
      <c r="JF46" s="356" t="str">
        <f t="shared" si="245"/>
        <v/>
      </c>
      <c r="JG46" s="356" t="str">
        <f t="shared" si="246"/>
        <v/>
      </c>
      <c r="JH46" s="356" t="str">
        <f t="shared" si="247"/>
        <v/>
      </c>
      <c r="JI46" s="1785" t="str">
        <f t="shared" si="248"/>
        <v/>
      </c>
      <c r="JJ46" s="1785" t="str">
        <f t="shared" si="249"/>
        <v/>
      </c>
      <c r="JK46" s="1785" t="str">
        <f t="shared" si="250"/>
        <v/>
      </c>
      <c r="JL46" s="1785" t="str">
        <f t="shared" si="251"/>
        <v/>
      </c>
      <c r="JM46" s="1785" t="str">
        <f t="shared" si="252"/>
        <v/>
      </c>
      <c r="JN46" s="1785" t="str">
        <f t="shared" si="253"/>
        <v/>
      </c>
      <c r="JO46" s="1785" t="str">
        <f t="shared" si="254"/>
        <v/>
      </c>
      <c r="JP46" s="1785" t="str">
        <f t="shared" si="255"/>
        <v/>
      </c>
      <c r="JQ46" s="1785" t="str">
        <f t="shared" si="256"/>
        <v/>
      </c>
      <c r="JR46" s="1785" t="str">
        <f t="shared" si="257"/>
        <v/>
      </c>
      <c r="JS46" s="1785" t="str">
        <f t="shared" si="258"/>
        <v/>
      </c>
      <c r="JT46" s="1785" t="str">
        <f t="shared" si="259"/>
        <v/>
      </c>
      <c r="JU46" s="1785" t="str">
        <f t="shared" si="260"/>
        <v/>
      </c>
      <c r="JV46" s="1785" t="str">
        <f t="shared" si="261"/>
        <v/>
      </c>
      <c r="JW46" s="1785" t="str">
        <f t="shared" si="262"/>
        <v/>
      </c>
      <c r="JX46" s="1785" t="str">
        <f t="shared" si="263"/>
        <v/>
      </c>
      <c r="JY46" s="1785" t="str">
        <f t="shared" si="264"/>
        <v/>
      </c>
      <c r="JZ46" s="1785" t="str">
        <f t="shared" si="265"/>
        <v/>
      </c>
      <c r="KA46" s="1785" t="str">
        <f t="shared" si="266"/>
        <v/>
      </c>
      <c r="KB46" s="1785" t="str">
        <f t="shared" si="267"/>
        <v/>
      </c>
      <c r="KC46" s="1785" t="str">
        <f t="shared" si="268"/>
        <v/>
      </c>
      <c r="KD46" s="1785" t="str">
        <f t="shared" si="269"/>
        <v/>
      </c>
      <c r="KE46" s="1785" t="str">
        <f t="shared" si="270"/>
        <v/>
      </c>
      <c r="KF46" s="1785" t="str">
        <f t="shared" si="271"/>
        <v/>
      </c>
      <c r="KG46" s="1785" t="str">
        <f t="shared" si="272"/>
        <v/>
      </c>
      <c r="KH46" s="1785" t="str">
        <f t="shared" si="273"/>
        <v/>
      </c>
      <c r="KI46" s="1785" t="str">
        <f t="shared" si="274"/>
        <v/>
      </c>
      <c r="KJ46" s="1785" t="str">
        <f t="shared" si="275"/>
        <v/>
      </c>
      <c r="KK46" s="1785" t="str">
        <f t="shared" si="276"/>
        <v/>
      </c>
      <c r="KL46" s="1785" t="str">
        <f t="shared" si="277"/>
        <v/>
      </c>
      <c r="KM46" s="1785" t="str">
        <f t="shared" si="278"/>
        <v/>
      </c>
      <c r="KN46" s="1785" t="str">
        <f t="shared" si="279"/>
        <v/>
      </c>
      <c r="KO46" s="1785" t="str">
        <f t="shared" si="280"/>
        <v/>
      </c>
      <c r="KP46" s="1785" t="str">
        <f t="shared" si="281"/>
        <v/>
      </c>
      <c r="KQ46" s="1785" t="str">
        <f t="shared" si="282"/>
        <v/>
      </c>
      <c r="KR46" s="1785" t="str">
        <f t="shared" si="283"/>
        <v/>
      </c>
      <c r="KS46" s="1785" t="str">
        <f t="shared" si="284"/>
        <v/>
      </c>
      <c r="KT46" s="1785" t="str">
        <f t="shared" si="285"/>
        <v/>
      </c>
      <c r="KU46" s="1785" t="str">
        <f t="shared" si="286"/>
        <v/>
      </c>
      <c r="KV46" s="1785" t="str">
        <f t="shared" si="287"/>
        <v/>
      </c>
      <c r="KW46" s="1785" t="str">
        <f t="shared" si="288"/>
        <v/>
      </c>
      <c r="KX46" s="1785" t="str">
        <f t="shared" si="289"/>
        <v/>
      </c>
      <c r="KY46" s="1785" t="str">
        <f t="shared" si="290"/>
        <v/>
      </c>
      <c r="KZ46" s="1785" t="str">
        <f t="shared" si="291"/>
        <v/>
      </c>
      <c r="LA46" s="1785" t="str">
        <f t="shared" si="292"/>
        <v/>
      </c>
      <c r="LB46" s="1785" t="str">
        <f t="shared" si="293"/>
        <v/>
      </c>
      <c r="LC46" s="1785" t="str">
        <f t="shared" si="294"/>
        <v/>
      </c>
      <c r="LD46" s="1785" t="str">
        <f t="shared" si="295"/>
        <v/>
      </c>
      <c r="LE46" s="1785" t="str">
        <f t="shared" si="296"/>
        <v/>
      </c>
      <c r="LF46" s="1785" t="str">
        <f t="shared" si="297"/>
        <v/>
      </c>
      <c r="LG46" s="1785" t="str">
        <f t="shared" si="298"/>
        <v/>
      </c>
      <c r="LH46" s="1785" t="str">
        <f t="shared" si="299"/>
        <v/>
      </c>
      <c r="LI46" s="1785" t="str">
        <f t="shared" si="300"/>
        <v/>
      </c>
      <c r="LJ46" s="1785" t="str">
        <f t="shared" si="301"/>
        <v/>
      </c>
      <c r="LK46" s="1785" t="str">
        <f t="shared" si="302"/>
        <v/>
      </c>
      <c r="LL46" s="1785" t="str">
        <f t="shared" si="303"/>
        <v/>
      </c>
      <c r="LM46" s="1785" t="str">
        <f t="shared" si="304"/>
        <v/>
      </c>
      <c r="LN46" s="1785" t="str">
        <f t="shared" si="305"/>
        <v/>
      </c>
      <c r="LO46" s="1785" t="str">
        <f t="shared" si="306"/>
        <v/>
      </c>
      <c r="LP46" s="1785" t="str">
        <f t="shared" si="307"/>
        <v/>
      </c>
      <c r="LQ46" s="1785" t="str">
        <f t="shared" si="308"/>
        <v/>
      </c>
      <c r="LR46" s="1785" t="str">
        <f t="shared" si="309"/>
        <v/>
      </c>
      <c r="LS46" s="1785" t="str">
        <f t="shared" si="310"/>
        <v/>
      </c>
      <c r="LT46" s="1785" t="str">
        <f t="shared" si="311"/>
        <v/>
      </c>
      <c r="LU46" s="1785" t="str">
        <f t="shared" si="312"/>
        <v/>
      </c>
      <c r="LV46" s="1785" t="str">
        <f t="shared" si="313"/>
        <v/>
      </c>
      <c r="LW46" s="1785" t="str">
        <f t="shared" si="314"/>
        <v/>
      </c>
      <c r="LX46" s="1785" t="str">
        <f t="shared" si="315"/>
        <v/>
      </c>
      <c r="LY46" s="1785" t="str">
        <f t="shared" si="316"/>
        <v/>
      </c>
      <c r="LZ46" s="1785" t="str">
        <f t="shared" si="317"/>
        <v/>
      </c>
      <c r="MA46" s="1785" t="str">
        <f t="shared" si="318"/>
        <v/>
      </c>
      <c r="MB46" s="1785" t="str">
        <f t="shared" si="319"/>
        <v/>
      </c>
      <c r="MC46" s="1785" t="str">
        <f t="shared" si="320"/>
        <v/>
      </c>
      <c r="MD46" s="1785" t="str">
        <f t="shared" si="321"/>
        <v/>
      </c>
      <c r="ME46" s="1785" t="str">
        <f t="shared" si="322"/>
        <v/>
      </c>
      <c r="MF46" s="1785" t="str">
        <f t="shared" si="323"/>
        <v/>
      </c>
      <c r="MG46" s="1785" t="str">
        <f t="shared" si="324"/>
        <v/>
      </c>
      <c r="MH46" s="1785" t="str">
        <f t="shared" si="325"/>
        <v/>
      </c>
      <c r="MI46" s="1785" t="str">
        <f t="shared" si="326"/>
        <v/>
      </c>
      <c r="MJ46" s="1785" t="str">
        <f t="shared" si="327"/>
        <v/>
      </c>
      <c r="MK46" s="1785" t="str">
        <f t="shared" si="328"/>
        <v/>
      </c>
      <c r="ML46" s="1785" t="str">
        <f t="shared" si="329"/>
        <v/>
      </c>
      <c r="MM46" s="1785" t="str">
        <f t="shared" si="330"/>
        <v/>
      </c>
      <c r="MN46" s="1785" t="str">
        <f t="shared" si="331"/>
        <v/>
      </c>
      <c r="MO46" s="1785" t="str">
        <f t="shared" si="332"/>
        <v/>
      </c>
      <c r="MP46" s="2470" t="str">
        <f t="shared" si="333"/>
        <v/>
      </c>
      <c r="MQ46" s="2470" t="str">
        <f t="shared" si="334"/>
        <v/>
      </c>
      <c r="MR46" s="2470" t="str">
        <f t="shared" si="335"/>
        <v/>
      </c>
      <c r="MS46" s="2470" t="str">
        <f t="shared" si="336"/>
        <v/>
      </c>
      <c r="MT46" s="2470" t="str">
        <f t="shared" si="337"/>
        <v/>
      </c>
      <c r="MU46" s="356" t="str">
        <f t="shared" si="338"/>
        <v/>
      </c>
      <c r="MV46" s="356" t="str">
        <f t="shared" si="339"/>
        <v/>
      </c>
      <c r="MW46" s="356" t="str">
        <f t="shared" si="340"/>
        <v/>
      </c>
      <c r="MX46" s="356" t="str">
        <f t="shared" si="341"/>
        <v/>
      </c>
      <c r="MY46" s="356" t="str">
        <f t="shared" si="342"/>
        <v/>
      </c>
      <c r="MZ46" s="356" t="str">
        <f t="shared" si="343"/>
        <v/>
      </c>
      <c r="NA46" s="356" t="str">
        <f t="shared" si="344"/>
        <v/>
      </c>
      <c r="NB46" s="356" t="str">
        <f t="shared" si="345"/>
        <v/>
      </c>
      <c r="NC46" s="356" t="str">
        <f t="shared" si="346"/>
        <v/>
      </c>
      <c r="ND46" s="356" t="str">
        <f t="shared" si="347"/>
        <v/>
      </c>
      <c r="NE46" s="356" t="str">
        <f t="shared" si="348"/>
        <v/>
      </c>
      <c r="NF46" s="356" t="str">
        <f t="shared" si="349"/>
        <v/>
      </c>
      <c r="NG46" s="356" t="str">
        <f t="shared" si="350"/>
        <v/>
      </c>
      <c r="NH46" s="356" t="str">
        <f t="shared" si="351"/>
        <v/>
      </c>
      <c r="NI46" s="356" t="str">
        <f t="shared" si="352"/>
        <v/>
      </c>
      <c r="NJ46" s="356" t="str">
        <f t="shared" si="353"/>
        <v/>
      </c>
      <c r="NK46" s="356" t="str">
        <f t="shared" si="354"/>
        <v/>
      </c>
      <c r="NL46" s="356" t="str">
        <f t="shared" si="355"/>
        <v/>
      </c>
      <c r="NM46" s="356" t="str">
        <f t="shared" si="356"/>
        <v/>
      </c>
      <c r="NN46" s="356" t="str">
        <f t="shared" si="357"/>
        <v/>
      </c>
      <c r="NO46" s="1640">
        <f t="shared" si="358"/>
        <v>0</v>
      </c>
      <c r="NP46" s="1640">
        <f t="shared" si="359"/>
        <v>0</v>
      </c>
      <c r="NQ46" s="1640">
        <f t="shared" si="360"/>
        <v>0</v>
      </c>
      <c r="NR46" s="1640">
        <f t="shared" si="361"/>
        <v>0</v>
      </c>
      <c r="NS46" s="1640">
        <f t="shared" si="362"/>
        <v>0</v>
      </c>
      <c r="NT46" s="1640">
        <f t="shared" si="368"/>
        <v>0</v>
      </c>
      <c r="NU46" s="1640">
        <f t="shared" si="369"/>
        <v>0</v>
      </c>
      <c r="NV46" s="1640">
        <f t="shared" si="370"/>
        <v>0</v>
      </c>
      <c r="NW46" s="1640">
        <f t="shared" si="371"/>
        <v>0</v>
      </c>
      <c r="NX46" s="1640">
        <f t="shared" si="372"/>
        <v>0</v>
      </c>
      <c r="NY46" s="1640">
        <f t="shared" si="363"/>
        <v>0</v>
      </c>
      <c r="NZ46" s="1640">
        <f t="shared" si="364"/>
        <v>0</v>
      </c>
      <c r="OA46" s="1640">
        <f t="shared" si="365"/>
        <v>0</v>
      </c>
      <c r="OB46" s="1640">
        <f t="shared" si="366"/>
        <v>0</v>
      </c>
      <c r="OC46" s="1640">
        <f t="shared" si="367"/>
        <v>0</v>
      </c>
      <c r="OY46" s="2499" t="s">
        <v>4332</v>
      </c>
      <c r="OZ46" s="2504">
        <v>46</v>
      </c>
    </row>
    <row r="47" spans="1:416" ht="12" customHeight="1">
      <c r="A47" s="86" t="str">
        <f t="shared" si="0"/>
        <v/>
      </c>
      <c r="B47" s="1055"/>
      <c r="C47" s="132"/>
      <c r="D47" s="1643"/>
      <c r="E47" s="133"/>
      <c r="F47" s="133"/>
      <c r="G47" s="133"/>
      <c r="H47" s="133"/>
      <c r="I47" s="133"/>
      <c r="J47" s="1036">
        <f>IF(C47="",0,HLOOKUP(C47,'Part IV-Utility Allowances'!$I$11:$M$25,15))</f>
        <v>0</v>
      </c>
      <c r="K47" s="630"/>
      <c r="L47" s="460">
        <f t="shared" si="1"/>
        <v>0</v>
      </c>
      <c r="M47" s="460">
        <f t="shared" si="2"/>
        <v>0</v>
      </c>
      <c r="N47" s="680"/>
      <c r="O47" s="1585"/>
      <c r="P47" s="680"/>
      <c r="Q47" s="134"/>
      <c r="R47" s="723"/>
      <c r="S47" s="724"/>
      <c r="T47" s="3613"/>
      <c r="U47" s="3614"/>
      <c r="V47" s="3614"/>
      <c r="W47" s="3615"/>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356" t="str">
        <f t="shared" si="213"/>
        <v/>
      </c>
      <c r="IA47" s="356" t="str">
        <f t="shared" si="214"/>
        <v/>
      </c>
      <c r="IB47" s="356" t="str">
        <f t="shared" si="215"/>
        <v/>
      </c>
      <c r="IC47" s="356" t="str">
        <f t="shared" si="216"/>
        <v/>
      </c>
      <c r="ID47" s="356" t="str">
        <f t="shared" si="217"/>
        <v/>
      </c>
      <c r="IE47" s="356" t="str">
        <f t="shared" si="218"/>
        <v/>
      </c>
      <c r="IF47" s="356" t="str">
        <f t="shared" si="219"/>
        <v/>
      </c>
      <c r="IG47" s="356" t="str">
        <f t="shared" si="220"/>
        <v/>
      </c>
      <c r="IH47" s="356" t="str">
        <f t="shared" si="221"/>
        <v/>
      </c>
      <c r="II47" s="356" t="str">
        <f t="shared" si="222"/>
        <v/>
      </c>
      <c r="IJ47" s="356" t="str">
        <f t="shared" si="223"/>
        <v/>
      </c>
      <c r="IK47" s="356" t="str">
        <f t="shared" si="224"/>
        <v/>
      </c>
      <c r="IL47" s="356" t="str">
        <f t="shared" si="225"/>
        <v/>
      </c>
      <c r="IM47" s="356" t="str">
        <f t="shared" si="226"/>
        <v/>
      </c>
      <c r="IN47" s="356" t="str">
        <f t="shared" si="227"/>
        <v/>
      </c>
      <c r="IO47" s="356" t="str">
        <f t="shared" si="228"/>
        <v/>
      </c>
      <c r="IP47" s="356" t="str">
        <f t="shared" si="229"/>
        <v/>
      </c>
      <c r="IQ47" s="356" t="str">
        <f t="shared" si="230"/>
        <v/>
      </c>
      <c r="IR47" s="356" t="str">
        <f t="shared" si="231"/>
        <v/>
      </c>
      <c r="IS47" s="356" t="str">
        <f t="shared" si="232"/>
        <v/>
      </c>
      <c r="IT47" s="356" t="str">
        <f t="shared" si="233"/>
        <v/>
      </c>
      <c r="IU47" s="356" t="str">
        <f t="shared" si="234"/>
        <v/>
      </c>
      <c r="IV47" s="356" t="str">
        <f t="shared" si="235"/>
        <v/>
      </c>
      <c r="IW47" s="356" t="str">
        <f t="shared" si="236"/>
        <v/>
      </c>
      <c r="IX47" s="356" t="str">
        <f t="shared" si="237"/>
        <v/>
      </c>
      <c r="IY47" s="356" t="str">
        <f t="shared" si="238"/>
        <v/>
      </c>
      <c r="IZ47" s="356" t="str">
        <f t="shared" si="239"/>
        <v/>
      </c>
      <c r="JA47" s="356" t="str">
        <f t="shared" si="240"/>
        <v/>
      </c>
      <c r="JB47" s="356" t="str">
        <f t="shared" si="241"/>
        <v/>
      </c>
      <c r="JC47" s="356" t="str">
        <f t="shared" si="242"/>
        <v/>
      </c>
      <c r="JD47" s="356" t="str">
        <f t="shared" si="243"/>
        <v/>
      </c>
      <c r="JE47" s="356" t="str">
        <f t="shared" si="244"/>
        <v/>
      </c>
      <c r="JF47" s="356" t="str">
        <f t="shared" si="245"/>
        <v/>
      </c>
      <c r="JG47" s="356" t="str">
        <f t="shared" si="246"/>
        <v/>
      </c>
      <c r="JH47" s="356" t="str">
        <f t="shared" si="247"/>
        <v/>
      </c>
      <c r="JI47" s="1785" t="str">
        <f t="shared" si="248"/>
        <v/>
      </c>
      <c r="JJ47" s="1785" t="str">
        <f t="shared" si="249"/>
        <v/>
      </c>
      <c r="JK47" s="1785" t="str">
        <f t="shared" si="250"/>
        <v/>
      </c>
      <c r="JL47" s="1785" t="str">
        <f t="shared" si="251"/>
        <v/>
      </c>
      <c r="JM47" s="1785" t="str">
        <f t="shared" si="252"/>
        <v/>
      </c>
      <c r="JN47" s="1785" t="str">
        <f t="shared" si="253"/>
        <v/>
      </c>
      <c r="JO47" s="1785" t="str">
        <f t="shared" si="254"/>
        <v/>
      </c>
      <c r="JP47" s="1785" t="str">
        <f t="shared" si="255"/>
        <v/>
      </c>
      <c r="JQ47" s="1785" t="str">
        <f t="shared" si="256"/>
        <v/>
      </c>
      <c r="JR47" s="1785" t="str">
        <f t="shared" si="257"/>
        <v/>
      </c>
      <c r="JS47" s="1785" t="str">
        <f t="shared" si="258"/>
        <v/>
      </c>
      <c r="JT47" s="1785" t="str">
        <f t="shared" si="259"/>
        <v/>
      </c>
      <c r="JU47" s="1785" t="str">
        <f t="shared" si="260"/>
        <v/>
      </c>
      <c r="JV47" s="1785" t="str">
        <f t="shared" si="261"/>
        <v/>
      </c>
      <c r="JW47" s="1785" t="str">
        <f t="shared" si="262"/>
        <v/>
      </c>
      <c r="JX47" s="1785" t="str">
        <f t="shared" si="263"/>
        <v/>
      </c>
      <c r="JY47" s="1785" t="str">
        <f t="shared" si="264"/>
        <v/>
      </c>
      <c r="JZ47" s="1785" t="str">
        <f t="shared" si="265"/>
        <v/>
      </c>
      <c r="KA47" s="1785" t="str">
        <f t="shared" si="266"/>
        <v/>
      </c>
      <c r="KB47" s="1785" t="str">
        <f t="shared" si="267"/>
        <v/>
      </c>
      <c r="KC47" s="1785" t="str">
        <f t="shared" si="268"/>
        <v/>
      </c>
      <c r="KD47" s="1785" t="str">
        <f t="shared" si="269"/>
        <v/>
      </c>
      <c r="KE47" s="1785" t="str">
        <f t="shared" si="270"/>
        <v/>
      </c>
      <c r="KF47" s="1785" t="str">
        <f t="shared" si="271"/>
        <v/>
      </c>
      <c r="KG47" s="1785" t="str">
        <f t="shared" si="272"/>
        <v/>
      </c>
      <c r="KH47" s="1785" t="str">
        <f t="shared" si="273"/>
        <v/>
      </c>
      <c r="KI47" s="1785" t="str">
        <f t="shared" si="274"/>
        <v/>
      </c>
      <c r="KJ47" s="1785" t="str">
        <f t="shared" si="275"/>
        <v/>
      </c>
      <c r="KK47" s="1785" t="str">
        <f t="shared" si="276"/>
        <v/>
      </c>
      <c r="KL47" s="1785" t="str">
        <f t="shared" si="277"/>
        <v/>
      </c>
      <c r="KM47" s="1785" t="str">
        <f t="shared" si="278"/>
        <v/>
      </c>
      <c r="KN47" s="1785" t="str">
        <f t="shared" si="279"/>
        <v/>
      </c>
      <c r="KO47" s="1785" t="str">
        <f t="shared" si="280"/>
        <v/>
      </c>
      <c r="KP47" s="1785" t="str">
        <f t="shared" si="281"/>
        <v/>
      </c>
      <c r="KQ47" s="1785" t="str">
        <f t="shared" si="282"/>
        <v/>
      </c>
      <c r="KR47" s="1785" t="str">
        <f t="shared" si="283"/>
        <v/>
      </c>
      <c r="KS47" s="1785" t="str">
        <f t="shared" si="284"/>
        <v/>
      </c>
      <c r="KT47" s="1785" t="str">
        <f t="shared" si="285"/>
        <v/>
      </c>
      <c r="KU47" s="1785" t="str">
        <f t="shared" si="286"/>
        <v/>
      </c>
      <c r="KV47" s="1785" t="str">
        <f t="shared" si="287"/>
        <v/>
      </c>
      <c r="KW47" s="1785" t="str">
        <f t="shared" si="288"/>
        <v/>
      </c>
      <c r="KX47" s="1785" t="str">
        <f t="shared" si="289"/>
        <v/>
      </c>
      <c r="KY47" s="1785" t="str">
        <f t="shared" si="290"/>
        <v/>
      </c>
      <c r="KZ47" s="1785" t="str">
        <f t="shared" si="291"/>
        <v/>
      </c>
      <c r="LA47" s="1785" t="str">
        <f t="shared" si="292"/>
        <v/>
      </c>
      <c r="LB47" s="1785" t="str">
        <f t="shared" si="293"/>
        <v/>
      </c>
      <c r="LC47" s="1785" t="str">
        <f t="shared" si="294"/>
        <v/>
      </c>
      <c r="LD47" s="1785" t="str">
        <f t="shared" si="295"/>
        <v/>
      </c>
      <c r="LE47" s="1785" t="str">
        <f t="shared" si="296"/>
        <v/>
      </c>
      <c r="LF47" s="1785" t="str">
        <f t="shared" si="297"/>
        <v/>
      </c>
      <c r="LG47" s="1785" t="str">
        <f t="shared" si="298"/>
        <v/>
      </c>
      <c r="LH47" s="1785" t="str">
        <f t="shared" si="299"/>
        <v/>
      </c>
      <c r="LI47" s="1785" t="str">
        <f t="shared" si="300"/>
        <v/>
      </c>
      <c r="LJ47" s="1785" t="str">
        <f t="shared" si="301"/>
        <v/>
      </c>
      <c r="LK47" s="1785" t="str">
        <f t="shared" si="302"/>
        <v/>
      </c>
      <c r="LL47" s="1785" t="str">
        <f t="shared" si="303"/>
        <v/>
      </c>
      <c r="LM47" s="1785" t="str">
        <f t="shared" si="304"/>
        <v/>
      </c>
      <c r="LN47" s="1785" t="str">
        <f t="shared" si="305"/>
        <v/>
      </c>
      <c r="LO47" s="1785" t="str">
        <f t="shared" si="306"/>
        <v/>
      </c>
      <c r="LP47" s="1785" t="str">
        <f t="shared" si="307"/>
        <v/>
      </c>
      <c r="LQ47" s="1785" t="str">
        <f t="shared" si="308"/>
        <v/>
      </c>
      <c r="LR47" s="1785" t="str">
        <f t="shared" si="309"/>
        <v/>
      </c>
      <c r="LS47" s="1785" t="str">
        <f t="shared" si="310"/>
        <v/>
      </c>
      <c r="LT47" s="1785" t="str">
        <f t="shared" si="311"/>
        <v/>
      </c>
      <c r="LU47" s="1785" t="str">
        <f t="shared" si="312"/>
        <v/>
      </c>
      <c r="LV47" s="1785" t="str">
        <f t="shared" si="313"/>
        <v/>
      </c>
      <c r="LW47" s="1785" t="str">
        <f t="shared" si="314"/>
        <v/>
      </c>
      <c r="LX47" s="1785" t="str">
        <f t="shared" si="315"/>
        <v/>
      </c>
      <c r="LY47" s="1785" t="str">
        <f t="shared" si="316"/>
        <v/>
      </c>
      <c r="LZ47" s="1785" t="str">
        <f t="shared" si="317"/>
        <v/>
      </c>
      <c r="MA47" s="1785" t="str">
        <f t="shared" si="318"/>
        <v/>
      </c>
      <c r="MB47" s="1785" t="str">
        <f t="shared" si="319"/>
        <v/>
      </c>
      <c r="MC47" s="1785" t="str">
        <f t="shared" si="320"/>
        <v/>
      </c>
      <c r="MD47" s="1785" t="str">
        <f t="shared" si="321"/>
        <v/>
      </c>
      <c r="ME47" s="1785" t="str">
        <f t="shared" si="322"/>
        <v/>
      </c>
      <c r="MF47" s="1785" t="str">
        <f t="shared" si="323"/>
        <v/>
      </c>
      <c r="MG47" s="1785" t="str">
        <f t="shared" si="324"/>
        <v/>
      </c>
      <c r="MH47" s="1785" t="str">
        <f t="shared" si="325"/>
        <v/>
      </c>
      <c r="MI47" s="1785" t="str">
        <f t="shared" si="326"/>
        <v/>
      </c>
      <c r="MJ47" s="1785" t="str">
        <f t="shared" si="327"/>
        <v/>
      </c>
      <c r="MK47" s="1785" t="str">
        <f t="shared" si="328"/>
        <v/>
      </c>
      <c r="ML47" s="1785" t="str">
        <f t="shared" si="329"/>
        <v/>
      </c>
      <c r="MM47" s="1785" t="str">
        <f t="shared" si="330"/>
        <v/>
      </c>
      <c r="MN47" s="1785" t="str">
        <f t="shared" si="331"/>
        <v/>
      </c>
      <c r="MO47" s="1785" t="str">
        <f t="shared" si="332"/>
        <v/>
      </c>
      <c r="MP47" s="2470" t="str">
        <f t="shared" si="333"/>
        <v/>
      </c>
      <c r="MQ47" s="2470" t="str">
        <f t="shared" si="334"/>
        <v/>
      </c>
      <c r="MR47" s="2470" t="str">
        <f t="shared" si="335"/>
        <v/>
      </c>
      <c r="MS47" s="2470" t="str">
        <f t="shared" si="336"/>
        <v/>
      </c>
      <c r="MT47" s="2470" t="str">
        <f t="shared" si="337"/>
        <v/>
      </c>
      <c r="MU47" s="356" t="str">
        <f t="shared" si="338"/>
        <v/>
      </c>
      <c r="MV47" s="356" t="str">
        <f t="shared" si="339"/>
        <v/>
      </c>
      <c r="MW47" s="356" t="str">
        <f t="shared" si="340"/>
        <v/>
      </c>
      <c r="MX47" s="356" t="str">
        <f t="shared" si="341"/>
        <v/>
      </c>
      <c r="MY47" s="356" t="str">
        <f t="shared" si="342"/>
        <v/>
      </c>
      <c r="MZ47" s="356" t="str">
        <f t="shared" si="343"/>
        <v/>
      </c>
      <c r="NA47" s="356" t="str">
        <f t="shared" si="344"/>
        <v/>
      </c>
      <c r="NB47" s="356" t="str">
        <f t="shared" si="345"/>
        <v/>
      </c>
      <c r="NC47" s="356" t="str">
        <f t="shared" si="346"/>
        <v/>
      </c>
      <c r="ND47" s="356" t="str">
        <f t="shared" si="347"/>
        <v/>
      </c>
      <c r="NE47" s="356" t="str">
        <f t="shared" si="348"/>
        <v/>
      </c>
      <c r="NF47" s="356" t="str">
        <f t="shared" si="349"/>
        <v/>
      </c>
      <c r="NG47" s="356" t="str">
        <f t="shared" si="350"/>
        <v/>
      </c>
      <c r="NH47" s="356" t="str">
        <f t="shared" si="351"/>
        <v/>
      </c>
      <c r="NI47" s="356" t="str">
        <f t="shared" si="352"/>
        <v/>
      </c>
      <c r="NJ47" s="356" t="str">
        <f t="shared" si="353"/>
        <v/>
      </c>
      <c r="NK47" s="356" t="str">
        <f t="shared" si="354"/>
        <v/>
      </c>
      <c r="NL47" s="356" t="str">
        <f t="shared" si="355"/>
        <v/>
      </c>
      <c r="NM47" s="356" t="str">
        <f t="shared" si="356"/>
        <v/>
      </c>
      <c r="NN47" s="356" t="str">
        <f t="shared" si="357"/>
        <v/>
      </c>
      <c r="NO47" s="1640">
        <f t="shared" si="358"/>
        <v>0</v>
      </c>
      <c r="NP47" s="1640">
        <f t="shared" si="359"/>
        <v>0</v>
      </c>
      <c r="NQ47" s="1640">
        <f t="shared" si="360"/>
        <v>0</v>
      </c>
      <c r="NR47" s="1640">
        <f t="shared" si="361"/>
        <v>0</v>
      </c>
      <c r="NS47" s="1640">
        <f t="shared" si="362"/>
        <v>0</v>
      </c>
      <c r="NT47" s="1640">
        <f t="shared" si="368"/>
        <v>0</v>
      </c>
      <c r="NU47" s="1640">
        <f t="shared" si="369"/>
        <v>0</v>
      </c>
      <c r="NV47" s="1640">
        <f t="shared" si="370"/>
        <v>0</v>
      </c>
      <c r="NW47" s="1640">
        <f t="shared" si="371"/>
        <v>0</v>
      </c>
      <c r="NX47" s="1640">
        <f t="shared" si="372"/>
        <v>0</v>
      </c>
      <c r="NY47" s="1640">
        <f t="shared" si="363"/>
        <v>0</v>
      </c>
      <c r="NZ47" s="1640">
        <f t="shared" si="364"/>
        <v>0</v>
      </c>
      <c r="OA47" s="1640">
        <f t="shared" si="365"/>
        <v>0</v>
      </c>
      <c r="OB47" s="1640">
        <f t="shared" si="366"/>
        <v>0</v>
      </c>
      <c r="OC47" s="1640">
        <f t="shared" si="367"/>
        <v>0</v>
      </c>
      <c r="OY47" s="2499" t="s">
        <v>4333</v>
      </c>
      <c r="OZ47" s="2503">
        <v>47</v>
      </c>
    </row>
    <row r="48" spans="1:416" ht="12" customHeight="1">
      <c r="A48" s="86" t="str">
        <f t="shared" ref="A48:A51" si="373">IF(AND(E48&gt;0,OR(B48="",C48="",D48="",F48="",G48="", H48="",I48="",N48="",O48="",P48="",Q48="")),1,"")</f>
        <v/>
      </c>
      <c r="B48" s="1055"/>
      <c r="C48" s="132"/>
      <c r="D48" s="1643"/>
      <c r="E48" s="133"/>
      <c r="F48" s="133"/>
      <c r="G48" s="133"/>
      <c r="H48" s="133"/>
      <c r="I48" s="133"/>
      <c r="J48" s="1036">
        <f>IF(C48="",0,HLOOKUP(C48,'Part IV-Utility Allowances'!$I$11:$M$25,15))</f>
        <v>0</v>
      </c>
      <c r="K48" s="630"/>
      <c r="L48" s="460">
        <f t="shared" ref="L48:L51" si="374">MAX(0,H48-I48-J48)</f>
        <v>0</v>
      </c>
      <c r="M48" s="460">
        <f t="shared" ref="M48:M51" si="375">MAX(0,E48*L48)</f>
        <v>0</v>
      </c>
      <c r="N48" s="680"/>
      <c r="O48" s="1585"/>
      <c r="P48" s="680"/>
      <c r="Q48" s="134"/>
      <c r="R48" s="723"/>
      <c r="S48" s="724"/>
      <c r="T48" s="3613"/>
      <c r="U48" s="3614"/>
      <c r="V48" s="3614"/>
      <c r="W48" s="3615"/>
      <c r="X48" s="356" t="str">
        <f t="shared" ref="X48:X51" si="376">IF(AND(C48="Efficiency",B48=80,NOT(N48="Common Space")),E48,"")</f>
        <v/>
      </c>
      <c r="Y48" s="356" t="str">
        <f t="shared" ref="Y48:Y51" si="377">IF(AND(C48=1,B48=80,NOT(N48="Common Space")),E48,"")</f>
        <v/>
      </c>
      <c r="Z48" s="356" t="str">
        <f t="shared" ref="Z48:Z51" si="378">IF(AND(C48=2,B48=80,NOT(N48="Common Space")),E48,"")</f>
        <v/>
      </c>
      <c r="AA48" s="356" t="str">
        <f t="shared" ref="AA48:AA51" si="379">IF(AND(C48=3,B48=80,NOT(N48="Common Space")),E48,"")</f>
        <v/>
      </c>
      <c r="AB48" s="356" t="str">
        <f t="shared" ref="AB48:AB51" si="380">IF(AND(C48=4,B48=80,NOT(N48="Common Space")),E48,"")</f>
        <v/>
      </c>
      <c r="AC48" s="356" t="str">
        <f t="shared" ref="AC48:AC51" si="381">IF(AND(C48="Efficiency",B48=70,NOT(N48="Common Space")),E48,"")</f>
        <v/>
      </c>
      <c r="AD48" s="356" t="str">
        <f t="shared" ref="AD48:AD51" si="382">IF(AND(C48=1,B48=70,NOT(N48="Common Space")),E48,"")</f>
        <v/>
      </c>
      <c r="AE48" s="356" t="str">
        <f t="shared" ref="AE48:AE51" si="383">IF(AND(C48=2,B48=70,NOT(N48="Common Space")),E48,"")</f>
        <v/>
      </c>
      <c r="AF48" s="356" t="str">
        <f t="shared" ref="AF48:AF51" si="384">IF(AND(C48=3,B48=70,NOT(N48="Common Space")),E48,"")</f>
        <v/>
      </c>
      <c r="AG48" s="356" t="str">
        <f t="shared" ref="AG48:AG51" si="385">IF(AND(C48=4,B48=70,NOT(N48="Common Space")),E48,"")</f>
        <v/>
      </c>
      <c r="AH48" s="356" t="str">
        <f t="shared" ref="AH48:AH51" si="386">IF(AND(C48="Efficiency",B48=60,NOT(N48="Common Space")),E48,"")</f>
        <v/>
      </c>
      <c r="AI48" s="356" t="str">
        <f t="shared" ref="AI48:AI51" si="387">IF(AND(C48=1,B48=60,NOT(N48="Common Space")),E48,"")</f>
        <v/>
      </c>
      <c r="AJ48" s="356" t="str">
        <f t="shared" ref="AJ48:AJ51" si="388">IF(AND(C48=2,B48=60,NOT(N48="Common Space")),E48,"")</f>
        <v/>
      </c>
      <c r="AK48" s="356" t="str">
        <f t="shared" ref="AK48:AK51" si="389">IF(AND(C48=3,B48=60,NOT(N48="Common Space")),E48,"")</f>
        <v/>
      </c>
      <c r="AL48" s="356" t="str">
        <f t="shared" ref="AL48:AL51" si="390">IF(AND(C48=4,B48=60,NOT(N48="Common Space")),E48,"")</f>
        <v/>
      </c>
      <c r="AM48" s="356" t="str">
        <f t="shared" ref="AM48:AM51" si="391">IF(AND(C48="Efficiency",B48=50,NOT(N48="Common Space")),E48,"")</f>
        <v/>
      </c>
      <c r="AN48" s="356" t="str">
        <f t="shared" ref="AN48:AN51" si="392">IF(AND(C48=1,B48=50,NOT(N48="Common Space")),E48,"")</f>
        <v/>
      </c>
      <c r="AO48" s="356" t="str">
        <f t="shared" ref="AO48:AO51" si="393">IF(AND(C48=2,B48=50,NOT(N48="Common Space")),E48,"")</f>
        <v/>
      </c>
      <c r="AP48" s="356" t="str">
        <f t="shared" ref="AP48:AP51" si="394">IF(AND(C48=3,B48=50,NOT(N48="Common Space")),E48,"")</f>
        <v/>
      </c>
      <c r="AQ48" s="356" t="str">
        <f t="shared" ref="AQ48:AQ51" si="395">IF(AND(C48=4,B48=50,NOT(N48="Common Space")),E48,"")</f>
        <v/>
      </c>
      <c r="AR48" s="356" t="str">
        <f t="shared" ref="AR48:AR51" si="396">IF(AND(C48="Efficiency",B48=40,NOT(N48="Common Space")),E48,"")</f>
        <v/>
      </c>
      <c r="AS48" s="356" t="str">
        <f t="shared" ref="AS48:AS51" si="397">IF(AND(C48=1,B48=40,NOT(N48="Common Space")),E48,"")</f>
        <v/>
      </c>
      <c r="AT48" s="356" t="str">
        <f t="shared" ref="AT48:AT51" si="398">IF(AND(C48=2,B48=40,NOT(N48="Common Space")),E48,"")</f>
        <v/>
      </c>
      <c r="AU48" s="356" t="str">
        <f t="shared" ref="AU48:AU51" si="399">IF(AND(C48=3,B48=40,NOT(N48="Common Space")),E48,"")</f>
        <v/>
      </c>
      <c r="AV48" s="356" t="str">
        <f t="shared" ref="AV48:AV51" si="400">IF(AND(C48=4,B48=40,NOT(N48="Common Space")),E48,"")</f>
        <v/>
      </c>
      <c r="AW48" s="356" t="str">
        <f t="shared" ref="AW48:AW51" si="401">IF(AND(C48="Efficiency",B48=30,NOT(N48="Common Space")),E48,"")</f>
        <v/>
      </c>
      <c r="AX48" s="356" t="str">
        <f t="shared" ref="AX48:AX51" si="402">IF(AND(C48=1,B48=30,NOT(N48="Common Space")),E48,"")</f>
        <v/>
      </c>
      <c r="AY48" s="356" t="str">
        <f t="shared" ref="AY48:AY51" si="403">IF(AND(C48=2,B48=30,NOT(N48="Common Space")),E48,"")</f>
        <v/>
      </c>
      <c r="AZ48" s="356" t="str">
        <f t="shared" ref="AZ48:AZ51" si="404">IF(AND(C48=3,B48=30,NOT(N48="Common Space")),E48,"")</f>
        <v/>
      </c>
      <c r="BA48" s="356" t="str">
        <f t="shared" ref="BA48:BA51" si="405">IF(AND(C48=4,B48=30,NOT(N48="Common Space")),E48,"")</f>
        <v/>
      </c>
      <c r="BB48" s="356" t="str">
        <f t="shared" ref="BB48:BB51" si="406">IF(AND(C48="Efficiency",B48=20,NOT(N48="Common Space")),E48,"")</f>
        <v/>
      </c>
      <c r="BC48" s="356" t="str">
        <f t="shared" ref="BC48:BC51" si="407">IF(AND(C48=1,B48=20,NOT(N48="Common Space")),E48,"")</f>
        <v/>
      </c>
      <c r="BD48" s="356" t="str">
        <f t="shared" ref="BD48:BD51" si="408">IF(AND(C48=2,B48=20,NOT(N48="Common Space")),E48,"")</f>
        <v/>
      </c>
      <c r="BE48" s="356" t="str">
        <f t="shared" ref="BE48:BE51" si="409">IF(AND(C48=3,B48=20,NOT(N48="Common Space")),E48,"")</f>
        <v/>
      </c>
      <c r="BF48" s="356" t="str">
        <f t="shared" ref="BF48:BF51" si="410">IF(AND(C48=4,B48=20,NOT(N48="Common Space")),E48,"")</f>
        <v/>
      </c>
      <c r="BG48" s="356" t="str">
        <f t="shared" ref="BG48:BG51" si="411">IF(AND(C48="Efficiency",B48="Unrestricted",NOT(N48="Common Space")),E48,"")</f>
        <v/>
      </c>
      <c r="BH48" s="356" t="str">
        <f t="shared" ref="BH48:BH51" si="412">IF(AND(C48=1,B48="Unrestricted",NOT(N48="Common Space")),E48,"")</f>
        <v/>
      </c>
      <c r="BI48" s="356" t="str">
        <f t="shared" ref="BI48:BI51" si="413">IF(AND(C48=2,B48="Unrestricted",NOT(N48="Common Space")),E48,"")</f>
        <v/>
      </c>
      <c r="BJ48" s="356" t="str">
        <f t="shared" ref="BJ48:BJ51" si="414">IF(AND(C48=3,B48="Unrestricted",NOT(N48="Common Space")),E48,"")</f>
        <v/>
      </c>
      <c r="BK48" s="356" t="str">
        <f t="shared" ref="BK48:BK51" si="415">IF(AND(C48=4,B48="Unrestricted",NOT(N48="Common Space")),E48,"")</f>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ref="FM48:FM51" si="416">IF(AND(C48="Efficiency",N48="Common Space"),E48,"")</f>
        <v/>
      </c>
      <c r="FN48" s="356" t="str">
        <f t="shared" ref="FN48:FN51" si="417">IF(AND(C48=1,N48="Common Space"),E48,"")</f>
        <v/>
      </c>
      <c r="FO48" s="356" t="str">
        <f t="shared" ref="FO48:FO51" si="418">IF(AND(C48=2,N48="Common Space"),E48,"")</f>
        <v/>
      </c>
      <c r="FP48" s="356" t="str">
        <f t="shared" ref="FP48:FP51" si="419">IF(AND(C48=3,N48="Common Space"),E48,"")</f>
        <v/>
      </c>
      <c r="FQ48" s="356" t="str">
        <f t="shared" ref="FQ48:FQ51" si="420">IF(AND(C48=4,N48="Common Space"),E48,"")</f>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ref="HA48:HA51" si="421">IF(AND(C48="Efficiency",B48="Unrestricted",NOT(N48="Common Space")),E48*F48,"")</f>
        <v/>
      </c>
      <c r="HB48" s="356" t="str">
        <f t="shared" ref="HB48:HB51" si="422">IF(AND(C48=1,B48="Unrestricted",NOT(N48="Common Space")),E48*F48,"")</f>
        <v/>
      </c>
      <c r="HC48" s="356" t="str">
        <f t="shared" ref="HC48:HC51" si="423">IF(AND(C48=2,B48="Unrestricted",NOT(N48="Common Space")),E48*F48,"")</f>
        <v/>
      </c>
      <c r="HD48" s="356" t="str">
        <f t="shared" ref="HD48:HD51" si="424">IF(AND(C48=3,B48="Unrestricted",NOT(N48="Common Space")),E48*F48,"")</f>
        <v/>
      </c>
      <c r="HE48" s="356" t="str">
        <f t="shared" ref="HE48:HE51" si="425">IF(AND(C48=4,B48="Unrestricted",NOT(N48="Common Space")),E48*F48,"")</f>
        <v/>
      </c>
      <c r="HF48" s="356" t="str">
        <f t="shared" ref="HF48:HF51" si="426">IF(AND(C48="Efficiency",NOT(K48=""),NOT($K48=0),NOT(N48="Common Space")),E48*F48,"")</f>
        <v/>
      </c>
      <c r="HG48" s="356" t="str">
        <f t="shared" ref="HG48:HG51" si="427">IF(AND(C48=1,NOT(K48=""),NOT($K48=0),NOT(N48="Common Space")),E48*F48,"")</f>
        <v/>
      </c>
      <c r="HH48" s="356" t="str">
        <f t="shared" ref="HH48:HH51" si="428">IF(AND(C48=2,NOT(K48=""),NOT($K48=0),NOT(N48="Common Space")),E48*F48,"")</f>
        <v/>
      </c>
      <c r="HI48" s="356" t="str">
        <f t="shared" ref="HI48:HI51" si="429">IF(AND(C48=3,NOT(K48=""),NOT($K48=0),NOT(N48="Common Space")),E48*F48,"")</f>
        <v/>
      </c>
      <c r="HJ48" s="356" t="str">
        <f t="shared" ref="HJ48:HJ51" si="430">IF(AND(C48=4,NOT(K48=""),NOT($K48=0),NOT(N48="Common Space")),E48*F48,"")</f>
        <v/>
      </c>
      <c r="HK48" s="356" t="str">
        <f t="shared" ref="HK48:HK51" si="431">IF(AND(C48="Efficiency",N48="Common Space"),E48*F48,"")</f>
        <v/>
      </c>
      <c r="HL48" s="356" t="str">
        <f t="shared" ref="HL48:HL51" si="432">IF(AND(C48=1,N48="Common Space"),E48*F48,"")</f>
        <v/>
      </c>
      <c r="HM48" s="356" t="str">
        <f t="shared" ref="HM48:HM51" si="433">IF(AND(C48=2,N48="Common Space"),E48*F48,"")</f>
        <v/>
      </c>
      <c r="HN48" s="356" t="str">
        <f t="shared" ref="HN48:HN51" si="434">IF(AND(C48=3,N48="Common Space"),E48*F48,"")</f>
        <v/>
      </c>
      <c r="HO48" s="356" t="str">
        <f t="shared" ref="HO48:HO51" si="435">IF(AND(C48=4,N48="Common Space"),E48*F48,"")</f>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356" t="str">
        <f t="shared" si="213"/>
        <v/>
      </c>
      <c r="IA48" s="356" t="str">
        <f t="shared" si="214"/>
        <v/>
      </c>
      <c r="IB48" s="356" t="str">
        <f t="shared" si="215"/>
        <v/>
      </c>
      <c r="IC48" s="356" t="str">
        <f t="shared" si="216"/>
        <v/>
      </c>
      <c r="ID48" s="356" t="str">
        <f t="shared" si="217"/>
        <v/>
      </c>
      <c r="IE48" s="356" t="str">
        <f t="shared" si="218"/>
        <v/>
      </c>
      <c r="IF48" s="356" t="str">
        <f t="shared" si="219"/>
        <v/>
      </c>
      <c r="IG48" s="356" t="str">
        <f t="shared" si="220"/>
        <v/>
      </c>
      <c r="IH48" s="356" t="str">
        <f t="shared" si="221"/>
        <v/>
      </c>
      <c r="II48" s="356" t="str">
        <f t="shared" si="222"/>
        <v/>
      </c>
      <c r="IJ48" s="356" t="str">
        <f t="shared" si="223"/>
        <v/>
      </c>
      <c r="IK48" s="356" t="str">
        <f t="shared" si="224"/>
        <v/>
      </c>
      <c r="IL48" s="356" t="str">
        <f t="shared" si="225"/>
        <v/>
      </c>
      <c r="IM48" s="356" t="str">
        <f t="shared" si="226"/>
        <v/>
      </c>
      <c r="IN48" s="356" t="str">
        <f t="shared" si="227"/>
        <v/>
      </c>
      <c r="IO48" s="356" t="str">
        <f t="shared" si="228"/>
        <v/>
      </c>
      <c r="IP48" s="356" t="str">
        <f t="shared" si="229"/>
        <v/>
      </c>
      <c r="IQ48" s="356" t="str">
        <f t="shared" si="230"/>
        <v/>
      </c>
      <c r="IR48" s="356" t="str">
        <f t="shared" si="231"/>
        <v/>
      </c>
      <c r="IS48" s="356" t="str">
        <f t="shared" si="232"/>
        <v/>
      </c>
      <c r="IT48" s="356" t="str">
        <f t="shared" si="233"/>
        <v/>
      </c>
      <c r="IU48" s="356" t="str">
        <f t="shared" si="234"/>
        <v/>
      </c>
      <c r="IV48" s="356" t="str">
        <f t="shared" si="235"/>
        <v/>
      </c>
      <c r="IW48" s="356" t="str">
        <f t="shared" si="236"/>
        <v/>
      </c>
      <c r="IX48" s="356" t="str">
        <f t="shared" si="237"/>
        <v/>
      </c>
      <c r="IY48" s="356" t="str">
        <f t="shared" si="238"/>
        <v/>
      </c>
      <c r="IZ48" s="356" t="str">
        <f t="shared" si="239"/>
        <v/>
      </c>
      <c r="JA48" s="356" t="str">
        <f t="shared" si="240"/>
        <v/>
      </c>
      <c r="JB48" s="356" t="str">
        <f t="shared" si="241"/>
        <v/>
      </c>
      <c r="JC48" s="356" t="str">
        <f t="shared" si="242"/>
        <v/>
      </c>
      <c r="JD48" s="356" t="str">
        <f t="shared" si="243"/>
        <v/>
      </c>
      <c r="JE48" s="356" t="str">
        <f t="shared" si="244"/>
        <v/>
      </c>
      <c r="JF48" s="356" t="str">
        <f t="shared" si="245"/>
        <v/>
      </c>
      <c r="JG48" s="356" t="str">
        <f t="shared" si="246"/>
        <v/>
      </c>
      <c r="JH48" s="356" t="str">
        <f t="shared" si="247"/>
        <v/>
      </c>
      <c r="JI48" s="1785" t="str">
        <f t="shared" si="248"/>
        <v/>
      </c>
      <c r="JJ48" s="1785" t="str">
        <f t="shared" si="249"/>
        <v/>
      </c>
      <c r="JK48" s="1785" t="str">
        <f t="shared" si="250"/>
        <v/>
      </c>
      <c r="JL48" s="1785" t="str">
        <f t="shared" si="251"/>
        <v/>
      </c>
      <c r="JM48" s="1785" t="str">
        <f t="shared" si="252"/>
        <v/>
      </c>
      <c r="JN48" s="1785" t="str">
        <f t="shared" si="253"/>
        <v/>
      </c>
      <c r="JO48" s="1785" t="str">
        <f t="shared" si="254"/>
        <v/>
      </c>
      <c r="JP48" s="1785" t="str">
        <f t="shared" si="255"/>
        <v/>
      </c>
      <c r="JQ48" s="1785" t="str">
        <f t="shared" si="256"/>
        <v/>
      </c>
      <c r="JR48" s="1785" t="str">
        <f t="shared" si="257"/>
        <v/>
      </c>
      <c r="JS48" s="1785" t="str">
        <f t="shared" si="258"/>
        <v/>
      </c>
      <c r="JT48" s="1785" t="str">
        <f t="shared" si="259"/>
        <v/>
      </c>
      <c r="JU48" s="1785" t="str">
        <f t="shared" si="260"/>
        <v/>
      </c>
      <c r="JV48" s="1785" t="str">
        <f t="shared" si="261"/>
        <v/>
      </c>
      <c r="JW48" s="1785" t="str">
        <f t="shared" si="262"/>
        <v/>
      </c>
      <c r="JX48" s="1785" t="str">
        <f t="shared" si="263"/>
        <v/>
      </c>
      <c r="JY48" s="1785" t="str">
        <f t="shared" si="264"/>
        <v/>
      </c>
      <c r="JZ48" s="1785" t="str">
        <f t="shared" si="265"/>
        <v/>
      </c>
      <c r="KA48" s="1785" t="str">
        <f t="shared" si="266"/>
        <v/>
      </c>
      <c r="KB48" s="1785" t="str">
        <f t="shared" si="267"/>
        <v/>
      </c>
      <c r="KC48" s="1785" t="str">
        <f t="shared" si="268"/>
        <v/>
      </c>
      <c r="KD48" s="1785" t="str">
        <f t="shared" si="269"/>
        <v/>
      </c>
      <c r="KE48" s="1785" t="str">
        <f t="shared" si="270"/>
        <v/>
      </c>
      <c r="KF48" s="1785" t="str">
        <f t="shared" si="271"/>
        <v/>
      </c>
      <c r="KG48" s="1785" t="str">
        <f t="shared" si="272"/>
        <v/>
      </c>
      <c r="KH48" s="1785" t="str">
        <f t="shared" si="273"/>
        <v/>
      </c>
      <c r="KI48" s="1785" t="str">
        <f t="shared" si="274"/>
        <v/>
      </c>
      <c r="KJ48" s="1785" t="str">
        <f t="shared" si="275"/>
        <v/>
      </c>
      <c r="KK48" s="1785" t="str">
        <f t="shared" si="276"/>
        <v/>
      </c>
      <c r="KL48" s="1785" t="str">
        <f t="shared" si="277"/>
        <v/>
      </c>
      <c r="KM48" s="1785" t="str">
        <f t="shared" si="278"/>
        <v/>
      </c>
      <c r="KN48" s="1785" t="str">
        <f t="shared" si="279"/>
        <v/>
      </c>
      <c r="KO48" s="1785" t="str">
        <f t="shared" si="280"/>
        <v/>
      </c>
      <c r="KP48" s="1785" t="str">
        <f t="shared" si="281"/>
        <v/>
      </c>
      <c r="KQ48" s="1785" t="str">
        <f t="shared" si="282"/>
        <v/>
      </c>
      <c r="KR48" s="1785" t="str">
        <f t="shared" si="283"/>
        <v/>
      </c>
      <c r="KS48" s="1785" t="str">
        <f t="shared" si="284"/>
        <v/>
      </c>
      <c r="KT48" s="1785" t="str">
        <f t="shared" si="285"/>
        <v/>
      </c>
      <c r="KU48" s="1785" t="str">
        <f t="shared" si="286"/>
        <v/>
      </c>
      <c r="KV48" s="1785" t="str">
        <f t="shared" si="287"/>
        <v/>
      </c>
      <c r="KW48" s="1785" t="str">
        <f t="shared" si="288"/>
        <v/>
      </c>
      <c r="KX48" s="1785" t="str">
        <f t="shared" si="289"/>
        <v/>
      </c>
      <c r="KY48" s="1785" t="str">
        <f t="shared" si="290"/>
        <v/>
      </c>
      <c r="KZ48" s="1785" t="str">
        <f t="shared" si="291"/>
        <v/>
      </c>
      <c r="LA48" s="1785" t="str">
        <f t="shared" si="292"/>
        <v/>
      </c>
      <c r="LB48" s="1785" t="str">
        <f t="shared" si="293"/>
        <v/>
      </c>
      <c r="LC48" s="1785" t="str">
        <f t="shared" si="294"/>
        <v/>
      </c>
      <c r="LD48" s="1785" t="str">
        <f t="shared" si="295"/>
        <v/>
      </c>
      <c r="LE48" s="1785" t="str">
        <f t="shared" si="296"/>
        <v/>
      </c>
      <c r="LF48" s="1785" t="str">
        <f t="shared" si="297"/>
        <v/>
      </c>
      <c r="LG48" s="1785" t="str">
        <f t="shared" si="298"/>
        <v/>
      </c>
      <c r="LH48" s="1785" t="str">
        <f t="shared" si="299"/>
        <v/>
      </c>
      <c r="LI48" s="1785" t="str">
        <f t="shared" si="300"/>
        <v/>
      </c>
      <c r="LJ48" s="1785" t="str">
        <f t="shared" si="301"/>
        <v/>
      </c>
      <c r="LK48" s="1785" t="str">
        <f t="shared" si="302"/>
        <v/>
      </c>
      <c r="LL48" s="1785" t="str">
        <f t="shared" si="303"/>
        <v/>
      </c>
      <c r="LM48" s="1785" t="str">
        <f t="shared" si="304"/>
        <v/>
      </c>
      <c r="LN48" s="1785" t="str">
        <f t="shared" si="305"/>
        <v/>
      </c>
      <c r="LO48" s="1785" t="str">
        <f t="shared" si="306"/>
        <v/>
      </c>
      <c r="LP48" s="1785" t="str">
        <f t="shared" si="307"/>
        <v/>
      </c>
      <c r="LQ48" s="1785" t="str">
        <f t="shared" si="308"/>
        <v/>
      </c>
      <c r="LR48" s="1785" t="str">
        <f t="shared" si="309"/>
        <v/>
      </c>
      <c r="LS48" s="1785" t="str">
        <f t="shared" si="310"/>
        <v/>
      </c>
      <c r="LT48" s="1785" t="str">
        <f t="shared" si="311"/>
        <v/>
      </c>
      <c r="LU48" s="1785" t="str">
        <f t="shared" si="312"/>
        <v/>
      </c>
      <c r="LV48" s="1785" t="str">
        <f t="shared" si="313"/>
        <v/>
      </c>
      <c r="LW48" s="1785" t="str">
        <f t="shared" si="314"/>
        <v/>
      </c>
      <c r="LX48" s="1785" t="str">
        <f t="shared" si="315"/>
        <v/>
      </c>
      <c r="LY48" s="1785" t="str">
        <f t="shared" si="316"/>
        <v/>
      </c>
      <c r="LZ48" s="1785" t="str">
        <f t="shared" si="317"/>
        <v/>
      </c>
      <c r="MA48" s="1785" t="str">
        <f t="shared" si="318"/>
        <v/>
      </c>
      <c r="MB48" s="1785" t="str">
        <f t="shared" si="319"/>
        <v/>
      </c>
      <c r="MC48" s="1785" t="str">
        <f t="shared" si="320"/>
        <v/>
      </c>
      <c r="MD48" s="1785" t="str">
        <f t="shared" si="321"/>
        <v/>
      </c>
      <c r="ME48" s="1785" t="str">
        <f t="shared" si="322"/>
        <v/>
      </c>
      <c r="MF48" s="1785" t="str">
        <f t="shared" si="323"/>
        <v/>
      </c>
      <c r="MG48" s="1785" t="str">
        <f t="shared" si="324"/>
        <v/>
      </c>
      <c r="MH48" s="1785" t="str">
        <f t="shared" si="325"/>
        <v/>
      </c>
      <c r="MI48" s="1785" t="str">
        <f t="shared" si="326"/>
        <v/>
      </c>
      <c r="MJ48" s="1785" t="str">
        <f t="shared" si="327"/>
        <v/>
      </c>
      <c r="MK48" s="1785" t="str">
        <f t="shared" si="328"/>
        <v/>
      </c>
      <c r="ML48" s="1785" t="str">
        <f t="shared" si="329"/>
        <v/>
      </c>
      <c r="MM48" s="1785" t="str">
        <f t="shared" si="330"/>
        <v/>
      </c>
      <c r="MN48" s="1785" t="str">
        <f t="shared" si="331"/>
        <v/>
      </c>
      <c r="MO48" s="1785" t="str">
        <f t="shared" si="332"/>
        <v/>
      </c>
      <c r="MP48" s="2470" t="str">
        <f t="shared" si="333"/>
        <v/>
      </c>
      <c r="MQ48" s="2470" t="str">
        <f t="shared" si="334"/>
        <v/>
      </c>
      <c r="MR48" s="2470" t="str">
        <f t="shared" si="335"/>
        <v/>
      </c>
      <c r="MS48" s="2470" t="str">
        <f t="shared" si="336"/>
        <v/>
      </c>
      <c r="MT48" s="2470" t="str">
        <f t="shared" si="337"/>
        <v/>
      </c>
      <c r="MU48" s="356" t="str">
        <f t="shared" ref="MU48:MU51" si="436">IF(AND(C48="Efficiency",B48="NSP 120% AMI",NOT(N48="Common Space")),E48*F48,"")</f>
        <v/>
      </c>
      <c r="MV48" s="356" t="str">
        <f t="shared" ref="MV48:MV51" si="437">IF(AND(C48=1,B48="NSP 120% AMI",NOT(N48="Common Space")),E48*F48,"")</f>
        <v/>
      </c>
      <c r="MW48" s="356" t="str">
        <f t="shared" ref="MW48:MW51" si="438">IF(AND(C48=2,B48="NSP 120% AMI",NOT(N48="Common Space")),E48*F48,"")</f>
        <v/>
      </c>
      <c r="MX48" s="356" t="str">
        <f t="shared" ref="MX48:MX51" si="439">IF(AND(C48=3,B48="NSP 120% AMI",NOT(N48="Common Space")),E48*F48,"")</f>
        <v/>
      </c>
      <c r="MY48" s="356" t="str">
        <f t="shared" ref="MY48:MY51" si="440">IF(AND(C48=4,B48="NSP 120% AMI",NOT(N48="Common Space")),E48*F48,"")</f>
        <v/>
      </c>
      <c r="MZ48" s="356" t="str">
        <f t="shared" si="343"/>
        <v/>
      </c>
      <c r="NA48" s="356" t="str">
        <f t="shared" si="344"/>
        <v/>
      </c>
      <c r="NB48" s="356" t="str">
        <f t="shared" si="345"/>
        <v/>
      </c>
      <c r="NC48" s="356" t="str">
        <f t="shared" si="346"/>
        <v/>
      </c>
      <c r="ND48" s="356" t="str">
        <f t="shared" si="347"/>
        <v/>
      </c>
      <c r="NE48" s="356" t="str">
        <f t="shared" si="348"/>
        <v/>
      </c>
      <c r="NF48" s="356" t="str">
        <f t="shared" si="349"/>
        <v/>
      </c>
      <c r="NG48" s="356" t="str">
        <f t="shared" si="350"/>
        <v/>
      </c>
      <c r="NH48" s="356" t="str">
        <f t="shared" si="351"/>
        <v/>
      </c>
      <c r="NI48" s="356" t="str">
        <f t="shared" si="352"/>
        <v/>
      </c>
      <c r="NJ48" s="356" t="str">
        <f t="shared" si="353"/>
        <v/>
      </c>
      <c r="NK48" s="356" t="str">
        <f t="shared" si="354"/>
        <v/>
      </c>
      <c r="NL48" s="356" t="str">
        <f t="shared" si="355"/>
        <v/>
      </c>
      <c r="NM48" s="356" t="str">
        <f t="shared" si="356"/>
        <v/>
      </c>
      <c r="NN48" s="356" t="str">
        <f t="shared" si="357"/>
        <v/>
      </c>
      <c r="NO48" s="1640">
        <f t="shared" si="358"/>
        <v>0</v>
      </c>
      <c r="NP48" s="1640">
        <f t="shared" si="359"/>
        <v>0</v>
      </c>
      <c r="NQ48" s="1640">
        <f t="shared" si="360"/>
        <v>0</v>
      </c>
      <c r="NR48" s="1640">
        <f t="shared" si="361"/>
        <v>0</v>
      </c>
      <c r="NS48" s="1640">
        <f t="shared" si="362"/>
        <v>0</v>
      </c>
      <c r="NT48" s="1640">
        <f t="shared" si="368"/>
        <v>0</v>
      </c>
      <c r="NU48" s="1640">
        <f t="shared" si="369"/>
        <v>0</v>
      </c>
      <c r="NV48" s="1640">
        <f t="shared" si="370"/>
        <v>0</v>
      </c>
      <c r="NW48" s="1640">
        <f t="shared" si="371"/>
        <v>0</v>
      </c>
      <c r="NX48" s="1640">
        <f t="shared" si="372"/>
        <v>0</v>
      </c>
      <c r="NY48" s="1640">
        <f t="shared" si="363"/>
        <v>0</v>
      </c>
      <c r="NZ48" s="1640">
        <f t="shared" si="364"/>
        <v>0</v>
      </c>
      <c r="OA48" s="1640">
        <f t="shared" si="365"/>
        <v>0</v>
      </c>
      <c r="OB48" s="1640">
        <f t="shared" si="366"/>
        <v>0</v>
      </c>
      <c r="OC48" s="1640">
        <f t="shared" si="367"/>
        <v>0</v>
      </c>
      <c r="OY48" s="2499" t="s">
        <v>4333</v>
      </c>
      <c r="OZ48" s="2503">
        <v>48</v>
      </c>
    </row>
    <row r="49" spans="1:416" ht="12" customHeight="1">
      <c r="A49" s="86" t="str">
        <f t="shared" si="373"/>
        <v/>
      </c>
      <c r="B49" s="1055"/>
      <c r="C49" s="132"/>
      <c r="D49" s="1643"/>
      <c r="E49" s="133"/>
      <c r="F49" s="133"/>
      <c r="G49" s="133"/>
      <c r="H49" s="133"/>
      <c r="I49" s="133"/>
      <c r="J49" s="1036">
        <f>IF(C49="",0,HLOOKUP(C49,'Part IV-Utility Allowances'!$I$11:$M$25,15))</f>
        <v>0</v>
      </c>
      <c r="K49" s="630"/>
      <c r="L49" s="460">
        <f t="shared" si="374"/>
        <v>0</v>
      </c>
      <c r="M49" s="460">
        <f t="shared" si="375"/>
        <v>0</v>
      </c>
      <c r="N49" s="680"/>
      <c r="O49" s="1585"/>
      <c r="P49" s="680"/>
      <c r="Q49" s="134"/>
      <c r="R49" s="723"/>
      <c r="S49" s="724"/>
      <c r="T49" s="3613"/>
      <c r="U49" s="3614"/>
      <c r="V49" s="3614"/>
      <c r="W49" s="3615"/>
      <c r="X49" s="356" t="str">
        <f t="shared" si="376"/>
        <v/>
      </c>
      <c r="Y49" s="356" t="str">
        <f t="shared" si="377"/>
        <v/>
      </c>
      <c r="Z49" s="356" t="str">
        <f t="shared" si="378"/>
        <v/>
      </c>
      <c r="AA49" s="356" t="str">
        <f t="shared" si="379"/>
        <v/>
      </c>
      <c r="AB49" s="356" t="str">
        <f t="shared" si="380"/>
        <v/>
      </c>
      <c r="AC49" s="356" t="str">
        <f t="shared" si="381"/>
        <v/>
      </c>
      <c r="AD49" s="356" t="str">
        <f t="shared" si="382"/>
        <v/>
      </c>
      <c r="AE49" s="356" t="str">
        <f t="shared" si="383"/>
        <v/>
      </c>
      <c r="AF49" s="356" t="str">
        <f t="shared" si="384"/>
        <v/>
      </c>
      <c r="AG49" s="356" t="str">
        <f t="shared" si="385"/>
        <v/>
      </c>
      <c r="AH49" s="356" t="str">
        <f t="shared" si="386"/>
        <v/>
      </c>
      <c r="AI49" s="356" t="str">
        <f t="shared" si="387"/>
        <v/>
      </c>
      <c r="AJ49" s="356" t="str">
        <f t="shared" si="388"/>
        <v/>
      </c>
      <c r="AK49" s="356" t="str">
        <f t="shared" si="389"/>
        <v/>
      </c>
      <c r="AL49" s="356" t="str">
        <f t="shared" si="390"/>
        <v/>
      </c>
      <c r="AM49" s="356" t="str">
        <f t="shared" si="391"/>
        <v/>
      </c>
      <c r="AN49" s="356" t="str">
        <f t="shared" si="392"/>
        <v/>
      </c>
      <c r="AO49" s="356" t="str">
        <f t="shared" si="393"/>
        <v/>
      </c>
      <c r="AP49" s="356" t="str">
        <f t="shared" si="394"/>
        <v/>
      </c>
      <c r="AQ49" s="356" t="str">
        <f t="shared" si="395"/>
        <v/>
      </c>
      <c r="AR49" s="356" t="str">
        <f t="shared" si="396"/>
        <v/>
      </c>
      <c r="AS49" s="356" t="str">
        <f t="shared" si="397"/>
        <v/>
      </c>
      <c r="AT49" s="356" t="str">
        <f t="shared" si="398"/>
        <v/>
      </c>
      <c r="AU49" s="356" t="str">
        <f t="shared" si="399"/>
        <v/>
      </c>
      <c r="AV49" s="356" t="str">
        <f t="shared" si="400"/>
        <v/>
      </c>
      <c r="AW49" s="356" t="str">
        <f t="shared" si="401"/>
        <v/>
      </c>
      <c r="AX49" s="356" t="str">
        <f t="shared" si="402"/>
        <v/>
      </c>
      <c r="AY49" s="356" t="str">
        <f t="shared" si="403"/>
        <v/>
      </c>
      <c r="AZ49" s="356" t="str">
        <f t="shared" si="404"/>
        <v/>
      </c>
      <c r="BA49" s="356" t="str">
        <f t="shared" si="405"/>
        <v/>
      </c>
      <c r="BB49" s="356" t="str">
        <f t="shared" si="406"/>
        <v/>
      </c>
      <c r="BC49" s="356" t="str">
        <f t="shared" si="407"/>
        <v/>
      </c>
      <c r="BD49" s="356" t="str">
        <f t="shared" si="408"/>
        <v/>
      </c>
      <c r="BE49" s="356" t="str">
        <f t="shared" si="409"/>
        <v/>
      </c>
      <c r="BF49" s="356" t="str">
        <f t="shared" si="410"/>
        <v/>
      </c>
      <c r="BG49" s="356" t="str">
        <f t="shared" si="411"/>
        <v/>
      </c>
      <c r="BH49" s="356" t="str">
        <f t="shared" si="412"/>
        <v/>
      </c>
      <c r="BI49" s="356" t="str">
        <f t="shared" si="413"/>
        <v/>
      </c>
      <c r="BJ49" s="356" t="str">
        <f t="shared" si="414"/>
        <v/>
      </c>
      <c r="BK49" s="356" t="str">
        <f t="shared" si="415"/>
        <v/>
      </c>
      <c r="BL49" s="356" t="str">
        <f t="shared" si="43"/>
        <v/>
      </c>
      <c r="BM49" s="356" t="str">
        <f t="shared" si="44"/>
        <v/>
      </c>
      <c r="BN49" s="356" t="str">
        <f t="shared" si="45"/>
        <v/>
      </c>
      <c r="BO49" s="356" t="str">
        <f t="shared" si="46"/>
        <v/>
      </c>
      <c r="BP49" s="356" t="str">
        <f t="shared" si="47"/>
        <v/>
      </c>
      <c r="BQ49" s="356" t="str">
        <f t="shared" si="48"/>
        <v/>
      </c>
      <c r="BR49" s="356" t="str">
        <f t="shared" si="49"/>
        <v/>
      </c>
      <c r="BS49" s="356" t="str">
        <f t="shared" si="50"/>
        <v/>
      </c>
      <c r="BT49" s="356" t="str">
        <f t="shared" si="51"/>
        <v/>
      </c>
      <c r="BU49" s="356" t="str">
        <f t="shared" si="52"/>
        <v/>
      </c>
      <c r="BV49" s="356" t="str">
        <f t="shared" si="53"/>
        <v/>
      </c>
      <c r="BW49" s="356" t="str">
        <f t="shared" si="54"/>
        <v/>
      </c>
      <c r="BX49" s="356" t="str">
        <f t="shared" si="55"/>
        <v/>
      </c>
      <c r="BY49" s="356" t="str">
        <f t="shared" si="56"/>
        <v/>
      </c>
      <c r="BZ49" s="356" t="str">
        <f t="shared" si="57"/>
        <v/>
      </c>
      <c r="CA49" s="356" t="str">
        <f t="shared" si="58"/>
        <v/>
      </c>
      <c r="CB49" s="356" t="str">
        <f t="shared" si="59"/>
        <v/>
      </c>
      <c r="CC49" s="356" t="str">
        <f t="shared" si="60"/>
        <v/>
      </c>
      <c r="CD49" s="356" t="str">
        <f t="shared" si="61"/>
        <v/>
      </c>
      <c r="CE49" s="356" t="str">
        <f t="shared" si="62"/>
        <v/>
      </c>
      <c r="CF49" s="356" t="str">
        <f t="shared" si="63"/>
        <v/>
      </c>
      <c r="CG49" s="356" t="str">
        <f t="shared" si="64"/>
        <v/>
      </c>
      <c r="CH49" s="356" t="str">
        <f t="shared" si="65"/>
        <v/>
      </c>
      <c r="CI49" s="356" t="str">
        <f t="shared" si="66"/>
        <v/>
      </c>
      <c r="CJ49" s="356" t="str">
        <f t="shared" si="67"/>
        <v/>
      </c>
      <c r="CK49" s="356" t="str">
        <f t="shared" si="68"/>
        <v/>
      </c>
      <c r="CL49" s="356" t="str">
        <f t="shared" si="69"/>
        <v/>
      </c>
      <c r="CM49" s="356" t="str">
        <f t="shared" si="70"/>
        <v/>
      </c>
      <c r="CN49" s="356" t="str">
        <f t="shared" si="71"/>
        <v/>
      </c>
      <c r="CO49" s="356" t="str">
        <f t="shared" si="72"/>
        <v/>
      </c>
      <c r="CP49" s="356" t="str">
        <f t="shared" si="73"/>
        <v/>
      </c>
      <c r="CQ49" s="356" t="str">
        <f t="shared" si="74"/>
        <v/>
      </c>
      <c r="CR49" s="356" t="str">
        <f t="shared" si="75"/>
        <v/>
      </c>
      <c r="CS49" s="356" t="str">
        <f t="shared" si="76"/>
        <v/>
      </c>
      <c r="CT49" s="356" t="str">
        <f t="shared" si="77"/>
        <v/>
      </c>
      <c r="CU49" s="356" t="str">
        <f t="shared" si="78"/>
        <v/>
      </c>
      <c r="CV49" s="356" t="str">
        <f t="shared" si="79"/>
        <v/>
      </c>
      <c r="CW49" s="356" t="str">
        <f t="shared" si="80"/>
        <v/>
      </c>
      <c r="CX49" s="356" t="str">
        <f t="shared" si="81"/>
        <v/>
      </c>
      <c r="CY49" s="356" t="str">
        <f t="shared" si="82"/>
        <v/>
      </c>
      <c r="CZ49" s="356" t="str">
        <f t="shared" si="83"/>
        <v/>
      </c>
      <c r="DA49" s="356" t="str">
        <f t="shared" si="84"/>
        <v/>
      </c>
      <c r="DB49" s="356" t="str">
        <f t="shared" si="85"/>
        <v/>
      </c>
      <c r="DC49" s="356" t="str">
        <f t="shared" si="86"/>
        <v/>
      </c>
      <c r="DD49" s="356" t="str">
        <f t="shared" si="87"/>
        <v/>
      </c>
      <c r="DE49" s="356" t="str">
        <f t="shared" si="88"/>
        <v/>
      </c>
      <c r="DF49" s="356" t="str">
        <f t="shared" si="89"/>
        <v/>
      </c>
      <c r="DG49" s="356" t="str">
        <f t="shared" si="90"/>
        <v/>
      </c>
      <c r="DH49" s="356" t="str">
        <f t="shared" si="91"/>
        <v/>
      </c>
      <c r="DI49" s="356" t="str">
        <f t="shared" si="92"/>
        <v/>
      </c>
      <c r="DJ49" s="356" t="str">
        <f t="shared" si="93"/>
        <v/>
      </c>
      <c r="DK49" s="356" t="str">
        <f t="shared" si="94"/>
        <v/>
      </c>
      <c r="DL49" s="356" t="str">
        <f t="shared" si="95"/>
        <v/>
      </c>
      <c r="DM49" s="356" t="str">
        <f t="shared" si="96"/>
        <v/>
      </c>
      <c r="DN49" s="356" t="str">
        <f t="shared" si="97"/>
        <v/>
      </c>
      <c r="DO49" s="356" t="str">
        <f t="shared" si="98"/>
        <v/>
      </c>
      <c r="DP49" s="356" t="str">
        <f t="shared" si="99"/>
        <v/>
      </c>
      <c r="DQ49" s="356" t="str">
        <f t="shared" si="100"/>
        <v/>
      </c>
      <c r="DR49" s="356" t="str">
        <f t="shared" si="101"/>
        <v/>
      </c>
      <c r="DS49" s="356" t="str">
        <f t="shared" si="102"/>
        <v/>
      </c>
      <c r="DT49" s="356" t="str">
        <f t="shared" si="103"/>
        <v/>
      </c>
      <c r="DU49" s="356" t="str">
        <f t="shared" si="104"/>
        <v/>
      </c>
      <c r="DV49" s="356" t="str">
        <f t="shared" si="105"/>
        <v/>
      </c>
      <c r="DW49" s="356" t="str">
        <f t="shared" si="106"/>
        <v/>
      </c>
      <c r="DX49" s="356" t="str">
        <f t="shared" si="107"/>
        <v/>
      </c>
      <c r="DY49" s="356" t="str">
        <f t="shared" si="108"/>
        <v/>
      </c>
      <c r="DZ49" s="356" t="str">
        <f t="shared" si="109"/>
        <v/>
      </c>
      <c r="EA49" s="356" t="str">
        <f t="shared" si="110"/>
        <v/>
      </c>
      <c r="EB49" s="356" t="str">
        <f t="shared" si="111"/>
        <v/>
      </c>
      <c r="EC49" s="356" t="str">
        <f t="shared" si="112"/>
        <v/>
      </c>
      <c r="ED49" s="356" t="str">
        <f t="shared" si="113"/>
        <v/>
      </c>
      <c r="EE49" s="356" t="str">
        <f t="shared" si="114"/>
        <v/>
      </c>
      <c r="EF49" s="356" t="str">
        <f t="shared" si="115"/>
        <v/>
      </c>
      <c r="EG49" s="356" t="str">
        <f t="shared" si="116"/>
        <v/>
      </c>
      <c r="EH49" s="356" t="str">
        <f t="shared" si="117"/>
        <v/>
      </c>
      <c r="EI49" s="356" t="str">
        <f t="shared" si="118"/>
        <v/>
      </c>
      <c r="EJ49" s="356" t="str">
        <f t="shared" si="119"/>
        <v/>
      </c>
      <c r="EK49" s="356" t="str">
        <f t="shared" si="120"/>
        <v/>
      </c>
      <c r="EL49" s="356" t="str">
        <f t="shared" si="121"/>
        <v/>
      </c>
      <c r="EM49" s="356" t="str">
        <f t="shared" si="122"/>
        <v/>
      </c>
      <c r="EN49" s="356" t="str">
        <f t="shared" si="123"/>
        <v/>
      </c>
      <c r="EO49" s="356" t="str">
        <f t="shared" si="124"/>
        <v/>
      </c>
      <c r="EP49" s="356" t="str">
        <f t="shared" si="125"/>
        <v/>
      </c>
      <c r="EQ49" s="356" t="str">
        <f t="shared" si="126"/>
        <v/>
      </c>
      <c r="ER49" s="356" t="str">
        <f t="shared" si="127"/>
        <v/>
      </c>
      <c r="ES49" s="356" t="str">
        <f t="shared" si="128"/>
        <v/>
      </c>
      <c r="ET49" s="356" t="str">
        <f t="shared" si="129"/>
        <v/>
      </c>
      <c r="EU49" s="356" t="str">
        <f t="shared" si="130"/>
        <v/>
      </c>
      <c r="EV49" s="356" t="str">
        <f t="shared" si="131"/>
        <v/>
      </c>
      <c r="EW49" s="356" t="str">
        <f t="shared" si="132"/>
        <v/>
      </c>
      <c r="EX49" s="356" t="str">
        <f t="shared" si="133"/>
        <v/>
      </c>
      <c r="EY49" s="356" t="str">
        <f t="shared" si="134"/>
        <v/>
      </c>
      <c r="EZ49" s="356" t="str">
        <f t="shared" si="135"/>
        <v/>
      </c>
      <c r="FA49" s="356" t="str">
        <f t="shared" si="136"/>
        <v/>
      </c>
      <c r="FB49" s="356" t="str">
        <f t="shared" si="137"/>
        <v/>
      </c>
      <c r="FC49" s="356" t="str">
        <f t="shared" si="138"/>
        <v/>
      </c>
      <c r="FD49" s="356" t="str">
        <f t="shared" si="139"/>
        <v/>
      </c>
      <c r="FE49" s="356" t="str">
        <f t="shared" si="140"/>
        <v/>
      </c>
      <c r="FF49" s="356" t="str">
        <f t="shared" si="141"/>
        <v/>
      </c>
      <c r="FG49" s="356" t="str">
        <f t="shared" si="142"/>
        <v/>
      </c>
      <c r="FH49" s="356" t="str">
        <f t="shared" si="143"/>
        <v/>
      </c>
      <c r="FI49" s="356" t="str">
        <f t="shared" si="144"/>
        <v/>
      </c>
      <c r="FJ49" s="356" t="str">
        <f t="shared" si="145"/>
        <v/>
      </c>
      <c r="FK49" s="356" t="str">
        <f t="shared" si="146"/>
        <v/>
      </c>
      <c r="FL49" s="356" t="str">
        <f t="shared" si="147"/>
        <v/>
      </c>
      <c r="FM49" s="356" t="str">
        <f t="shared" si="416"/>
        <v/>
      </c>
      <c r="FN49" s="356" t="str">
        <f t="shared" si="417"/>
        <v/>
      </c>
      <c r="FO49" s="356" t="str">
        <f t="shared" si="418"/>
        <v/>
      </c>
      <c r="FP49" s="356" t="str">
        <f t="shared" si="419"/>
        <v/>
      </c>
      <c r="FQ49" s="356" t="str">
        <f t="shared" si="420"/>
        <v/>
      </c>
      <c r="FR49" s="356" t="str">
        <f t="shared" si="153"/>
        <v/>
      </c>
      <c r="FS49" s="356" t="str">
        <f t="shared" si="154"/>
        <v/>
      </c>
      <c r="FT49" s="356" t="str">
        <f t="shared" si="155"/>
        <v/>
      </c>
      <c r="FU49" s="356" t="str">
        <f t="shared" si="156"/>
        <v/>
      </c>
      <c r="FV49" s="356" t="str">
        <f t="shared" si="157"/>
        <v/>
      </c>
      <c r="FW49" s="356" t="str">
        <f t="shared" si="158"/>
        <v/>
      </c>
      <c r="FX49" s="356" t="str">
        <f t="shared" si="159"/>
        <v/>
      </c>
      <c r="FY49" s="356" t="str">
        <f t="shared" si="160"/>
        <v/>
      </c>
      <c r="FZ49" s="356" t="str">
        <f t="shared" si="161"/>
        <v/>
      </c>
      <c r="GA49" s="356" t="str">
        <f t="shared" si="162"/>
        <v/>
      </c>
      <c r="GB49" s="356" t="str">
        <f t="shared" si="163"/>
        <v/>
      </c>
      <c r="GC49" s="356" t="str">
        <f t="shared" si="164"/>
        <v/>
      </c>
      <c r="GD49" s="356" t="str">
        <f t="shared" si="165"/>
        <v/>
      </c>
      <c r="GE49" s="356" t="str">
        <f t="shared" si="166"/>
        <v/>
      </c>
      <c r="GF49" s="356" t="str">
        <f t="shared" si="167"/>
        <v/>
      </c>
      <c r="GG49" s="356" t="str">
        <f t="shared" si="168"/>
        <v/>
      </c>
      <c r="GH49" s="356" t="str">
        <f t="shared" si="169"/>
        <v/>
      </c>
      <c r="GI49" s="356" t="str">
        <f t="shared" si="170"/>
        <v/>
      </c>
      <c r="GJ49" s="356" t="str">
        <f t="shared" si="171"/>
        <v/>
      </c>
      <c r="GK49" s="356" t="str">
        <f t="shared" si="172"/>
        <v/>
      </c>
      <c r="GL49" s="356" t="str">
        <f t="shared" si="173"/>
        <v/>
      </c>
      <c r="GM49" s="356" t="str">
        <f t="shared" si="174"/>
        <v/>
      </c>
      <c r="GN49" s="356" t="str">
        <f t="shared" si="175"/>
        <v/>
      </c>
      <c r="GO49" s="356" t="str">
        <f t="shared" si="176"/>
        <v/>
      </c>
      <c r="GP49" s="356" t="str">
        <f t="shared" si="177"/>
        <v/>
      </c>
      <c r="GQ49" s="356" t="str">
        <f t="shared" si="178"/>
        <v/>
      </c>
      <c r="GR49" s="356" t="str">
        <f t="shared" si="179"/>
        <v/>
      </c>
      <c r="GS49" s="356" t="str">
        <f t="shared" si="180"/>
        <v/>
      </c>
      <c r="GT49" s="356" t="str">
        <f t="shared" si="181"/>
        <v/>
      </c>
      <c r="GU49" s="356" t="str">
        <f t="shared" si="182"/>
        <v/>
      </c>
      <c r="GV49" s="356" t="str">
        <f t="shared" si="183"/>
        <v/>
      </c>
      <c r="GW49" s="356" t="str">
        <f t="shared" si="184"/>
        <v/>
      </c>
      <c r="GX49" s="356" t="str">
        <f t="shared" si="185"/>
        <v/>
      </c>
      <c r="GY49" s="356" t="str">
        <f t="shared" si="186"/>
        <v/>
      </c>
      <c r="GZ49" s="356" t="str">
        <f t="shared" si="187"/>
        <v/>
      </c>
      <c r="HA49" s="356" t="str">
        <f t="shared" si="421"/>
        <v/>
      </c>
      <c r="HB49" s="356" t="str">
        <f t="shared" si="422"/>
        <v/>
      </c>
      <c r="HC49" s="356" t="str">
        <f t="shared" si="423"/>
        <v/>
      </c>
      <c r="HD49" s="356" t="str">
        <f t="shared" si="424"/>
        <v/>
      </c>
      <c r="HE49" s="356" t="str">
        <f t="shared" si="425"/>
        <v/>
      </c>
      <c r="HF49" s="356" t="str">
        <f t="shared" si="426"/>
        <v/>
      </c>
      <c r="HG49" s="356" t="str">
        <f t="shared" si="427"/>
        <v/>
      </c>
      <c r="HH49" s="356" t="str">
        <f t="shared" si="428"/>
        <v/>
      </c>
      <c r="HI49" s="356" t="str">
        <f t="shared" si="429"/>
        <v/>
      </c>
      <c r="HJ49" s="356" t="str">
        <f t="shared" si="430"/>
        <v/>
      </c>
      <c r="HK49" s="356" t="str">
        <f t="shared" si="431"/>
        <v/>
      </c>
      <c r="HL49" s="356" t="str">
        <f t="shared" si="432"/>
        <v/>
      </c>
      <c r="HM49" s="356" t="str">
        <f t="shared" si="433"/>
        <v/>
      </c>
      <c r="HN49" s="356" t="str">
        <f t="shared" si="434"/>
        <v/>
      </c>
      <c r="HO49" s="356" t="str">
        <f t="shared" si="435"/>
        <v/>
      </c>
      <c r="HP49" s="356" t="str">
        <f t="shared" si="203"/>
        <v/>
      </c>
      <c r="HQ49" s="356" t="str">
        <f t="shared" si="204"/>
        <v/>
      </c>
      <c r="HR49" s="356" t="str">
        <f t="shared" si="205"/>
        <v/>
      </c>
      <c r="HS49" s="356" t="str">
        <f t="shared" si="206"/>
        <v/>
      </c>
      <c r="HT49" s="356" t="str">
        <f t="shared" si="207"/>
        <v/>
      </c>
      <c r="HU49" s="356" t="str">
        <f t="shared" si="208"/>
        <v/>
      </c>
      <c r="HV49" s="356" t="str">
        <f t="shared" si="209"/>
        <v/>
      </c>
      <c r="HW49" s="356" t="str">
        <f t="shared" si="210"/>
        <v/>
      </c>
      <c r="HX49" s="356" t="str">
        <f t="shared" si="211"/>
        <v/>
      </c>
      <c r="HY49" s="356" t="str">
        <f t="shared" si="212"/>
        <v/>
      </c>
      <c r="HZ49" s="356" t="str">
        <f t="shared" si="213"/>
        <v/>
      </c>
      <c r="IA49" s="356" t="str">
        <f t="shared" si="214"/>
        <v/>
      </c>
      <c r="IB49" s="356" t="str">
        <f t="shared" si="215"/>
        <v/>
      </c>
      <c r="IC49" s="356" t="str">
        <f t="shared" si="216"/>
        <v/>
      </c>
      <c r="ID49" s="356" t="str">
        <f t="shared" si="217"/>
        <v/>
      </c>
      <c r="IE49" s="356" t="str">
        <f t="shared" si="218"/>
        <v/>
      </c>
      <c r="IF49" s="356" t="str">
        <f t="shared" si="219"/>
        <v/>
      </c>
      <c r="IG49" s="356" t="str">
        <f t="shared" si="220"/>
        <v/>
      </c>
      <c r="IH49" s="356" t="str">
        <f t="shared" si="221"/>
        <v/>
      </c>
      <c r="II49" s="356" t="str">
        <f t="shared" si="222"/>
        <v/>
      </c>
      <c r="IJ49" s="356" t="str">
        <f t="shared" si="223"/>
        <v/>
      </c>
      <c r="IK49" s="356" t="str">
        <f t="shared" si="224"/>
        <v/>
      </c>
      <c r="IL49" s="356" t="str">
        <f t="shared" si="225"/>
        <v/>
      </c>
      <c r="IM49" s="356" t="str">
        <f t="shared" si="226"/>
        <v/>
      </c>
      <c r="IN49" s="356" t="str">
        <f t="shared" si="227"/>
        <v/>
      </c>
      <c r="IO49" s="356" t="str">
        <f t="shared" si="228"/>
        <v/>
      </c>
      <c r="IP49" s="356" t="str">
        <f t="shared" si="229"/>
        <v/>
      </c>
      <c r="IQ49" s="356" t="str">
        <f t="shared" si="230"/>
        <v/>
      </c>
      <c r="IR49" s="356" t="str">
        <f t="shared" si="231"/>
        <v/>
      </c>
      <c r="IS49" s="356" t="str">
        <f t="shared" si="232"/>
        <v/>
      </c>
      <c r="IT49" s="356" t="str">
        <f t="shared" si="233"/>
        <v/>
      </c>
      <c r="IU49" s="356" t="str">
        <f t="shared" si="234"/>
        <v/>
      </c>
      <c r="IV49" s="356" t="str">
        <f t="shared" si="235"/>
        <v/>
      </c>
      <c r="IW49" s="356" t="str">
        <f t="shared" si="236"/>
        <v/>
      </c>
      <c r="IX49" s="356" t="str">
        <f t="shared" si="237"/>
        <v/>
      </c>
      <c r="IY49" s="356" t="str">
        <f t="shared" si="238"/>
        <v/>
      </c>
      <c r="IZ49" s="356" t="str">
        <f t="shared" si="239"/>
        <v/>
      </c>
      <c r="JA49" s="356" t="str">
        <f t="shared" si="240"/>
        <v/>
      </c>
      <c r="JB49" s="356" t="str">
        <f t="shared" si="241"/>
        <v/>
      </c>
      <c r="JC49" s="356" t="str">
        <f t="shared" si="242"/>
        <v/>
      </c>
      <c r="JD49" s="356" t="str">
        <f t="shared" si="243"/>
        <v/>
      </c>
      <c r="JE49" s="356" t="str">
        <f t="shared" si="244"/>
        <v/>
      </c>
      <c r="JF49" s="356" t="str">
        <f t="shared" si="245"/>
        <v/>
      </c>
      <c r="JG49" s="356" t="str">
        <f t="shared" si="246"/>
        <v/>
      </c>
      <c r="JH49" s="356" t="str">
        <f t="shared" si="247"/>
        <v/>
      </c>
      <c r="JI49" s="1785" t="str">
        <f t="shared" si="248"/>
        <v/>
      </c>
      <c r="JJ49" s="1785" t="str">
        <f t="shared" si="249"/>
        <v/>
      </c>
      <c r="JK49" s="1785" t="str">
        <f t="shared" si="250"/>
        <v/>
      </c>
      <c r="JL49" s="1785" t="str">
        <f t="shared" si="251"/>
        <v/>
      </c>
      <c r="JM49" s="1785" t="str">
        <f t="shared" si="252"/>
        <v/>
      </c>
      <c r="JN49" s="1785" t="str">
        <f t="shared" si="253"/>
        <v/>
      </c>
      <c r="JO49" s="1785" t="str">
        <f t="shared" si="254"/>
        <v/>
      </c>
      <c r="JP49" s="1785" t="str">
        <f t="shared" si="255"/>
        <v/>
      </c>
      <c r="JQ49" s="1785" t="str">
        <f t="shared" si="256"/>
        <v/>
      </c>
      <c r="JR49" s="1785" t="str">
        <f t="shared" si="257"/>
        <v/>
      </c>
      <c r="JS49" s="1785" t="str">
        <f t="shared" si="258"/>
        <v/>
      </c>
      <c r="JT49" s="1785" t="str">
        <f t="shared" si="259"/>
        <v/>
      </c>
      <c r="JU49" s="1785" t="str">
        <f t="shared" si="260"/>
        <v/>
      </c>
      <c r="JV49" s="1785" t="str">
        <f t="shared" si="261"/>
        <v/>
      </c>
      <c r="JW49" s="1785" t="str">
        <f t="shared" si="262"/>
        <v/>
      </c>
      <c r="JX49" s="1785" t="str">
        <f t="shared" si="263"/>
        <v/>
      </c>
      <c r="JY49" s="1785" t="str">
        <f t="shared" si="264"/>
        <v/>
      </c>
      <c r="JZ49" s="1785" t="str">
        <f t="shared" si="265"/>
        <v/>
      </c>
      <c r="KA49" s="1785" t="str">
        <f t="shared" si="266"/>
        <v/>
      </c>
      <c r="KB49" s="1785" t="str">
        <f t="shared" si="267"/>
        <v/>
      </c>
      <c r="KC49" s="1785" t="str">
        <f t="shared" si="268"/>
        <v/>
      </c>
      <c r="KD49" s="1785" t="str">
        <f t="shared" si="269"/>
        <v/>
      </c>
      <c r="KE49" s="1785" t="str">
        <f t="shared" si="270"/>
        <v/>
      </c>
      <c r="KF49" s="1785" t="str">
        <f t="shared" si="271"/>
        <v/>
      </c>
      <c r="KG49" s="1785" t="str">
        <f t="shared" si="272"/>
        <v/>
      </c>
      <c r="KH49" s="1785" t="str">
        <f t="shared" si="273"/>
        <v/>
      </c>
      <c r="KI49" s="1785" t="str">
        <f t="shared" si="274"/>
        <v/>
      </c>
      <c r="KJ49" s="1785" t="str">
        <f t="shared" si="275"/>
        <v/>
      </c>
      <c r="KK49" s="1785" t="str">
        <f t="shared" si="276"/>
        <v/>
      </c>
      <c r="KL49" s="1785" t="str">
        <f t="shared" si="277"/>
        <v/>
      </c>
      <c r="KM49" s="1785" t="str">
        <f t="shared" si="278"/>
        <v/>
      </c>
      <c r="KN49" s="1785" t="str">
        <f t="shared" si="279"/>
        <v/>
      </c>
      <c r="KO49" s="1785" t="str">
        <f t="shared" si="280"/>
        <v/>
      </c>
      <c r="KP49" s="1785" t="str">
        <f t="shared" si="281"/>
        <v/>
      </c>
      <c r="KQ49" s="1785" t="str">
        <f t="shared" si="282"/>
        <v/>
      </c>
      <c r="KR49" s="1785" t="str">
        <f t="shared" si="283"/>
        <v/>
      </c>
      <c r="KS49" s="1785" t="str">
        <f t="shared" si="284"/>
        <v/>
      </c>
      <c r="KT49" s="1785" t="str">
        <f t="shared" si="285"/>
        <v/>
      </c>
      <c r="KU49" s="1785" t="str">
        <f t="shared" si="286"/>
        <v/>
      </c>
      <c r="KV49" s="1785" t="str">
        <f t="shared" si="287"/>
        <v/>
      </c>
      <c r="KW49" s="1785" t="str">
        <f t="shared" si="288"/>
        <v/>
      </c>
      <c r="KX49" s="1785" t="str">
        <f t="shared" si="289"/>
        <v/>
      </c>
      <c r="KY49" s="1785" t="str">
        <f t="shared" si="290"/>
        <v/>
      </c>
      <c r="KZ49" s="1785" t="str">
        <f t="shared" si="291"/>
        <v/>
      </c>
      <c r="LA49" s="1785" t="str">
        <f t="shared" si="292"/>
        <v/>
      </c>
      <c r="LB49" s="1785" t="str">
        <f t="shared" si="293"/>
        <v/>
      </c>
      <c r="LC49" s="1785" t="str">
        <f t="shared" si="294"/>
        <v/>
      </c>
      <c r="LD49" s="1785" t="str">
        <f t="shared" si="295"/>
        <v/>
      </c>
      <c r="LE49" s="1785" t="str">
        <f t="shared" si="296"/>
        <v/>
      </c>
      <c r="LF49" s="1785" t="str">
        <f t="shared" si="297"/>
        <v/>
      </c>
      <c r="LG49" s="1785" t="str">
        <f t="shared" si="298"/>
        <v/>
      </c>
      <c r="LH49" s="1785" t="str">
        <f t="shared" si="299"/>
        <v/>
      </c>
      <c r="LI49" s="1785" t="str">
        <f t="shared" si="300"/>
        <v/>
      </c>
      <c r="LJ49" s="1785" t="str">
        <f t="shared" si="301"/>
        <v/>
      </c>
      <c r="LK49" s="1785" t="str">
        <f t="shared" si="302"/>
        <v/>
      </c>
      <c r="LL49" s="1785" t="str">
        <f t="shared" si="303"/>
        <v/>
      </c>
      <c r="LM49" s="1785" t="str">
        <f t="shared" si="304"/>
        <v/>
      </c>
      <c r="LN49" s="1785" t="str">
        <f t="shared" si="305"/>
        <v/>
      </c>
      <c r="LO49" s="1785" t="str">
        <f t="shared" si="306"/>
        <v/>
      </c>
      <c r="LP49" s="1785" t="str">
        <f t="shared" si="307"/>
        <v/>
      </c>
      <c r="LQ49" s="1785" t="str">
        <f t="shared" si="308"/>
        <v/>
      </c>
      <c r="LR49" s="1785" t="str">
        <f t="shared" si="309"/>
        <v/>
      </c>
      <c r="LS49" s="1785" t="str">
        <f t="shared" si="310"/>
        <v/>
      </c>
      <c r="LT49" s="1785" t="str">
        <f t="shared" si="311"/>
        <v/>
      </c>
      <c r="LU49" s="1785" t="str">
        <f t="shared" si="312"/>
        <v/>
      </c>
      <c r="LV49" s="1785" t="str">
        <f t="shared" si="313"/>
        <v/>
      </c>
      <c r="LW49" s="1785" t="str">
        <f t="shared" si="314"/>
        <v/>
      </c>
      <c r="LX49" s="1785" t="str">
        <f t="shared" si="315"/>
        <v/>
      </c>
      <c r="LY49" s="1785" t="str">
        <f t="shared" si="316"/>
        <v/>
      </c>
      <c r="LZ49" s="1785" t="str">
        <f t="shared" si="317"/>
        <v/>
      </c>
      <c r="MA49" s="1785" t="str">
        <f t="shared" si="318"/>
        <v/>
      </c>
      <c r="MB49" s="1785" t="str">
        <f t="shared" si="319"/>
        <v/>
      </c>
      <c r="MC49" s="1785" t="str">
        <f t="shared" si="320"/>
        <v/>
      </c>
      <c r="MD49" s="1785" t="str">
        <f t="shared" si="321"/>
        <v/>
      </c>
      <c r="ME49" s="1785" t="str">
        <f t="shared" si="322"/>
        <v/>
      </c>
      <c r="MF49" s="1785" t="str">
        <f t="shared" si="323"/>
        <v/>
      </c>
      <c r="MG49" s="1785" t="str">
        <f t="shared" si="324"/>
        <v/>
      </c>
      <c r="MH49" s="1785" t="str">
        <f t="shared" si="325"/>
        <v/>
      </c>
      <c r="MI49" s="1785" t="str">
        <f t="shared" si="326"/>
        <v/>
      </c>
      <c r="MJ49" s="1785" t="str">
        <f t="shared" si="327"/>
        <v/>
      </c>
      <c r="MK49" s="1785" t="str">
        <f t="shared" si="328"/>
        <v/>
      </c>
      <c r="ML49" s="1785" t="str">
        <f t="shared" si="329"/>
        <v/>
      </c>
      <c r="MM49" s="1785" t="str">
        <f t="shared" si="330"/>
        <v/>
      </c>
      <c r="MN49" s="1785" t="str">
        <f t="shared" si="331"/>
        <v/>
      </c>
      <c r="MO49" s="1785" t="str">
        <f t="shared" si="332"/>
        <v/>
      </c>
      <c r="MP49" s="2470" t="str">
        <f t="shared" si="333"/>
        <v/>
      </c>
      <c r="MQ49" s="2470" t="str">
        <f t="shared" si="334"/>
        <v/>
      </c>
      <c r="MR49" s="2470" t="str">
        <f t="shared" si="335"/>
        <v/>
      </c>
      <c r="MS49" s="2470" t="str">
        <f t="shared" si="336"/>
        <v/>
      </c>
      <c r="MT49" s="2470" t="str">
        <f t="shared" si="337"/>
        <v/>
      </c>
      <c r="MU49" s="356" t="str">
        <f t="shared" si="436"/>
        <v/>
      </c>
      <c r="MV49" s="356" t="str">
        <f t="shared" si="437"/>
        <v/>
      </c>
      <c r="MW49" s="356" t="str">
        <f t="shared" si="438"/>
        <v/>
      </c>
      <c r="MX49" s="356" t="str">
        <f t="shared" si="439"/>
        <v/>
      </c>
      <c r="MY49" s="356" t="str">
        <f t="shared" si="440"/>
        <v/>
      </c>
      <c r="MZ49" s="356" t="str">
        <f t="shared" si="343"/>
        <v/>
      </c>
      <c r="NA49" s="356" t="str">
        <f t="shared" si="344"/>
        <v/>
      </c>
      <c r="NB49" s="356" t="str">
        <f t="shared" si="345"/>
        <v/>
      </c>
      <c r="NC49" s="356" t="str">
        <f t="shared" si="346"/>
        <v/>
      </c>
      <c r="ND49" s="356" t="str">
        <f t="shared" si="347"/>
        <v/>
      </c>
      <c r="NE49" s="356" t="str">
        <f t="shared" si="348"/>
        <v/>
      </c>
      <c r="NF49" s="356" t="str">
        <f t="shared" si="349"/>
        <v/>
      </c>
      <c r="NG49" s="356" t="str">
        <f t="shared" si="350"/>
        <v/>
      </c>
      <c r="NH49" s="356" t="str">
        <f t="shared" si="351"/>
        <v/>
      </c>
      <c r="NI49" s="356" t="str">
        <f t="shared" si="352"/>
        <v/>
      </c>
      <c r="NJ49" s="356" t="str">
        <f t="shared" si="353"/>
        <v/>
      </c>
      <c r="NK49" s="356" t="str">
        <f t="shared" si="354"/>
        <v/>
      </c>
      <c r="NL49" s="356" t="str">
        <f t="shared" si="355"/>
        <v/>
      </c>
      <c r="NM49" s="356" t="str">
        <f t="shared" si="356"/>
        <v/>
      </c>
      <c r="NN49" s="356" t="str">
        <f t="shared" si="357"/>
        <v/>
      </c>
      <c r="NO49" s="1640">
        <f t="shared" si="358"/>
        <v>0</v>
      </c>
      <c r="NP49" s="1640">
        <f t="shared" si="359"/>
        <v>0</v>
      </c>
      <c r="NQ49" s="1640">
        <f t="shared" si="360"/>
        <v>0</v>
      </c>
      <c r="NR49" s="1640">
        <f t="shared" si="361"/>
        <v>0</v>
      </c>
      <c r="NS49" s="1640">
        <f t="shared" si="362"/>
        <v>0</v>
      </c>
      <c r="NT49" s="1640">
        <f t="shared" si="368"/>
        <v>0</v>
      </c>
      <c r="NU49" s="1640">
        <f t="shared" si="369"/>
        <v>0</v>
      </c>
      <c r="NV49" s="1640">
        <f t="shared" si="370"/>
        <v>0</v>
      </c>
      <c r="NW49" s="1640">
        <f t="shared" si="371"/>
        <v>0</v>
      </c>
      <c r="NX49" s="1640">
        <f t="shared" si="372"/>
        <v>0</v>
      </c>
      <c r="NY49" s="1640">
        <f t="shared" si="363"/>
        <v>0</v>
      </c>
      <c r="NZ49" s="1640">
        <f t="shared" si="364"/>
        <v>0</v>
      </c>
      <c r="OA49" s="1640">
        <f t="shared" si="365"/>
        <v>0</v>
      </c>
      <c r="OB49" s="1640">
        <f t="shared" si="366"/>
        <v>0</v>
      </c>
      <c r="OC49" s="1640">
        <f t="shared" si="367"/>
        <v>0</v>
      </c>
      <c r="OY49" s="2499" t="s">
        <v>4331</v>
      </c>
      <c r="OZ49" s="2504">
        <v>49</v>
      </c>
    </row>
    <row r="50" spans="1:416" ht="12" customHeight="1">
      <c r="A50" s="86" t="str">
        <f t="shared" si="373"/>
        <v/>
      </c>
      <c r="B50" s="1055"/>
      <c r="C50" s="132"/>
      <c r="D50" s="1643"/>
      <c r="E50" s="133"/>
      <c r="F50" s="133"/>
      <c r="G50" s="133"/>
      <c r="H50" s="133"/>
      <c r="I50" s="133"/>
      <c r="J50" s="1036">
        <f>IF(C50="",0,HLOOKUP(C50,'Part IV-Utility Allowances'!$I$11:$M$25,15))</f>
        <v>0</v>
      </c>
      <c r="K50" s="630"/>
      <c r="L50" s="460">
        <f t="shared" si="374"/>
        <v>0</v>
      </c>
      <c r="M50" s="460">
        <f t="shared" si="375"/>
        <v>0</v>
      </c>
      <c r="N50" s="680"/>
      <c r="O50" s="1585"/>
      <c r="P50" s="680"/>
      <c r="Q50" s="134"/>
      <c r="R50" s="723"/>
      <c r="S50" s="724"/>
      <c r="T50" s="3613"/>
      <c r="U50" s="3614"/>
      <c r="V50" s="3614"/>
      <c r="W50" s="3615"/>
      <c r="X50" s="356" t="str">
        <f t="shared" si="376"/>
        <v/>
      </c>
      <c r="Y50" s="356" t="str">
        <f t="shared" si="377"/>
        <v/>
      </c>
      <c r="Z50" s="356" t="str">
        <f t="shared" si="378"/>
        <v/>
      </c>
      <c r="AA50" s="356" t="str">
        <f t="shared" si="379"/>
        <v/>
      </c>
      <c r="AB50" s="356" t="str">
        <f t="shared" si="380"/>
        <v/>
      </c>
      <c r="AC50" s="356" t="str">
        <f t="shared" si="381"/>
        <v/>
      </c>
      <c r="AD50" s="356" t="str">
        <f t="shared" si="382"/>
        <v/>
      </c>
      <c r="AE50" s="356" t="str">
        <f t="shared" si="383"/>
        <v/>
      </c>
      <c r="AF50" s="356" t="str">
        <f t="shared" si="384"/>
        <v/>
      </c>
      <c r="AG50" s="356" t="str">
        <f t="shared" si="385"/>
        <v/>
      </c>
      <c r="AH50" s="356" t="str">
        <f t="shared" si="386"/>
        <v/>
      </c>
      <c r="AI50" s="356" t="str">
        <f t="shared" si="387"/>
        <v/>
      </c>
      <c r="AJ50" s="356" t="str">
        <f t="shared" si="388"/>
        <v/>
      </c>
      <c r="AK50" s="356" t="str">
        <f t="shared" si="389"/>
        <v/>
      </c>
      <c r="AL50" s="356" t="str">
        <f t="shared" si="390"/>
        <v/>
      </c>
      <c r="AM50" s="356" t="str">
        <f t="shared" si="391"/>
        <v/>
      </c>
      <c r="AN50" s="356" t="str">
        <f t="shared" si="392"/>
        <v/>
      </c>
      <c r="AO50" s="356" t="str">
        <f t="shared" si="393"/>
        <v/>
      </c>
      <c r="AP50" s="356" t="str">
        <f t="shared" si="394"/>
        <v/>
      </c>
      <c r="AQ50" s="356" t="str">
        <f t="shared" si="395"/>
        <v/>
      </c>
      <c r="AR50" s="356" t="str">
        <f t="shared" si="396"/>
        <v/>
      </c>
      <c r="AS50" s="356" t="str">
        <f t="shared" si="397"/>
        <v/>
      </c>
      <c r="AT50" s="356" t="str">
        <f t="shared" si="398"/>
        <v/>
      </c>
      <c r="AU50" s="356" t="str">
        <f t="shared" si="399"/>
        <v/>
      </c>
      <c r="AV50" s="356" t="str">
        <f t="shared" si="400"/>
        <v/>
      </c>
      <c r="AW50" s="356" t="str">
        <f t="shared" si="401"/>
        <v/>
      </c>
      <c r="AX50" s="356" t="str">
        <f t="shared" si="402"/>
        <v/>
      </c>
      <c r="AY50" s="356" t="str">
        <f t="shared" si="403"/>
        <v/>
      </c>
      <c r="AZ50" s="356" t="str">
        <f t="shared" si="404"/>
        <v/>
      </c>
      <c r="BA50" s="356" t="str">
        <f t="shared" si="405"/>
        <v/>
      </c>
      <c r="BB50" s="356" t="str">
        <f t="shared" si="406"/>
        <v/>
      </c>
      <c r="BC50" s="356" t="str">
        <f t="shared" si="407"/>
        <v/>
      </c>
      <c r="BD50" s="356" t="str">
        <f t="shared" si="408"/>
        <v/>
      </c>
      <c r="BE50" s="356" t="str">
        <f t="shared" si="409"/>
        <v/>
      </c>
      <c r="BF50" s="356" t="str">
        <f t="shared" si="410"/>
        <v/>
      </c>
      <c r="BG50" s="356" t="str">
        <f t="shared" si="411"/>
        <v/>
      </c>
      <c r="BH50" s="356" t="str">
        <f t="shared" si="412"/>
        <v/>
      </c>
      <c r="BI50" s="356" t="str">
        <f t="shared" si="413"/>
        <v/>
      </c>
      <c r="BJ50" s="356" t="str">
        <f t="shared" si="414"/>
        <v/>
      </c>
      <c r="BK50" s="356" t="str">
        <f t="shared" si="415"/>
        <v/>
      </c>
      <c r="BL50" s="356" t="str">
        <f t="shared" si="43"/>
        <v/>
      </c>
      <c r="BM50" s="356" t="str">
        <f t="shared" si="44"/>
        <v/>
      </c>
      <c r="BN50" s="356" t="str">
        <f t="shared" si="45"/>
        <v/>
      </c>
      <c r="BO50" s="356" t="str">
        <f t="shared" si="46"/>
        <v/>
      </c>
      <c r="BP50" s="356" t="str">
        <f t="shared" si="47"/>
        <v/>
      </c>
      <c r="BQ50" s="356" t="str">
        <f t="shared" si="48"/>
        <v/>
      </c>
      <c r="BR50" s="356" t="str">
        <f t="shared" si="49"/>
        <v/>
      </c>
      <c r="BS50" s="356" t="str">
        <f t="shared" si="50"/>
        <v/>
      </c>
      <c r="BT50" s="356" t="str">
        <f t="shared" si="51"/>
        <v/>
      </c>
      <c r="BU50" s="356" t="str">
        <f t="shared" si="52"/>
        <v/>
      </c>
      <c r="BV50" s="356" t="str">
        <f t="shared" si="53"/>
        <v/>
      </c>
      <c r="BW50" s="356" t="str">
        <f t="shared" si="54"/>
        <v/>
      </c>
      <c r="BX50" s="356" t="str">
        <f t="shared" si="55"/>
        <v/>
      </c>
      <c r="BY50" s="356" t="str">
        <f t="shared" si="56"/>
        <v/>
      </c>
      <c r="BZ50" s="356" t="str">
        <f t="shared" si="57"/>
        <v/>
      </c>
      <c r="CA50" s="356" t="str">
        <f t="shared" si="58"/>
        <v/>
      </c>
      <c r="CB50" s="356" t="str">
        <f t="shared" si="59"/>
        <v/>
      </c>
      <c r="CC50" s="356" t="str">
        <f t="shared" si="60"/>
        <v/>
      </c>
      <c r="CD50" s="356" t="str">
        <f t="shared" si="61"/>
        <v/>
      </c>
      <c r="CE50" s="356" t="str">
        <f t="shared" si="62"/>
        <v/>
      </c>
      <c r="CF50" s="356" t="str">
        <f t="shared" si="63"/>
        <v/>
      </c>
      <c r="CG50" s="356" t="str">
        <f t="shared" si="64"/>
        <v/>
      </c>
      <c r="CH50" s="356" t="str">
        <f t="shared" si="65"/>
        <v/>
      </c>
      <c r="CI50" s="356" t="str">
        <f t="shared" si="66"/>
        <v/>
      </c>
      <c r="CJ50" s="356" t="str">
        <f t="shared" si="67"/>
        <v/>
      </c>
      <c r="CK50" s="356" t="str">
        <f t="shared" si="68"/>
        <v/>
      </c>
      <c r="CL50" s="356" t="str">
        <f t="shared" si="69"/>
        <v/>
      </c>
      <c r="CM50" s="356" t="str">
        <f t="shared" si="70"/>
        <v/>
      </c>
      <c r="CN50" s="356" t="str">
        <f t="shared" si="71"/>
        <v/>
      </c>
      <c r="CO50" s="356" t="str">
        <f t="shared" si="72"/>
        <v/>
      </c>
      <c r="CP50" s="356" t="str">
        <f t="shared" si="73"/>
        <v/>
      </c>
      <c r="CQ50" s="356" t="str">
        <f t="shared" si="74"/>
        <v/>
      </c>
      <c r="CR50" s="356" t="str">
        <f t="shared" si="75"/>
        <v/>
      </c>
      <c r="CS50" s="356" t="str">
        <f t="shared" si="76"/>
        <v/>
      </c>
      <c r="CT50" s="356" t="str">
        <f t="shared" si="77"/>
        <v/>
      </c>
      <c r="CU50" s="356" t="str">
        <f t="shared" si="78"/>
        <v/>
      </c>
      <c r="CV50" s="356" t="str">
        <f t="shared" si="79"/>
        <v/>
      </c>
      <c r="CW50" s="356" t="str">
        <f t="shared" si="80"/>
        <v/>
      </c>
      <c r="CX50" s="356" t="str">
        <f t="shared" si="81"/>
        <v/>
      </c>
      <c r="CY50" s="356" t="str">
        <f t="shared" si="82"/>
        <v/>
      </c>
      <c r="CZ50" s="356" t="str">
        <f t="shared" si="83"/>
        <v/>
      </c>
      <c r="DA50" s="356" t="str">
        <f t="shared" si="84"/>
        <v/>
      </c>
      <c r="DB50" s="356" t="str">
        <f t="shared" si="85"/>
        <v/>
      </c>
      <c r="DC50" s="356" t="str">
        <f t="shared" si="86"/>
        <v/>
      </c>
      <c r="DD50" s="356" t="str">
        <f t="shared" si="87"/>
        <v/>
      </c>
      <c r="DE50" s="356" t="str">
        <f t="shared" si="88"/>
        <v/>
      </c>
      <c r="DF50" s="356" t="str">
        <f t="shared" si="89"/>
        <v/>
      </c>
      <c r="DG50" s="356" t="str">
        <f t="shared" si="90"/>
        <v/>
      </c>
      <c r="DH50" s="356" t="str">
        <f t="shared" si="91"/>
        <v/>
      </c>
      <c r="DI50" s="356" t="str">
        <f t="shared" si="92"/>
        <v/>
      </c>
      <c r="DJ50" s="356" t="str">
        <f t="shared" si="93"/>
        <v/>
      </c>
      <c r="DK50" s="356" t="str">
        <f t="shared" si="94"/>
        <v/>
      </c>
      <c r="DL50" s="356" t="str">
        <f t="shared" si="95"/>
        <v/>
      </c>
      <c r="DM50" s="356" t="str">
        <f t="shared" si="96"/>
        <v/>
      </c>
      <c r="DN50" s="356" t="str">
        <f t="shared" si="97"/>
        <v/>
      </c>
      <c r="DO50" s="356" t="str">
        <f t="shared" si="98"/>
        <v/>
      </c>
      <c r="DP50" s="356" t="str">
        <f t="shared" si="99"/>
        <v/>
      </c>
      <c r="DQ50" s="356" t="str">
        <f t="shared" si="100"/>
        <v/>
      </c>
      <c r="DR50" s="356" t="str">
        <f t="shared" si="101"/>
        <v/>
      </c>
      <c r="DS50" s="356" t="str">
        <f t="shared" si="102"/>
        <v/>
      </c>
      <c r="DT50" s="356" t="str">
        <f t="shared" si="103"/>
        <v/>
      </c>
      <c r="DU50" s="356" t="str">
        <f t="shared" si="104"/>
        <v/>
      </c>
      <c r="DV50" s="356" t="str">
        <f t="shared" si="105"/>
        <v/>
      </c>
      <c r="DW50" s="356" t="str">
        <f t="shared" si="106"/>
        <v/>
      </c>
      <c r="DX50" s="356" t="str">
        <f t="shared" si="107"/>
        <v/>
      </c>
      <c r="DY50" s="356" t="str">
        <f t="shared" si="108"/>
        <v/>
      </c>
      <c r="DZ50" s="356" t="str">
        <f t="shared" si="109"/>
        <v/>
      </c>
      <c r="EA50" s="356" t="str">
        <f t="shared" si="110"/>
        <v/>
      </c>
      <c r="EB50" s="356" t="str">
        <f t="shared" si="111"/>
        <v/>
      </c>
      <c r="EC50" s="356" t="str">
        <f t="shared" si="112"/>
        <v/>
      </c>
      <c r="ED50" s="356" t="str">
        <f t="shared" si="113"/>
        <v/>
      </c>
      <c r="EE50" s="356" t="str">
        <f t="shared" si="114"/>
        <v/>
      </c>
      <c r="EF50" s="356" t="str">
        <f t="shared" si="115"/>
        <v/>
      </c>
      <c r="EG50" s="356" t="str">
        <f t="shared" si="116"/>
        <v/>
      </c>
      <c r="EH50" s="356" t="str">
        <f t="shared" si="117"/>
        <v/>
      </c>
      <c r="EI50" s="356" t="str">
        <f t="shared" si="118"/>
        <v/>
      </c>
      <c r="EJ50" s="356" t="str">
        <f t="shared" si="119"/>
        <v/>
      </c>
      <c r="EK50" s="356" t="str">
        <f t="shared" si="120"/>
        <v/>
      </c>
      <c r="EL50" s="356" t="str">
        <f t="shared" si="121"/>
        <v/>
      </c>
      <c r="EM50" s="356" t="str">
        <f t="shared" si="122"/>
        <v/>
      </c>
      <c r="EN50" s="356" t="str">
        <f t="shared" si="123"/>
        <v/>
      </c>
      <c r="EO50" s="356" t="str">
        <f t="shared" si="124"/>
        <v/>
      </c>
      <c r="EP50" s="356" t="str">
        <f t="shared" si="125"/>
        <v/>
      </c>
      <c r="EQ50" s="356" t="str">
        <f t="shared" si="126"/>
        <v/>
      </c>
      <c r="ER50" s="356" t="str">
        <f t="shared" si="127"/>
        <v/>
      </c>
      <c r="ES50" s="356" t="str">
        <f t="shared" si="128"/>
        <v/>
      </c>
      <c r="ET50" s="356" t="str">
        <f t="shared" si="129"/>
        <v/>
      </c>
      <c r="EU50" s="356" t="str">
        <f t="shared" si="130"/>
        <v/>
      </c>
      <c r="EV50" s="356" t="str">
        <f t="shared" si="131"/>
        <v/>
      </c>
      <c r="EW50" s="356" t="str">
        <f t="shared" si="132"/>
        <v/>
      </c>
      <c r="EX50" s="356" t="str">
        <f t="shared" si="133"/>
        <v/>
      </c>
      <c r="EY50" s="356" t="str">
        <f t="shared" si="134"/>
        <v/>
      </c>
      <c r="EZ50" s="356" t="str">
        <f t="shared" si="135"/>
        <v/>
      </c>
      <c r="FA50" s="356" t="str">
        <f t="shared" si="136"/>
        <v/>
      </c>
      <c r="FB50" s="356" t="str">
        <f t="shared" si="137"/>
        <v/>
      </c>
      <c r="FC50" s="356" t="str">
        <f t="shared" si="138"/>
        <v/>
      </c>
      <c r="FD50" s="356" t="str">
        <f t="shared" si="139"/>
        <v/>
      </c>
      <c r="FE50" s="356" t="str">
        <f t="shared" si="140"/>
        <v/>
      </c>
      <c r="FF50" s="356" t="str">
        <f t="shared" si="141"/>
        <v/>
      </c>
      <c r="FG50" s="356" t="str">
        <f t="shared" si="142"/>
        <v/>
      </c>
      <c r="FH50" s="356" t="str">
        <f t="shared" si="143"/>
        <v/>
      </c>
      <c r="FI50" s="356" t="str">
        <f t="shared" si="144"/>
        <v/>
      </c>
      <c r="FJ50" s="356" t="str">
        <f t="shared" si="145"/>
        <v/>
      </c>
      <c r="FK50" s="356" t="str">
        <f t="shared" si="146"/>
        <v/>
      </c>
      <c r="FL50" s="356" t="str">
        <f t="shared" si="147"/>
        <v/>
      </c>
      <c r="FM50" s="356" t="str">
        <f t="shared" si="416"/>
        <v/>
      </c>
      <c r="FN50" s="356" t="str">
        <f t="shared" si="417"/>
        <v/>
      </c>
      <c r="FO50" s="356" t="str">
        <f t="shared" si="418"/>
        <v/>
      </c>
      <c r="FP50" s="356" t="str">
        <f t="shared" si="419"/>
        <v/>
      </c>
      <c r="FQ50" s="356" t="str">
        <f t="shared" si="420"/>
        <v/>
      </c>
      <c r="FR50" s="356" t="str">
        <f t="shared" si="153"/>
        <v/>
      </c>
      <c r="FS50" s="356" t="str">
        <f t="shared" si="154"/>
        <v/>
      </c>
      <c r="FT50" s="356" t="str">
        <f t="shared" si="155"/>
        <v/>
      </c>
      <c r="FU50" s="356" t="str">
        <f t="shared" si="156"/>
        <v/>
      </c>
      <c r="FV50" s="356" t="str">
        <f t="shared" si="157"/>
        <v/>
      </c>
      <c r="FW50" s="356" t="str">
        <f t="shared" si="158"/>
        <v/>
      </c>
      <c r="FX50" s="356" t="str">
        <f t="shared" si="159"/>
        <v/>
      </c>
      <c r="FY50" s="356" t="str">
        <f t="shared" si="160"/>
        <v/>
      </c>
      <c r="FZ50" s="356" t="str">
        <f t="shared" si="161"/>
        <v/>
      </c>
      <c r="GA50" s="356" t="str">
        <f t="shared" si="162"/>
        <v/>
      </c>
      <c r="GB50" s="356" t="str">
        <f t="shared" si="163"/>
        <v/>
      </c>
      <c r="GC50" s="356" t="str">
        <f t="shared" si="164"/>
        <v/>
      </c>
      <c r="GD50" s="356" t="str">
        <f t="shared" si="165"/>
        <v/>
      </c>
      <c r="GE50" s="356" t="str">
        <f t="shared" si="166"/>
        <v/>
      </c>
      <c r="GF50" s="356" t="str">
        <f t="shared" si="167"/>
        <v/>
      </c>
      <c r="GG50" s="356" t="str">
        <f t="shared" si="168"/>
        <v/>
      </c>
      <c r="GH50" s="356" t="str">
        <f t="shared" si="169"/>
        <v/>
      </c>
      <c r="GI50" s="356" t="str">
        <f t="shared" si="170"/>
        <v/>
      </c>
      <c r="GJ50" s="356" t="str">
        <f t="shared" si="171"/>
        <v/>
      </c>
      <c r="GK50" s="356" t="str">
        <f t="shared" si="172"/>
        <v/>
      </c>
      <c r="GL50" s="356" t="str">
        <f t="shared" si="173"/>
        <v/>
      </c>
      <c r="GM50" s="356" t="str">
        <f t="shared" si="174"/>
        <v/>
      </c>
      <c r="GN50" s="356" t="str">
        <f t="shared" si="175"/>
        <v/>
      </c>
      <c r="GO50" s="356" t="str">
        <f t="shared" si="176"/>
        <v/>
      </c>
      <c r="GP50" s="356" t="str">
        <f t="shared" si="177"/>
        <v/>
      </c>
      <c r="GQ50" s="356" t="str">
        <f t="shared" si="178"/>
        <v/>
      </c>
      <c r="GR50" s="356" t="str">
        <f t="shared" si="179"/>
        <v/>
      </c>
      <c r="GS50" s="356" t="str">
        <f t="shared" si="180"/>
        <v/>
      </c>
      <c r="GT50" s="356" t="str">
        <f t="shared" si="181"/>
        <v/>
      </c>
      <c r="GU50" s="356" t="str">
        <f t="shared" si="182"/>
        <v/>
      </c>
      <c r="GV50" s="356" t="str">
        <f t="shared" si="183"/>
        <v/>
      </c>
      <c r="GW50" s="356" t="str">
        <f t="shared" si="184"/>
        <v/>
      </c>
      <c r="GX50" s="356" t="str">
        <f t="shared" si="185"/>
        <v/>
      </c>
      <c r="GY50" s="356" t="str">
        <f t="shared" si="186"/>
        <v/>
      </c>
      <c r="GZ50" s="356" t="str">
        <f t="shared" si="187"/>
        <v/>
      </c>
      <c r="HA50" s="356" t="str">
        <f t="shared" si="421"/>
        <v/>
      </c>
      <c r="HB50" s="356" t="str">
        <f t="shared" si="422"/>
        <v/>
      </c>
      <c r="HC50" s="356" t="str">
        <f t="shared" si="423"/>
        <v/>
      </c>
      <c r="HD50" s="356" t="str">
        <f t="shared" si="424"/>
        <v/>
      </c>
      <c r="HE50" s="356" t="str">
        <f t="shared" si="425"/>
        <v/>
      </c>
      <c r="HF50" s="356" t="str">
        <f t="shared" si="426"/>
        <v/>
      </c>
      <c r="HG50" s="356" t="str">
        <f t="shared" si="427"/>
        <v/>
      </c>
      <c r="HH50" s="356" t="str">
        <f t="shared" si="428"/>
        <v/>
      </c>
      <c r="HI50" s="356" t="str">
        <f t="shared" si="429"/>
        <v/>
      </c>
      <c r="HJ50" s="356" t="str">
        <f t="shared" si="430"/>
        <v/>
      </c>
      <c r="HK50" s="356" t="str">
        <f t="shared" si="431"/>
        <v/>
      </c>
      <c r="HL50" s="356" t="str">
        <f t="shared" si="432"/>
        <v/>
      </c>
      <c r="HM50" s="356" t="str">
        <f t="shared" si="433"/>
        <v/>
      </c>
      <c r="HN50" s="356" t="str">
        <f t="shared" si="434"/>
        <v/>
      </c>
      <c r="HO50" s="356" t="str">
        <f t="shared" si="435"/>
        <v/>
      </c>
      <c r="HP50" s="356" t="str">
        <f t="shared" si="203"/>
        <v/>
      </c>
      <c r="HQ50" s="356" t="str">
        <f t="shared" si="204"/>
        <v/>
      </c>
      <c r="HR50" s="356" t="str">
        <f t="shared" si="205"/>
        <v/>
      </c>
      <c r="HS50" s="356" t="str">
        <f t="shared" si="206"/>
        <v/>
      </c>
      <c r="HT50" s="356" t="str">
        <f t="shared" si="207"/>
        <v/>
      </c>
      <c r="HU50" s="356" t="str">
        <f t="shared" si="208"/>
        <v/>
      </c>
      <c r="HV50" s="356" t="str">
        <f t="shared" si="209"/>
        <v/>
      </c>
      <c r="HW50" s="356" t="str">
        <f t="shared" si="210"/>
        <v/>
      </c>
      <c r="HX50" s="356" t="str">
        <f t="shared" si="211"/>
        <v/>
      </c>
      <c r="HY50" s="356" t="str">
        <f t="shared" si="212"/>
        <v/>
      </c>
      <c r="HZ50" s="356" t="str">
        <f t="shared" si="213"/>
        <v/>
      </c>
      <c r="IA50" s="356" t="str">
        <f t="shared" si="214"/>
        <v/>
      </c>
      <c r="IB50" s="356" t="str">
        <f t="shared" si="215"/>
        <v/>
      </c>
      <c r="IC50" s="356" t="str">
        <f t="shared" si="216"/>
        <v/>
      </c>
      <c r="ID50" s="356" t="str">
        <f t="shared" si="217"/>
        <v/>
      </c>
      <c r="IE50" s="356" t="str">
        <f t="shared" si="218"/>
        <v/>
      </c>
      <c r="IF50" s="356" t="str">
        <f t="shared" si="219"/>
        <v/>
      </c>
      <c r="IG50" s="356" t="str">
        <f t="shared" si="220"/>
        <v/>
      </c>
      <c r="IH50" s="356" t="str">
        <f t="shared" si="221"/>
        <v/>
      </c>
      <c r="II50" s="356" t="str">
        <f t="shared" si="222"/>
        <v/>
      </c>
      <c r="IJ50" s="356" t="str">
        <f t="shared" si="223"/>
        <v/>
      </c>
      <c r="IK50" s="356" t="str">
        <f t="shared" si="224"/>
        <v/>
      </c>
      <c r="IL50" s="356" t="str">
        <f t="shared" si="225"/>
        <v/>
      </c>
      <c r="IM50" s="356" t="str">
        <f t="shared" si="226"/>
        <v/>
      </c>
      <c r="IN50" s="356" t="str">
        <f t="shared" si="227"/>
        <v/>
      </c>
      <c r="IO50" s="356" t="str">
        <f t="shared" si="228"/>
        <v/>
      </c>
      <c r="IP50" s="356" t="str">
        <f t="shared" si="229"/>
        <v/>
      </c>
      <c r="IQ50" s="356" t="str">
        <f t="shared" si="230"/>
        <v/>
      </c>
      <c r="IR50" s="356" t="str">
        <f t="shared" si="231"/>
        <v/>
      </c>
      <c r="IS50" s="356" t="str">
        <f t="shared" si="232"/>
        <v/>
      </c>
      <c r="IT50" s="356" t="str">
        <f t="shared" si="233"/>
        <v/>
      </c>
      <c r="IU50" s="356" t="str">
        <f t="shared" si="234"/>
        <v/>
      </c>
      <c r="IV50" s="356" t="str">
        <f t="shared" si="235"/>
        <v/>
      </c>
      <c r="IW50" s="356" t="str">
        <f t="shared" si="236"/>
        <v/>
      </c>
      <c r="IX50" s="356" t="str">
        <f t="shared" si="237"/>
        <v/>
      </c>
      <c r="IY50" s="356" t="str">
        <f t="shared" si="238"/>
        <v/>
      </c>
      <c r="IZ50" s="356" t="str">
        <f t="shared" si="239"/>
        <v/>
      </c>
      <c r="JA50" s="356" t="str">
        <f t="shared" si="240"/>
        <v/>
      </c>
      <c r="JB50" s="356" t="str">
        <f t="shared" si="241"/>
        <v/>
      </c>
      <c r="JC50" s="356" t="str">
        <f t="shared" si="242"/>
        <v/>
      </c>
      <c r="JD50" s="356" t="str">
        <f t="shared" si="243"/>
        <v/>
      </c>
      <c r="JE50" s="356" t="str">
        <f t="shared" si="244"/>
        <v/>
      </c>
      <c r="JF50" s="356" t="str">
        <f t="shared" si="245"/>
        <v/>
      </c>
      <c r="JG50" s="356" t="str">
        <f t="shared" si="246"/>
        <v/>
      </c>
      <c r="JH50" s="356" t="str">
        <f t="shared" si="247"/>
        <v/>
      </c>
      <c r="JI50" s="1785" t="str">
        <f t="shared" si="248"/>
        <v/>
      </c>
      <c r="JJ50" s="1785" t="str">
        <f t="shared" si="249"/>
        <v/>
      </c>
      <c r="JK50" s="1785" t="str">
        <f t="shared" si="250"/>
        <v/>
      </c>
      <c r="JL50" s="1785" t="str">
        <f t="shared" si="251"/>
        <v/>
      </c>
      <c r="JM50" s="1785" t="str">
        <f t="shared" si="252"/>
        <v/>
      </c>
      <c r="JN50" s="1785" t="str">
        <f t="shared" si="253"/>
        <v/>
      </c>
      <c r="JO50" s="1785" t="str">
        <f t="shared" si="254"/>
        <v/>
      </c>
      <c r="JP50" s="1785" t="str">
        <f t="shared" si="255"/>
        <v/>
      </c>
      <c r="JQ50" s="1785" t="str">
        <f t="shared" si="256"/>
        <v/>
      </c>
      <c r="JR50" s="1785" t="str">
        <f t="shared" si="257"/>
        <v/>
      </c>
      <c r="JS50" s="1785" t="str">
        <f t="shared" si="258"/>
        <v/>
      </c>
      <c r="JT50" s="1785" t="str">
        <f t="shared" si="259"/>
        <v/>
      </c>
      <c r="JU50" s="1785" t="str">
        <f t="shared" si="260"/>
        <v/>
      </c>
      <c r="JV50" s="1785" t="str">
        <f t="shared" si="261"/>
        <v/>
      </c>
      <c r="JW50" s="1785" t="str">
        <f t="shared" si="262"/>
        <v/>
      </c>
      <c r="JX50" s="1785" t="str">
        <f t="shared" si="263"/>
        <v/>
      </c>
      <c r="JY50" s="1785" t="str">
        <f t="shared" si="264"/>
        <v/>
      </c>
      <c r="JZ50" s="1785" t="str">
        <f t="shared" si="265"/>
        <v/>
      </c>
      <c r="KA50" s="1785" t="str">
        <f t="shared" si="266"/>
        <v/>
      </c>
      <c r="KB50" s="1785" t="str">
        <f t="shared" si="267"/>
        <v/>
      </c>
      <c r="KC50" s="1785" t="str">
        <f t="shared" si="268"/>
        <v/>
      </c>
      <c r="KD50" s="1785" t="str">
        <f t="shared" si="269"/>
        <v/>
      </c>
      <c r="KE50" s="1785" t="str">
        <f t="shared" si="270"/>
        <v/>
      </c>
      <c r="KF50" s="1785" t="str">
        <f t="shared" si="271"/>
        <v/>
      </c>
      <c r="KG50" s="1785" t="str">
        <f t="shared" si="272"/>
        <v/>
      </c>
      <c r="KH50" s="1785" t="str">
        <f t="shared" si="273"/>
        <v/>
      </c>
      <c r="KI50" s="1785" t="str">
        <f t="shared" si="274"/>
        <v/>
      </c>
      <c r="KJ50" s="1785" t="str">
        <f t="shared" si="275"/>
        <v/>
      </c>
      <c r="KK50" s="1785" t="str">
        <f t="shared" si="276"/>
        <v/>
      </c>
      <c r="KL50" s="1785" t="str">
        <f t="shared" si="277"/>
        <v/>
      </c>
      <c r="KM50" s="1785" t="str">
        <f t="shared" si="278"/>
        <v/>
      </c>
      <c r="KN50" s="1785" t="str">
        <f t="shared" si="279"/>
        <v/>
      </c>
      <c r="KO50" s="1785" t="str">
        <f t="shared" si="280"/>
        <v/>
      </c>
      <c r="KP50" s="1785" t="str">
        <f t="shared" si="281"/>
        <v/>
      </c>
      <c r="KQ50" s="1785" t="str">
        <f t="shared" si="282"/>
        <v/>
      </c>
      <c r="KR50" s="1785" t="str">
        <f t="shared" si="283"/>
        <v/>
      </c>
      <c r="KS50" s="1785" t="str">
        <f t="shared" si="284"/>
        <v/>
      </c>
      <c r="KT50" s="1785" t="str">
        <f t="shared" si="285"/>
        <v/>
      </c>
      <c r="KU50" s="1785" t="str">
        <f t="shared" si="286"/>
        <v/>
      </c>
      <c r="KV50" s="1785" t="str">
        <f t="shared" si="287"/>
        <v/>
      </c>
      <c r="KW50" s="1785" t="str">
        <f t="shared" si="288"/>
        <v/>
      </c>
      <c r="KX50" s="1785" t="str">
        <f t="shared" si="289"/>
        <v/>
      </c>
      <c r="KY50" s="1785" t="str">
        <f t="shared" si="290"/>
        <v/>
      </c>
      <c r="KZ50" s="1785" t="str">
        <f t="shared" si="291"/>
        <v/>
      </c>
      <c r="LA50" s="1785" t="str">
        <f t="shared" si="292"/>
        <v/>
      </c>
      <c r="LB50" s="1785" t="str">
        <f t="shared" si="293"/>
        <v/>
      </c>
      <c r="LC50" s="1785" t="str">
        <f t="shared" si="294"/>
        <v/>
      </c>
      <c r="LD50" s="1785" t="str">
        <f t="shared" si="295"/>
        <v/>
      </c>
      <c r="LE50" s="1785" t="str">
        <f t="shared" si="296"/>
        <v/>
      </c>
      <c r="LF50" s="1785" t="str">
        <f t="shared" si="297"/>
        <v/>
      </c>
      <c r="LG50" s="1785" t="str">
        <f t="shared" si="298"/>
        <v/>
      </c>
      <c r="LH50" s="1785" t="str">
        <f t="shared" si="299"/>
        <v/>
      </c>
      <c r="LI50" s="1785" t="str">
        <f t="shared" si="300"/>
        <v/>
      </c>
      <c r="LJ50" s="1785" t="str">
        <f t="shared" si="301"/>
        <v/>
      </c>
      <c r="LK50" s="1785" t="str">
        <f t="shared" si="302"/>
        <v/>
      </c>
      <c r="LL50" s="1785" t="str">
        <f t="shared" si="303"/>
        <v/>
      </c>
      <c r="LM50" s="1785" t="str">
        <f t="shared" si="304"/>
        <v/>
      </c>
      <c r="LN50" s="1785" t="str">
        <f t="shared" si="305"/>
        <v/>
      </c>
      <c r="LO50" s="1785" t="str">
        <f t="shared" si="306"/>
        <v/>
      </c>
      <c r="LP50" s="1785" t="str">
        <f t="shared" si="307"/>
        <v/>
      </c>
      <c r="LQ50" s="1785" t="str">
        <f t="shared" si="308"/>
        <v/>
      </c>
      <c r="LR50" s="1785" t="str">
        <f t="shared" si="309"/>
        <v/>
      </c>
      <c r="LS50" s="1785" t="str">
        <f t="shared" si="310"/>
        <v/>
      </c>
      <c r="LT50" s="1785" t="str">
        <f t="shared" si="311"/>
        <v/>
      </c>
      <c r="LU50" s="1785" t="str">
        <f t="shared" si="312"/>
        <v/>
      </c>
      <c r="LV50" s="1785" t="str">
        <f t="shared" si="313"/>
        <v/>
      </c>
      <c r="LW50" s="1785" t="str">
        <f t="shared" si="314"/>
        <v/>
      </c>
      <c r="LX50" s="1785" t="str">
        <f t="shared" si="315"/>
        <v/>
      </c>
      <c r="LY50" s="1785" t="str">
        <f t="shared" si="316"/>
        <v/>
      </c>
      <c r="LZ50" s="1785" t="str">
        <f t="shared" si="317"/>
        <v/>
      </c>
      <c r="MA50" s="1785" t="str">
        <f t="shared" si="318"/>
        <v/>
      </c>
      <c r="MB50" s="1785" t="str">
        <f t="shared" si="319"/>
        <v/>
      </c>
      <c r="MC50" s="1785" t="str">
        <f t="shared" si="320"/>
        <v/>
      </c>
      <c r="MD50" s="1785" t="str">
        <f t="shared" si="321"/>
        <v/>
      </c>
      <c r="ME50" s="1785" t="str">
        <f t="shared" si="322"/>
        <v/>
      </c>
      <c r="MF50" s="1785" t="str">
        <f t="shared" si="323"/>
        <v/>
      </c>
      <c r="MG50" s="1785" t="str">
        <f t="shared" si="324"/>
        <v/>
      </c>
      <c r="MH50" s="1785" t="str">
        <f t="shared" si="325"/>
        <v/>
      </c>
      <c r="MI50" s="1785" t="str">
        <f t="shared" si="326"/>
        <v/>
      </c>
      <c r="MJ50" s="1785" t="str">
        <f t="shared" si="327"/>
        <v/>
      </c>
      <c r="MK50" s="1785" t="str">
        <f t="shared" si="328"/>
        <v/>
      </c>
      <c r="ML50" s="1785" t="str">
        <f t="shared" si="329"/>
        <v/>
      </c>
      <c r="MM50" s="1785" t="str">
        <f t="shared" si="330"/>
        <v/>
      </c>
      <c r="MN50" s="1785" t="str">
        <f t="shared" si="331"/>
        <v/>
      </c>
      <c r="MO50" s="1785" t="str">
        <f t="shared" si="332"/>
        <v/>
      </c>
      <c r="MP50" s="2470" t="str">
        <f t="shared" si="333"/>
        <v/>
      </c>
      <c r="MQ50" s="2470" t="str">
        <f t="shared" si="334"/>
        <v/>
      </c>
      <c r="MR50" s="2470" t="str">
        <f t="shared" si="335"/>
        <v/>
      </c>
      <c r="MS50" s="2470" t="str">
        <f t="shared" si="336"/>
        <v/>
      </c>
      <c r="MT50" s="2470" t="str">
        <f t="shared" si="337"/>
        <v/>
      </c>
      <c r="MU50" s="356" t="str">
        <f t="shared" si="436"/>
        <v/>
      </c>
      <c r="MV50" s="356" t="str">
        <f t="shared" si="437"/>
        <v/>
      </c>
      <c r="MW50" s="356" t="str">
        <f t="shared" si="438"/>
        <v/>
      </c>
      <c r="MX50" s="356" t="str">
        <f t="shared" si="439"/>
        <v/>
      </c>
      <c r="MY50" s="356" t="str">
        <f t="shared" si="440"/>
        <v/>
      </c>
      <c r="MZ50" s="356" t="str">
        <f t="shared" si="343"/>
        <v/>
      </c>
      <c r="NA50" s="356" t="str">
        <f t="shared" si="344"/>
        <v/>
      </c>
      <c r="NB50" s="356" t="str">
        <f t="shared" si="345"/>
        <v/>
      </c>
      <c r="NC50" s="356" t="str">
        <f t="shared" si="346"/>
        <v/>
      </c>
      <c r="ND50" s="356" t="str">
        <f t="shared" si="347"/>
        <v/>
      </c>
      <c r="NE50" s="356" t="str">
        <f t="shared" si="348"/>
        <v/>
      </c>
      <c r="NF50" s="356" t="str">
        <f t="shared" si="349"/>
        <v/>
      </c>
      <c r="NG50" s="356" t="str">
        <f t="shared" si="350"/>
        <v/>
      </c>
      <c r="NH50" s="356" t="str">
        <f t="shared" si="351"/>
        <v/>
      </c>
      <c r="NI50" s="356" t="str">
        <f t="shared" si="352"/>
        <v/>
      </c>
      <c r="NJ50" s="356" t="str">
        <f t="shared" si="353"/>
        <v/>
      </c>
      <c r="NK50" s="356" t="str">
        <f t="shared" si="354"/>
        <v/>
      </c>
      <c r="NL50" s="356" t="str">
        <f t="shared" si="355"/>
        <v/>
      </c>
      <c r="NM50" s="356" t="str">
        <f t="shared" si="356"/>
        <v/>
      </c>
      <c r="NN50" s="356" t="str">
        <f t="shared" si="357"/>
        <v/>
      </c>
      <c r="NO50" s="1640">
        <f t="shared" si="358"/>
        <v>0</v>
      </c>
      <c r="NP50" s="1640">
        <f t="shared" si="359"/>
        <v>0</v>
      </c>
      <c r="NQ50" s="1640">
        <f t="shared" si="360"/>
        <v>0</v>
      </c>
      <c r="NR50" s="1640">
        <f t="shared" si="361"/>
        <v>0</v>
      </c>
      <c r="NS50" s="1640">
        <f t="shared" si="362"/>
        <v>0</v>
      </c>
      <c r="NT50" s="1640">
        <f t="shared" si="368"/>
        <v>0</v>
      </c>
      <c r="NU50" s="1640">
        <f t="shared" si="369"/>
        <v>0</v>
      </c>
      <c r="NV50" s="1640">
        <f t="shared" si="370"/>
        <v>0</v>
      </c>
      <c r="NW50" s="1640">
        <f t="shared" si="371"/>
        <v>0</v>
      </c>
      <c r="NX50" s="1640">
        <f t="shared" si="372"/>
        <v>0</v>
      </c>
      <c r="NY50" s="1640">
        <f t="shared" si="363"/>
        <v>0</v>
      </c>
      <c r="NZ50" s="1640">
        <f t="shared" si="364"/>
        <v>0</v>
      </c>
      <c r="OA50" s="1640">
        <f t="shared" si="365"/>
        <v>0</v>
      </c>
      <c r="OB50" s="1640">
        <f t="shared" si="366"/>
        <v>0</v>
      </c>
      <c r="OC50" s="1640">
        <f t="shared" si="367"/>
        <v>0</v>
      </c>
      <c r="OY50" s="2499" t="s">
        <v>4332</v>
      </c>
      <c r="OZ50" s="2504">
        <v>50</v>
      </c>
    </row>
    <row r="51" spans="1:416" ht="12" customHeight="1">
      <c r="A51" s="86" t="str">
        <f t="shared" si="373"/>
        <v/>
      </c>
      <c r="B51" s="1055"/>
      <c r="C51" s="132"/>
      <c r="D51" s="1643"/>
      <c r="E51" s="133"/>
      <c r="F51" s="133"/>
      <c r="G51" s="133"/>
      <c r="H51" s="133"/>
      <c r="I51" s="133"/>
      <c r="J51" s="1036">
        <f>IF(C51="",0,HLOOKUP(C51,'Part IV-Utility Allowances'!$I$11:$M$25,15))</f>
        <v>0</v>
      </c>
      <c r="K51" s="630"/>
      <c r="L51" s="460">
        <f t="shared" si="374"/>
        <v>0</v>
      </c>
      <c r="M51" s="460">
        <f t="shared" si="375"/>
        <v>0</v>
      </c>
      <c r="N51" s="680"/>
      <c r="O51" s="1585"/>
      <c r="P51" s="680"/>
      <c r="Q51" s="134"/>
      <c r="R51" s="723"/>
      <c r="S51" s="724"/>
      <c r="T51" s="3613"/>
      <c r="U51" s="3614"/>
      <c r="V51" s="3614"/>
      <c r="W51" s="3615"/>
      <c r="X51" s="356" t="str">
        <f t="shared" si="376"/>
        <v/>
      </c>
      <c r="Y51" s="356" t="str">
        <f t="shared" si="377"/>
        <v/>
      </c>
      <c r="Z51" s="356" t="str">
        <f t="shared" si="378"/>
        <v/>
      </c>
      <c r="AA51" s="356" t="str">
        <f t="shared" si="379"/>
        <v/>
      </c>
      <c r="AB51" s="356" t="str">
        <f t="shared" si="380"/>
        <v/>
      </c>
      <c r="AC51" s="356" t="str">
        <f t="shared" si="381"/>
        <v/>
      </c>
      <c r="AD51" s="356" t="str">
        <f t="shared" si="382"/>
        <v/>
      </c>
      <c r="AE51" s="356" t="str">
        <f t="shared" si="383"/>
        <v/>
      </c>
      <c r="AF51" s="356" t="str">
        <f t="shared" si="384"/>
        <v/>
      </c>
      <c r="AG51" s="356" t="str">
        <f t="shared" si="385"/>
        <v/>
      </c>
      <c r="AH51" s="356" t="str">
        <f t="shared" si="386"/>
        <v/>
      </c>
      <c r="AI51" s="356" t="str">
        <f t="shared" si="387"/>
        <v/>
      </c>
      <c r="AJ51" s="356" t="str">
        <f t="shared" si="388"/>
        <v/>
      </c>
      <c r="AK51" s="356" t="str">
        <f t="shared" si="389"/>
        <v/>
      </c>
      <c r="AL51" s="356" t="str">
        <f t="shared" si="390"/>
        <v/>
      </c>
      <c r="AM51" s="356" t="str">
        <f t="shared" si="391"/>
        <v/>
      </c>
      <c r="AN51" s="356" t="str">
        <f t="shared" si="392"/>
        <v/>
      </c>
      <c r="AO51" s="356" t="str">
        <f t="shared" si="393"/>
        <v/>
      </c>
      <c r="AP51" s="356" t="str">
        <f t="shared" si="394"/>
        <v/>
      </c>
      <c r="AQ51" s="356" t="str">
        <f t="shared" si="395"/>
        <v/>
      </c>
      <c r="AR51" s="356" t="str">
        <f t="shared" si="396"/>
        <v/>
      </c>
      <c r="AS51" s="356" t="str">
        <f t="shared" si="397"/>
        <v/>
      </c>
      <c r="AT51" s="356" t="str">
        <f t="shared" si="398"/>
        <v/>
      </c>
      <c r="AU51" s="356" t="str">
        <f t="shared" si="399"/>
        <v/>
      </c>
      <c r="AV51" s="356" t="str">
        <f t="shared" si="400"/>
        <v/>
      </c>
      <c r="AW51" s="356" t="str">
        <f t="shared" si="401"/>
        <v/>
      </c>
      <c r="AX51" s="356" t="str">
        <f t="shared" si="402"/>
        <v/>
      </c>
      <c r="AY51" s="356" t="str">
        <f t="shared" si="403"/>
        <v/>
      </c>
      <c r="AZ51" s="356" t="str">
        <f t="shared" si="404"/>
        <v/>
      </c>
      <c r="BA51" s="356" t="str">
        <f t="shared" si="405"/>
        <v/>
      </c>
      <c r="BB51" s="356" t="str">
        <f t="shared" si="406"/>
        <v/>
      </c>
      <c r="BC51" s="356" t="str">
        <f t="shared" si="407"/>
        <v/>
      </c>
      <c r="BD51" s="356" t="str">
        <f t="shared" si="408"/>
        <v/>
      </c>
      <c r="BE51" s="356" t="str">
        <f t="shared" si="409"/>
        <v/>
      </c>
      <c r="BF51" s="356" t="str">
        <f t="shared" si="410"/>
        <v/>
      </c>
      <c r="BG51" s="356" t="str">
        <f t="shared" si="411"/>
        <v/>
      </c>
      <c r="BH51" s="356" t="str">
        <f t="shared" si="412"/>
        <v/>
      </c>
      <c r="BI51" s="356" t="str">
        <f t="shared" si="413"/>
        <v/>
      </c>
      <c r="BJ51" s="356" t="str">
        <f t="shared" si="414"/>
        <v/>
      </c>
      <c r="BK51" s="356" t="str">
        <f t="shared" si="415"/>
        <v/>
      </c>
      <c r="BL51" s="356" t="str">
        <f t="shared" si="43"/>
        <v/>
      </c>
      <c r="BM51" s="356" t="str">
        <f t="shared" si="44"/>
        <v/>
      </c>
      <c r="BN51" s="356" t="str">
        <f t="shared" si="45"/>
        <v/>
      </c>
      <c r="BO51" s="356" t="str">
        <f t="shared" si="46"/>
        <v/>
      </c>
      <c r="BP51" s="356" t="str">
        <f t="shared" si="47"/>
        <v/>
      </c>
      <c r="BQ51" s="356" t="str">
        <f t="shared" si="48"/>
        <v/>
      </c>
      <c r="BR51" s="356" t="str">
        <f t="shared" si="49"/>
        <v/>
      </c>
      <c r="BS51" s="356" t="str">
        <f t="shared" si="50"/>
        <v/>
      </c>
      <c r="BT51" s="356" t="str">
        <f t="shared" si="51"/>
        <v/>
      </c>
      <c r="BU51" s="356" t="str">
        <f t="shared" si="52"/>
        <v/>
      </c>
      <c r="BV51" s="356" t="str">
        <f t="shared" si="53"/>
        <v/>
      </c>
      <c r="BW51" s="356" t="str">
        <f t="shared" si="54"/>
        <v/>
      </c>
      <c r="BX51" s="356" t="str">
        <f t="shared" si="55"/>
        <v/>
      </c>
      <c r="BY51" s="356" t="str">
        <f t="shared" si="56"/>
        <v/>
      </c>
      <c r="BZ51" s="356" t="str">
        <f t="shared" si="57"/>
        <v/>
      </c>
      <c r="CA51" s="356" t="str">
        <f t="shared" si="58"/>
        <v/>
      </c>
      <c r="CB51" s="356" t="str">
        <f t="shared" si="59"/>
        <v/>
      </c>
      <c r="CC51" s="356" t="str">
        <f t="shared" si="60"/>
        <v/>
      </c>
      <c r="CD51" s="356" t="str">
        <f t="shared" si="61"/>
        <v/>
      </c>
      <c r="CE51" s="356" t="str">
        <f t="shared" si="62"/>
        <v/>
      </c>
      <c r="CF51" s="356" t="str">
        <f t="shared" si="63"/>
        <v/>
      </c>
      <c r="CG51" s="356" t="str">
        <f t="shared" si="64"/>
        <v/>
      </c>
      <c r="CH51" s="356" t="str">
        <f t="shared" si="65"/>
        <v/>
      </c>
      <c r="CI51" s="356" t="str">
        <f t="shared" si="66"/>
        <v/>
      </c>
      <c r="CJ51" s="356" t="str">
        <f t="shared" si="67"/>
        <v/>
      </c>
      <c r="CK51" s="356" t="str">
        <f t="shared" si="68"/>
        <v/>
      </c>
      <c r="CL51" s="356" t="str">
        <f t="shared" si="69"/>
        <v/>
      </c>
      <c r="CM51" s="356" t="str">
        <f t="shared" si="70"/>
        <v/>
      </c>
      <c r="CN51" s="356" t="str">
        <f t="shared" si="71"/>
        <v/>
      </c>
      <c r="CO51" s="356" t="str">
        <f t="shared" si="72"/>
        <v/>
      </c>
      <c r="CP51" s="356" t="str">
        <f t="shared" si="73"/>
        <v/>
      </c>
      <c r="CQ51" s="356" t="str">
        <f t="shared" si="74"/>
        <v/>
      </c>
      <c r="CR51" s="356" t="str">
        <f t="shared" si="75"/>
        <v/>
      </c>
      <c r="CS51" s="356" t="str">
        <f t="shared" si="76"/>
        <v/>
      </c>
      <c r="CT51" s="356" t="str">
        <f t="shared" si="77"/>
        <v/>
      </c>
      <c r="CU51" s="356" t="str">
        <f t="shared" si="78"/>
        <v/>
      </c>
      <c r="CV51" s="356" t="str">
        <f t="shared" si="79"/>
        <v/>
      </c>
      <c r="CW51" s="356" t="str">
        <f t="shared" si="80"/>
        <v/>
      </c>
      <c r="CX51" s="356" t="str">
        <f t="shared" si="81"/>
        <v/>
      </c>
      <c r="CY51" s="356" t="str">
        <f t="shared" si="82"/>
        <v/>
      </c>
      <c r="CZ51" s="356" t="str">
        <f t="shared" si="83"/>
        <v/>
      </c>
      <c r="DA51" s="356" t="str">
        <f t="shared" si="84"/>
        <v/>
      </c>
      <c r="DB51" s="356" t="str">
        <f t="shared" si="85"/>
        <v/>
      </c>
      <c r="DC51" s="356" t="str">
        <f t="shared" si="86"/>
        <v/>
      </c>
      <c r="DD51" s="356" t="str">
        <f t="shared" si="87"/>
        <v/>
      </c>
      <c r="DE51" s="356" t="str">
        <f t="shared" si="88"/>
        <v/>
      </c>
      <c r="DF51" s="356" t="str">
        <f t="shared" si="89"/>
        <v/>
      </c>
      <c r="DG51" s="356" t="str">
        <f t="shared" si="90"/>
        <v/>
      </c>
      <c r="DH51" s="356" t="str">
        <f t="shared" si="91"/>
        <v/>
      </c>
      <c r="DI51" s="356" t="str">
        <f t="shared" si="92"/>
        <v/>
      </c>
      <c r="DJ51" s="356" t="str">
        <f t="shared" si="93"/>
        <v/>
      </c>
      <c r="DK51" s="356" t="str">
        <f t="shared" si="94"/>
        <v/>
      </c>
      <c r="DL51" s="356" t="str">
        <f t="shared" si="95"/>
        <v/>
      </c>
      <c r="DM51" s="356" t="str">
        <f t="shared" si="96"/>
        <v/>
      </c>
      <c r="DN51" s="356" t="str">
        <f t="shared" si="97"/>
        <v/>
      </c>
      <c r="DO51" s="356" t="str">
        <f t="shared" si="98"/>
        <v/>
      </c>
      <c r="DP51" s="356" t="str">
        <f t="shared" si="99"/>
        <v/>
      </c>
      <c r="DQ51" s="356" t="str">
        <f t="shared" si="100"/>
        <v/>
      </c>
      <c r="DR51" s="356" t="str">
        <f t="shared" si="101"/>
        <v/>
      </c>
      <c r="DS51" s="356" t="str">
        <f t="shared" si="102"/>
        <v/>
      </c>
      <c r="DT51" s="356" t="str">
        <f t="shared" si="103"/>
        <v/>
      </c>
      <c r="DU51" s="356" t="str">
        <f t="shared" si="104"/>
        <v/>
      </c>
      <c r="DV51" s="356" t="str">
        <f t="shared" si="105"/>
        <v/>
      </c>
      <c r="DW51" s="356" t="str">
        <f t="shared" si="106"/>
        <v/>
      </c>
      <c r="DX51" s="356" t="str">
        <f t="shared" si="107"/>
        <v/>
      </c>
      <c r="DY51" s="356" t="str">
        <f t="shared" si="108"/>
        <v/>
      </c>
      <c r="DZ51" s="356" t="str">
        <f t="shared" si="109"/>
        <v/>
      </c>
      <c r="EA51" s="356" t="str">
        <f t="shared" si="110"/>
        <v/>
      </c>
      <c r="EB51" s="356" t="str">
        <f t="shared" si="111"/>
        <v/>
      </c>
      <c r="EC51" s="356" t="str">
        <f t="shared" si="112"/>
        <v/>
      </c>
      <c r="ED51" s="356" t="str">
        <f t="shared" si="113"/>
        <v/>
      </c>
      <c r="EE51" s="356" t="str">
        <f t="shared" si="114"/>
        <v/>
      </c>
      <c r="EF51" s="356" t="str">
        <f t="shared" si="115"/>
        <v/>
      </c>
      <c r="EG51" s="356" t="str">
        <f t="shared" si="116"/>
        <v/>
      </c>
      <c r="EH51" s="356" t="str">
        <f t="shared" si="117"/>
        <v/>
      </c>
      <c r="EI51" s="356" t="str">
        <f t="shared" si="118"/>
        <v/>
      </c>
      <c r="EJ51" s="356" t="str">
        <f t="shared" si="119"/>
        <v/>
      </c>
      <c r="EK51" s="356" t="str">
        <f t="shared" si="120"/>
        <v/>
      </c>
      <c r="EL51" s="356" t="str">
        <f t="shared" si="121"/>
        <v/>
      </c>
      <c r="EM51" s="356" t="str">
        <f t="shared" si="122"/>
        <v/>
      </c>
      <c r="EN51" s="356" t="str">
        <f t="shared" si="123"/>
        <v/>
      </c>
      <c r="EO51" s="356" t="str">
        <f t="shared" si="124"/>
        <v/>
      </c>
      <c r="EP51" s="356" t="str">
        <f t="shared" si="125"/>
        <v/>
      </c>
      <c r="EQ51" s="356" t="str">
        <f t="shared" si="126"/>
        <v/>
      </c>
      <c r="ER51" s="356" t="str">
        <f t="shared" si="127"/>
        <v/>
      </c>
      <c r="ES51" s="356" t="str">
        <f t="shared" si="128"/>
        <v/>
      </c>
      <c r="ET51" s="356" t="str">
        <f t="shared" si="129"/>
        <v/>
      </c>
      <c r="EU51" s="356" t="str">
        <f t="shared" si="130"/>
        <v/>
      </c>
      <c r="EV51" s="356" t="str">
        <f t="shared" si="131"/>
        <v/>
      </c>
      <c r="EW51" s="356" t="str">
        <f t="shared" si="132"/>
        <v/>
      </c>
      <c r="EX51" s="356" t="str">
        <f t="shared" si="133"/>
        <v/>
      </c>
      <c r="EY51" s="356" t="str">
        <f t="shared" si="134"/>
        <v/>
      </c>
      <c r="EZ51" s="356" t="str">
        <f t="shared" si="135"/>
        <v/>
      </c>
      <c r="FA51" s="356" t="str">
        <f t="shared" si="136"/>
        <v/>
      </c>
      <c r="FB51" s="356" t="str">
        <f t="shared" si="137"/>
        <v/>
      </c>
      <c r="FC51" s="356" t="str">
        <f t="shared" si="138"/>
        <v/>
      </c>
      <c r="FD51" s="356" t="str">
        <f t="shared" si="139"/>
        <v/>
      </c>
      <c r="FE51" s="356" t="str">
        <f t="shared" si="140"/>
        <v/>
      </c>
      <c r="FF51" s="356" t="str">
        <f t="shared" si="141"/>
        <v/>
      </c>
      <c r="FG51" s="356" t="str">
        <f t="shared" si="142"/>
        <v/>
      </c>
      <c r="FH51" s="356" t="str">
        <f t="shared" si="143"/>
        <v/>
      </c>
      <c r="FI51" s="356" t="str">
        <f t="shared" si="144"/>
        <v/>
      </c>
      <c r="FJ51" s="356" t="str">
        <f t="shared" si="145"/>
        <v/>
      </c>
      <c r="FK51" s="356" t="str">
        <f t="shared" si="146"/>
        <v/>
      </c>
      <c r="FL51" s="356" t="str">
        <f t="shared" si="147"/>
        <v/>
      </c>
      <c r="FM51" s="356" t="str">
        <f t="shared" si="416"/>
        <v/>
      </c>
      <c r="FN51" s="356" t="str">
        <f t="shared" si="417"/>
        <v/>
      </c>
      <c r="FO51" s="356" t="str">
        <f t="shared" si="418"/>
        <v/>
      </c>
      <c r="FP51" s="356" t="str">
        <f t="shared" si="419"/>
        <v/>
      </c>
      <c r="FQ51" s="356" t="str">
        <f t="shared" si="420"/>
        <v/>
      </c>
      <c r="FR51" s="356" t="str">
        <f t="shared" si="153"/>
        <v/>
      </c>
      <c r="FS51" s="356" t="str">
        <f t="shared" si="154"/>
        <v/>
      </c>
      <c r="FT51" s="356" t="str">
        <f t="shared" si="155"/>
        <v/>
      </c>
      <c r="FU51" s="356" t="str">
        <f t="shared" si="156"/>
        <v/>
      </c>
      <c r="FV51" s="356" t="str">
        <f t="shared" si="157"/>
        <v/>
      </c>
      <c r="FW51" s="356" t="str">
        <f t="shared" si="158"/>
        <v/>
      </c>
      <c r="FX51" s="356" t="str">
        <f t="shared" si="159"/>
        <v/>
      </c>
      <c r="FY51" s="356" t="str">
        <f t="shared" si="160"/>
        <v/>
      </c>
      <c r="FZ51" s="356" t="str">
        <f t="shared" si="161"/>
        <v/>
      </c>
      <c r="GA51" s="356" t="str">
        <f t="shared" si="162"/>
        <v/>
      </c>
      <c r="GB51" s="356" t="str">
        <f t="shared" si="163"/>
        <v/>
      </c>
      <c r="GC51" s="356" t="str">
        <f t="shared" si="164"/>
        <v/>
      </c>
      <c r="GD51" s="356" t="str">
        <f t="shared" si="165"/>
        <v/>
      </c>
      <c r="GE51" s="356" t="str">
        <f t="shared" si="166"/>
        <v/>
      </c>
      <c r="GF51" s="356" t="str">
        <f t="shared" si="167"/>
        <v/>
      </c>
      <c r="GG51" s="356" t="str">
        <f t="shared" si="168"/>
        <v/>
      </c>
      <c r="GH51" s="356" t="str">
        <f t="shared" si="169"/>
        <v/>
      </c>
      <c r="GI51" s="356" t="str">
        <f t="shared" si="170"/>
        <v/>
      </c>
      <c r="GJ51" s="356" t="str">
        <f t="shared" si="171"/>
        <v/>
      </c>
      <c r="GK51" s="356" t="str">
        <f t="shared" si="172"/>
        <v/>
      </c>
      <c r="GL51" s="356" t="str">
        <f t="shared" si="173"/>
        <v/>
      </c>
      <c r="GM51" s="356" t="str">
        <f t="shared" si="174"/>
        <v/>
      </c>
      <c r="GN51" s="356" t="str">
        <f t="shared" si="175"/>
        <v/>
      </c>
      <c r="GO51" s="356" t="str">
        <f t="shared" si="176"/>
        <v/>
      </c>
      <c r="GP51" s="356" t="str">
        <f t="shared" si="177"/>
        <v/>
      </c>
      <c r="GQ51" s="356" t="str">
        <f t="shared" si="178"/>
        <v/>
      </c>
      <c r="GR51" s="356" t="str">
        <f t="shared" si="179"/>
        <v/>
      </c>
      <c r="GS51" s="356" t="str">
        <f t="shared" si="180"/>
        <v/>
      </c>
      <c r="GT51" s="356" t="str">
        <f t="shared" si="181"/>
        <v/>
      </c>
      <c r="GU51" s="356" t="str">
        <f t="shared" si="182"/>
        <v/>
      </c>
      <c r="GV51" s="356" t="str">
        <f t="shared" si="183"/>
        <v/>
      </c>
      <c r="GW51" s="356" t="str">
        <f t="shared" si="184"/>
        <v/>
      </c>
      <c r="GX51" s="356" t="str">
        <f t="shared" si="185"/>
        <v/>
      </c>
      <c r="GY51" s="356" t="str">
        <f t="shared" si="186"/>
        <v/>
      </c>
      <c r="GZ51" s="356" t="str">
        <f t="shared" si="187"/>
        <v/>
      </c>
      <c r="HA51" s="356" t="str">
        <f t="shared" si="421"/>
        <v/>
      </c>
      <c r="HB51" s="356" t="str">
        <f t="shared" si="422"/>
        <v/>
      </c>
      <c r="HC51" s="356" t="str">
        <f t="shared" si="423"/>
        <v/>
      </c>
      <c r="HD51" s="356" t="str">
        <f t="shared" si="424"/>
        <v/>
      </c>
      <c r="HE51" s="356" t="str">
        <f t="shared" si="425"/>
        <v/>
      </c>
      <c r="HF51" s="356" t="str">
        <f t="shared" si="426"/>
        <v/>
      </c>
      <c r="HG51" s="356" t="str">
        <f t="shared" si="427"/>
        <v/>
      </c>
      <c r="HH51" s="356" t="str">
        <f t="shared" si="428"/>
        <v/>
      </c>
      <c r="HI51" s="356" t="str">
        <f t="shared" si="429"/>
        <v/>
      </c>
      <c r="HJ51" s="356" t="str">
        <f t="shared" si="430"/>
        <v/>
      </c>
      <c r="HK51" s="356" t="str">
        <f t="shared" si="431"/>
        <v/>
      </c>
      <c r="HL51" s="356" t="str">
        <f t="shared" si="432"/>
        <v/>
      </c>
      <c r="HM51" s="356" t="str">
        <f t="shared" si="433"/>
        <v/>
      </c>
      <c r="HN51" s="356" t="str">
        <f t="shared" si="434"/>
        <v/>
      </c>
      <c r="HO51" s="356" t="str">
        <f t="shared" si="435"/>
        <v/>
      </c>
      <c r="HP51" s="356" t="str">
        <f t="shared" si="203"/>
        <v/>
      </c>
      <c r="HQ51" s="356" t="str">
        <f t="shared" si="204"/>
        <v/>
      </c>
      <c r="HR51" s="356" t="str">
        <f t="shared" si="205"/>
        <v/>
      </c>
      <c r="HS51" s="356" t="str">
        <f t="shared" si="206"/>
        <v/>
      </c>
      <c r="HT51" s="356" t="str">
        <f t="shared" si="207"/>
        <v/>
      </c>
      <c r="HU51" s="356" t="str">
        <f t="shared" si="208"/>
        <v/>
      </c>
      <c r="HV51" s="356" t="str">
        <f t="shared" si="209"/>
        <v/>
      </c>
      <c r="HW51" s="356" t="str">
        <f t="shared" si="210"/>
        <v/>
      </c>
      <c r="HX51" s="356" t="str">
        <f t="shared" si="211"/>
        <v/>
      </c>
      <c r="HY51" s="356" t="str">
        <f t="shared" si="212"/>
        <v/>
      </c>
      <c r="HZ51" s="356" t="str">
        <f t="shared" si="213"/>
        <v/>
      </c>
      <c r="IA51" s="356" t="str">
        <f t="shared" si="214"/>
        <v/>
      </c>
      <c r="IB51" s="356" t="str">
        <f t="shared" si="215"/>
        <v/>
      </c>
      <c r="IC51" s="356" t="str">
        <f t="shared" si="216"/>
        <v/>
      </c>
      <c r="ID51" s="356" t="str">
        <f t="shared" si="217"/>
        <v/>
      </c>
      <c r="IE51" s="356" t="str">
        <f t="shared" si="218"/>
        <v/>
      </c>
      <c r="IF51" s="356" t="str">
        <f t="shared" si="219"/>
        <v/>
      </c>
      <c r="IG51" s="356" t="str">
        <f t="shared" si="220"/>
        <v/>
      </c>
      <c r="IH51" s="356" t="str">
        <f t="shared" si="221"/>
        <v/>
      </c>
      <c r="II51" s="356" t="str">
        <f t="shared" si="222"/>
        <v/>
      </c>
      <c r="IJ51" s="356" t="str">
        <f t="shared" si="223"/>
        <v/>
      </c>
      <c r="IK51" s="356" t="str">
        <f t="shared" si="224"/>
        <v/>
      </c>
      <c r="IL51" s="356" t="str">
        <f t="shared" si="225"/>
        <v/>
      </c>
      <c r="IM51" s="356" t="str">
        <f t="shared" si="226"/>
        <v/>
      </c>
      <c r="IN51" s="356" t="str">
        <f t="shared" si="227"/>
        <v/>
      </c>
      <c r="IO51" s="356" t="str">
        <f t="shared" si="228"/>
        <v/>
      </c>
      <c r="IP51" s="356" t="str">
        <f t="shared" si="229"/>
        <v/>
      </c>
      <c r="IQ51" s="356" t="str">
        <f t="shared" si="230"/>
        <v/>
      </c>
      <c r="IR51" s="356" t="str">
        <f t="shared" si="231"/>
        <v/>
      </c>
      <c r="IS51" s="356" t="str">
        <f t="shared" si="232"/>
        <v/>
      </c>
      <c r="IT51" s="356" t="str">
        <f t="shared" si="233"/>
        <v/>
      </c>
      <c r="IU51" s="356" t="str">
        <f t="shared" si="234"/>
        <v/>
      </c>
      <c r="IV51" s="356" t="str">
        <f t="shared" si="235"/>
        <v/>
      </c>
      <c r="IW51" s="356" t="str">
        <f t="shared" si="236"/>
        <v/>
      </c>
      <c r="IX51" s="356" t="str">
        <f t="shared" si="237"/>
        <v/>
      </c>
      <c r="IY51" s="356" t="str">
        <f t="shared" si="238"/>
        <v/>
      </c>
      <c r="IZ51" s="356" t="str">
        <f t="shared" si="239"/>
        <v/>
      </c>
      <c r="JA51" s="356" t="str">
        <f t="shared" si="240"/>
        <v/>
      </c>
      <c r="JB51" s="356" t="str">
        <f t="shared" si="241"/>
        <v/>
      </c>
      <c r="JC51" s="356" t="str">
        <f t="shared" si="242"/>
        <v/>
      </c>
      <c r="JD51" s="356" t="str">
        <f t="shared" si="243"/>
        <v/>
      </c>
      <c r="JE51" s="356" t="str">
        <f t="shared" si="244"/>
        <v/>
      </c>
      <c r="JF51" s="356" t="str">
        <f t="shared" si="245"/>
        <v/>
      </c>
      <c r="JG51" s="356" t="str">
        <f t="shared" si="246"/>
        <v/>
      </c>
      <c r="JH51" s="356" t="str">
        <f t="shared" si="247"/>
        <v/>
      </c>
      <c r="JI51" s="1785" t="str">
        <f t="shared" si="248"/>
        <v/>
      </c>
      <c r="JJ51" s="1785" t="str">
        <f t="shared" si="249"/>
        <v/>
      </c>
      <c r="JK51" s="1785" t="str">
        <f t="shared" si="250"/>
        <v/>
      </c>
      <c r="JL51" s="1785" t="str">
        <f t="shared" si="251"/>
        <v/>
      </c>
      <c r="JM51" s="1785" t="str">
        <f t="shared" si="252"/>
        <v/>
      </c>
      <c r="JN51" s="1785" t="str">
        <f t="shared" si="253"/>
        <v/>
      </c>
      <c r="JO51" s="1785" t="str">
        <f t="shared" si="254"/>
        <v/>
      </c>
      <c r="JP51" s="1785" t="str">
        <f t="shared" si="255"/>
        <v/>
      </c>
      <c r="JQ51" s="1785" t="str">
        <f t="shared" si="256"/>
        <v/>
      </c>
      <c r="JR51" s="1785" t="str">
        <f t="shared" si="257"/>
        <v/>
      </c>
      <c r="JS51" s="1785" t="str">
        <f t="shared" si="258"/>
        <v/>
      </c>
      <c r="JT51" s="1785" t="str">
        <f t="shared" si="259"/>
        <v/>
      </c>
      <c r="JU51" s="1785" t="str">
        <f t="shared" si="260"/>
        <v/>
      </c>
      <c r="JV51" s="1785" t="str">
        <f t="shared" si="261"/>
        <v/>
      </c>
      <c r="JW51" s="1785" t="str">
        <f t="shared" si="262"/>
        <v/>
      </c>
      <c r="JX51" s="1785" t="str">
        <f t="shared" si="263"/>
        <v/>
      </c>
      <c r="JY51" s="1785" t="str">
        <f t="shared" si="264"/>
        <v/>
      </c>
      <c r="JZ51" s="1785" t="str">
        <f t="shared" si="265"/>
        <v/>
      </c>
      <c r="KA51" s="1785" t="str">
        <f t="shared" si="266"/>
        <v/>
      </c>
      <c r="KB51" s="1785" t="str">
        <f t="shared" si="267"/>
        <v/>
      </c>
      <c r="KC51" s="1785" t="str">
        <f t="shared" si="268"/>
        <v/>
      </c>
      <c r="KD51" s="1785" t="str">
        <f t="shared" si="269"/>
        <v/>
      </c>
      <c r="KE51" s="1785" t="str">
        <f t="shared" si="270"/>
        <v/>
      </c>
      <c r="KF51" s="1785" t="str">
        <f t="shared" si="271"/>
        <v/>
      </c>
      <c r="KG51" s="1785" t="str">
        <f t="shared" si="272"/>
        <v/>
      </c>
      <c r="KH51" s="1785" t="str">
        <f t="shared" si="273"/>
        <v/>
      </c>
      <c r="KI51" s="1785" t="str">
        <f t="shared" si="274"/>
        <v/>
      </c>
      <c r="KJ51" s="1785" t="str">
        <f t="shared" si="275"/>
        <v/>
      </c>
      <c r="KK51" s="1785" t="str">
        <f t="shared" si="276"/>
        <v/>
      </c>
      <c r="KL51" s="1785" t="str">
        <f t="shared" si="277"/>
        <v/>
      </c>
      <c r="KM51" s="1785" t="str">
        <f t="shared" si="278"/>
        <v/>
      </c>
      <c r="KN51" s="1785" t="str">
        <f t="shared" si="279"/>
        <v/>
      </c>
      <c r="KO51" s="1785" t="str">
        <f t="shared" si="280"/>
        <v/>
      </c>
      <c r="KP51" s="1785" t="str">
        <f t="shared" si="281"/>
        <v/>
      </c>
      <c r="KQ51" s="1785" t="str">
        <f t="shared" si="282"/>
        <v/>
      </c>
      <c r="KR51" s="1785" t="str">
        <f t="shared" si="283"/>
        <v/>
      </c>
      <c r="KS51" s="1785" t="str">
        <f t="shared" si="284"/>
        <v/>
      </c>
      <c r="KT51" s="1785" t="str">
        <f t="shared" si="285"/>
        <v/>
      </c>
      <c r="KU51" s="1785" t="str">
        <f t="shared" si="286"/>
        <v/>
      </c>
      <c r="KV51" s="1785" t="str">
        <f t="shared" si="287"/>
        <v/>
      </c>
      <c r="KW51" s="1785" t="str">
        <f t="shared" si="288"/>
        <v/>
      </c>
      <c r="KX51" s="1785" t="str">
        <f t="shared" si="289"/>
        <v/>
      </c>
      <c r="KY51" s="1785" t="str">
        <f t="shared" si="290"/>
        <v/>
      </c>
      <c r="KZ51" s="1785" t="str">
        <f t="shared" si="291"/>
        <v/>
      </c>
      <c r="LA51" s="1785" t="str">
        <f t="shared" si="292"/>
        <v/>
      </c>
      <c r="LB51" s="1785" t="str">
        <f t="shared" si="293"/>
        <v/>
      </c>
      <c r="LC51" s="1785" t="str">
        <f t="shared" si="294"/>
        <v/>
      </c>
      <c r="LD51" s="1785" t="str">
        <f t="shared" si="295"/>
        <v/>
      </c>
      <c r="LE51" s="1785" t="str">
        <f t="shared" si="296"/>
        <v/>
      </c>
      <c r="LF51" s="1785" t="str">
        <f t="shared" si="297"/>
        <v/>
      </c>
      <c r="LG51" s="1785" t="str">
        <f t="shared" si="298"/>
        <v/>
      </c>
      <c r="LH51" s="1785" t="str">
        <f t="shared" si="299"/>
        <v/>
      </c>
      <c r="LI51" s="1785" t="str">
        <f t="shared" si="300"/>
        <v/>
      </c>
      <c r="LJ51" s="1785" t="str">
        <f t="shared" si="301"/>
        <v/>
      </c>
      <c r="LK51" s="1785" t="str">
        <f t="shared" si="302"/>
        <v/>
      </c>
      <c r="LL51" s="1785" t="str">
        <f t="shared" si="303"/>
        <v/>
      </c>
      <c r="LM51" s="1785" t="str">
        <f t="shared" si="304"/>
        <v/>
      </c>
      <c r="LN51" s="1785" t="str">
        <f t="shared" si="305"/>
        <v/>
      </c>
      <c r="LO51" s="1785" t="str">
        <f t="shared" si="306"/>
        <v/>
      </c>
      <c r="LP51" s="1785" t="str">
        <f t="shared" si="307"/>
        <v/>
      </c>
      <c r="LQ51" s="1785" t="str">
        <f t="shared" si="308"/>
        <v/>
      </c>
      <c r="LR51" s="1785" t="str">
        <f t="shared" si="309"/>
        <v/>
      </c>
      <c r="LS51" s="1785" t="str">
        <f t="shared" si="310"/>
        <v/>
      </c>
      <c r="LT51" s="1785" t="str">
        <f t="shared" si="311"/>
        <v/>
      </c>
      <c r="LU51" s="1785" t="str">
        <f t="shared" si="312"/>
        <v/>
      </c>
      <c r="LV51" s="1785" t="str">
        <f t="shared" si="313"/>
        <v/>
      </c>
      <c r="LW51" s="1785" t="str">
        <f t="shared" si="314"/>
        <v/>
      </c>
      <c r="LX51" s="1785" t="str">
        <f t="shared" si="315"/>
        <v/>
      </c>
      <c r="LY51" s="1785" t="str">
        <f t="shared" si="316"/>
        <v/>
      </c>
      <c r="LZ51" s="1785" t="str">
        <f t="shared" si="317"/>
        <v/>
      </c>
      <c r="MA51" s="1785" t="str">
        <f t="shared" si="318"/>
        <v/>
      </c>
      <c r="MB51" s="1785" t="str">
        <f t="shared" si="319"/>
        <v/>
      </c>
      <c r="MC51" s="1785" t="str">
        <f t="shared" si="320"/>
        <v/>
      </c>
      <c r="MD51" s="1785" t="str">
        <f t="shared" si="321"/>
        <v/>
      </c>
      <c r="ME51" s="1785" t="str">
        <f t="shared" si="322"/>
        <v/>
      </c>
      <c r="MF51" s="1785" t="str">
        <f t="shared" si="323"/>
        <v/>
      </c>
      <c r="MG51" s="1785" t="str">
        <f t="shared" si="324"/>
        <v/>
      </c>
      <c r="MH51" s="1785" t="str">
        <f t="shared" si="325"/>
        <v/>
      </c>
      <c r="MI51" s="1785" t="str">
        <f t="shared" si="326"/>
        <v/>
      </c>
      <c r="MJ51" s="1785" t="str">
        <f t="shared" si="327"/>
        <v/>
      </c>
      <c r="MK51" s="1785" t="str">
        <f t="shared" si="328"/>
        <v/>
      </c>
      <c r="ML51" s="1785" t="str">
        <f t="shared" si="329"/>
        <v/>
      </c>
      <c r="MM51" s="1785" t="str">
        <f t="shared" si="330"/>
        <v/>
      </c>
      <c r="MN51" s="1785" t="str">
        <f t="shared" si="331"/>
        <v/>
      </c>
      <c r="MO51" s="1785" t="str">
        <f t="shared" si="332"/>
        <v/>
      </c>
      <c r="MP51" s="2470" t="str">
        <f t="shared" si="333"/>
        <v/>
      </c>
      <c r="MQ51" s="2470" t="str">
        <f t="shared" si="334"/>
        <v/>
      </c>
      <c r="MR51" s="2470" t="str">
        <f t="shared" si="335"/>
        <v/>
      </c>
      <c r="MS51" s="2470" t="str">
        <f t="shared" si="336"/>
        <v/>
      </c>
      <c r="MT51" s="2470" t="str">
        <f t="shared" si="337"/>
        <v/>
      </c>
      <c r="MU51" s="356" t="str">
        <f t="shared" si="436"/>
        <v/>
      </c>
      <c r="MV51" s="356" t="str">
        <f t="shared" si="437"/>
        <v/>
      </c>
      <c r="MW51" s="356" t="str">
        <f t="shared" si="438"/>
        <v/>
      </c>
      <c r="MX51" s="356" t="str">
        <f t="shared" si="439"/>
        <v/>
      </c>
      <c r="MY51" s="356" t="str">
        <f t="shared" si="440"/>
        <v/>
      </c>
      <c r="MZ51" s="356" t="str">
        <f t="shared" si="343"/>
        <v/>
      </c>
      <c r="NA51" s="356" t="str">
        <f t="shared" si="344"/>
        <v/>
      </c>
      <c r="NB51" s="356" t="str">
        <f t="shared" si="345"/>
        <v/>
      </c>
      <c r="NC51" s="356" t="str">
        <f t="shared" si="346"/>
        <v/>
      </c>
      <c r="ND51" s="356" t="str">
        <f t="shared" si="347"/>
        <v/>
      </c>
      <c r="NE51" s="356" t="str">
        <f t="shared" si="348"/>
        <v/>
      </c>
      <c r="NF51" s="356" t="str">
        <f t="shared" si="349"/>
        <v/>
      </c>
      <c r="NG51" s="356" t="str">
        <f t="shared" si="350"/>
        <v/>
      </c>
      <c r="NH51" s="356" t="str">
        <f t="shared" si="351"/>
        <v/>
      </c>
      <c r="NI51" s="356" t="str">
        <f t="shared" si="352"/>
        <v/>
      </c>
      <c r="NJ51" s="356" t="str">
        <f t="shared" si="353"/>
        <v/>
      </c>
      <c r="NK51" s="356" t="str">
        <f t="shared" si="354"/>
        <v/>
      </c>
      <c r="NL51" s="356" t="str">
        <f t="shared" si="355"/>
        <v/>
      </c>
      <c r="NM51" s="356" t="str">
        <f t="shared" si="356"/>
        <v/>
      </c>
      <c r="NN51" s="356" t="str">
        <f t="shared" si="357"/>
        <v/>
      </c>
      <c r="NO51" s="1640">
        <f t="shared" si="358"/>
        <v>0</v>
      </c>
      <c r="NP51" s="1640">
        <f t="shared" si="359"/>
        <v>0</v>
      </c>
      <c r="NQ51" s="1640">
        <f t="shared" si="360"/>
        <v>0</v>
      </c>
      <c r="NR51" s="1640">
        <f t="shared" si="361"/>
        <v>0</v>
      </c>
      <c r="NS51" s="1640">
        <f t="shared" si="362"/>
        <v>0</v>
      </c>
      <c r="NT51" s="1640">
        <f t="shared" si="368"/>
        <v>0</v>
      </c>
      <c r="NU51" s="1640">
        <f t="shared" si="369"/>
        <v>0</v>
      </c>
      <c r="NV51" s="1640">
        <f t="shared" si="370"/>
        <v>0</v>
      </c>
      <c r="NW51" s="1640">
        <f t="shared" si="371"/>
        <v>0</v>
      </c>
      <c r="NX51" s="1640">
        <f t="shared" si="372"/>
        <v>0</v>
      </c>
      <c r="NY51" s="1640">
        <f t="shared" si="363"/>
        <v>0</v>
      </c>
      <c r="NZ51" s="1640">
        <f t="shared" si="364"/>
        <v>0</v>
      </c>
      <c r="OA51" s="1640">
        <f t="shared" si="365"/>
        <v>0</v>
      </c>
      <c r="OB51" s="1640">
        <f t="shared" si="366"/>
        <v>0</v>
      </c>
      <c r="OC51" s="1640">
        <f t="shared" si="367"/>
        <v>0</v>
      </c>
      <c r="OY51" s="2499" t="s">
        <v>4333</v>
      </c>
      <c r="OZ51" s="2503">
        <v>51</v>
      </c>
    </row>
    <row r="52" spans="1:416" ht="12" customHeight="1">
      <c r="A52" s="86" t="str">
        <f t="shared" ref="A52:A53" si="441">IF(AND(E52&gt;0,OR(B52="",C52="",D52="",F52="",G52="", H52="",I52="",N52="",O52="",P52="",Q52="")),1,"")</f>
        <v/>
      </c>
      <c r="B52" s="1055"/>
      <c r="C52" s="132"/>
      <c r="D52" s="1643"/>
      <c r="E52" s="133"/>
      <c r="F52" s="133"/>
      <c r="G52" s="133"/>
      <c r="H52" s="133"/>
      <c r="I52" s="133"/>
      <c r="J52" s="1036">
        <f>IF(C52="",0,HLOOKUP(C52,'Part IV-Utility Allowances'!$I$11:$M$25,15))</f>
        <v>0</v>
      </c>
      <c r="K52" s="630"/>
      <c r="L52" s="460">
        <f t="shared" ref="L52:L53" si="442">MAX(0,H52-I52-J52)</f>
        <v>0</v>
      </c>
      <c r="M52" s="460">
        <f t="shared" ref="M52:M53" si="443">MAX(0,E52*L52)</f>
        <v>0</v>
      </c>
      <c r="N52" s="680"/>
      <c r="O52" s="1585"/>
      <c r="P52" s="680"/>
      <c r="Q52" s="134"/>
      <c r="R52" s="723"/>
      <c r="S52" s="724"/>
      <c r="T52" s="3613"/>
      <c r="U52" s="3614"/>
      <c r="V52" s="3614"/>
      <c r="W52" s="3615"/>
      <c r="X52" s="356" t="str">
        <f t="shared" ref="X52:X53" si="444">IF(AND(C52="Efficiency",B52=80,NOT(N52="Common Space")),E52,"")</f>
        <v/>
      </c>
      <c r="Y52" s="356" t="str">
        <f t="shared" ref="Y52:Y53" si="445">IF(AND(C52=1,B52=80,NOT(N52="Common Space")),E52,"")</f>
        <v/>
      </c>
      <c r="Z52" s="356" t="str">
        <f t="shared" ref="Z52:Z53" si="446">IF(AND(C52=2,B52=80,NOT(N52="Common Space")),E52,"")</f>
        <v/>
      </c>
      <c r="AA52" s="356" t="str">
        <f t="shared" ref="AA52:AA53" si="447">IF(AND(C52=3,B52=80,NOT(N52="Common Space")),E52,"")</f>
        <v/>
      </c>
      <c r="AB52" s="356" t="str">
        <f t="shared" ref="AB52:AB53" si="448">IF(AND(C52=4,B52=80,NOT(N52="Common Space")),E52,"")</f>
        <v/>
      </c>
      <c r="AC52" s="356" t="str">
        <f t="shared" ref="AC52:AC53" si="449">IF(AND(C52="Efficiency",B52=70,NOT(N52="Common Space")),E52,"")</f>
        <v/>
      </c>
      <c r="AD52" s="356" t="str">
        <f t="shared" ref="AD52:AD53" si="450">IF(AND(C52=1,B52=70,NOT(N52="Common Space")),E52,"")</f>
        <v/>
      </c>
      <c r="AE52" s="356" t="str">
        <f t="shared" ref="AE52:AE53" si="451">IF(AND(C52=2,B52=70,NOT(N52="Common Space")),E52,"")</f>
        <v/>
      </c>
      <c r="AF52" s="356" t="str">
        <f t="shared" ref="AF52:AF53" si="452">IF(AND(C52=3,B52=70,NOT(N52="Common Space")),E52,"")</f>
        <v/>
      </c>
      <c r="AG52" s="356" t="str">
        <f t="shared" ref="AG52:AG53" si="453">IF(AND(C52=4,B52=70,NOT(N52="Common Space")),E52,"")</f>
        <v/>
      </c>
      <c r="AH52" s="356" t="str">
        <f t="shared" ref="AH52:AH53" si="454">IF(AND(C52="Efficiency",B52=60,NOT(N52="Common Space")),E52,"")</f>
        <v/>
      </c>
      <c r="AI52" s="356" t="str">
        <f t="shared" ref="AI52:AI53" si="455">IF(AND(C52=1,B52=60,NOT(N52="Common Space")),E52,"")</f>
        <v/>
      </c>
      <c r="AJ52" s="356" t="str">
        <f t="shared" ref="AJ52:AJ53" si="456">IF(AND(C52=2,B52=60,NOT(N52="Common Space")),E52,"")</f>
        <v/>
      </c>
      <c r="AK52" s="356" t="str">
        <f t="shared" ref="AK52:AK53" si="457">IF(AND(C52=3,B52=60,NOT(N52="Common Space")),E52,"")</f>
        <v/>
      </c>
      <c r="AL52" s="356" t="str">
        <f t="shared" ref="AL52:AL53" si="458">IF(AND(C52=4,B52=60,NOT(N52="Common Space")),E52,"")</f>
        <v/>
      </c>
      <c r="AM52" s="356" t="str">
        <f t="shared" ref="AM52:AM53" si="459">IF(AND(C52="Efficiency",B52=50,NOT(N52="Common Space")),E52,"")</f>
        <v/>
      </c>
      <c r="AN52" s="356" t="str">
        <f t="shared" ref="AN52:AN53" si="460">IF(AND(C52=1,B52=50,NOT(N52="Common Space")),E52,"")</f>
        <v/>
      </c>
      <c r="AO52" s="356" t="str">
        <f t="shared" ref="AO52:AO53" si="461">IF(AND(C52=2,B52=50,NOT(N52="Common Space")),E52,"")</f>
        <v/>
      </c>
      <c r="AP52" s="356" t="str">
        <f t="shared" ref="AP52:AP53" si="462">IF(AND(C52=3,B52=50,NOT(N52="Common Space")),E52,"")</f>
        <v/>
      </c>
      <c r="AQ52" s="356" t="str">
        <f t="shared" ref="AQ52:AQ53" si="463">IF(AND(C52=4,B52=50,NOT(N52="Common Space")),E52,"")</f>
        <v/>
      </c>
      <c r="AR52" s="356" t="str">
        <f t="shared" ref="AR52:AR53" si="464">IF(AND(C52="Efficiency",B52=40,NOT(N52="Common Space")),E52,"")</f>
        <v/>
      </c>
      <c r="AS52" s="356" t="str">
        <f t="shared" ref="AS52:AS53" si="465">IF(AND(C52=1,B52=40,NOT(N52="Common Space")),E52,"")</f>
        <v/>
      </c>
      <c r="AT52" s="356" t="str">
        <f t="shared" ref="AT52:AT53" si="466">IF(AND(C52=2,B52=40,NOT(N52="Common Space")),E52,"")</f>
        <v/>
      </c>
      <c r="AU52" s="356" t="str">
        <f t="shared" ref="AU52:AU53" si="467">IF(AND(C52=3,B52=40,NOT(N52="Common Space")),E52,"")</f>
        <v/>
      </c>
      <c r="AV52" s="356" t="str">
        <f t="shared" ref="AV52:AV53" si="468">IF(AND(C52=4,B52=40,NOT(N52="Common Space")),E52,"")</f>
        <v/>
      </c>
      <c r="AW52" s="356" t="str">
        <f t="shared" ref="AW52:AW53" si="469">IF(AND(C52="Efficiency",B52=30,NOT(N52="Common Space")),E52,"")</f>
        <v/>
      </c>
      <c r="AX52" s="356" t="str">
        <f t="shared" ref="AX52:AX53" si="470">IF(AND(C52=1,B52=30,NOT(N52="Common Space")),E52,"")</f>
        <v/>
      </c>
      <c r="AY52" s="356" t="str">
        <f t="shared" ref="AY52:AY53" si="471">IF(AND(C52=2,B52=30,NOT(N52="Common Space")),E52,"")</f>
        <v/>
      </c>
      <c r="AZ52" s="356" t="str">
        <f t="shared" ref="AZ52:AZ53" si="472">IF(AND(C52=3,B52=30,NOT(N52="Common Space")),E52,"")</f>
        <v/>
      </c>
      <c r="BA52" s="356" t="str">
        <f t="shared" ref="BA52:BA53" si="473">IF(AND(C52=4,B52=30,NOT(N52="Common Space")),E52,"")</f>
        <v/>
      </c>
      <c r="BB52" s="356" t="str">
        <f t="shared" ref="BB52:BB53" si="474">IF(AND(C52="Efficiency",B52=20,NOT(N52="Common Space")),E52,"")</f>
        <v/>
      </c>
      <c r="BC52" s="356" t="str">
        <f t="shared" ref="BC52:BC53" si="475">IF(AND(C52=1,B52=20,NOT(N52="Common Space")),E52,"")</f>
        <v/>
      </c>
      <c r="BD52" s="356" t="str">
        <f t="shared" ref="BD52:BD53" si="476">IF(AND(C52=2,B52=20,NOT(N52="Common Space")),E52,"")</f>
        <v/>
      </c>
      <c r="BE52" s="356" t="str">
        <f t="shared" ref="BE52:BE53" si="477">IF(AND(C52=3,B52=20,NOT(N52="Common Space")),E52,"")</f>
        <v/>
      </c>
      <c r="BF52" s="356" t="str">
        <f t="shared" ref="BF52:BF53" si="478">IF(AND(C52=4,B52=20,NOT(N52="Common Space")),E52,"")</f>
        <v/>
      </c>
      <c r="BG52" s="356" t="str">
        <f t="shared" ref="BG52:BG53" si="479">IF(AND(C52="Efficiency",B52="Unrestricted",NOT(N52="Common Space")),E52,"")</f>
        <v/>
      </c>
      <c r="BH52" s="356" t="str">
        <f t="shared" ref="BH52:BH53" si="480">IF(AND(C52=1,B52="Unrestricted",NOT(N52="Common Space")),E52,"")</f>
        <v/>
      </c>
      <c r="BI52" s="356" t="str">
        <f t="shared" ref="BI52:BI53" si="481">IF(AND(C52=2,B52="Unrestricted",NOT(N52="Common Space")),E52,"")</f>
        <v/>
      </c>
      <c r="BJ52" s="356" t="str">
        <f t="shared" ref="BJ52:BJ53" si="482">IF(AND(C52=3,B52="Unrestricted",NOT(N52="Common Space")),E52,"")</f>
        <v/>
      </c>
      <c r="BK52" s="356" t="str">
        <f t="shared" ref="BK52:BK53" si="483">IF(AND(C52=4,B52="Unrestricted",NOT(N52="Common Space")),E52,"")</f>
        <v/>
      </c>
      <c r="BL52" s="356" t="str">
        <f t="shared" si="43"/>
        <v/>
      </c>
      <c r="BM52" s="356" t="str">
        <f t="shared" si="44"/>
        <v/>
      </c>
      <c r="BN52" s="356" t="str">
        <f t="shared" si="45"/>
        <v/>
      </c>
      <c r="BO52" s="356" t="str">
        <f t="shared" si="46"/>
        <v/>
      </c>
      <c r="BP52" s="356" t="str">
        <f t="shared" si="47"/>
        <v/>
      </c>
      <c r="BQ52" s="356" t="str">
        <f t="shared" si="48"/>
        <v/>
      </c>
      <c r="BR52" s="356" t="str">
        <f t="shared" si="49"/>
        <v/>
      </c>
      <c r="BS52" s="356" t="str">
        <f t="shared" si="50"/>
        <v/>
      </c>
      <c r="BT52" s="356" t="str">
        <f t="shared" si="51"/>
        <v/>
      </c>
      <c r="BU52" s="356" t="str">
        <f t="shared" si="52"/>
        <v/>
      </c>
      <c r="BV52" s="356" t="str">
        <f t="shared" si="53"/>
        <v/>
      </c>
      <c r="BW52" s="356" t="str">
        <f t="shared" si="54"/>
        <v/>
      </c>
      <c r="BX52" s="356" t="str">
        <f t="shared" si="55"/>
        <v/>
      </c>
      <c r="BY52" s="356" t="str">
        <f t="shared" si="56"/>
        <v/>
      </c>
      <c r="BZ52" s="356" t="str">
        <f t="shared" si="57"/>
        <v/>
      </c>
      <c r="CA52" s="356" t="str">
        <f t="shared" si="58"/>
        <v/>
      </c>
      <c r="CB52" s="356" t="str">
        <f t="shared" si="59"/>
        <v/>
      </c>
      <c r="CC52" s="356" t="str">
        <f t="shared" si="60"/>
        <v/>
      </c>
      <c r="CD52" s="356" t="str">
        <f t="shared" si="61"/>
        <v/>
      </c>
      <c r="CE52" s="356" t="str">
        <f t="shared" si="62"/>
        <v/>
      </c>
      <c r="CF52" s="356" t="str">
        <f t="shared" si="63"/>
        <v/>
      </c>
      <c r="CG52" s="356" t="str">
        <f t="shared" si="64"/>
        <v/>
      </c>
      <c r="CH52" s="356" t="str">
        <f t="shared" si="65"/>
        <v/>
      </c>
      <c r="CI52" s="356" t="str">
        <f t="shared" si="66"/>
        <v/>
      </c>
      <c r="CJ52" s="356" t="str">
        <f t="shared" si="67"/>
        <v/>
      </c>
      <c r="CK52" s="356" t="str">
        <f t="shared" si="68"/>
        <v/>
      </c>
      <c r="CL52" s="356" t="str">
        <f t="shared" si="69"/>
        <v/>
      </c>
      <c r="CM52" s="356" t="str">
        <f t="shared" si="70"/>
        <v/>
      </c>
      <c r="CN52" s="356" t="str">
        <f t="shared" si="71"/>
        <v/>
      </c>
      <c r="CO52" s="356" t="str">
        <f t="shared" si="72"/>
        <v/>
      </c>
      <c r="CP52" s="356" t="str">
        <f t="shared" si="73"/>
        <v/>
      </c>
      <c r="CQ52" s="356" t="str">
        <f t="shared" si="74"/>
        <v/>
      </c>
      <c r="CR52" s="356" t="str">
        <f t="shared" si="75"/>
        <v/>
      </c>
      <c r="CS52" s="356" t="str">
        <f t="shared" si="76"/>
        <v/>
      </c>
      <c r="CT52" s="356" t="str">
        <f t="shared" si="77"/>
        <v/>
      </c>
      <c r="CU52" s="356" t="str">
        <f t="shared" si="78"/>
        <v/>
      </c>
      <c r="CV52" s="356" t="str">
        <f t="shared" si="79"/>
        <v/>
      </c>
      <c r="CW52" s="356" t="str">
        <f t="shared" si="80"/>
        <v/>
      </c>
      <c r="CX52" s="356" t="str">
        <f t="shared" si="81"/>
        <v/>
      </c>
      <c r="CY52" s="356" t="str">
        <f t="shared" si="82"/>
        <v/>
      </c>
      <c r="CZ52" s="356" t="str">
        <f t="shared" si="83"/>
        <v/>
      </c>
      <c r="DA52" s="356" t="str">
        <f t="shared" si="84"/>
        <v/>
      </c>
      <c r="DB52" s="356" t="str">
        <f t="shared" si="85"/>
        <v/>
      </c>
      <c r="DC52" s="356" t="str">
        <f t="shared" si="86"/>
        <v/>
      </c>
      <c r="DD52" s="356" t="str">
        <f t="shared" si="87"/>
        <v/>
      </c>
      <c r="DE52" s="356" t="str">
        <f t="shared" si="88"/>
        <v/>
      </c>
      <c r="DF52" s="356" t="str">
        <f t="shared" si="89"/>
        <v/>
      </c>
      <c r="DG52" s="356" t="str">
        <f t="shared" si="90"/>
        <v/>
      </c>
      <c r="DH52" s="356" t="str">
        <f t="shared" si="91"/>
        <v/>
      </c>
      <c r="DI52" s="356" t="str">
        <f t="shared" si="92"/>
        <v/>
      </c>
      <c r="DJ52" s="356" t="str">
        <f t="shared" si="93"/>
        <v/>
      </c>
      <c r="DK52" s="356" t="str">
        <f t="shared" si="94"/>
        <v/>
      </c>
      <c r="DL52" s="356" t="str">
        <f t="shared" si="95"/>
        <v/>
      </c>
      <c r="DM52" s="356" t="str">
        <f t="shared" si="96"/>
        <v/>
      </c>
      <c r="DN52" s="356" t="str">
        <f t="shared" si="97"/>
        <v/>
      </c>
      <c r="DO52" s="356" t="str">
        <f t="shared" si="98"/>
        <v/>
      </c>
      <c r="DP52" s="356" t="str">
        <f t="shared" si="99"/>
        <v/>
      </c>
      <c r="DQ52" s="356" t="str">
        <f t="shared" si="100"/>
        <v/>
      </c>
      <c r="DR52" s="356" t="str">
        <f t="shared" si="101"/>
        <v/>
      </c>
      <c r="DS52" s="356" t="str">
        <f t="shared" si="102"/>
        <v/>
      </c>
      <c r="DT52" s="356" t="str">
        <f t="shared" si="103"/>
        <v/>
      </c>
      <c r="DU52" s="356" t="str">
        <f t="shared" si="104"/>
        <v/>
      </c>
      <c r="DV52" s="356" t="str">
        <f t="shared" si="105"/>
        <v/>
      </c>
      <c r="DW52" s="356" t="str">
        <f t="shared" si="106"/>
        <v/>
      </c>
      <c r="DX52" s="356" t="str">
        <f t="shared" si="107"/>
        <v/>
      </c>
      <c r="DY52" s="356" t="str">
        <f t="shared" si="108"/>
        <v/>
      </c>
      <c r="DZ52" s="356" t="str">
        <f t="shared" si="109"/>
        <v/>
      </c>
      <c r="EA52" s="356" t="str">
        <f t="shared" si="110"/>
        <v/>
      </c>
      <c r="EB52" s="356" t="str">
        <f t="shared" si="111"/>
        <v/>
      </c>
      <c r="EC52" s="356" t="str">
        <f t="shared" si="112"/>
        <v/>
      </c>
      <c r="ED52" s="356" t="str">
        <f t="shared" si="113"/>
        <v/>
      </c>
      <c r="EE52" s="356" t="str">
        <f t="shared" si="114"/>
        <v/>
      </c>
      <c r="EF52" s="356" t="str">
        <f t="shared" si="115"/>
        <v/>
      </c>
      <c r="EG52" s="356" t="str">
        <f t="shared" si="116"/>
        <v/>
      </c>
      <c r="EH52" s="356" t="str">
        <f t="shared" si="117"/>
        <v/>
      </c>
      <c r="EI52" s="356" t="str">
        <f t="shared" si="118"/>
        <v/>
      </c>
      <c r="EJ52" s="356" t="str">
        <f t="shared" si="119"/>
        <v/>
      </c>
      <c r="EK52" s="356" t="str">
        <f t="shared" si="120"/>
        <v/>
      </c>
      <c r="EL52" s="356" t="str">
        <f t="shared" si="121"/>
        <v/>
      </c>
      <c r="EM52" s="356" t="str">
        <f t="shared" si="122"/>
        <v/>
      </c>
      <c r="EN52" s="356" t="str">
        <f t="shared" si="123"/>
        <v/>
      </c>
      <c r="EO52" s="356" t="str">
        <f t="shared" si="124"/>
        <v/>
      </c>
      <c r="EP52" s="356" t="str">
        <f t="shared" si="125"/>
        <v/>
      </c>
      <c r="EQ52" s="356" t="str">
        <f t="shared" si="126"/>
        <v/>
      </c>
      <c r="ER52" s="356" t="str">
        <f t="shared" si="127"/>
        <v/>
      </c>
      <c r="ES52" s="356" t="str">
        <f t="shared" si="128"/>
        <v/>
      </c>
      <c r="ET52" s="356" t="str">
        <f t="shared" si="129"/>
        <v/>
      </c>
      <c r="EU52" s="356" t="str">
        <f t="shared" si="130"/>
        <v/>
      </c>
      <c r="EV52" s="356" t="str">
        <f t="shared" si="131"/>
        <v/>
      </c>
      <c r="EW52" s="356" t="str">
        <f t="shared" si="132"/>
        <v/>
      </c>
      <c r="EX52" s="356" t="str">
        <f t="shared" si="133"/>
        <v/>
      </c>
      <c r="EY52" s="356" t="str">
        <f t="shared" si="134"/>
        <v/>
      </c>
      <c r="EZ52" s="356" t="str">
        <f t="shared" si="135"/>
        <v/>
      </c>
      <c r="FA52" s="356" t="str">
        <f t="shared" si="136"/>
        <v/>
      </c>
      <c r="FB52" s="356" t="str">
        <f t="shared" si="137"/>
        <v/>
      </c>
      <c r="FC52" s="356" t="str">
        <f t="shared" si="138"/>
        <v/>
      </c>
      <c r="FD52" s="356" t="str">
        <f t="shared" si="139"/>
        <v/>
      </c>
      <c r="FE52" s="356" t="str">
        <f t="shared" si="140"/>
        <v/>
      </c>
      <c r="FF52" s="356" t="str">
        <f t="shared" si="141"/>
        <v/>
      </c>
      <c r="FG52" s="356" t="str">
        <f t="shared" si="142"/>
        <v/>
      </c>
      <c r="FH52" s="356" t="str">
        <f t="shared" si="143"/>
        <v/>
      </c>
      <c r="FI52" s="356" t="str">
        <f t="shared" si="144"/>
        <v/>
      </c>
      <c r="FJ52" s="356" t="str">
        <f t="shared" si="145"/>
        <v/>
      </c>
      <c r="FK52" s="356" t="str">
        <f t="shared" si="146"/>
        <v/>
      </c>
      <c r="FL52" s="356" t="str">
        <f t="shared" si="147"/>
        <v/>
      </c>
      <c r="FM52" s="356" t="str">
        <f t="shared" ref="FM52:FM53" si="484">IF(AND(C52="Efficiency",N52="Common Space"),E52,"")</f>
        <v/>
      </c>
      <c r="FN52" s="356" t="str">
        <f t="shared" ref="FN52:FN53" si="485">IF(AND(C52=1,N52="Common Space"),E52,"")</f>
        <v/>
      </c>
      <c r="FO52" s="356" t="str">
        <f t="shared" ref="FO52:FO53" si="486">IF(AND(C52=2,N52="Common Space"),E52,"")</f>
        <v/>
      </c>
      <c r="FP52" s="356" t="str">
        <f t="shared" ref="FP52:FP53" si="487">IF(AND(C52=3,N52="Common Space"),E52,"")</f>
        <v/>
      </c>
      <c r="FQ52" s="356" t="str">
        <f t="shared" ref="FQ52:FQ53" si="488">IF(AND(C52=4,N52="Common Space"),E52,"")</f>
        <v/>
      </c>
      <c r="FR52" s="356" t="str">
        <f t="shared" si="153"/>
        <v/>
      </c>
      <c r="FS52" s="356" t="str">
        <f t="shared" si="154"/>
        <v/>
      </c>
      <c r="FT52" s="356" t="str">
        <f t="shared" si="155"/>
        <v/>
      </c>
      <c r="FU52" s="356" t="str">
        <f t="shared" si="156"/>
        <v/>
      </c>
      <c r="FV52" s="356" t="str">
        <f t="shared" si="157"/>
        <v/>
      </c>
      <c r="FW52" s="356" t="str">
        <f t="shared" si="158"/>
        <v/>
      </c>
      <c r="FX52" s="356" t="str">
        <f t="shared" si="159"/>
        <v/>
      </c>
      <c r="FY52" s="356" t="str">
        <f t="shared" si="160"/>
        <v/>
      </c>
      <c r="FZ52" s="356" t="str">
        <f t="shared" si="161"/>
        <v/>
      </c>
      <c r="GA52" s="356" t="str">
        <f t="shared" si="162"/>
        <v/>
      </c>
      <c r="GB52" s="356" t="str">
        <f t="shared" si="163"/>
        <v/>
      </c>
      <c r="GC52" s="356" t="str">
        <f t="shared" si="164"/>
        <v/>
      </c>
      <c r="GD52" s="356" t="str">
        <f t="shared" si="165"/>
        <v/>
      </c>
      <c r="GE52" s="356" t="str">
        <f t="shared" si="166"/>
        <v/>
      </c>
      <c r="GF52" s="356" t="str">
        <f t="shared" si="167"/>
        <v/>
      </c>
      <c r="GG52" s="356" t="str">
        <f t="shared" si="168"/>
        <v/>
      </c>
      <c r="GH52" s="356" t="str">
        <f t="shared" si="169"/>
        <v/>
      </c>
      <c r="GI52" s="356" t="str">
        <f t="shared" si="170"/>
        <v/>
      </c>
      <c r="GJ52" s="356" t="str">
        <f t="shared" si="171"/>
        <v/>
      </c>
      <c r="GK52" s="356" t="str">
        <f t="shared" si="172"/>
        <v/>
      </c>
      <c r="GL52" s="356" t="str">
        <f t="shared" si="173"/>
        <v/>
      </c>
      <c r="GM52" s="356" t="str">
        <f t="shared" si="174"/>
        <v/>
      </c>
      <c r="GN52" s="356" t="str">
        <f t="shared" si="175"/>
        <v/>
      </c>
      <c r="GO52" s="356" t="str">
        <f t="shared" si="176"/>
        <v/>
      </c>
      <c r="GP52" s="356" t="str">
        <f t="shared" si="177"/>
        <v/>
      </c>
      <c r="GQ52" s="356" t="str">
        <f t="shared" si="178"/>
        <v/>
      </c>
      <c r="GR52" s="356" t="str">
        <f t="shared" si="179"/>
        <v/>
      </c>
      <c r="GS52" s="356" t="str">
        <f t="shared" si="180"/>
        <v/>
      </c>
      <c r="GT52" s="356" t="str">
        <f t="shared" si="181"/>
        <v/>
      </c>
      <c r="GU52" s="356" t="str">
        <f t="shared" si="182"/>
        <v/>
      </c>
      <c r="GV52" s="356" t="str">
        <f t="shared" si="183"/>
        <v/>
      </c>
      <c r="GW52" s="356" t="str">
        <f t="shared" si="184"/>
        <v/>
      </c>
      <c r="GX52" s="356" t="str">
        <f t="shared" si="185"/>
        <v/>
      </c>
      <c r="GY52" s="356" t="str">
        <f t="shared" si="186"/>
        <v/>
      </c>
      <c r="GZ52" s="356" t="str">
        <f t="shared" si="187"/>
        <v/>
      </c>
      <c r="HA52" s="356" t="str">
        <f t="shared" ref="HA52:HA53" si="489">IF(AND(C52="Efficiency",B52="Unrestricted",NOT(N52="Common Space")),E52*F52,"")</f>
        <v/>
      </c>
      <c r="HB52" s="356" t="str">
        <f t="shared" ref="HB52:HB53" si="490">IF(AND(C52=1,B52="Unrestricted",NOT(N52="Common Space")),E52*F52,"")</f>
        <v/>
      </c>
      <c r="HC52" s="356" t="str">
        <f t="shared" ref="HC52:HC53" si="491">IF(AND(C52=2,B52="Unrestricted",NOT(N52="Common Space")),E52*F52,"")</f>
        <v/>
      </c>
      <c r="HD52" s="356" t="str">
        <f t="shared" ref="HD52:HD53" si="492">IF(AND(C52=3,B52="Unrestricted",NOT(N52="Common Space")),E52*F52,"")</f>
        <v/>
      </c>
      <c r="HE52" s="356" t="str">
        <f t="shared" ref="HE52:HE53" si="493">IF(AND(C52=4,B52="Unrestricted",NOT(N52="Common Space")),E52*F52,"")</f>
        <v/>
      </c>
      <c r="HF52" s="356" t="str">
        <f t="shared" ref="HF52:HF53" si="494">IF(AND(C52="Efficiency",NOT(K52=""),NOT($K52=0),NOT(N52="Common Space")),E52*F52,"")</f>
        <v/>
      </c>
      <c r="HG52" s="356" t="str">
        <f t="shared" ref="HG52:HG53" si="495">IF(AND(C52=1,NOT(K52=""),NOT($K52=0),NOT(N52="Common Space")),E52*F52,"")</f>
        <v/>
      </c>
      <c r="HH52" s="356" t="str">
        <f t="shared" ref="HH52:HH53" si="496">IF(AND(C52=2,NOT(K52=""),NOT($K52=0),NOT(N52="Common Space")),E52*F52,"")</f>
        <v/>
      </c>
      <c r="HI52" s="356" t="str">
        <f t="shared" ref="HI52:HI53" si="497">IF(AND(C52=3,NOT(K52=""),NOT($K52=0),NOT(N52="Common Space")),E52*F52,"")</f>
        <v/>
      </c>
      <c r="HJ52" s="356" t="str">
        <f t="shared" ref="HJ52:HJ53" si="498">IF(AND(C52=4,NOT(K52=""),NOT($K52=0),NOT(N52="Common Space")),E52*F52,"")</f>
        <v/>
      </c>
      <c r="HK52" s="356" t="str">
        <f t="shared" ref="HK52:HK53" si="499">IF(AND(C52="Efficiency",N52="Common Space"),E52*F52,"")</f>
        <v/>
      </c>
      <c r="HL52" s="356" t="str">
        <f t="shared" ref="HL52:HL53" si="500">IF(AND(C52=1,N52="Common Space"),E52*F52,"")</f>
        <v/>
      </c>
      <c r="HM52" s="356" t="str">
        <f t="shared" ref="HM52:HM53" si="501">IF(AND(C52=2,N52="Common Space"),E52*F52,"")</f>
        <v/>
      </c>
      <c r="HN52" s="356" t="str">
        <f t="shared" ref="HN52:HN53" si="502">IF(AND(C52=3,N52="Common Space"),E52*F52,"")</f>
        <v/>
      </c>
      <c r="HO52" s="356" t="str">
        <f t="shared" ref="HO52:HO53" si="503">IF(AND(C52=4,N52="Common Space"),E52*F52,"")</f>
        <v/>
      </c>
      <c r="HP52" s="356" t="str">
        <f t="shared" si="203"/>
        <v/>
      </c>
      <c r="HQ52" s="356" t="str">
        <f t="shared" si="204"/>
        <v/>
      </c>
      <c r="HR52" s="356" t="str">
        <f t="shared" si="205"/>
        <v/>
      </c>
      <c r="HS52" s="356" t="str">
        <f t="shared" si="206"/>
        <v/>
      </c>
      <c r="HT52" s="356" t="str">
        <f t="shared" si="207"/>
        <v/>
      </c>
      <c r="HU52" s="356" t="str">
        <f t="shared" si="208"/>
        <v/>
      </c>
      <c r="HV52" s="356" t="str">
        <f t="shared" si="209"/>
        <v/>
      </c>
      <c r="HW52" s="356" t="str">
        <f t="shared" si="210"/>
        <v/>
      </c>
      <c r="HX52" s="356" t="str">
        <f t="shared" si="211"/>
        <v/>
      </c>
      <c r="HY52" s="356" t="str">
        <f t="shared" si="212"/>
        <v/>
      </c>
      <c r="HZ52" s="356" t="str">
        <f t="shared" si="213"/>
        <v/>
      </c>
      <c r="IA52" s="356" t="str">
        <f t="shared" si="214"/>
        <v/>
      </c>
      <c r="IB52" s="356" t="str">
        <f t="shared" si="215"/>
        <v/>
      </c>
      <c r="IC52" s="356" t="str">
        <f t="shared" si="216"/>
        <v/>
      </c>
      <c r="ID52" s="356" t="str">
        <f t="shared" si="217"/>
        <v/>
      </c>
      <c r="IE52" s="356" t="str">
        <f t="shared" si="218"/>
        <v/>
      </c>
      <c r="IF52" s="356" t="str">
        <f t="shared" si="219"/>
        <v/>
      </c>
      <c r="IG52" s="356" t="str">
        <f t="shared" si="220"/>
        <v/>
      </c>
      <c r="IH52" s="356" t="str">
        <f t="shared" si="221"/>
        <v/>
      </c>
      <c r="II52" s="356" t="str">
        <f t="shared" si="222"/>
        <v/>
      </c>
      <c r="IJ52" s="356" t="str">
        <f t="shared" si="223"/>
        <v/>
      </c>
      <c r="IK52" s="356" t="str">
        <f t="shared" si="224"/>
        <v/>
      </c>
      <c r="IL52" s="356" t="str">
        <f t="shared" si="225"/>
        <v/>
      </c>
      <c r="IM52" s="356" t="str">
        <f t="shared" si="226"/>
        <v/>
      </c>
      <c r="IN52" s="356" t="str">
        <f t="shared" si="227"/>
        <v/>
      </c>
      <c r="IO52" s="356" t="str">
        <f t="shared" si="228"/>
        <v/>
      </c>
      <c r="IP52" s="356" t="str">
        <f t="shared" si="229"/>
        <v/>
      </c>
      <c r="IQ52" s="356" t="str">
        <f t="shared" si="230"/>
        <v/>
      </c>
      <c r="IR52" s="356" t="str">
        <f t="shared" si="231"/>
        <v/>
      </c>
      <c r="IS52" s="356" t="str">
        <f t="shared" si="232"/>
        <v/>
      </c>
      <c r="IT52" s="356" t="str">
        <f t="shared" si="233"/>
        <v/>
      </c>
      <c r="IU52" s="356" t="str">
        <f t="shared" si="234"/>
        <v/>
      </c>
      <c r="IV52" s="356" t="str">
        <f t="shared" si="235"/>
        <v/>
      </c>
      <c r="IW52" s="356" t="str">
        <f t="shared" si="236"/>
        <v/>
      </c>
      <c r="IX52" s="356" t="str">
        <f t="shared" si="237"/>
        <v/>
      </c>
      <c r="IY52" s="356" t="str">
        <f t="shared" si="238"/>
        <v/>
      </c>
      <c r="IZ52" s="356" t="str">
        <f t="shared" si="239"/>
        <v/>
      </c>
      <c r="JA52" s="356" t="str">
        <f t="shared" si="240"/>
        <v/>
      </c>
      <c r="JB52" s="356" t="str">
        <f t="shared" si="241"/>
        <v/>
      </c>
      <c r="JC52" s="356" t="str">
        <f t="shared" si="242"/>
        <v/>
      </c>
      <c r="JD52" s="356" t="str">
        <f t="shared" si="243"/>
        <v/>
      </c>
      <c r="JE52" s="356" t="str">
        <f t="shared" si="244"/>
        <v/>
      </c>
      <c r="JF52" s="356" t="str">
        <f t="shared" si="245"/>
        <v/>
      </c>
      <c r="JG52" s="356" t="str">
        <f t="shared" si="246"/>
        <v/>
      </c>
      <c r="JH52" s="356" t="str">
        <f t="shared" si="247"/>
        <v/>
      </c>
      <c r="JI52" s="1785" t="str">
        <f t="shared" si="248"/>
        <v/>
      </c>
      <c r="JJ52" s="1785" t="str">
        <f t="shared" si="249"/>
        <v/>
      </c>
      <c r="JK52" s="1785" t="str">
        <f t="shared" si="250"/>
        <v/>
      </c>
      <c r="JL52" s="1785" t="str">
        <f t="shared" si="251"/>
        <v/>
      </c>
      <c r="JM52" s="1785" t="str">
        <f t="shared" si="252"/>
        <v/>
      </c>
      <c r="JN52" s="1785" t="str">
        <f t="shared" si="253"/>
        <v/>
      </c>
      <c r="JO52" s="1785" t="str">
        <f t="shared" si="254"/>
        <v/>
      </c>
      <c r="JP52" s="1785" t="str">
        <f t="shared" si="255"/>
        <v/>
      </c>
      <c r="JQ52" s="1785" t="str">
        <f t="shared" si="256"/>
        <v/>
      </c>
      <c r="JR52" s="1785" t="str">
        <f t="shared" si="257"/>
        <v/>
      </c>
      <c r="JS52" s="1785" t="str">
        <f t="shared" si="258"/>
        <v/>
      </c>
      <c r="JT52" s="1785" t="str">
        <f t="shared" si="259"/>
        <v/>
      </c>
      <c r="JU52" s="1785" t="str">
        <f t="shared" si="260"/>
        <v/>
      </c>
      <c r="JV52" s="1785" t="str">
        <f t="shared" si="261"/>
        <v/>
      </c>
      <c r="JW52" s="1785" t="str">
        <f t="shared" si="262"/>
        <v/>
      </c>
      <c r="JX52" s="1785" t="str">
        <f t="shared" si="263"/>
        <v/>
      </c>
      <c r="JY52" s="1785" t="str">
        <f t="shared" si="264"/>
        <v/>
      </c>
      <c r="JZ52" s="1785" t="str">
        <f t="shared" si="265"/>
        <v/>
      </c>
      <c r="KA52" s="1785" t="str">
        <f t="shared" si="266"/>
        <v/>
      </c>
      <c r="KB52" s="1785" t="str">
        <f t="shared" si="267"/>
        <v/>
      </c>
      <c r="KC52" s="1785" t="str">
        <f t="shared" si="268"/>
        <v/>
      </c>
      <c r="KD52" s="1785" t="str">
        <f t="shared" si="269"/>
        <v/>
      </c>
      <c r="KE52" s="1785" t="str">
        <f t="shared" si="270"/>
        <v/>
      </c>
      <c r="KF52" s="1785" t="str">
        <f t="shared" si="271"/>
        <v/>
      </c>
      <c r="KG52" s="1785" t="str">
        <f t="shared" si="272"/>
        <v/>
      </c>
      <c r="KH52" s="1785" t="str">
        <f t="shared" si="273"/>
        <v/>
      </c>
      <c r="KI52" s="1785" t="str">
        <f t="shared" si="274"/>
        <v/>
      </c>
      <c r="KJ52" s="1785" t="str">
        <f t="shared" si="275"/>
        <v/>
      </c>
      <c r="KK52" s="1785" t="str">
        <f t="shared" si="276"/>
        <v/>
      </c>
      <c r="KL52" s="1785" t="str">
        <f t="shared" si="277"/>
        <v/>
      </c>
      <c r="KM52" s="1785" t="str">
        <f t="shared" si="278"/>
        <v/>
      </c>
      <c r="KN52" s="1785" t="str">
        <f t="shared" si="279"/>
        <v/>
      </c>
      <c r="KO52" s="1785" t="str">
        <f t="shared" si="280"/>
        <v/>
      </c>
      <c r="KP52" s="1785" t="str">
        <f t="shared" si="281"/>
        <v/>
      </c>
      <c r="KQ52" s="1785" t="str">
        <f t="shared" si="282"/>
        <v/>
      </c>
      <c r="KR52" s="1785" t="str">
        <f t="shared" si="283"/>
        <v/>
      </c>
      <c r="KS52" s="1785" t="str">
        <f t="shared" si="284"/>
        <v/>
      </c>
      <c r="KT52" s="1785" t="str">
        <f t="shared" si="285"/>
        <v/>
      </c>
      <c r="KU52" s="1785" t="str">
        <f t="shared" si="286"/>
        <v/>
      </c>
      <c r="KV52" s="1785" t="str">
        <f t="shared" si="287"/>
        <v/>
      </c>
      <c r="KW52" s="1785" t="str">
        <f t="shared" si="288"/>
        <v/>
      </c>
      <c r="KX52" s="1785" t="str">
        <f t="shared" si="289"/>
        <v/>
      </c>
      <c r="KY52" s="1785" t="str">
        <f t="shared" si="290"/>
        <v/>
      </c>
      <c r="KZ52" s="1785" t="str">
        <f t="shared" si="291"/>
        <v/>
      </c>
      <c r="LA52" s="1785" t="str">
        <f t="shared" si="292"/>
        <v/>
      </c>
      <c r="LB52" s="1785" t="str">
        <f t="shared" si="293"/>
        <v/>
      </c>
      <c r="LC52" s="1785" t="str">
        <f t="shared" si="294"/>
        <v/>
      </c>
      <c r="LD52" s="1785" t="str">
        <f t="shared" si="295"/>
        <v/>
      </c>
      <c r="LE52" s="1785" t="str">
        <f t="shared" si="296"/>
        <v/>
      </c>
      <c r="LF52" s="1785" t="str">
        <f t="shared" si="297"/>
        <v/>
      </c>
      <c r="LG52" s="1785" t="str">
        <f t="shared" si="298"/>
        <v/>
      </c>
      <c r="LH52" s="1785" t="str">
        <f t="shared" si="299"/>
        <v/>
      </c>
      <c r="LI52" s="1785" t="str">
        <f t="shared" si="300"/>
        <v/>
      </c>
      <c r="LJ52" s="1785" t="str">
        <f t="shared" si="301"/>
        <v/>
      </c>
      <c r="LK52" s="1785" t="str">
        <f t="shared" si="302"/>
        <v/>
      </c>
      <c r="LL52" s="1785" t="str">
        <f t="shared" si="303"/>
        <v/>
      </c>
      <c r="LM52" s="1785" t="str">
        <f t="shared" si="304"/>
        <v/>
      </c>
      <c r="LN52" s="1785" t="str">
        <f t="shared" si="305"/>
        <v/>
      </c>
      <c r="LO52" s="1785" t="str">
        <f t="shared" si="306"/>
        <v/>
      </c>
      <c r="LP52" s="1785" t="str">
        <f t="shared" si="307"/>
        <v/>
      </c>
      <c r="LQ52" s="1785" t="str">
        <f t="shared" si="308"/>
        <v/>
      </c>
      <c r="LR52" s="1785" t="str">
        <f t="shared" si="309"/>
        <v/>
      </c>
      <c r="LS52" s="1785" t="str">
        <f t="shared" si="310"/>
        <v/>
      </c>
      <c r="LT52" s="1785" t="str">
        <f t="shared" si="311"/>
        <v/>
      </c>
      <c r="LU52" s="1785" t="str">
        <f t="shared" si="312"/>
        <v/>
      </c>
      <c r="LV52" s="1785" t="str">
        <f t="shared" si="313"/>
        <v/>
      </c>
      <c r="LW52" s="1785" t="str">
        <f t="shared" si="314"/>
        <v/>
      </c>
      <c r="LX52" s="1785" t="str">
        <f t="shared" si="315"/>
        <v/>
      </c>
      <c r="LY52" s="1785" t="str">
        <f t="shared" si="316"/>
        <v/>
      </c>
      <c r="LZ52" s="1785" t="str">
        <f t="shared" si="317"/>
        <v/>
      </c>
      <c r="MA52" s="1785" t="str">
        <f t="shared" si="318"/>
        <v/>
      </c>
      <c r="MB52" s="1785" t="str">
        <f t="shared" si="319"/>
        <v/>
      </c>
      <c r="MC52" s="1785" t="str">
        <f t="shared" si="320"/>
        <v/>
      </c>
      <c r="MD52" s="1785" t="str">
        <f t="shared" si="321"/>
        <v/>
      </c>
      <c r="ME52" s="1785" t="str">
        <f t="shared" si="322"/>
        <v/>
      </c>
      <c r="MF52" s="1785" t="str">
        <f t="shared" si="323"/>
        <v/>
      </c>
      <c r="MG52" s="1785" t="str">
        <f t="shared" si="324"/>
        <v/>
      </c>
      <c r="MH52" s="1785" t="str">
        <f t="shared" si="325"/>
        <v/>
      </c>
      <c r="MI52" s="1785" t="str">
        <f t="shared" si="326"/>
        <v/>
      </c>
      <c r="MJ52" s="1785" t="str">
        <f t="shared" si="327"/>
        <v/>
      </c>
      <c r="MK52" s="1785" t="str">
        <f t="shared" si="328"/>
        <v/>
      </c>
      <c r="ML52" s="1785" t="str">
        <f t="shared" si="329"/>
        <v/>
      </c>
      <c r="MM52" s="1785" t="str">
        <f t="shared" si="330"/>
        <v/>
      </c>
      <c r="MN52" s="1785" t="str">
        <f t="shared" si="331"/>
        <v/>
      </c>
      <c r="MO52" s="1785" t="str">
        <f t="shared" si="332"/>
        <v/>
      </c>
      <c r="MP52" s="2470" t="str">
        <f t="shared" si="333"/>
        <v/>
      </c>
      <c r="MQ52" s="2470" t="str">
        <f t="shared" si="334"/>
        <v/>
      </c>
      <c r="MR52" s="2470" t="str">
        <f t="shared" si="335"/>
        <v/>
      </c>
      <c r="MS52" s="2470" t="str">
        <f t="shared" si="336"/>
        <v/>
      </c>
      <c r="MT52" s="2470" t="str">
        <f t="shared" si="337"/>
        <v/>
      </c>
      <c r="MU52" s="356" t="str">
        <f t="shared" ref="MU52:MU53" si="504">IF(AND(C52="Efficiency",B52="NSP 120% AMI",NOT(N52="Common Space")),E52*F52,"")</f>
        <v/>
      </c>
      <c r="MV52" s="356" t="str">
        <f t="shared" ref="MV52:MV53" si="505">IF(AND(C52=1,B52="NSP 120% AMI",NOT(N52="Common Space")),E52*F52,"")</f>
        <v/>
      </c>
      <c r="MW52" s="356" t="str">
        <f t="shared" ref="MW52:MW53" si="506">IF(AND(C52=2,B52="NSP 120% AMI",NOT(N52="Common Space")),E52*F52,"")</f>
        <v/>
      </c>
      <c r="MX52" s="356" t="str">
        <f t="shared" ref="MX52:MX53" si="507">IF(AND(C52=3,B52="NSP 120% AMI",NOT(N52="Common Space")),E52*F52,"")</f>
        <v/>
      </c>
      <c r="MY52" s="356" t="str">
        <f t="shared" ref="MY52:MY53" si="508">IF(AND(C52=4,B52="NSP 120% AMI",NOT(N52="Common Space")),E52*F52,"")</f>
        <v/>
      </c>
      <c r="MZ52" s="356" t="str">
        <f t="shared" si="343"/>
        <v/>
      </c>
      <c r="NA52" s="356" t="str">
        <f t="shared" si="344"/>
        <v/>
      </c>
      <c r="NB52" s="356" t="str">
        <f t="shared" si="345"/>
        <v/>
      </c>
      <c r="NC52" s="356" t="str">
        <f t="shared" si="346"/>
        <v/>
      </c>
      <c r="ND52" s="356" t="str">
        <f t="shared" si="347"/>
        <v/>
      </c>
      <c r="NE52" s="356" t="str">
        <f t="shared" si="348"/>
        <v/>
      </c>
      <c r="NF52" s="356" t="str">
        <f t="shared" si="349"/>
        <v/>
      </c>
      <c r="NG52" s="356" t="str">
        <f t="shared" si="350"/>
        <v/>
      </c>
      <c r="NH52" s="356" t="str">
        <f t="shared" si="351"/>
        <v/>
      </c>
      <c r="NI52" s="356" t="str">
        <f t="shared" si="352"/>
        <v/>
      </c>
      <c r="NJ52" s="356" t="str">
        <f t="shared" si="353"/>
        <v/>
      </c>
      <c r="NK52" s="356" t="str">
        <f t="shared" si="354"/>
        <v/>
      </c>
      <c r="NL52" s="356" t="str">
        <f t="shared" si="355"/>
        <v/>
      </c>
      <c r="NM52" s="356" t="str">
        <f t="shared" si="356"/>
        <v/>
      </c>
      <c r="NN52" s="356" t="str">
        <f t="shared" si="357"/>
        <v/>
      </c>
      <c r="NO52" s="1640">
        <f t="shared" si="358"/>
        <v>0</v>
      </c>
      <c r="NP52" s="1640">
        <f t="shared" si="359"/>
        <v>0</v>
      </c>
      <c r="NQ52" s="1640">
        <f t="shared" si="360"/>
        <v>0</v>
      </c>
      <c r="NR52" s="1640">
        <f t="shared" si="361"/>
        <v>0</v>
      </c>
      <c r="NS52" s="1640">
        <f t="shared" si="362"/>
        <v>0</v>
      </c>
      <c r="NT52" s="1640">
        <f t="shared" si="368"/>
        <v>0</v>
      </c>
      <c r="NU52" s="1640">
        <f t="shared" si="369"/>
        <v>0</v>
      </c>
      <c r="NV52" s="1640">
        <f t="shared" si="370"/>
        <v>0</v>
      </c>
      <c r="NW52" s="1640">
        <f t="shared" si="371"/>
        <v>0</v>
      </c>
      <c r="NX52" s="1640">
        <f t="shared" si="372"/>
        <v>0</v>
      </c>
      <c r="NY52" s="1640">
        <f t="shared" si="363"/>
        <v>0</v>
      </c>
      <c r="NZ52" s="1640">
        <f t="shared" si="364"/>
        <v>0</v>
      </c>
      <c r="OA52" s="1640">
        <f t="shared" si="365"/>
        <v>0</v>
      </c>
      <c r="OB52" s="1640">
        <f t="shared" si="366"/>
        <v>0</v>
      </c>
      <c r="OC52" s="1640">
        <f t="shared" si="367"/>
        <v>0</v>
      </c>
      <c r="OY52" s="2499" t="s">
        <v>4333</v>
      </c>
      <c r="OZ52" s="2503">
        <v>52</v>
      </c>
    </row>
    <row r="53" spans="1:416" ht="12" customHeight="1">
      <c r="A53" s="86" t="str">
        <f t="shared" si="441"/>
        <v/>
      </c>
      <c r="B53" s="1055"/>
      <c r="C53" s="132"/>
      <c r="D53" s="1643"/>
      <c r="E53" s="133"/>
      <c r="F53" s="133"/>
      <c r="G53" s="133"/>
      <c r="H53" s="133"/>
      <c r="I53" s="133"/>
      <c r="J53" s="1036">
        <f>IF(C53="",0,HLOOKUP(C53,'Part IV-Utility Allowances'!$I$11:$M$25,15))</f>
        <v>0</v>
      </c>
      <c r="K53" s="630"/>
      <c r="L53" s="460">
        <f t="shared" si="442"/>
        <v>0</v>
      </c>
      <c r="M53" s="460">
        <f t="shared" si="443"/>
        <v>0</v>
      </c>
      <c r="N53" s="680"/>
      <c r="O53" s="1585"/>
      <c r="P53" s="680"/>
      <c r="Q53" s="134"/>
      <c r="R53" s="723"/>
      <c r="S53" s="724"/>
      <c r="T53" s="3613"/>
      <c r="U53" s="3614"/>
      <c r="V53" s="3614"/>
      <c r="W53" s="3615"/>
      <c r="X53" s="356" t="str">
        <f t="shared" si="444"/>
        <v/>
      </c>
      <c r="Y53" s="356" t="str">
        <f t="shared" si="445"/>
        <v/>
      </c>
      <c r="Z53" s="356" t="str">
        <f t="shared" si="446"/>
        <v/>
      </c>
      <c r="AA53" s="356" t="str">
        <f t="shared" si="447"/>
        <v/>
      </c>
      <c r="AB53" s="356" t="str">
        <f t="shared" si="448"/>
        <v/>
      </c>
      <c r="AC53" s="356" t="str">
        <f t="shared" si="449"/>
        <v/>
      </c>
      <c r="AD53" s="356" t="str">
        <f t="shared" si="450"/>
        <v/>
      </c>
      <c r="AE53" s="356" t="str">
        <f t="shared" si="451"/>
        <v/>
      </c>
      <c r="AF53" s="356" t="str">
        <f t="shared" si="452"/>
        <v/>
      </c>
      <c r="AG53" s="356" t="str">
        <f t="shared" si="453"/>
        <v/>
      </c>
      <c r="AH53" s="356" t="str">
        <f t="shared" si="454"/>
        <v/>
      </c>
      <c r="AI53" s="356" t="str">
        <f t="shared" si="455"/>
        <v/>
      </c>
      <c r="AJ53" s="356" t="str">
        <f t="shared" si="456"/>
        <v/>
      </c>
      <c r="AK53" s="356" t="str">
        <f t="shared" si="457"/>
        <v/>
      </c>
      <c r="AL53" s="356" t="str">
        <f t="shared" si="458"/>
        <v/>
      </c>
      <c r="AM53" s="356" t="str">
        <f t="shared" si="459"/>
        <v/>
      </c>
      <c r="AN53" s="356" t="str">
        <f t="shared" si="460"/>
        <v/>
      </c>
      <c r="AO53" s="356" t="str">
        <f t="shared" si="461"/>
        <v/>
      </c>
      <c r="AP53" s="356" t="str">
        <f t="shared" si="462"/>
        <v/>
      </c>
      <c r="AQ53" s="356" t="str">
        <f t="shared" si="463"/>
        <v/>
      </c>
      <c r="AR53" s="356" t="str">
        <f t="shared" si="464"/>
        <v/>
      </c>
      <c r="AS53" s="356" t="str">
        <f t="shared" si="465"/>
        <v/>
      </c>
      <c r="AT53" s="356" t="str">
        <f t="shared" si="466"/>
        <v/>
      </c>
      <c r="AU53" s="356" t="str">
        <f t="shared" si="467"/>
        <v/>
      </c>
      <c r="AV53" s="356" t="str">
        <f t="shared" si="468"/>
        <v/>
      </c>
      <c r="AW53" s="356" t="str">
        <f t="shared" si="469"/>
        <v/>
      </c>
      <c r="AX53" s="356" t="str">
        <f t="shared" si="470"/>
        <v/>
      </c>
      <c r="AY53" s="356" t="str">
        <f t="shared" si="471"/>
        <v/>
      </c>
      <c r="AZ53" s="356" t="str">
        <f t="shared" si="472"/>
        <v/>
      </c>
      <c r="BA53" s="356" t="str">
        <f t="shared" si="473"/>
        <v/>
      </c>
      <c r="BB53" s="356" t="str">
        <f t="shared" si="474"/>
        <v/>
      </c>
      <c r="BC53" s="356" t="str">
        <f t="shared" si="475"/>
        <v/>
      </c>
      <c r="BD53" s="356" t="str">
        <f t="shared" si="476"/>
        <v/>
      </c>
      <c r="BE53" s="356" t="str">
        <f t="shared" si="477"/>
        <v/>
      </c>
      <c r="BF53" s="356" t="str">
        <f t="shared" si="478"/>
        <v/>
      </c>
      <c r="BG53" s="356" t="str">
        <f t="shared" si="479"/>
        <v/>
      </c>
      <c r="BH53" s="356" t="str">
        <f t="shared" si="480"/>
        <v/>
      </c>
      <c r="BI53" s="356" t="str">
        <f t="shared" si="481"/>
        <v/>
      </c>
      <c r="BJ53" s="356" t="str">
        <f t="shared" si="482"/>
        <v/>
      </c>
      <c r="BK53" s="356" t="str">
        <f t="shared" si="483"/>
        <v/>
      </c>
      <c r="BL53" s="356" t="str">
        <f t="shared" si="43"/>
        <v/>
      </c>
      <c r="BM53" s="356" t="str">
        <f t="shared" si="44"/>
        <v/>
      </c>
      <c r="BN53" s="356" t="str">
        <f t="shared" si="45"/>
        <v/>
      </c>
      <c r="BO53" s="356" t="str">
        <f t="shared" si="46"/>
        <v/>
      </c>
      <c r="BP53" s="356" t="str">
        <f t="shared" si="47"/>
        <v/>
      </c>
      <c r="BQ53" s="356" t="str">
        <f t="shared" si="48"/>
        <v/>
      </c>
      <c r="BR53" s="356" t="str">
        <f t="shared" si="49"/>
        <v/>
      </c>
      <c r="BS53" s="356" t="str">
        <f t="shared" si="50"/>
        <v/>
      </c>
      <c r="BT53" s="356" t="str">
        <f t="shared" si="51"/>
        <v/>
      </c>
      <c r="BU53" s="356" t="str">
        <f t="shared" si="52"/>
        <v/>
      </c>
      <c r="BV53" s="356" t="str">
        <f t="shared" si="53"/>
        <v/>
      </c>
      <c r="BW53" s="356" t="str">
        <f t="shared" si="54"/>
        <v/>
      </c>
      <c r="BX53" s="356" t="str">
        <f t="shared" si="55"/>
        <v/>
      </c>
      <c r="BY53" s="356" t="str">
        <f t="shared" si="56"/>
        <v/>
      </c>
      <c r="BZ53" s="356" t="str">
        <f t="shared" si="57"/>
        <v/>
      </c>
      <c r="CA53" s="356" t="str">
        <f t="shared" si="58"/>
        <v/>
      </c>
      <c r="CB53" s="356" t="str">
        <f t="shared" si="59"/>
        <v/>
      </c>
      <c r="CC53" s="356" t="str">
        <f t="shared" si="60"/>
        <v/>
      </c>
      <c r="CD53" s="356" t="str">
        <f t="shared" si="61"/>
        <v/>
      </c>
      <c r="CE53" s="356" t="str">
        <f t="shared" si="62"/>
        <v/>
      </c>
      <c r="CF53" s="356" t="str">
        <f t="shared" si="63"/>
        <v/>
      </c>
      <c r="CG53" s="356" t="str">
        <f t="shared" si="64"/>
        <v/>
      </c>
      <c r="CH53" s="356" t="str">
        <f t="shared" si="65"/>
        <v/>
      </c>
      <c r="CI53" s="356" t="str">
        <f t="shared" si="66"/>
        <v/>
      </c>
      <c r="CJ53" s="356" t="str">
        <f t="shared" si="67"/>
        <v/>
      </c>
      <c r="CK53" s="356" t="str">
        <f t="shared" si="68"/>
        <v/>
      </c>
      <c r="CL53" s="356" t="str">
        <f t="shared" si="69"/>
        <v/>
      </c>
      <c r="CM53" s="356" t="str">
        <f t="shared" si="70"/>
        <v/>
      </c>
      <c r="CN53" s="356" t="str">
        <f t="shared" si="71"/>
        <v/>
      </c>
      <c r="CO53" s="356" t="str">
        <f t="shared" si="72"/>
        <v/>
      </c>
      <c r="CP53" s="356" t="str">
        <f t="shared" si="73"/>
        <v/>
      </c>
      <c r="CQ53" s="356" t="str">
        <f t="shared" si="74"/>
        <v/>
      </c>
      <c r="CR53" s="356" t="str">
        <f t="shared" si="75"/>
        <v/>
      </c>
      <c r="CS53" s="356" t="str">
        <f t="shared" si="76"/>
        <v/>
      </c>
      <c r="CT53" s="356" t="str">
        <f t="shared" si="77"/>
        <v/>
      </c>
      <c r="CU53" s="356" t="str">
        <f t="shared" si="78"/>
        <v/>
      </c>
      <c r="CV53" s="356" t="str">
        <f t="shared" si="79"/>
        <v/>
      </c>
      <c r="CW53" s="356" t="str">
        <f t="shared" si="80"/>
        <v/>
      </c>
      <c r="CX53" s="356" t="str">
        <f t="shared" si="81"/>
        <v/>
      </c>
      <c r="CY53" s="356" t="str">
        <f t="shared" si="82"/>
        <v/>
      </c>
      <c r="CZ53" s="356" t="str">
        <f t="shared" si="83"/>
        <v/>
      </c>
      <c r="DA53" s="356" t="str">
        <f t="shared" si="84"/>
        <v/>
      </c>
      <c r="DB53" s="356" t="str">
        <f t="shared" si="85"/>
        <v/>
      </c>
      <c r="DC53" s="356" t="str">
        <f t="shared" si="86"/>
        <v/>
      </c>
      <c r="DD53" s="356" t="str">
        <f t="shared" si="87"/>
        <v/>
      </c>
      <c r="DE53" s="356" t="str">
        <f t="shared" si="88"/>
        <v/>
      </c>
      <c r="DF53" s="356" t="str">
        <f t="shared" si="89"/>
        <v/>
      </c>
      <c r="DG53" s="356" t="str">
        <f t="shared" si="90"/>
        <v/>
      </c>
      <c r="DH53" s="356" t="str">
        <f t="shared" si="91"/>
        <v/>
      </c>
      <c r="DI53" s="356" t="str">
        <f t="shared" si="92"/>
        <v/>
      </c>
      <c r="DJ53" s="356" t="str">
        <f t="shared" si="93"/>
        <v/>
      </c>
      <c r="DK53" s="356" t="str">
        <f t="shared" si="94"/>
        <v/>
      </c>
      <c r="DL53" s="356" t="str">
        <f t="shared" si="95"/>
        <v/>
      </c>
      <c r="DM53" s="356" t="str">
        <f t="shared" si="96"/>
        <v/>
      </c>
      <c r="DN53" s="356" t="str">
        <f t="shared" si="97"/>
        <v/>
      </c>
      <c r="DO53" s="356" t="str">
        <f t="shared" si="98"/>
        <v/>
      </c>
      <c r="DP53" s="356" t="str">
        <f t="shared" si="99"/>
        <v/>
      </c>
      <c r="DQ53" s="356" t="str">
        <f t="shared" si="100"/>
        <v/>
      </c>
      <c r="DR53" s="356" t="str">
        <f t="shared" si="101"/>
        <v/>
      </c>
      <c r="DS53" s="356" t="str">
        <f t="shared" si="102"/>
        <v/>
      </c>
      <c r="DT53" s="356" t="str">
        <f t="shared" si="103"/>
        <v/>
      </c>
      <c r="DU53" s="356" t="str">
        <f t="shared" si="104"/>
        <v/>
      </c>
      <c r="DV53" s="356" t="str">
        <f t="shared" si="105"/>
        <v/>
      </c>
      <c r="DW53" s="356" t="str">
        <f t="shared" si="106"/>
        <v/>
      </c>
      <c r="DX53" s="356" t="str">
        <f t="shared" si="107"/>
        <v/>
      </c>
      <c r="DY53" s="356" t="str">
        <f t="shared" si="108"/>
        <v/>
      </c>
      <c r="DZ53" s="356" t="str">
        <f t="shared" si="109"/>
        <v/>
      </c>
      <c r="EA53" s="356" t="str">
        <f t="shared" si="110"/>
        <v/>
      </c>
      <c r="EB53" s="356" t="str">
        <f t="shared" si="111"/>
        <v/>
      </c>
      <c r="EC53" s="356" t="str">
        <f t="shared" si="112"/>
        <v/>
      </c>
      <c r="ED53" s="356" t="str">
        <f t="shared" si="113"/>
        <v/>
      </c>
      <c r="EE53" s="356" t="str">
        <f t="shared" si="114"/>
        <v/>
      </c>
      <c r="EF53" s="356" t="str">
        <f t="shared" si="115"/>
        <v/>
      </c>
      <c r="EG53" s="356" t="str">
        <f t="shared" si="116"/>
        <v/>
      </c>
      <c r="EH53" s="356" t="str">
        <f t="shared" si="117"/>
        <v/>
      </c>
      <c r="EI53" s="356" t="str">
        <f t="shared" si="118"/>
        <v/>
      </c>
      <c r="EJ53" s="356" t="str">
        <f t="shared" si="119"/>
        <v/>
      </c>
      <c r="EK53" s="356" t="str">
        <f t="shared" si="120"/>
        <v/>
      </c>
      <c r="EL53" s="356" t="str">
        <f t="shared" si="121"/>
        <v/>
      </c>
      <c r="EM53" s="356" t="str">
        <f t="shared" si="122"/>
        <v/>
      </c>
      <c r="EN53" s="356" t="str">
        <f t="shared" si="123"/>
        <v/>
      </c>
      <c r="EO53" s="356" t="str">
        <f t="shared" si="124"/>
        <v/>
      </c>
      <c r="EP53" s="356" t="str">
        <f t="shared" si="125"/>
        <v/>
      </c>
      <c r="EQ53" s="356" t="str">
        <f t="shared" si="126"/>
        <v/>
      </c>
      <c r="ER53" s="356" t="str">
        <f t="shared" si="127"/>
        <v/>
      </c>
      <c r="ES53" s="356" t="str">
        <f t="shared" si="128"/>
        <v/>
      </c>
      <c r="ET53" s="356" t="str">
        <f t="shared" si="129"/>
        <v/>
      </c>
      <c r="EU53" s="356" t="str">
        <f t="shared" si="130"/>
        <v/>
      </c>
      <c r="EV53" s="356" t="str">
        <f t="shared" si="131"/>
        <v/>
      </c>
      <c r="EW53" s="356" t="str">
        <f t="shared" si="132"/>
        <v/>
      </c>
      <c r="EX53" s="356" t="str">
        <f t="shared" si="133"/>
        <v/>
      </c>
      <c r="EY53" s="356" t="str">
        <f t="shared" si="134"/>
        <v/>
      </c>
      <c r="EZ53" s="356" t="str">
        <f t="shared" si="135"/>
        <v/>
      </c>
      <c r="FA53" s="356" t="str">
        <f t="shared" si="136"/>
        <v/>
      </c>
      <c r="FB53" s="356" t="str">
        <f t="shared" si="137"/>
        <v/>
      </c>
      <c r="FC53" s="356" t="str">
        <f t="shared" si="138"/>
        <v/>
      </c>
      <c r="FD53" s="356" t="str">
        <f t="shared" si="139"/>
        <v/>
      </c>
      <c r="FE53" s="356" t="str">
        <f t="shared" si="140"/>
        <v/>
      </c>
      <c r="FF53" s="356" t="str">
        <f t="shared" si="141"/>
        <v/>
      </c>
      <c r="FG53" s="356" t="str">
        <f t="shared" si="142"/>
        <v/>
      </c>
      <c r="FH53" s="356" t="str">
        <f t="shared" si="143"/>
        <v/>
      </c>
      <c r="FI53" s="356" t="str">
        <f t="shared" si="144"/>
        <v/>
      </c>
      <c r="FJ53" s="356" t="str">
        <f t="shared" si="145"/>
        <v/>
      </c>
      <c r="FK53" s="356" t="str">
        <f t="shared" si="146"/>
        <v/>
      </c>
      <c r="FL53" s="356" t="str">
        <f t="shared" si="147"/>
        <v/>
      </c>
      <c r="FM53" s="356" t="str">
        <f t="shared" si="484"/>
        <v/>
      </c>
      <c r="FN53" s="356" t="str">
        <f t="shared" si="485"/>
        <v/>
      </c>
      <c r="FO53" s="356" t="str">
        <f t="shared" si="486"/>
        <v/>
      </c>
      <c r="FP53" s="356" t="str">
        <f t="shared" si="487"/>
        <v/>
      </c>
      <c r="FQ53" s="356" t="str">
        <f t="shared" si="488"/>
        <v/>
      </c>
      <c r="FR53" s="356" t="str">
        <f t="shared" si="153"/>
        <v/>
      </c>
      <c r="FS53" s="356" t="str">
        <f t="shared" si="154"/>
        <v/>
      </c>
      <c r="FT53" s="356" t="str">
        <f t="shared" si="155"/>
        <v/>
      </c>
      <c r="FU53" s="356" t="str">
        <f t="shared" si="156"/>
        <v/>
      </c>
      <c r="FV53" s="356" t="str">
        <f t="shared" si="157"/>
        <v/>
      </c>
      <c r="FW53" s="356" t="str">
        <f t="shared" si="158"/>
        <v/>
      </c>
      <c r="FX53" s="356" t="str">
        <f t="shared" si="159"/>
        <v/>
      </c>
      <c r="FY53" s="356" t="str">
        <f t="shared" si="160"/>
        <v/>
      </c>
      <c r="FZ53" s="356" t="str">
        <f t="shared" si="161"/>
        <v/>
      </c>
      <c r="GA53" s="356" t="str">
        <f t="shared" si="162"/>
        <v/>
      </c>
      <c r="GB53" s="356" t="str">
        <f t="shared" si="163"/>
        <v/>
      </c>
      <c r="GC53" s="356" t="str">
        <f t="shared" si="164"/>
        <v/>
      </c>
      <c r="GD53" s="356" t="str">
        <f t="shared" si="165"/>
        <v/>
      </c>
      <c r="GE53" s="356" t="str">
        <f t="shared" si="166"/>
        <v/>
      </c>
      <c r="GF53" s="356" t="str">
        <f t="shared" si="167"/>
        <v/>
      </c>
      <c r="GG53" s="356" t="str">
        <f t="shared" si="168"/>
        <v/>
      </c>
      <c r="GH53" s="356" t="str">
        <f t="shared" si="169"/>
        <v/>
      </c>
      <c r="GI53" s="356" t="str">
        <f t="shared" si="170"/>
        <v/>
      </c>
      <c r="GJ53" s="356" t="str">
        <f t="shared" si="171"/>
        <v/>
      </c>
      <c r="GK53" s="356" t="str">
        <f t="shared" si="172"/>
        <v/>
      </c>
      <c r="GL53" s="356" t="str">
        <f t="shared" si="173"/>
        <v/>
      </c>
      <c r="GM53" s="356" t="str">
        <f t="shared" si="174"/>
        <v/>
      </c>
      <c r="GN53" s="356" t="str">
        <f t="shared" si="175"/>
        <v/>
      </c>
      <c r="GO53" s="356" t="str">
        <f t="shared" si="176"/>
        <v/>
      </c>
      <c r="GP53" s="356" t="str">
        <f t="shared" si="177"/>
        <v/>
      </c>
      <c r="GQ53" s="356" t="str">
        <f t="shared" si="178"/>
        <v/>
      </c>
      <c r="GR53" s="356" t="str">
        <f t="shared" si="179"/>
        <v/>
      </c>
      <c r="GS53" s="356" t="str">
        <f t="shared" si="180"/>
        <v/>
      </c>
      <c r="GT53" s="356" t="str">
        <f t="shared" si="181"/>
        <v/>
      </c>
      <c r="GU53" s="356" t="str">
        <f t="shared" si="182"/>
        <v/>
      </c>
      <c r="GV53" s="356" t="str">
        <f t="shared" si="183"/>
        <v/>
      </c>
      <c r="GW53" s="356" t="str">
        <f t="shared" si="184"/>
        <v/>
      </c>
      <c r="GX53" s="356" t="str">
        <f t="shared" si="185"/>
        <v/>
      </c>
      <c r="GY53" s="356" t="str">
        <f t="shared" si="186"/>
        <v/>
      </c>
      <c r="GZ53" s="356" t="str">
        <f t="shared" si="187"/>
        <v/>
      </c>
      <c r="HA53" s="356" t="str">
        <f t="shared" si="489"/>
        <v/>
      </c>
      <c r="HB53" s="356" t="str">
        <f t="shared" si="490"/>
        <v/>
      </c>
      <c r="HC53" s="356" t="str">
        <f t="shared" si="491"/>
        <v/>
      </c>
      <c r="HD53" s="356" t="str">
        <f t="shared" si="492"/>
        <v/>
      </c>
      <c r="HE53" s="356" t="str">
        <f t="shared" si="493"/>
        <v/>
      </c>
      <c r="HF53" s="356" t="str">
        <f t="shared" si="494"/>
        <v/>
      </c>
      <c r="HG53" s="356" t="str">
        <f t="shared" si="495"/>
        <v/>
      </c>
      <c r="HH53" s="356" t="str">
        <f t="shared" si="496"/>
        <v/>
      </c>
      <c r="HI53" s="356" t="str">
        <f t="shared" si="497"/>
        <v/>
      </c>
      <c r="HJ53" s="356" t="str">
        <f t="shared" si="498"/>
        <v/>
      </c>
      <c r="HK53" s="356" t="str">
        <f t="shared" si="499"/>
        <v/>
      </c>
      <c r="HL53" s="356" t="str">
        <f t="shared" si="500"/>
        <v/>
      </c>
      <c r="HM53" s="356" t="str">
        <f t="shared" si="501"/>
        <v/>
      </c>
      <c r="HN53" s="356" t="str">
        <f t="shared" si="502"/>
        <v/>
      </c>
      <c r="HO53" s="356" t="str">
        <f t="shared" si="503"/>
        <v/>
      </c>
      <c r="HP53" s="356" t="str">
        <f t="shared" si="203"/>
        <v/>
      </c>
      <c r="HQ53" s="356" t="str">
        <f t="shared" si="204"/>
        <v/>
      </c>
      <c r="HR53" s="356" t="str">
        <f t="shared" si="205"/>
        <v/>
      </c>
      <c r="HS53" s="356" t="str">
        <f t="shared" si="206"/>
        <v/>
      </c>
      <c r="HT53" s="356" t="str">
        <f t="shared" si="207"/>
        <v/>
      </c>
      <c r="HU53" s="356" t="str">
        <f t="shared" si="208"/>
        <v/>
      </c>
      <c r="HV53" s="356" t="str">
        <f t="shared" si="209"/>
        <v/>
      </c>
      <c r="HW53" s="356" t="str">
        <f t="shared" si="210"/>
        <v/>
      </c>
      <c r="HX53" s="356" t="str">
        <f t="shared" si="211"/>
        <v/>
      </c>
      <c r="HY53" s="356" t="str">
        <f t="shared" si="212"/>
        <v/>
      </c>
      <c r="HZ53" s="356" t="str">
        <f t="shared" si="213"/>
        <v/>
      </c>
      <c r="IA53" s="356" t="str">
        <f t="shared" si="214"/>
        <v/>
      </c>
      <c r="IB53" s="356" t="str">
        <f t="shared" si="215"/>
        <v/>
      </c>
      <c r="IC53" s="356" t="str">
        <f t="shared" si="216"/>
        <v/>
      </c>
      <c r="ID53" s="356" t="str">
        <f t="shared" si="217"/>
        <v/>
      </c>
      <c r="IE53" s="356" t="str">
        <f t="shared" si="218"/>
        <v/>
      </c>
      <c r="IF53" s="356" t="str">
        <f t="shared" si="219"/>
        <v/>
      </c>
      <c r="IG53" s="356" t="str">
        <f t="shared" si="220"/>
        <v/>
      </c>
      <c r="IH53" s="356" t="str">
        <f t="shared" si="221"/>
        <v/>
      </c>
      <c r="II53" s="356" t="str">
        <f t="shared" si="222"/>
        <v/>
      </c>
      <c r="IJ53" s="356" t="str">
        <f t="shared" si="223"/>
        <v/>
      </c>
      <c r="IK53" s="356" t="str">
        <f t="shared" si="224"/>
        <v/>
      </c>
      <c r="IL53" s="356" t="str">
        <f t="shared" si="225"/>
        <v/>
      </c>
      <c r="IM53" s="356" t="str">
        <f t="shared" si="226"/>
        <v/>
      </c>
      <c r="IN53" s="356" t="str">
        <f t="shared" si="227"/>
        <v/>
      </c>
      <c r="IO53" s="356" t="str">
        <f t="shared" si="228"/>
        <v/>
      </c>
      <c r="IP53" s="356" t="str">
        <f t="shared" si="229"/>
        <v/>
      </c>
      <c r="IQ53" s="356" t="str">
        <f t="shared" si="230"/>
        <v/>
      </c>
      <c r="IR53" s="356" t="str">
        <f t="shared" si="231"/>
        <v/>
      </c>
      <c r="IS53" s="356" t="str">
        <f t="shared" si="232"/>
        <v/>
      </c>
      <c r="IT53" s="356" t="str">
        <f t="shared" si="233"/>
        <v/>
      </c>
      <c r="IU53" s="356" t="str">
        <f t="shared" si="234"/>
        <v/>
      </c>
      <c r="IV53" s="356" t="str">
        <f t="shared" si="235"/>
        <v/>
      </c>
      <c r="IW53" s="356" t="str">
        <f t="shared" si="236"/>
        <v/>
      </c>
      <c r="IX53" s="356" t="str">
        <f t="shared" si="237"/>
        <v/>
      </c>
      <c r="IY53" s="356" t="str">
        <f t="shared" si="238"/>
        <v/>
      </c>
      <c r="IZ53" s="356" t="str">
        <f t="shared" si="239"/>
        <v/>
      </c>
      <c r="JA53" s="356" t="str">
        <f t="shared" si="240"/>
        <v/>
      </c>
      <c r="JB53" s="356" t="str">
        <f t="shared" si="241"/>
        <v/>
      </c>
      <c r="JC53" s="356" t="str">
        <f t="shared" si="242"/>
        <v/>
      </c>
      <c r="JD53" s="356" t="str">
        <f t="shared" si="243"/>
        <v/>
      </c>
      <c r="JE53" s="356" t="str">
        <f t="shared" si="244"/>
        <v/>
      </c>
      <c r="JF53" s="356" t="str">
        <f t="shared" si="245"/>
        <v/>
      </c>
      <c r="JG53" s="356" t="str">
        <f t="shared" si="246"/>
        <v/>
      </c>
      <c r="JH53" s="356" t="str">
        <f t="shared" si="247"/>
        <v/>
      </c>
      <c r="JI53" s="1785" t="str">
        <f t="shared" si="248"/>
        <v/>
      </c>
      <c r="JJ53" s="1785" t="str">
        <f t="shared" si="249"/>
        <v/>
      </c>
      <c r="JK53" s="1785" t="str">
        <f t="shared" si="250"/>
        <v/>
      </c>
      <c r="JL53" s="1785" t="str">
        <f t="shared" si="251"/>
        <v/>
      </c>
      <c r="JM53" s="1785" t="str">
        <f t="shared" si="252"/>
        <v/>
      </c>
      <c r="JN53" s="1785" t="str">
        <f t="shared" si="253"/>
        <v/>
      </c>
      <c r="JO53" s="1785" t="str">
        <f t="shared" si="254"/>
        <v/>
      </c>
      <c r="JP53" s="1785" t="str">
        <f t="shared" si="255"/>
        <v/>
      </c>
      <c r="JQ53" s="1785" t="str">
        <f t="shared" si="256"/>
        <v/>
      </c>
      <c r="JR53" s="1785" t="str">
        <f t="shared" si="257"/>
        <v/>
      </c>
      <c r="JS53" s="1785" t="str">
        <f t="shared" si="258"/>
        <v/>
      </c>
      <c r="JT53" s="1785" t="str">
        <f t="shared" si="259"/>
        <v/>
      </c>
      <c r="JU53" s="1785" t="str">
        <f t="shared" si="260"/>
        <v/>
      </c>
      <c r="JV53" s="1785" t="str">
        <f t="shared" si="261"/>
        <v/>
      </c>
      <c r="JW53" s="1785" t="str">
        <f t="shared" si="262"/>
        <v/>
      </c>
      <c r="JX53" s="1785" t="str">
        <f t="shared" si="263"/>
        <v/>
      </c>
      <c r="JY53" s="1785" t="str">
        <f t="shared" si="264"/>
        <v/>
      </c>
      <c r="JZ53" s="1785" t="str">
        <f t="shared" si="265"/>
        <v/>
      </c>
      <c r="KA53" s="1785" t="str">
        <f t="shared" si="266"/>
        <v/>
      </c>
      <c r="KB53" s="1785" t="str">
        <f t="shared" si="267"/>
        <v/>
      </c>
      <c r="KC53" s="1785" t="str">
        <f t="shared" si="268"/>
        <v/>
      </c>
      <c r="KD53" s="1785" t="str">
        <f t="shared" si="269"/>
        <v/>
      </c>
      <c r="KE53" s="1785" t="str">
        <f t="shared" si="270"/>
        <v/>
      </c>
      <c r="KF53" s="1785" t="str">
        <f t="shared" si="271"/>
        <v/>
      </c>
      <c r="KG53" s="1785" t="str">
        <f t="shared" si="272"/>
        <v/>
      </c>
      <c r="KH53" s="1785" t="str">
        <f t="shared" si="273"/>
        <v/>
      </c>
      <c r="KI53" s="1785" t="str">
        <f t="shared" si="274"/>
        <v/>
      </c>
      <c r="KJ53" s="1785" t="str">
        <f t="shared" si="275"/>
        <v/>
      </c>
      <c r="KK53" s="1785" t="str">
        <f t="shared" si="276"/>
        <v/>
      </c>
      <c r="KL53" s="1785" t="str">
        <f t="shared" si="277"/>
        <v/>
      </c>
      <c r="KM53" s="1785" t="str">
        <f t="shared" si="278"/>
        <v/>
      </c>
      <c r="KN53" s="1785" t="str">
        <f t="shared" si="279"/>
        <v/>
      </c>
      <c r="KO53" s="1785" t="str">
        <f t="shared" si="280"/>
        <v/>
      </c>
      <c r="KP53" s="1785" t="str">
        <f t="shared" si="281"/>
        <v/>
      </c>
      <c r="KQ53" s="1785" t="str">
        <f t="shared" si="282"/>
        <v/>
      </c>
      <c r="KR53" s="1785" t="str">
        <f t="shared" si="283"/>
        <v/>
      </c>
      <c r="KS53" s="1785" t="str">
        <f t="shared" si="284"/>
        <v/>
      </c>
      <c r="KT53" s="1785" t="str">
        <f t="shared" si="285"/>
        <v/>
      </c>
      <c r="KU53" s="1785" t="str">
        <f t="shared" si="286"/>
        <v/>
      </c>
      <c r="KV53" s="1785" t="str">
        <f t="shared" si="287"/>
        <v/>
      </c>
      <c r="KW53" s="1785" t="str">
        <f t="shared" si="288"/>
        <v/>
      </c>
      <c r="KX53" s="1785" t="str">
        <f t="shared" si="289"/>
        <v/>
      </c>
      <c r="KY53" s="1785" t="str">
        <f t="shared" si="290"/>
        <v/>
      </c>
      <c r="KZ53" s="1785" t="str">
        <f t="shared" si="291"/>
        <v/>
      </c>
      <c r="LA53" s="1785" t="str">
        <f t="shared" si="292"/>
        <v/>
      </c>
      <c r="LB53" s="1785" t="str">
        <f t="shared" si="293"/>
        <v/>
      </c>
      <c r="LC53" s="1785" t="str">
        <f t="shared" si="294"/>
        <v/>
      </c>
      <c r="LD53" s="1785" t="str">
        <f t="shared" si="295"/>
        <v/>
      </c>
      <c r="LE53" s="1785" t="str">
        <f t="shared" si="296"/>
        <v/>
      </c>
      <c r="LF53" s="1785" t="str">
        <f t="shared" si="297"/>
        <v/>
      </c>
      <c r="LG53" s="1785" t="str">
        <f t="shared" si="298"/>
        <v/>
      </c>
      <c r="LH53" s="1785" t="str">
        <f t="shared" si="299"/>
        <v/>
      </c>
      <c r="LI53" s="1785" t="str">
        <f t="shared" si="300"/>
        <v/>
      </c>
      <c r="LJ53" s="1785" t="str">
        <f t="shared" si="301"/>
        <v/>
      </c>
      <c r="LK53" s="1785" t="str">
        <f t="shared" si="302"/>
        <v/>
      </c>
      <c r="LL53" s="1785" t="str">
        <f t="shared" si="303"/>
        <v/>
      </c>
      <c r="LM53" s="1785" t="str">
        <f t="shared" si="304"/>
        <v/>
      </c>
      <c r="LN53" s="1785" t="str">
        <f t="shared" si="305"/>
        <v/>
      </c>
      <c r="LO53" s="1785" t="str">
        <f t="shared" si="306"/>
        <v/>
      </c>
      <c r="LP53" s="1785" t="str">
        <f t="shared" si="307"/>
        <v/>
      </c>
      <c r="LQ53" s="1785" t="str">
        <f t="shared" si="308"/>
        <v/>
      </c>
      <c r="LR53" s="1785" t="str">
        <f t="shared" si="309"/>
        <v/>
      </c>
      <c r="LS53" s="1785" t="str">
        <f t="shared" si="310"/>
        <v/>
      </c>
      <c r="LT53" s="1785" t="str">
        <f t="shared" si="311"/>
        <v/>
      </c>
      <c r="LU53" s="1785" t="str">
        <f t="shared" si="312"/>
        <v/>
      </c>
      <c r="LV53" s="1785" t="str">
        <f t="shared" si="313"/>
        <v/>
      </c>
      <c r="LW53" s="1785" t="str">
        <f t="shared" si="314"/>
        <v/>
      </c>
      <c r="LX53" s="1785" t="str">
        <f t="shared" si="315"/>
        <v/>
      </c>
      <c r="LY53" s="1785" t="str">
        <f t="shared" si="316"/>
        <v/>
      </c>
      <c r="LZ53" s="1785" t="str">
        <f t="shared" si="317"/>
        <v/>
      </c>
      <c r="MA53" s="1785" t="str">
        <f t="shared" si="318"/>
        <v/>
      </c>
      <c r="MB53" s="1785" t="str">
        <f t="shared" si="319"/>
        <v/>
      </c>
      <c r="MC53" s="1785" t="str">
        <f t="shared" si="320"/>
        <v/>
      </c>
      <c r="MD53" s="1785" t="str">
        <f t="shared" si="321"/>
        <v/>
      </c>
      <c r="ME53" s="1785" t="str">
        <f t="shared" si="322"/>
        <v/>
      </c>
      <c r="MF53" s="1785" t="str">
        <f t="shared" si="323"/>
        <v/>
      </c>
      <c r="MG53" s="1785" t="str">
        <f t="shared" si="324"/>
        <v/>
      </c>
      <c r="MH53" s="1785" t="str">
        <f t="shared" si="325"/>
        <v/>
      </c>
      <c r="MI53" s="1785" t="str">
        <f t="shared" si="326"/>
        <v/>
      </c>
      <c r="MJ53" s="1785" t="str">
        <f t="shared" si="327"/>
        <v/>
      </c>
      <c r="MK53" s="1785" t="str">
        <f t="shared" si="328"/>
        <v/>
      </c>
      <c r="ML53" s="1785" t="str">
        <f t="shared" si="329"/>
        <v/>
      </c>
      <c r="MM53" s="1785" t="str">
        <f t="shared" si="330"/>
        <v/>
      </c>
      <c r="MN53" s="1785" t="str">
        <f t="shared" si="331"/>
        <v/>
      </c>
      <c r="MO53" s="1785" t="str">
        <f t="shared" si="332"/>
        <v/>
      </c>
      <c r="MP53" s="2470" t="str">
        <f t="shared" si="333"/>
        <v/>
      </c>
      <c r="MQ53" s="2470" t="str">
        <f t="shared" si="334"/>
        <v/>
      </c>
      <c r="MR53" s="2470" t="str">
        <f t="shared" si="335"/>
        <v/>
      </c>
      <c r="MS53" s="2470" t="str">
        <f t="shared" si="336"/>
        <v/>
      </c>
      <c r="MT53" s="2470" t="str">
        <f t="shared" si="337"/>
        <v/>
      </c>
      <c r="MU53" s="356" t="str">
        <f t="shared" si="504"/>
        <v/>
      </c>
      <c r="MV53" s="356" t="str">
        <f t="shared" si="505"/>
        <v/>
      </c>
      <c r="MW53" s="356" t="str">
        <f t="shared" si="506"/>
        <v/>
      </c>
      <c r="MX53" s="356" t="str">
        <f t="shared" si="507"/>
        <v/>
      </c>
      <c r="MY53" s="356" t="str">
        <f t="shared" si="508"/>
        <v/>
      </c>
      <c r="MZ53" s="356" t="str">
        <f t="shared" si="343"/>
        <v/>
      </c>
      <c r="NA53" s="356" t="str">
        <f t="shared" si="344"/>
        <v/>
      </c>
      <c r="NB53" s="356" t="str">
        <f t="shared" si="345"/>
        <v/>
      </c>
      <c r="NC53" s="356" t="str">
        <f t="shared" si="346"/>
        <v/>
      </c>
      <c r="ND53" s="356" t="str">
        <f t="shared" si="347"/>
        <v/>
      </c>
      <c r="NE53" s="356" t="str">
        <f t="shared" si="348"/>
        <v/>
      </c>
      <c r="NF53" s="356" t="str">
        <f t="shared" si="349"/>
        <v/>
      </c>
      <c r="NG53" s="356" t="str">
        <f t="shared" si="350"/>
        <v/>
      </c>
      <c r="NH53" s="356" t="str">
        <f t="shared" si="351"/>
        <v/>
      </c>
      <c r="NI53" s="356" t="str">
        <f t="shared" si="352"/>
        <v/>
      </c>
      <c r="NJ53" s="356" t="str">
        <f t="shared" si="353"/>
        <v/>
      </c>
      <c r="NK53" s="356" t="str">
        <f t="shared" si="354"/>
        <v/>
      </c>
      <c r="NL53" s="356" t="str">
        <f t="shared" si="355"/>
        <v/>
      </c>
      <c r="NM53" s="356" t="str">
        <f t="shared" si="356"/>
        <v/>
      </c>
      <c r="NN53" s="356" t="str">
        <f t="shared" si="357"/>
        <v/>
      </c>
      <c r="NO53" s="1640">
        <f t="shared" si="358"/>
        <v>0</v>
      </c>
      <c r="NP53" s="1640">
        <f t="shared" si="359"/>
        <v>0</v>
      </c>
      <c r="NQ53" s="1640">
        <f t="shared" si="360"/>
        <v>0</v>
      </c>
      <c r="NR53" s="1640">
        <f t="shared" si="361"/>
        <v>0</v>
      </c>
      <c r="NS53" s="1640">
        <f t="shared" si="362"/>
        <v>0</v>
      </c>
      <c r="NT53" s="1640">
        <f t="shared" si="368"/>
        <v>0</v>
      </c>
      <c r="NU53" s="1640">
        <f t="shared" si="369"/>
        <v>0</v>
      </c>
      <c r="NV53" s="1640">
        <f t="shared" si="370"/>
        <v>0</v>
      </c>
      <c r="NW53" s="1640">
        <f t="shared" si="371"/>
        <v>0</v>
      </c>
      <c r="NX53" s="1640">
        <f t="shared" si="372"/>
        <v>0</v>
      </c>
      <c r="NY53" s="1640">
        <f t="shared" si="363"/>
        <v>0</v>
      </c>
      <c r="NZ53" s="1640">
        <f t="shared" si="364"/>
        <v>0</v>
      </c>
      <c r="OA53" s="1640">
        <f t="shared" si="365"/>
        <v>0</v>
      </c>
      <c r="OB53" s="1640">
        <f t="shared" si="366"/>
        <v>0</v>
      </c>
      <c r="OC53" s="1640">
        <f t="shared" si="367"/>
        <v>0</v>
      </c>
      <c r="OY53" s="2499" t="s">
        <v>4333</v>
      </c>
      <c r="OZ53" s="2503">
        <v>51</v>
      </c>
    </row>
    <row r="54" spans="1:416" ht="12" customHeight="1">
      <c r="A54" s="86" t="str">
        <f t="shared" ref="A54:A55" si="509">IF(AND(E54&gt;0,OR(B54="",C54="",D54="",F54="",G54="", H54="",I54="",N54="",O54="",P54="",Q54="")),1,"")</f>
        <v/>
      </c>
      <c r="B54" s="1055"/>
      <c r="C54" s="132"/>
      <c r="D54" s="1643"/>
      <c r="E54" s="133"/>
      <c r="F54" s="133"/>
      <c r="G54" s="133"/>
      <c r="H54" s="133"/>
      <c r="I54" s="133"/>
      <c r="J54" s="1036">
        <f>IF(C54="",0,HLOOKUP(C54,'Part IV-Utility Allowances'!$I$11:$M$25,15))</f>
        <v>0</v>
      </c>
      <c r="K54" s="630"/>
      <c r="L54" s="460">
        <f t="shared" ref="L54:L55" si="510">MAX(0,H54-I54-J54)</f>
        <v>0</v>
      </c>
      <c r="M54" s="460">
        <f t="shared" ref="M54:M55" si="511">MAX(0,E54*L54)</f>
        <v>0</v>
      </c>
      <c r="N54" s="680"/>
      <c r="O54" s="1585"/>
      <c r="P54" s="680"/>
      <c r="Q54" s="134"/>
      <c r="R54" s="723"/>
      <c r="S54" s="724"/>
      <c r="T54" s="3613"/>
      <c r="U54" s="3614"/>
      <c r="V54" s="3614"/>
      <c r="W54" s="3615"/>
      <c r="X54" s="356" t="str">
        <f t="shared" ref="X54:X55" si="512">IF(AND(C54="Efficiency",B54=80,NOT(N54="Common Space")),E54,"")</f>
        <v/>
      </c>
      <c r="Y54" s="356" t="str">
        <f t="shared" ref="Y54:Y55" si="513">IF(AND(C54=1,B54=80,NOT(N54="Common Space")),E54,"")</f>
        <v/>
      </c>
      <c r="Z54" s="356" t="str">
        <f t="shared" ref="Z54:Z55" si="514">IF(AND(C54=2,B54=80,NOT(N54="Common Space")),E54,"")</f>
        <v/>
      </c>
      <c r="AA54" s="356" t="str">
        <f t="shared" ref="AA54:AA55" si="515">IF(AND(C54=3,B54=80,NOT(N54="Common Space")),E54,"")</f>
        <v/>
      </c>
      <c r="AB54" s="356" t="str">
        <f t="shared" ref="AB54:AB55" si="516">IF(AND(C54=4,B54=80,NOT(N54="Common Space")),E54,"")</f>
        <v/>
      </c>
      <c r="AC54" s="356" t="str">
        <f t="shared" ref="AC54:AC55" si="517">IF(AND(C54="Efficiency",B54=70,NOT(N54="Common Space")),E54,"")</f>
        <v/>
      </c>
      <c r="AD54" s="356" t="str">
        <f t="shared" ref="AD54:AD55" si="518">IF(AND(C54=1,B54=70,NOT(N54="Common Space")),E54,"")</f>
        <v/>
      </c>
      <c r="AE54" s="356" t="str">
        <f t="shared" ref="AE54:AE55" si="519">IF(AND(C54=2,B54=70,NOT(N54="Common Space")),E54,"")</f>
        <v/>
      </c>
      <c r="AF54" s="356" t="str">
        <f t="shared" ref="AF54:AF55" si="520">IF(AND(C54=3,B54=70,NOT(N54="Common Space")),E54,"")</f>
        <v/>
      </c>
      <c r="AG54" s="356" t="str">
        <f t="shared" ref="AG54:AG55" si="521">IF(AND(C54=4,B54=70,NOT(N54="Common Space")),E54,"")</f>
        <v/>
      </c>
      <c r="AH54" s="356" t="str">
        <f t="shared" ref="AH54:AH55" si="522">IF(AND(C54="Efficiency",B54=60,NOT(N54="Common Space")),E54,"")</f>
        <v/>
      </c>
      <c r="AI54" s="356" t="str">
        <f t="shared" ref="AI54:AI55" si="523">IF(AND(C54=1,B54=60,NOT(N54="Common Space")),E54,"")</f>
        <v/>
      </c>
      <c r="AJ54" s="356" t="str">
        <f t="shared" ref="AJ54:AJ55" si="524">IF(AND(C54=2,B54=60,NOT(N54="Common Space")),E54,"")</f>
        <v/>
      </c>
      <c r="AK54" s="356" t="str">
        <f t="shared" ref="AK54:AK55" si="525">IF(AND(C54=3,B54=60,NOT(N54="Common Space")),E54,"")</f>
        <v/>
      </c>
      <c r="AL54" s="356" t="str">
        <f t="shared" ref="AL54:AL55" si="526">IF(AND(C54=4,B54=60,NOT(N54="Common Space")),E54,"")</f>
        <v/>
      </c>
      <c r="AM54" s="356" t="str">
        <f t="shared" ref="AM54:AM55" si="527">IF(AND(C54="Efficiency",B54=50,NOT(N54="Common Space")),E54,"")</f>
        <v/>
      </c>
      <c r="AN54" s="356" t="str">
        <f t="shared" ref="AN54:AN55" si="528">IF(AND(C54=1,B54=50,NOT(N54="Common Space")),E54,"")</f>
        <v/>
      </c>
      <c r="AO54" s="356" t="str">
        <f t="shared" ref="AO54:AO55" si="529">IF(AND(C54=2,B54=50,NOT(N54="Common Space")),E54,"")</f>
        <v/>
      </c>
      <c r="AP54" s="356" t="str">
        <f t="shared" ref="AP54:AP55" si="530">IF(AND(C54=3,B54=50,NOT(N54="Common Space")),E54,"")</f>
        <v/>
      </c>
      <c r="AQ54" s="356" t="str">
        <f t="shared" ref="AQ54:AQ55" si="531">IF(AND(C54=4,B54=50,NOT(N54="Common Space")),E54,"")</f>
        <v/>
      </c>
      <c r="AR54" s="356" t="str">
        <f t="shared" ref="AR54:AR55" si="532">IF(AND(C54="Efficiency",B54=40,NOT(N54="Common Space")),E54,"")</f>
        <v/>
      </c>
      <c r="AS54" s="356" t="str">
        <f t="shared" ref="AS54:AS55" si="533">IF(AND(C54=1,B54=40,NOT(N54="Common Space")),E54,"")</f>
        <v/>
      </c>
      <c r="AT54" s="356" t="str">
        <f t="shared" ref="AT54:AT55" si="534">IF(AND(C54=2,B54=40,NOT(N54="Common Space")),E54,"")</f>
        <v/>
      </c>
      <c r="AU54" s="356" t="str">
        <f t="shared" ref="AU54:AU55" si="535">IF(AND(C54=3,B54=40,NOT(N54="Common Space")),E54,"")</f>
        <v/>
      </c>
      <c r="AV54" s="356" t="str">
        <f t="shared" ref="AV54:AV55" si="536">IF(AND(C54=4,B54=40,NOT(N54="Common Space")),E54,"")</f>
        <v/>
      </c>
      <c r="AW54" s="356" t="str">
        <f t="shared" ref="AW54:AW55" si="537">IF(AND(C54="Efficiency",B54=30,NOT(N54="Common Space")),E54,"")</f>
        <v/>
      </c>
      <c r="AX54" s="356" t="str">
        <f t="shared" ref="AX54:AX55" si="538">IF(AND(C54=1,B54=30,NOT(N54="Common Space")),E54,"")</f>
        <v/>
      </c>
      <c r="AY54" s="356" t="str">
        <f t="shared" ref="AY54:AY55" si="539">IF(AND(C54=2,B54=30,NOT(N54="Common Space")),E54,"")</f>
        <v/>
      </c>
      <c r="AZ54" s="356" t="str">
        <f t="shared" ref="AZ54:AZ55" si="540">IF(AND(C54=3,B54=30,NOT(N54="Common Space")),E54,"")</f>
        <v/>
      </c>
      <c r="BA54" s="356" t="str">
        <f t="shared" ref="BA54:BA55" si="541">IF(AND(C54=4,B54=30,NOT(N54="Common Space")),E54,"")</f>
        <v/>
      </c>
      <c r="BB54" s="356" t="str">
        <f t="shared" ref="BB54:BB55" si="542">IF(AND(C54="Efficiency",B54=20,NOT(N54="Common Space")),E54,"")</f>
        <v/>
      </c>
      <c r="BC54" s="356" t="str">
        <f t="shared" ref="BC54:BC55" si="543">IF(AND(C54=1,B54=20,NOT(N54="Common Space")),E54,"")</f>
        <v/>
      </c>
      <c r="BD54" s="356" t="str">
        <f t="shared" ref="BD54:BD55" si="544">IF(AND(C54=2,B54=20,NOT(N54="Common Space")),E54,"")</f>
        <v/>
      </c>
      <c r="BE54" s="356" t="str">
        <f t="shared" ref="BE54:BE55" si="545">IF(AND(C54=3,B54=20,NOT(N54="Common Space")),E54,"")</f>
        <v/>
      </c>
      <c r="BF54" s="356" t="str">
        <f t="shared" ref="BF54:BF55" si="546">IF(AND(C54=4,B54=20,NOT(N54="Common Space")),E54,"")</f>
        <v/>
      </c>
      <c r="BG54" s="356" t="str">
        <f t="shared" ref="BG54:BG55" si="547">IF(AND(C54="Efficiency",B54="Unrestricted",NOT(N54="Common Space")),E54,"")</f>
        <v/>
      </c>
      <c r="BH54" s="356" t="str">
        <f t="shared" ref="BH54:BH55" si="548">IF(AND(C54=1,B54="Unrestricted",NOT(N54="Common Space")),E54,"")</f>
        <v/>
      </c>
      <c r="BI54" s="356" t="str">
        <f t="shared" ref="BI54:BI55" si="549">IF(AND(C54=2,B54="Unrestricted",NOT(N54="Common Space")),E54,"")</f>
        <v/>
      </c>
      <c r="BJ54" s="356" t="str">
        <f t="shared" ref="BJ54:BJ55" si="550">IF(AND(C54=3,B54="Unrestricted",NOT(N54="Common Space")),E54,"")</f>
        <v/>
      </c>
      <c r="BK54" s="356" t="str">
        <f t="shared" ref="BK54:BK55" si="551">IF(AND(C54=4,B54="Unrestricted",NOT(N54="Common Space")),E54,"")</f>
        <v/>
      </c>
      <c r="BL54" s="356" t="str">
        <f t="shared" si="43"/>
        <v/>
      </c>
      <c r="BM54" s="356" t="str">
        <f t="shared" si="44"/>
        <v/>
      </c>
      <c r="BN54" s="356" t="str">
        <f t="shared" si="45"/>
        <v/>
      </c>
      <c r="BO54" s="356" t="str">
        <f t="shared" si="46"/>
        <v/>
      </c>
      <c r="BP54" s="356" t="str">
        <f t="shared" si="47"/>
        <v/>
      </c>
      <c r="BQ54" s="356" t="str">
        <f t="shared" si="48"/>
        <v/>
      </c>
      <c r="BR54" s="356" t="str">
        <f t="shared" si="49"/>
        <v/>
      </c>
      <c r="BS54" s="356" t="str">
        <f t="shared" si="50"/>
        <v/>
      </c>
      <c r="BT54" s="356" t="str">
        <f t="shared" si="51"/>
        <v/>
      </c>
      <c r="BU54" s="356" t="str">
        <f t="shared" si="52"/>
        <v/>
      </c>
      <c r="BV54" s="356" t="str">
        <f t="shared" si="53"/>
        <v/>
      </c>
      <c r="BW54" s="356" t="str">
        <f t="shared" si="54"/>
        <v/>
      </c>
      <c r="BX54" s="356" t="str">
        <f t="shared" si="55"/>
        <v/>
      </c>
      <c r="BY54" s="356" t="str">
        <f t="shared" si="56"/>
        <v/>
      </c>
      <c r="BZ54" s="356" t="str">
        <f t="shared" si="57"/>
        <v/>
      </c>
      <c r="CA54" s="356" t="str">
        <f t="shared" si="58"/>
        <v/>
      </c>
      <c r="CB54" s="356" t="str">
        <f t="shared" si="59"/>
        <v/>
      </c>
      <c r="CC54" s="356" t="str">
        <f t="shared" si="60"/>
        <v/>
      </c>
      <c r="CD54" s="356" t="str">
        <f t="shared" si="61"/>
        <v/>
      </c>
      <c r="CE54" s="356" t="str">
        <f t="shared" si="62"/>
        <v/>
      </c>
      <c r="CF54" s="356" t="str">
        <f t="shared" si="63"/>
        <v/>
      </c>
      <c r="CG54" s="356" t="str">
        <f t="shared" si="64"/>
        <v/>
      </c>
      <c r="CH54" s="356" t="str">
        <f t="shared" si="65"/>
        <v/>
      </c>
      <c r="CI54" s="356" t="str">
        <f t="shared" si="66"/>
        <v/>
      </c>
      <c r="CJ54" s="356" t="str">
        <f t="shared" si="67"/>
        <v/>
      </c>
      <c r="CK54" s="356" t="str">
        <f t="shared" si="68"/>
        <v/>
      </c>
      <c r="CL54" s="356" t="str">
        <f t="shared" si="69"/>
        <v/>
      </c>
      <c r="CM54" s="356" t="str">
        <f t="shared" si="70"/>
        <v/>
      </c>
      <c r="CN54" s="356" t="str">
        <f t="shared" si="71"/>
        <v/>
      </c>
      <c r="CO54" s="356" t="str">
        <f t="shared" si="72"/>
        <v/>
      </c>
      <c r="CP54" s="356" t="str">
        <f t="shared" si="73"/>
        <v/>
      </c>
      <c r="CQ54" s="356" t="str">
        <f t="shared" si="74"/>
        <v/>
      </c>
      <c r="CR54" s="356" t="str">
        <f t="shared" si="75"/>
        <v/>
      </c>
      <c r="CS54" s="356" t="str">
        <f t="shared" si="76"/>
        <v/>
      </c>
      <c r="CT54" s="356" t="str">
        <f t="shared" si="77"/>
        <v/>
      </c>
      <c r="CU54" s="356" t="str">
        <f t="shared" si="78"/>
        <v/>
      </c>
      <c r="CV54" s="356" t="str">
        <f t="shared" si="79"/>
        <v/>
      </c>
      <c r="CW54" s="356" t="str">
        <f t="shared" si="80"/>
        <v/>
      </c>
      <c r="CX54" s="356" t="str">
        <f t="shared" si="81"/>
        <v/>
      </c>
      <c r="CY54" s="356" t="str">
        <f t="shared" si="82"/>
        <v/>
      </c>
      <c r="CZ54" s="356" t="str">
        <f t="shared" si="83"/>
        <v/>
      </c>
      <c r="DA54" s="356" t="str">
        <f t="shared" si="84"/>
        <v/>
      </c>
      <c r="DB54" s="356" t="str">
        <f t="shared" si="85"/>
        <v/>
      </c>
      <c r="DC54" s="356" t="str">
        <f t="shared" si="86"/>
        <v/>
      </c>
      <c r="DD54" s="356" t="str">
        <f t="shared" si="87"/>
        <v/>
      </c>
      <c r="DE54" s="356" t="str">
        <f t="shared" si="88"/>
        <v/>
      </c>
      <c r="DF54" s="356" t="str">
        <f t="shared" si="89"/>
        <v/>
      </c>
      <c r="DG54" s="356" t="str">
        <f t="shared" si="90"/>
        <v/>
      </c>
      <c r="DH54" s="356" t="str">
        <f t="shared" si="91"/>
        <v/>
      </c>
      <c r="DI54" s="356" t="str">
        <f t="shared" si="92"/>
        <v/>
      </c>
      <c r="DJ54" s="356" t="str">
        <f t="shared" si="93"/>
        <v/>
      </c>
      <c r="DK54" s="356" t="str">
        <f t="shared" si="94"/>
        <v/>
      </c>
      <c r="DL54" s="356" t="str">
        <f t="shared" si="95"/>
        <v/>
      </c>
      <c r="DM54" s="356" t="str">
        <f t="shared" si="96"/>
        <v/>
      </c>
      <c r="DN54" s="356" t="str">
        <f t="shared" si="97"/>
        <v/>
      </c>
      <c r="DO54" s="356" t="str">
        <f t="shared" si="98"/>
        <v/>
      </c>
      <c r="DP54" s="356" t="str">
        <f t="shared" si="99"/>
        <v/>
      </c>
      <c r="DQ54" s="356" t="str">
        <f t="shared" si="100"/>
        <v/>
      </c>
      <c r="DR54" s="356" t="str">
        <f t="shared" si="101"/>
        <v/>
      </c>
      <c r="DS54" s="356" t="str">
        <f t="shared" si="102"/>
        <v/>
      </c>
      <c r="DT54" s="356" t="str">
        <f t="shared" si="103"/>
        <v/>
      </c>
      <c r="DU54" s="356" t="str">
        <f t="shared" si="104"/>
        <v/>
      </c>
      <c r="DV54" s="356" t="str">
        <f t="shared" si="105"/>
        <v/>
      </c>
      <c r="DW54" s="356" t="str">
        <f t="shared" si="106"/>
        <v/>
      </c>
      <c r="DX54" s="356" t="str">
        <f t="shared" si="107"/>
        <v/>
      </c>
      <c r="DY54" s="356" t="str">
        <f t="shared" si="108"/>
        <v/>
      </c>
      <c r="DZ54" s="356" t="str">
        <f t="shared" si="109"/>
        <v/>
      </c>
      <c r="EA54" s="356" t="str">
        <f t="shared" si="110"/>
        <v/>
      </c>
      <c r="EB54" s="356" t="str">
        <f t="shared" si="111"/>
        <v/>
      </c>
      <c r="EC54" s="356" t="str">
        <f t="shared" si="112"/>
        <v/>
      </c>
      <c r="ED54" s="356" t="str">
        <f t="shared" si="113"/>
        <v/>
      </c>
      <c r="EE54" s="356" t="str">
        <f t="shared" si="114"/>
        <v/>
      </c>
      <c r="EF54" s="356" t="str">
        <f t="shared" si="115"/>
        <v/>
      </c>
      <c r="EG54" s="356" t="str">
        <f t="shared" si="116"/>
        <v/>
      </c>
      <c r="EH54" s="356" t="str">
        <f t="shared" si="117"/>
        <v/>
      </c>
      <c r="EI54" s="356" t="str">
        <f t="shared" si="118"/>
        <v/>
      </c>
      <c r="EJ54" s="356" t="str">
        <f t="shared" si="119"/>
        <v/>
      </c>
      <c r="EK54" s="356" t="str">
        <f t="shared" si="120"/>
        <v/>
      </c>
      <c r="EL54" s="356" t="str">
        <f t="shared" si="121"/>
        <v/>
      </c>
      <c r="EM54" s="356" t="str">
        <f t="shared" si="122"/>
        <v/>
      </c>
      <c r="EN54" s="356" t="str">
        <f t="shared" si="123"/>
        <v/>
      </c>
      <c r="EO54" s="356" t="str">
        <f t="shared" si="124"/>
        <v/>
      </c>
      <c r="EP54" s="356" t="str">
        <f t="shared" si="125"/>
        <v/>
      </c>
      <c r="EQ54" s="356" t="str">
        <f t="shared" si="126"/>
        <v/>
      </c>
      <c r="ER54" s="356" t="str">
        <f t="shared" si="127"/>
        <v/>
      </c>
      <c r="ES54" s="356" t="str">
        <f t="shared" si="128"/>
        <v/>
      </c>
      <c r="ET54" s="356" t="str">
        <f t="shared" si="129"/>
        <v/>
      </c>
      <c r="EU54" s="356" t="str">
        <f t="shared" si="130"/>
        <v/>
      </c>
      <c r="EV54" s="356" t="str">
        <f t="shared" si="131"/>
        <v/>
      </c>
      <c r="EW54" s="356" t="str">
        <f t="shared" si="132"/>
        <v/>
      </c>
      <c r="EX54" s="356" t="str">
        <f t="shared" si="133"/>
        <v/>
      </c>
      <c r="EY54" s="356" t="str">
        <f t="shared" si="134"/>
        <v/>
      </c>
      <c r="EZ54" s="356" t="str">
        <f t="shared" si="135"/>
        <v/>
      </c>
      <c r="FA54" s="356" t="str">
        <f t="shared" si="136"/>
        <v/>
      </c>
      <c r="FB54" s="356" t="str">
        <f t="shared" si="137"/>
        <v/>
      </c>
      <c r="FC54" s="356" t="str">
        <f t="shared" si="138"/>
        <v/>
      </c>
      <c r="FD54" s="356" t="str">
        <f t="shared" si="139"/>
        <v/>
      </c>
      <c r="FE54" s="356" t="str">
        <f t="shared" si="140"/>
        <v/>
      </c>
      <c r="FF54" s="356" t="str">
        <f t="shared" si="141"/>
        <v/>
      </c>
      <c r="FG54" s="356" t="str">
        <f t="shared" si="142"/>
        <v/>
      </c>
      <c r="FH54" s="356" t="str">
        <f t="shared" si="143"/>
        <v/>
      </c>
      <c r="FI54" s="356" t="str">
        <f t="shared" si="144"/>
        <v/>
      </c>
      <c r="FJ54" s="356" t="str">
        <f t="shared" si="145"/>
        <v/>
      </c>
      <c r="FK54" s="356" t="str">
        <f t="shared" si="146"/>
        <v/>
      </c>
      <c r="FL54" s="356" t="str">
        <f t="shared" si="147"/>
        <v/>
      </c>
      <c r="FM54" s="356" t="str">
        <f t="shared" ref="FM54:FM55" si="552">IF(AND(C54="Efficiency",N54="Common Space"),E54,"")</f>
        <v/>
      </c>
      <c r="FN54" s="356" t="str">
        <f t="shared" ref="FN54:FN55" si="553">IF(AND(C54=1,N54="Common Space"),E54,"")</f>
        <v/>
      </c>
      <c r="FO54" s="356" t="str">
        <f t="shared" ref="FO54:FO55" si="554">IF(AND(C54=2,N54="Common Space"),E54,"")</f>
        <v/>
      </c>
      <c r="FP54" s="356" t="str">
        <f t="shared" ref="FP54:FP55" si="555">IF(AND(C54=3,N54="Common Space"),E54,"")</f>
        <v/>
      </c>
      <c r="FQ54" s="356" t="str">
        <f t="shared" ref="FQ54:FQ55" si="556">IF(AND(C54=4,N54="Common Space"),E54,"")</f>
        <v/>
      </c>
      <c r="FR54" s="356" t="str">
        <f t="shared" si="153"/>
        <v/>
      </c>
      <c r="FS54" s="356" t="str">
        <f t="shared" si="154"/>
        <v/>
      </c>
      <c r="FT54" s="356" t="str">
        <f t="shared" si="155"/>
        <v/>
      </c>
      <c r="FU54" s="356" t="str">
        <f t="shared" si="156"/>
        <v/>
      </c>
      <c r="FV54" s="356" t="str">
        <f t="shared" si="157"/>
        <v/>
      </c>
      <c r="FW54" s="356" t="str">
        <f t="shared" si="158"/>
        <v/>
      </c>
      <c r="FX54" s="356" t="str">
        <f t="shared" si="159"/>
        <v/>
      </c>
      <c r="FY54" s="356" t="str">
        <f t="shared" si="160"/>
        <v/>
      </c>
      <c r="FZ54" s="356" t="str">
        <f t="shared" si="161"/>
        <v/>
      </c>
      <c r="GA54" s="356" t="str">
        <f t="shared" si="162"/>
        <v/>
      </c>
      <c r="GB54" s="356" t="str">
        <f t="shared" si="163"/>
        <v/>
      </c>
      <c r="GC54" s="356" t="str">
        <f t="shared" si="164"/>
        <v/>
      </c>
      <c r="GD54" s="356" t="str">
        <f t="shared" si="165"/>
        <v/>
      </c>
      <c r="GE54" s="356" t="str">
        <f t="shared" si="166"/>
        <v/>
      </c>
      <c r="GF54" s="356" t="str">
        <f t="shared" si="167"/>
        <v/>
      </c>
      <c r="GG54" s="356" t="str">
        <f t="shared" si="168"/>
        <v/>
      </c>
      <c r="GH54" s="356" t="str">
        <f t="shared" si="169"/>
        <v/>
      </c>
      <c r="GI54" s="356" t="str">
        <f t="shared" si="170"/>
        <v/>
      </c>
      <c r="GJ54" s="356" t="str">
        <f t="shared" si="171"/>
        <v/>
      </c>
      <c r="GK54" s="356" t="str">
        <f t="shared" si="172"/>
        <v/>
      </c>
      <c r="GL54" s="356" t="str">
        <f t="shared" si="173"/>
        <v/>
      </c>
      <c r="GM54" s="356" t="str">
        <f t="shared" si="174"/>
        <v/>
      </c>
      <c r="GN54" s="356" t="str">
        <f t="shared" si="175"/>
        <v/>
      </c>
      <c r="GO54" s="356" t="str">
        <f t="shared" si="176"/>
        <v/>
      </c>
      <c r="GP54" s="356" t="str">
        <f t="shared" si="177"/>
        <v/>
      </c>
      <c r="GQ54" s="356" t="str">
        <f t="shared" si="178"/>
        <v/>
      </c>
      <c r="GR54" s="356" t="str">
        <f t="shared" si="179"/>
        <v/>
      </c>
      <c r="GS54" s="356" t="str">
        <f t="shared" si="180"/>
        <v/>
      </c>
      <c r="GT54" s="356" t="str">
        <f t="shared" si="181"/>
        <v/>
      </c>
      <c r="GU54" s="356" t="str">
        <f t="shared" si="182"/>
        <v/>
      </c>
      <c r="GV54" s="356" t="str">
        <f t="shared" si="183"/>
        <v/>
      </c>
      <c r="GW54" s="356" t="str">
        <f t="shared" si="184"/>
        <v/>
      </c>
      <c r="GX54" s="356" t="str">
        <f t="shared" si="185"/>
        <v/>
      </c>
      <c r="GY54" s="356" t="str">
        <f t="shared" si="186"/>
        <v/>
      </c>
      <c r="GZ54" s="356" t="str">
        <f t="shared" si="187"/>
        <v/>
      </c>
      <c r="HA54" s="356" t="str">
        <f t="shared" ref="HA54:HA55" si="557">IF(AND(C54="Efficiency",B54="Unrestricted",NOT(N54="Common Space")),E54*F54,"")</f>
        <v/>
      </c>
      <c r="HB54" s="356" t="str">
        <f t="shared" ref="HB54:HB55" si="558">IF(AND(C54=1,B54="Unrestricted",NOT(N54="Common Space")),E54*F54,"")</f>
        <v/>
      </c>
      <c r="HC54" s="356" t="str">
        <f t="shared" ref="HC54:HC55" si="559">IF(AND(C54=2,B54="Unrestricted",NOT(N54="Common Space")),E54*F54,"")</f>
        <v/>
      </c>
      <c r="HD54" s="356" t="str">
        <f t="shared" ref="HD54:HD55" si="560">IF(AND(C54=3,B54="Unrestricted",NOT(N54="Common Space")),E54*F54,"")</f>
        <v/>
      </c>
      <c r="HE54" s="356" t="str">
        <f t="shared" ref="HE54:HE55" si="561">IF(AND(C54=4,B54="Unrestricted",NOT(N54="Common Space")),E54*F54,"")</f>
        <v/>
      </c>
      <c r="HF54" s="356" t="str">
        <f t="shared" ref="HF54:HF55" si="562">IF(AND(C54="Efficiency",NOT(K54=""),NOT($K54=0),NOT(N54="Common Space")),E54*F54,"")</f>
        <v/>
      </c>
      <c r="HG54" s="356" t="str">
        <f t="shared" ref="HG54:HG55" si="563">IF(AND(C54=1,NOT(K54=""),NOT($K54=0),NOT(N54="Common Space")),E54*F54,"")</f>
        <v/>
      </c>
      <c r="HH54" s="356" t="str">
        <f t="shared" ref="HH54:HH55" si="564">IF(AND(C54=2,NOT(K54=""),NOT($K54=0),NOT(N54="Common Space")),E54*F54,"")</f>
        <v/>
      </c>
      <c r="HI54" s="356" t="str">
        <f t="shared" ref="HI54:HI55" si="565">IF(AND(C54=3,NOT(K54=""),NOT($K54=0),NOT(N54="Common Space")),E54*F54,"")</f>
        <v/>
      </c>
      <c r="HJ54" s="356" t="str">
        <f t="shared" ref="HJ54:HJ55" si="566">IF(AND(C54=4,NOT(K54=""),NOT($K54=0),NOT(N54="Common Space")),E54*F54,"")</f>
        <v/>
      </c>
      <c r="HK54" s="356" t="str">
        <f t="shared" ref="HK54:HK55" si="567">IF(AND(C54="Efficiency",N54="Common Space"),E54*F54,"")</f>
        <v/>
      </c>
      <c r="HL54" s="356" t="str">
        <f t="shared" ref="HL54:HL55" si="568">IF(AND(C54=1,N54="Common Space"),E54*F54,"")</f>
        <v/>
      </c>
      <c r="HM54" s="356" t="str">
        <f t="shared" ref="HM54:HM55" si="569">IF(AND(C54=2,N54="Common Space"),E54*F54,"")</f>
        <v/>
      </c>
      <c r="HN54" s="356" t="str">
        <f t="shared" ref="HN54:HN55" si="570">IF(AND(C54=3,N54="Common Space"),E54*F54,"")</f>
        <v/>
      </c>
      <c r="HO54" s="356" t="str">
        <f t="shared" ref="HO54:HO55" si="571">IF(AND(C54=4,N54="Common Space"),E54*F54,"")</f>
        <v/>
      </c>
      <c r="HP54" s="356" t="str">
        <f t="shared" si="203"/>
        <v/>
      </c>
      <c r="HQ54" s="356" t="str">
        <f t="shared" si="204"/>
        <v/>
      </c>
      <c r="HR54" s="356" t="str">
        <f t="shared" si="205"/>
        <v/>
      </c>
      <c r="HS54" s="356" t="str">
        <f t="shared" si="206"/>
        <v/>
      </c>
      <c r="HT54" s="356" t="str">
        <f t="shared" si="207"/>
        <v/>
      </c>
      <c r="HU54" s="356" t="str">
        <f t="shared" si="208"/>
        <v/>
      </c>
      <c r="HV54" s="356" t="str">
        <f t="shared" si="209"/>
        <v/>
      </c>
      <c r="HW54" s="356" t="str">
        <f t="shared" si="210"/>
        <v/>
      </c>
      <c r="HX54" s="356" t="str">
        <f t="shared" si="211"/>
        <v/>
      </c>
      <c r="HY54" s="356" t="str">
        <f t="shared" si="212"/>
        <v/>
      </c>
      <c r="HZ54" s="356" t="str">
        <f t="shared" si="213"/>
        <v/>
      </c>
      <c r="IA54" s="356" t="str">
        <f t="shared" si="214"/>
        <v/>
      </c>
      <c r="IB54" s="356" t="str">
        <f t="shared" si="215"/>
        <v/>
      </c>
      <c r="IC54" s="356" t="str">
        <f t="shared" si="216"/>
        <v/>
      </c>
      <c r="ID54" s="356" t="str">
        <f t="shared" si="217"/>
        <v/>
      </c>
      <c r="IE54" s="356" t="str">
        <f t="shared" si="218"/>
        <v/>
      </c>
      <c r="IF54" s="356" t="str">
        <f t="shared" si="219"/>
        <v/>
      </c>
      <c r="IG54" s="356" t="str">
        <f t="shared" si="220"/>
        <v/>
      </c>
      <c r="IH54" s="356" t="str">
        <f t="shared" si="221"/>
        <v/>
      </c>
      <c r="II54" s="356" t="str">
        <f t="shared" si="222"/>
        <v/>
      </c>
      <c r="IJ54" s="356" t="str">
        <f t="shared" si="223"/>
        <v/>
      </c>
      <c r="IK54" s="356" t="str">
        <f t="shared" si="224"/>
        <v/>
      </c>
      <c r="IL54" s="356" t="str">
        <f t="shared" si="225"/>
        <v/>
      </c>
      <c r="IM54" s="356" t="str">
        <f t="shared" si="226"/>
        <v/>
      </c>
      <c r="IN54" s="356" t="str">
        <f t="shared" si="227"/>
        <v/>
      </c>
      <c r="IO54" s="356" t="str">
        <f t="shared" si="228"/>
        <v/>
      </c>
      <c r="IP54" s="356" t="str">
        <f t="shared" si="229"/>
        <v/>
      </c>
      <c r="IQ54" s="356" t="str">
        <f t="shared" si="230"/>
        <v/>
      </c>
      <c r="IR54" s="356" t="str">
        <f t="shared" si="231"/>
        <v/>
      </c>
      <c r="IS54" s="356" t="str">
        <f t="shared" si="232"/>
        <v/>
      </c>
      <c r="IT54" s="356" t="str">
        <f t="shared" si="233"/>
        <v/>
      </c>
      <c r="IU54" s="356" t="str">
        <f t="shared" si="234"/>
        <v/>
      </c>
      <c r="IV54" s="356" t="str">
        <f t="shared" si="235"/>
        <v/>
      </c>
      <c r="IW54" s="356" t="str">
        <f t="shared" si="236"/>
        <v/>
      </c>
      <c r="IX54" s="356" t="str">
        <f t="shared" si="237"/>
        <v/>
      </c>
      <c r="IY54" s="356" t="str">
        <f t="shared" si="238"/>
        <v/>
      </c>
      <c r="IZ54" s="356" t="str">
        <f t="shared" si="239"/>
        <v/>
      </c>
      <c r="JA54" s="356" t="str">
        <f t="shared" si="240"/>
        <v/>
      </c>
      <c r="JB54" s="356" t="str">
        <f t="shared" si="241"/>
        <v/>
      </c>
      <c r="JC54" s="356" t="str">
        <f t="shared" si="242"/>
        <v/>
      </c>
      <c r="JD54" s="356" t="str">
        <f t="shared" si="243"/>
        <v/>
      </c>
      <c r="JE54" s="356" t="str">
        <f t="shared" si="244"/>
        <v/>
      </c>
      <c r="JF54" s="356" t="str">
        <f t="shared" si="245"/>
        <v/>
      </c>
      <c r="JG54" s="356" t="str">
        <f t="shared" si="246"/>
        <v/>
      </c>
      <c r="JH54" s="356" t="str">
        <f t="shared" si="247"/>
        <v/>
      </c>
      <c r="JI54" s="1785" t="str">
        <f t="shared" si="248"/>
        <v/>
      </c>
      <c r="JJ54" s="1785" t="str">
        <f t="shared" si="249"/>
        <v/>
      </c>
      <c r="JK54" s="1785" t="str">
        <f t="shared" si="250"/>
        <v/>
      </c>
      <c r="JL54" s="1785" t="str">
        <f t="shared" si="251"/>
        <v/>
      </c>
      <c r="JM54" s="1785" t="str">
        <f t="shared" si="252"/>
        <v/>
      </c>
      <c r="JN54" s="1785" t="str">
        <f t="shared" si="253"/>
        <v/>
      </c>
      <c r="JO54" s="1785" t="str">
        <f t="shared" si="254"/>
        <v/>
      </c>
      <c r="JP54" s="1785" t="str">
        <f t="shared" si="255"/>
        <v/>
      </c>
      <c r="JQ54" s="1785" t="str">
        <f t="shared" si="256"/>
        <v/>
      </c>
      <c r="JR54" s="1785" t="str">
        <f t="shared" si="257"/>
        <v/>
      </c>
      <c r="JS54" s="1785" t="str">
        <f t="shared" si="258"/>
        <v/>
      </c>
      <c r="JT54" s="1785" t="str">
        <f t="shared" si="259"/>
        <v/>
      </c>
      <c r="JU54" s="1785" t="str">
        <f t="shared" si="260"/>
        <v/>
      </c>
      <c r="JV54" s="1785" t="str">
        <f t="shared" si="261"/>
        <v/>
      </c>
      <c r="JW54" s="1785" t="str">
        <f t="shared" si="262"/>
        <v/>
      </c>
      <c r="JX54" s="1785" t="str">
        <f t="shared" si="263"/>
        <v/>
      </c>
      <c r="JY54" s="1785" t="str">
        <f t="shared" si="264"/>
        <v/>
      </c>
      <c r="JZ54" s="1785" t="str">
        <f t="shared" si="265"/>
        <v/>
      </c>
      <c r="KA54" s="1785" t="str">
        <f t="shared" si="266"/>
        <v/>
      </c>
      <c r="KB54" s="1785" t="str">
        <f t="shared" si="267"/>
        <v/>
      </c>
      <c r="KC54" s="1785" t="str">
        <f t="shared" si="268"/>
        <v/>
      </c>
      <c r="KD54" s="1785" t="str">
        <f t="shared" si="269"/>
        <v/>
      </c>
      <c r="KE54" s="1785" t="str">
        <f t="shared" si="270"/>
        <v/>
      </c>
      <c r="KF54" s="1785" t="str">
        <f t="shared" si="271"/>
        <v/>
      </c>
      <c r="KG54" s="1785" t="str">
        <f t="shared" si="272"/>
        <v/>
      </c>
      <c r="KH54" s="1785" t="str">
        <f t="shared" si="273"/>
        <v/>
      </c>
      <c r="KI54" s="1785" t="str">
        <f t="shared" si="274"/>
        <v/>
      </c>
      <c r="KJ54" s="1785" t="str">
        <f t="shared" si="275"/>
        <v/>
      </c>
      <c r="KK54" s="1785" t="str">
        <f t="shared" si="276"/>
        <v/>
      </c>
      <c r="KL54" s="1785" t="str">
        <f t="shared" si="277"/>
        <v/>
      </c>
      <c r="KM54" s="1785" t="str">
        <f t="shared" si="278"/>
        <v/>
      </c>
      <c r="KN54" s="1785" t="str">
        <f t="shared" si="279"/>
        <v/>
      </c>
      <c r="KO54" s="1785" t="str">
        <f t="shared" si="280"/>
        <v/>
      </c>
      <c r="KP54" s="1785" t="str">
        <f t="shared" si="281"/>
        <v/>
      </c>
      <c r="KQ54" s="1785" t="str">
        <f t="shared" si="282"/>
        <v/>
      </c>
      <c r="KR54" s="1785" t="str">
        <f t="shared" si="283"/>
        <v/>
      </c>
      <c r="KS54" s="1785" t="str">
        <f t="shared" si="284"/>
        <v/>
      </c>
      <c r="KT54" s="1785" t="str">
        <f t="shared" si="285"/>
        <v/>
      </c>
      <c r="KU54" s="1785" t="str">
        <f t="shared" si="286"/>
        <v/>
      </c>
      <c r="KV54" s="1785" t="str">
        <f t="shared" si="287"/>
        <v/>
      </c>
      <c r="KW54" s="1785" t="str">
        <f t="shared" si="288"/>
        <v/>
      </c>
      <c r="KX54" s="1785" t="str">
        <f t="shared" si="289"/>
        <v/>
      </c>
      <c r="KY54" s="1785" t="str">
        <f t="shared" si="290"/>
        <v/>
      </c>
      <c r="KZ54" s="1785" t="str">
        <f t="shared" si="291"/>
        <v/>
      </c>
      <c r="LA54" s="1785" t="str">
        <f t="shared" si="292"/>
        <v/>
      </c>
      <c r="LB54" s="1785" t="str">
        <f t="shared" si="293"/>
        <v/>
      </c>
      <c r="LC54" s="1785" t="str">
        <f t="shared" si="294"/>
        <v/>
      </c>
      <c r="LD54" s="1785" t="str">
        <f t="shared" si="295"/>
        <v/>
      </c>
      <c r="LE54" s="1785" t="str">
        <f t="shared" si="296"/>
        <v/>
      </c>
      <c r="LF54" s="1785" t="str">
        <f t="shared" si="297"/>
        <v/>
      </c>
      <c r="LG54" s="1785" t="str">
        <f t="shared" si="298"/>
        <v/>
      </c>
      <c r="LH54" s="1785" t="str">
        <f t="shared" si="299"/>
        <v/>
      </c>
      <c r="LI54" s="1785" t="str">
        <f t="shared" si="300"/>
        <v/>
      </c>
      <c r="LJ54" s="1785" t="str">
        <f t="shared" si="301"/>
        <v/>
      </c>
      <c r="LK54" s="1785" t="str">
        <f t="shared" si="302"/>
        <v/>
      </c>
      <c r="LL54" s="1785" t="str">
        <f t="shared" si="303"/>
        <v/>
      </c>
      <c r="LM54" s="1785" t="str">
        <f t="shared" si="304"/>
        <v/>
      </c>
      <c r="LN54" s="1785" t="str">
        <f t="shared" si="305"/>
        <v/>
      </c>
      <c r="LO54" s="1785" t="str">
        <f t="shared" si="306"/>
        <v/>
      </c>
      <c r="LP54" s="1785" t="str">
        <f t="shared" si="307"/>
        <v/>
      </c>
      <c r="LQ54" s="1785" t="str">
        <f t="shared" si="308"/>
        <v/>
      </c>
      <c r="LR54" s="1785" t="str">
        <f t="shared" si="309"/>
        <v/>
      </c>
      <c r="LS54" s="1785" t="str">
        <f t="shared" si="310"/>
        <v/>
      </c>
      <c r="LT54" s="1785" t="str">
        <f t="shared" si="311"/>
        <v/>
      </c>
      <c r="LU54" s="1785" t="str">
        <f t="shared" si="312"/>
        <v/>
      </c>
      <c r="LV54" s="1785" t="str">
        <f t="shared" si="313"/>
        <v/>
      </c>
      <c r="LW54" s="1785" t="str">
        <f t="shared" si="314"/>
        <v/>
      </c>
      <c r="LX54" s="1785" t="str">
        <f t="shared" si="315"/>
        <v/>
      </c>
      <c r="LY54" s="1785" t="str">
        <f t="shared" si="316"/>
        <v/>
      </c>
      <c r="LZ54" s="1785" t="str">
        <f t="shared" si="317"/>
        <v/>
      </c>
      <c r="MA54" s="1785" t="str">
        <f t="shared" si="318"/>
        <v/>
      </c>
      <c r="MB54" s="1785" t="str">
        <f t="shared" si="319"/>
        <v/>
      </c>
      <c r="MC54" s="1785" t="str">
        <f t="shared" si="320"/>
        <v/>
      </c>
      <c r="MD54" s="1785" t="str">
        <f t="shared" si="321"/>
        <v/>
      </c>
      <c r="ME54" s="1785" t="str">
        <f t="shared" si="322"/>
        <v/>
      </c>
      <c r="MF54" s="1785" t="str">
        <f t="shared" si="323"/>
        <v/>
      </c>
      <c r="MG54" s="1785" t="str">
        <f t="shared" si="324"/>
        <v/>
      </c>
      <c r="MH54" s="1785" t="str">
        <f t="shared" si="325"/>
        <v/>
      </c>
      <c r="MI54" s="1785" t="str">
        <f t="shared" si="326"/>
        <v/>
      </c>
      <c r="MJ54" s="1785" t="str">
        <f t="shared" si="327"/>
        <v/>
      </c>
      <c r="MK54" s="1785" t="str">
        <f t="shared" si="328"/>
        <v/>
      </c>
      <c r="ML54" s="1785" t="str">
        <f t="shared" si="329"/>
        <v/>
      </c>
      <c r="MM54" s="1785" t="str">
        <f t="shared" si="330"/>
        <v/>
      </c>
      <c r="MN54" s="1785" t="str">
        <f t="shared" si="331"/>
        <v/>
      </c>
      <c r="MO54" s="1785" t="str">
        <f t="shared" si="332"/>
        <v/>
      </c>
      <c r="MP54" s="2470" t="str">
        <f t="shared" si="333"/>
        <v/>
      </c>
      <c r="MQ54" s="2470" t="str">
        <f t="shared" si="334"/>
        <v/>
      </c>
      <c r="MR54" s="2470" t="str">
        <f t="shared" si="335"/>
        <v/>
      </c>
      <c r="MS54" s="2470" t="str">
        <f t="shared" si="336"/>
        <v/>
      </c>
      <c r="MT54" s="2470" t="str">
        <f t="shared" si="337"/>
        <v/>
      </c>
      <c r="MU54" s="356" t="str">
        <f t="shared" ref="MU54:MU55" si="572">IF(AND(C54="Efficiency",B54="NSP 120% AMI",NOT(N54="Common Space")),E54*F54,"")</f>
        <v/>
      </c>
      <c r="MV54" s="356" t="str">
        <f t="shared" ref="MV54:MV55" si="573">IF(AND(C54=1,B54="NSP 120% AMI",NOT(N54="Common Space")),E54*F54,"")</f>
        <v/>
      </c>
      <c r="MW54" s="356" t="str">
        <f t="shared" ref="MW54:MW55" si="574">IF(AND(C54=2,B54="NSP 120% AMI",NOT(N54="Common Space")),E54*F54,"")</f>
        <v/>
      </c>
      <c r="MX54" s="356" t="str">
        <f t="shared" ref="MX54:MX55" si="575">IF(AND(C54=3,B54="NSP 120% AMI",NOT(N54="Common Space")),E54*F54,"")</f>
        <v/>
      </c>
      <c r="MY54" s="356" t="str">
        <f t="shared" ref="MY54:MY55" si="576">IF(AND(C54=4,B54="NSP 120% AMI",NOT(N54="Common Space")),E54*F54,"")</f>
        <v/>
      </c>
      <c r="MZ54" s="356" t="str">
        <f t="shared" si="343"/>
        <v/>
      </c>
      <c r="NA54" s="356" t="str">
        <f t="shared" si="344"/>
        <v/>
      </c>
      <c r="NB54" s="356" t="str">
        <f t="shared" si="345"/>
        <v/>
      </c>
      <c r="NC54" s="356" t="str">
        <f t="shared" si="346"/>
        <v/>
      </c>
      <c r="ND54" s="356" t="str">
        <f t="shared" si="347"/>
        <v/>
      </c>
      <c r="NE54" s="356" t="str">
        <f t="shared" si="348"/>
        <v/>
      </c>
      <c r="NF54" s="356" t="str">
        <f t="shared" si="349"/>
        <v/>
      </c>
      <c r="NG54" s="356" t="str">
        <f t="shared" si="350"/>
        <v/>
      </c>
      <c r="NH54" s="356" t="str">
        <f t="shared" si="351"/>
        <v/>
      </c>
      <c r="NI54" s="356" t="str">
        <f t="shared" si="352"/>
        <v/>
      </c>
      <c r="NJ54" s="356" t="str">
        <f t="shared" si="353"/>
        <v/>
      </c>
      <c r="NK54" s="356" t="str">
        <f t="shared" si="354"/>
        <v/>
      </c>
      <c r="NL54" s="356" t="str">
        <f t="shared" si="355"/>
        <v/>
      </c>
      <c r="NM54" s="356" t="str">
        <f t="shared" si="356"/>
        <v/>
      </c>
      <c r="NN54" s="356" t="str">
        <f t="shared" si="357"/>
        <v/>
      </c>
      <c r="NO54" s="1640">
        <f t="shared" si="358"/>
        <v>0</v>
      </c>
      <c r="NP54" s="1640">
        <f t="shared" si="359"/>
        <v>0</v>
      </c>
      <c r="NQ54" s="1640">
        <f t="shared" si="360"/>
        <v>0</v>
      </c>
      <c r="NR54" s="1640">
        <f t="shared" si="361"/>
        <v>0</v>
      </c>
      <c r="NS54" s="1640">
        <f t="shared" si="362"/>
        <v>0</v>
      </c>
      <c r="NT54" s="1640">
        <f t="shared" si="368"/>
        <v>0</v>
      </c>
      <c r="NU54" s="1640">
        <f t="shared" si="369"/>
        <v>0</v>
      </c>
      <c r="NV54" s="1640">
        <f t="shared" si="370"/>
        <v>0</v>
      </c>
      <c r="NW54" s="1640">
        <f t="shared" si="371"/>
        <v>0</v>
      </c>
      <c r="NX54" s="1640">
        <f t="shared" si="372"/>
        <v>0</v>
      </c>
      <c r="NY54" s="1640">
        <f t="shared" si="363"/>
        <v>0</v>
      </c>
      <c r="NZ54" s="1640">
        <f t="shared" si="364"/>
        <v>0</v>
      </c>
      <c r="OA54" s="1640">
        <f t="shared" si="365"/>
        <v>0</v>
      </c>
      <c r="OB54" s="1640">
        <f t="shared" si="366"/>
        <v>0</v>
      </c>
      <c r="OC54" s="1640">
        <f t="shared" si="367"/>
        <v>0</v>
      </c>
      <c r="OY54" s="2499" t="s">
        <v>4333</v>
      </c>
      <c r="OZ54" s="2503">
        <v>52</v>
      </c>
    </row>
    <row r="55" spans="1:416" ht="12" customHeight="1">
      <c r="A55" s="86" t="str">
        <f t="shared" si="509"/>
        <v/>
      </c>
      <c r="B55" s="1055"/>
      <c r="C55" s="132"/>
      <c r="D55" s="1643"/>
      <c r="E55" s="133"/>
      <c r="F55" s="133"/>
      <c r="G55" s="133"/>
      <c r="H55" s="133"/>
      <c r="I55" s="133"/>
      <c r="J55" s="1036">
        <f>IF(C55="",0,HLOOKUP(C55,'Part IV-Utility Allowances'!$I$11:$M$25,15))</f>
        <v>0</v>
      </c>
      <c r="K55" s="630"/>
      <c r="L55" s="460">
        <f t="shared" si="510"/>
        <v>0</v>
      </c>
      <c r="M55" s="460">
        <f t="shared" si="511"/>
        <v>0</v>
      </c>
      <c r="N55" s="680"/>
      <c r="O55" s="1585"/>
      <c r="P55" s="680"/>
      <c r="Q55" s="134"/>
      <c r="R55" s="723"/>
      <c r="S55" s="724"/>
      <c r="T55" s="3613"/>
      <c r="U55" s="3614"/>
      <c r="V55" s="3614"/>
      <c r="W55" s="3615"/>
      <c r="X55" s="356" t="str">
        <f t="shared" si="512"/>
        <v/>
      </c>
      <c r="Y55" s="356" t="str">
        <f t="shared" si="513"/>
        <v/>
      </c>
      <c r="Z55" s="356" t="str">
        <f t="shared" si="514"/>
        <v/>
      </c>
      <c r="AA55" s="356" t="str">
        <f t="shared" si="515"/>
        <v/>
      </c>
      <c r="AB55" s="356" t="str">
        <f t="shared" si="516"/>
        <v/>
      </c>
      <c r="AC55" s="356" t="str">
        <f t="shared" si="517"/>
        <v/>
      </c>
      <c r="AD55" s="356" t="str">
        <f t="shared" si="518"/>
        <v/>
      </c>
      <c r="AE55" s="356" t="str">
        <f t="shared" si="519"/>
        <v/>
      </c>
      <c r="AF55" s="356" t="str">
        <f t="shared" si="520"/>
        <v/>
      </c>
      <c r="AG55" s="356" t="str">
        <f t="shared" si="521"/>
        <v/>
      </c>
      <c r="AH55" s="356" t="str">
        <f t="shared" si="522"/>
        <v/>
      </c>
      <c r="AI55" s="356" t="str">
        <f t="shared" si="523"/>
        <v/>
      </c>
      <c r="AJ55" s="356" t="str">
        <f t="shared" si="524"/>
        <v/>
      </c>
      <c r="AK55" s="356" t="str">
        <f t="shared" si="525"/>
        <v/>
      </c>
      <c r="AL55" s="356" t="str">
        <f t="shared" si="526"/>
        <v/>
      </c>
      <c r="AM55" s="356" t="str">
        <f t="shared" si="527"/>
        <v/>
      </c>
      <c r="AN55" s="356" t="str">
        <f t="shared" si="528"/>
        <v/>
      </c>
      <c r="AO55" s="356" t="str">
        <f t="shared" si="529"/>
        <v/>
      </c>
      <c r="AP55" s="356" t="str">
        <f t="shared" si="530"/>
        <v/>
      </c>
      <c r="AQ55" s="356" t="str">
        <f t="shared" si="531"/>
        <v/>
      </c>
      <c r="AR55" s="356" t="str">
        <f t="shared" si="532"/>
        <v/>
      </c>
      <c r="AS55" s="356" t="str">
        <f t="shared" si="533"/>
        <v/>
      </c>
      <c r="AT55" s="356" t="str">
        <f t="shared" si="534"/>
        <v/>
      </c>
      <c r="AU55" s="356" t="str">
        <f t="shared" si="535"/>
        <v/>
      </c>
      <c r="AV55" s="356" t="str">
        <f t="shared" si="536"/>
        <v/>
      </c>
      <c r="AW55" s="356" t="str">
        <f t="shared" si="537"/>
        <v/>
      </c>
      <c r="AX55" s="356" t="str">
        <f t="shared" si="538"/>
        <v/>
      </c>
      <c r="AY55" s="356" t="str">
        <f t="shared" si="539"/>
        <v/>
      </c>
      <c r="AZ55" s="356" t="str">
        <f t="shared" si="540"/>
        <v/>
      </c>
      <c r="BA55" s="356" t="str">
        <f t="shared" si="541"/>
        <v/>
      </c>
      <c r="BB55" s="356" t="str">
        <f t="shared" si="542"/>
        <v/>
      </c>
      <c r="BC55" s="356" t="str">
        <f t="shared" si="543"/>
        <v/>
      </c>
      <c r="BD55" s="356" t="str">
        <f t="shared" si="544"/>
        <v/>
      </c>
      <c r="BE55" s="356" t="str">
        <f t="shared" si="545"/>
        <v/>
      </c>
      <c r="BF55" s="356" t="str">
        <f t="shared" si="546"/>
        <v/>
      </c>
      <c r="BG55" s="356" t="str">
        <f t="shared" si="547"/>
        <v/>
      </c>
      <c r="BH55" s="356" t="str">
        <f t="shared" si="548"/>
        <v/>
      </c>
      <c r="BI55" s="356" t="str">
        <f t="shared" si="549"/>
        <v/>
      </c>
      <c r="BJ55" s="356" t="str">
        <f t="shared" si="550"/>
        <v/>
      </c>
      <c r="BK55" s="356" t="str">
        <f t="shared" si="551"/>
        <v/>
      </c>
      <c r="BL55" s="356" t="str">
        <f t="shared" si="43"/>
        <v/>
      </c>
      <c r="BM55" s="356" t="str">
        <f t="shared" si="44"/>
        <v/>
      </c>
      <c r="BN55" s="356" t="str">
        <f t="shared" si="45"/>
        <v/>
      </c>
      <c r="BO55" s="356" t="str">
        <f t="shared" si="46"/>
        <v/>
      </c>
      <c r="BP55" s="356" t="str">
        <f t="shared" si="47"/>
        <v/>
      </c>
      <c r="BQ55" s="356" t="str">
        <f t="shared" si="48"/>
        <v/>
      </c>
      <c r="BR55" s="356" t="str">
        <f t="shared" si="49"/>
        <v/>
      </c>
      <c r="BS55" s="356" t="str">
        <f t="shared" si="50"/>
        <v/>
      </c>
      <c r="BT55" s="356" t="str">
        <f t="shared" si="51"/>
        <v/>
      </c>
      <c r="BU55" s="356" t="str">
        <f t="shared" si="52"/>
        <v/>
      </c>
      <c r="BV55" s="356" t="str">
        <f t="shared" si="53"/>
        <v/>
      </c>
      <c r="BW55" s="356" t="str">
        <f t="shared" si="54"/>
        <v/>
      </c>
      <c r="BX55" s="356" t="str">
        <f t="shared" si="55"/>
        <v/>
      </c>
      <c r="BY55" s="356" t="str">
        <f t="shared" si="56"/>
        <v/>
      </c>
      <c r="BZ55" s="356" t="str">
        <f t="shared" si="57"/>
        <v/>
      </c>
      <c r="CA55" s="356" t="str">
        <f t="shared" si="58"/>
        <v/>
      </c>
      <c r="CB55" s="356" t="str">
        <f t="shared" si="59"/>
        <v/>
      </c>
      <c r="CC55" s="356" t="str">
        <f t="shared" si="60"/>
        <v/>
      </c>
      <c r="CD55" s="356" t="str">
        <f t="shared" si="61"/>
        <v/>
      </c>
      <c r="CE55" s="356" t="str">
        <f t="shared" si="62"/>
        <v/>
      </c>
      <c r="CF55" s="356" t="str">
        <f t="shared" si="63"/>
        <v/>
      </c>
      <c r="CG55" s="356" t="str">
        <f t="shared" si="64"/>
        <v/>
      </c>
      <c r="CH55" s="356" t="str">
        <f t="shared" si="65"/>
        <v/>
      </c>
      <c r="CI55" s="356" t="str">
        <f t="shared" si="66"/>
        <v/>
      </c>
      <c r="CJ55" s="356" t="str">
        <f t="shared" si="67"/>
        <v/>
      </c>
      <c r="CK55" s="356" t="str">
        <f t="shared" si="68"/>
        <v/>
      </c>
      <c r="CL55" s="356" t="str">
        <f t="shared" si="69"/>
        <v/>
      </c>
      <c r="CM55" s="356" t="str">
        <f t="shared" si="70"/>
        <v/>
      </c>
      <c r="CN55" s="356" t="str">
        <f t="shared" si="71"/>
        <v/>
      </c>
      <c r="CO55" s="356" t="str">
        <f t="shared" si="72"/>
        <v/>
      </c>
      <c r="CP55" s="356" t="str">
        <f t="shared" si="73"/>
        <v/>
      </c>
      <c r="CQ55" s="356" t="str">
        <f t="shared" si="74"/>
        <v/>
      </c>
      <c r="CR55" s="356" t="str">
        <f t="shared" si="75"/>
        <v/>
      </c>
      <c r="CS55" s="356" t="str">
        <f t="shared" si="76"/>
        <v/>
      </c>
      <c r="CT55" s="356" t="str">
        <f t="shared" si="77"/>
        <v/>
      </c>
      <c r="CU55" s="356" t="str">
        <f t="shared" si="78"/>
        <v/>
      </c>
      <c r="CV55" s="356" t="str">
        <f t="shared" si="79"/>
        <v/>
      </c>
      <c r="CW55" s="356" t="str">
        <f t="shared" si="80"/>
        <v/>
      </c>
      <c r="CX55" s="356" t="str">
        <f t="shared" si="81"/>
        <v/>
      </c>
      <c r="CY55" s="356" t="str">
        <f t="shared" si="82"/>
        <v/>
      </c>
      <c r="CZ55" s="356" t="str">
        <f t="shared" si="83"/>
        <v/>
      </c>
      <c r="DA55" s="356" t="str">
        <f t="shared" si="84"/>
        <v/>
      </c>
      <c r="DB55" s="356" t="str">
        <f t="shared" si="85"/>
        <v/>
      </c>
      <c r="DC55" s="356" t="str">
        <f t="shared" si="86"/>
        <v/>
      </c>
      <c r="DD55" s="356" t="str">
        <f t="shared" si="87"/>
        <v/>
      </c>
      <c r="DE55" s="356" t="str">
        <f t="shared" si="88"/>
        <v/>
      </c>
      <c r="DF55" s="356" t="str">
        <f t="shared" si="89"/>
        <v/>
      </c>
      <c r="DG55" s="356" t="str">
        <f t="shared" si="90"/>
        <v/>
      </c>
      <c r="DH55" s="356" t="str">
        <f t="shared" si="91"/>
        <v/>
      </c>
      <c r="DI55" s="356" t="str">
        <f t="shared" si="92"/>
        <v/>
      </c>
      <c r="DJ55" s="356" t="str">
        <f t="shared" si="93"/>
        <v/>
      </c>
      <c r="DK55" s="356" t="str">
        <f t="shared" si="94"/>
        <v/>
      </c>
      <c r="DL55" s="356" t="str">
        <f t="shared" si="95"/>
        <v/>
      </c>
      <c r="DM55" s="356" t="str">
        <f t="shared" si="96"/>
        <v/>
      </c>
      <c r="DN55" s="356" t="str">
        <f t="shared" si="97"/>
        <v/>
      </c>
      <c r="DO55" s="356" t="str">
        <f t="shared" si="98"/>
        <v/>
      </c>
      <c r="DP55" s="356" t="str">
        <f t="shared" si="99"/>
        <v/>
      </c>
      <c r="DQ55" s="356" t="str">
        <f t="shared" si="100"/>
        <v/>
      </c>
      <c r="DR55" s="356" t="str">
        <f t="shared" si="101"/>
        <v/>
      </c>
      <c r="DS55" s="356" t="str">
        <f t="shared" si="102"/>
        <v/>
      </c>
      <c r="DT55" s="356" t="str">
        <f t="shared" si="103"/>
        <v/>
      </c>
      <c r="DU55" s="356" t="str">
        <f t="shared" si="104"/>
        <v/>
      </c>
      <c r="DV55" s="356" t="str">
        <f t="shared" si="105"/>
        <v/>
      </c>
      <c r="DW55" s="356" t="str">
        <f t="shared" si="106"/>
        <v/>
      </c>
      <c r="DX55" s="356" t="str">
        <f t="shared" si="107"/>
        <v/>
      </c>
      <c r="DY55" s="356" t="str">
        <f t="shared" si="108"/>
        <v/>
      </c>
      <c r="DZ55" s="356" t="str">
        <f t="shared" si="109"/>
        <v/>
      </c>
      <c r="EA55" s="356" t="str">
        <f t="shared" si="110"/>
        <v/>
      </c>
      <c r="EB55" s="356" t="str">
        <f t="shared" si="111"/>
        <v/>
      </c>
      <c r="EC55" s="356" t="str">
        <f t="shared" si="112"/>
        <v/>
      </c>
      <c r="ED55" s="356" t="str">
        <f t="shared" si="113"/>
        <v/>
      </c>
      <c r="EE55" s="356" t="str">
        <f t="shared" si="114"/>
        <v/>
      </c>
      <c r="EF55" s="356" t="str">
        <f t="shared" si="115"/>
        <v/>
      </c>
      <c r="EG55" s="356" t="str">
        <f t="shared" si="116"/>
        <v/>
      </c>
      <c r="EH55" s="356" t="str">
        <f t="shared" si="117"/>
        <v/>
      </c>
      <c r="EI55" s="356" t="str">
        <f t="shared" si="118"/>
        <v/>
      </c>
      <c r="EJ55" s="356" t="str">
        <f t="shared" si="119"/>
        <v/>
      </c>
      <c r="EK55" s="356" t="str">
        <f t="shared" si="120"/>
        <v/>
      </c>
      <c r="EL55" s="356" t="str">
        <f t="shared" si="121"/>
        <v/>
      </c>
      <c r="EM55" s="356" t="str">
        <f t="shared" si="122"/>
        <v/>
      </c>
      <c r="EN55" s="356" t="str">
        <f t="shared" si="123"/>
        <v/>
      </c>
      <c r="EO55" s="356" t="str">
        <f t="shared" si="124"/>
        <v/>
      </c>
      <c r="EP55" s="356" t="str">
        <f t="shared" si="125"/>
        <v/>
      </c>
      <c r="EQ55" s="356" t="str">
        <f t="shared" si="126"/>
        <v/>
      </c>
      <c r="ER55" s="356" t="str">
        <f t="shared" si="127"/>
        <v/>
      </c>
      <c r="ES55" s="356" t="str">
        <f t="shared" si="128"/>
        <v/>
      </c>
      <c r="ET55" s="356" t="str">
        <f t="shared" si="129"/>
        <v/>
      </c>
      <c r="EU55" s="356" t="str">
        <f t="shared" si="130"/>
        <v/>
      </c>
      <c r="EV55" s="356" t="str">
        <f t="shared" si="131"/>
        <v/>
      </c>
      <c r="EW55" s="356" t="str">
        <f t="shared" si="132"/>
        <v/>
      </c>
      <c r="EX55" s="356" t="str">
        <f t="shared" si="133"/>
        <v/>
      </c>
      <c r="EY55" s="356" t="str">
        <f t="shared" si="134"/>
        <v/>
      </c>
      <c r="EZ55" s="356" t="str">
        <f t="shared" si="135"/>
        <v/>
      </c>
      <c r="FA55" s="356" t="str">
        <f t="shared" si="136"/>
        <v/>
      </c>
      <c r="FB55" s="356" t="str">
        <f t="shared" si="137"/>
        <v/>
      </c>
      <c r="FC55" s="356" t="str">
        <f t="shared" si="138"/>
        <v/>
      </c>
      <c r="FD55" s="356" t="str">
        <f t="shared" si="139"/>
        <v/>
      </c>
      <c r="FE55" s="356" t="str">
        <f t="shared" si="140"/>
        <v/>
      </c>
      <c r="FF55" s="356" t="str">
        <f t="shared" si="141"/>
        <v/>
      </c>
      <c r="FG55" s="356" t="str">
        <f t="shared" si="142"/>
        <v/>
      </c>
      <c r="FH55" s="356" t="str">
        <f t="shared" si="143"/>
        <v/>
      </c>
      <c r="FI55" s="356" t="str">
        <f t="shared" si="144"/>
        <v/>
      </c>
      <c r="FJ55" s="356" t="str">
        <f t="shared" si="145"/>
        <v/>
      </c>
      <c r="FK55" s="356" t="str">
        <f t="shared" si="146"/>
        <v/>
      </c>
      <c r="FL55" s="356" t="str">
        <f t="shared" si="147"/>
        <v/>
      </c>
      <c r="FM55" s="356" t="str">
        <f t="shared" si="552"/>
        <v/>
      </c>
      <c r="FN55" s="356" t="str">
        <f t="shared" si="553"/>
        <v/>
      </c>
      <c r="FO55" s="356" t="str">
        <f t="shared" si="554"/>
        <v/>
      </c>
      <c r="FP55" s="356" t="str">
        <f t="shared" si="555"/>
        <v/>
      </c>
      <c r="FQ55" s="356" t="str">
        <f t="shared" si="556"/>
        <v/>
      </c>
      <c r="FR55" s="356" t="str">
        <f t="shared" si="153"/>
        <v/>
      </c>
      <c r="FS55" s="356" t="str">
        <f t="shared" si="154"/>
        <v/>
      </c>
      <c r="FT55" s="356" t="str">
        <f t="shared" si="155"/>
        <v/>
      </c>
      <c r="FU55" s="356" t="str">
        <f t="shared" si="156"/>
        <v/>
      </c>
      <c r="FV55" s="356" t="str">
        <f t="shared" si="157"/>
        <v/>
      </c>
      <c r="FW55" s="356" t="str">
        <f t="shared" si="158"/>
        <v/>
      </c>
      <c r="FX55" s="356" t="str">
        <f t="shared" si="159"/>
        <v/>
      </c>
      <c r="FY55" s="356" t="str">
        <f t="shared" si="160"/>
        <v/>
      </c>
      <c r="FZ55" s="356" t="str">
        <f t="shared" si="161"/>
        <v/>
      </c>
      <c r="GA55" s="356" t="str">
        <f t="shared" si="162"/>
        <v/>
      </c>
      <c r="GB55" s="356" t="str">
        <f t="shared" si="163"/>
        <v/>
      </c>
      <c r="GC55" s="356" t="str">
        <f t="shared" si="164"/>
        <v/>
      </c>
      <c r="GD55" s="356" t="str">
        <f t="shared" si="165"/>
        <v/>
      </c>
      <c r="GE55" s="356" t="str">
        <f t="shared" si="166"/>
        <v/>
      </c>
      <c r="GF55" s="356" t="str">
        <f t="shared" si="167"/>
        <v/>
      </c>
      <c r="GG55" s="356" t="str">
        <f t="shared" si="168"/>
        <v/>
      </c>
      <c r="GH55" s="356" t="str">
        <f t="shared" si="169"/>
        <v/>
      </c>
      <c r="GI55" s="356" t="str">
        <f t="shared" si="170"/>
        <v/>
      </c>
      <c r="GJ55" s="356" t="str">
        <f t="shared" si="171"/>
        <v/>
      </c>
      <c r="GK55" s="356" t="str">
        <f t="shared" si="172"/>
        <v/>
      </c>
      <c r="GL55" s="356" t="str">
        <f t="shared" si="173"/>
        <v/>
      </c>
      <c r="GM55" s="356" t="str">
        <f t="shared" si="174"/>
        <v/>
      </c>
      <c r="GN55" s="356" t="str">
        <f t="shared" si="175"/>
        <v/>
      </c>
      <c r="GO55" s="356" t="str">
        <f t="shared" si="176"/>
        <v/>
      </c>
      <c r="GP55" s="356" t="str">
        <f t="shared" si="177"/>
        <v/>
      </c>
      <c r="GQ55" s="356" t="str">
        <f t="shared" si="178"/>
        <v/>
      </c>
      <c r="GR55" s="356" t="str">
        <f t="shared" si="179"/>
        <v/>
      </c>
      <c r="GS55" s="356" t="str">
        <f t="shared" si="180"/>
        <v/>
      </c>
      <c r="GT55" s="356" t="str">
        <f t="shared" si="181"/>
        <v/>
      </c>
      <c r="GU55" s="356" t="str">
        <f t="shared" si="182"/>
        <v/>
      </c>
      <c r="GV55" s="356" t="str">
        <f t="shared" si="183"/>
        <v/>
      </c>
      <c r="GW55" s="356" t="str">
        <f t="shared" si="184"/>
        <v/>
      </c>
      <c r="GX55" s="356" t="str">
        <f t="shared" si="185"/>
        <v/>
      </c>
      <c r="GY55" s="356" t="str">
        <f t="shared" si="186"/>
        <v/>
      </c>
      <c r="GZ55" s="356" t="str">
        <f t="shared" si="187"/>
        <v/>
      </c>
      <c r="HA55" s="356" t="str">
        <f t="shared" si="557"/>
        <v/>
      </c>
      <c r="HB55" s="356" t="str">
        <f t="shared" si="558"/>
        <v/>
      </c>
      <c r="HC55" s="356" t="str">
        <f t="shared" si="559"/>
        <v/>
      </c>
      <c r="HD55" s="356" t="str">
        <f t="shared" si="560"/>
        <v/>
      </c>
      <c r="HE55" s="356" t="str">
        <f t="shared" si="561"/>
        <v/>
      </c>
      <c r="HF55" s="356" t="str">
        <f t="shared" si="562"/>
        <v/>
      </c>
      <c r="HG55" s="356" t="str">
        <f t="shared" si="563"/>
        <v/>
      </c>
      <c r="HH55" s="356" t="str">
        <f t="shared" si="564"/>
        <v/>
      </c>
      <c r="HI55" s="356" t="str">
        <f t="shared" si="565"/>
        <v/>
      </c>
      <c r="HJ55" s="356" t="str">
        <f t="shared" si="566"/>
        <v/>
      </c>
      <c r="HK55" s="356" t="str">
        <f t="shared" si="567"/>
        <v/>
      </c>
      <c r="HL55" s="356" t="str">
        <f t="shared" si="568"/>
        <v/>
      </c>
      <c r="HM55" s="356" t="str">
        <f t="shared" si="569"/>
        <v/>
      </c>
      <c r="HN55" s="356" t="str">
        <f t="shared" si="570"/>
        <v/>
      </c>
      <c r="HO55" s="356" t="str">
        <f t="shared" si="571"/>
        <v/>
      </c>
      <c r="HP55" s="356" t="str">
        <f t="shared" si="203"/>
        <v/>
      </c>
      <c r="HQ55" s="356" t="str">
        <f t="shared" si="204"/>
        <v/>
      </c>
      <c r="HR55" s="356" t="str">
        <f t="shared" si="205"/>
        <v/>
      </c>
      <c r="HS55" s="356" t="str">
        <f t="shared" si="206"/>
        <v/>
      </c>
      <c r="HT55" s="356" t="str">
        <f t="shared" si="207"/>
        <v/>
      </c>
      <c r="HU55" s="356" t="str">
        <f t="shared" si="208"/>
        <v/>
      </c>
      <c r="HV55" s="356" t="str">
        <f t="shared" si="209"/>
        <v/>
      </c>
      <c r="HW55" s="356" t="str">
        <f t="shared" si="210"/>
        <v/>
      </c>
      <c r="HX55" s="356" t="str">
        <f t="shared" si="211"/>
        <v/>
      </c>
      <c r="HY55" s="356" t="str">
        <f t="shared" si="212"/>
        <v/>
      </c>
      <c r="HZ55" s="356" t="str">
        <f t="shared" si="213"/>
        <v/>
      </c>
      <c r="IA55" s="356" t="str">
        <f t="shared" si="214"/>
        <v/>
      </c>
      <c r="IB55" s="356" t="str">
        <f t="shared" si="215"/>
        <v/>
      </c>
      <c r="IC55" s="356" t="str">
        <f t="shared" si="216"/>
        <v/>
      </c>
      <c r="ID55" s="356" t="str">
        <f t="shared" si="217"/>
        <v/>
      </c>
      <c r="IE55" s="356" t="str">
        <f t="shared" si="218"/>
        <v/>
      </c>
      <c r="IF55" s="356" t="str">
        <f t="shared" si="219"/>
        <v/>
      </c>
      <c r="IG55" s="356" t="str">
        <f t="shared" si="220"/>
        <v/>
      </c>
      <c r="IH55" s="356" t="str">
        <f t="shared" si="221"/>
        <v/>
      </c>
      <c r="II55" s="356" t="str">
        <f t="shared" si="222"/>
        <v/>
      </c>
      <c r="IJ55" s="356" t="str">
        <f t="shared" si="223"/>
        <v/>
      </c>
      <c r="IK55" s="356" t="str">
        <f t="shared" si="224"/>
        <v/>
      </c>
      <c r="IL55" s="356" t="str">
        <f t="shared" si="225"/>
        <v/>
      </c>
      <c r="IM55" s="356" t="str">
        <f t="shared" si="226"/>
        <v/>
      </c>
      <c r="IN55" s="356" t="str">
        <f t="shared" si="227"/>
        <v/>
      </c>
      <c r="IO55" s="356" t="str">
        <f t="shared" si="228"/>
        <v/>
      </c>
      <c r="IP55" s="356" t="str">
        <f t="shared" si="229"/>
        <v/>
      </c>
      <c r="IQ55" s="356" t="str">
        <f t="shared" si="230"/>
        <v/>
      </c>
      <c r="IR55" s="356" t="str">
        <f t="shared" si="231"/>
        <v/>
      </c>
      <c r="IS55" s="356" t="str">
        <f t="shared" si="232"/>
        <v/>
      </c>
      <c r="IT55" s="356" t="str">
        <f t="shared" si="233"/>
        <v/>
      </c>
      <c r="IU55" s="356" t="str">
        <f t="shared" si="234"/>
        <v/>
      </c>
      <c r="IV55" s="356" t="str">
        <f t="shared" si="235"/>
        <v/>
      </c>
      <c r="IW55" s="356" t="str">
        <f t="shared" si="236"/>
        <v/>
      </c>
      <c r="IX55" s="356" t="str">
        <f t="shared" si="237"/>
        <v/>
      </c>
      <c r="IY55" s="356" t="str">
        <f t="shared" si="238"/>
        <v/>
      </c>
      <c r="IZ55" s="356" t="str">
        <f t="shared" si="239"/>
        <v/>
      </c>
      <c r="JA55" s="356" t="str">
        <f t="shared" si="240"/>
        <v/>
      </c>
      <c r="JB55" s="356" t="str">
        <f t="shared" si="241"/>
        <v/>
      </c>
      <c r="JC55" s="356" t="str">
        <f t="shared" si="242"/>
        <v/>
      </c>
      <c r="JD55" s="356" t="str">
        <f t="shared" si="243"/>
        <v/>
      </c>
      <c r="JE55" s="356" t="str">
        <f t="shared" si="244"/>
        <v/>
      </c>
      <c r="JF55" s="356" t="str">
        <f t="shared" si="245"/>
        <v/>
      </c>
      <c r="JG55" s="356" t="str">
        <f t="shared" si="246"/>
        <v/>
      </c>
      <c r="JH55" s="356" t="str">
        <f t="shared" si="247"/>
        <v/>
      </c>
      <c r="JI55" s="1785" t="str">
        <f t="shared" si="248"/>
        <v/>
      </c>
      <c r="JJ55" s="1785" t="str">
        <f t="shared" si="249"/>
        <v/>
      </c>
      <c r="JK55" s="1785" t="str">
        <f t="shared" si="250"/>
        <v/>
      </c>
      <c r="JL55" s="1785" t="str">
        <f t="shared" si="251"/>
        <v/>
      </c>
      <c r="JM55" s="1785" t="str">
        <f t="shared" si="252"/>
        <v/>
      </c>
      <c r="JN55" s="1785" t="str">
        <f t="shared" si="253"/>
        <v/>
      </c>
      <c r="JO55" s="1785" t="str">
        <f t="shared" si="254"/>
        <v/>
      </c>
      <c r="JP55" s="1785" t="str">
        <f t="shared" si="255"/>
        <v/>
      </c>
      <c r="JQ55" s="1785" t="str">
        <f t="shared" si="256"/>
        <v/>
      </c>
      <c r="JR55" s="1785" t="str">
        <f t="shared" si="257"/>
        <v/>
      </c>
      <c r="JS55" s="1785" t="str">
        <f t="shared" si="258"/>
        <v/>
      </c>
      <c r="JT55" s="1785" t="str">
        <f t="shared" si="259"/>
        <v/>
      </c>
      <c r="JU55" s="1785" t="str">
        <f t="shared" si="260"/>
        <v/>
      </c>
      <c r="JV55" s="1785" t="str">
        <f t="shared" si="261"/>
        <v/>
      </c>
      <c r="JW55" s="1785" t="str">
        <f t="shared" si="262"/>
        <v/>
      </c>
      <c r="JX55" s="1785" t="str">
        <f t="shared" si="263"/>
        <v/>
      </c>
      <c r="JY55" s="1785" t="str">
        <f t="shared" si="264"/>
        <v/>
      </c>
      <c r="JZ55" s="1785" t="str">
        <f t="shared" si="265"/>
        <v/>
      </c>
      <c r="KA55" s="1785" t="str">
        <f t="shared" si="266"/>
        <v/>
      </c>
      <c r="KB55" s="1785" t="str">
        <f t="shared" si="267"/>
        <v/>
      </c>
      <c r="KC55" s="1785" t="str">
        <f t="shared" si="268"/>
        <v/>
      </c>
      <c r="KD55" s="1785" t="str">
        <f t="shared" si="269"/>
        <v/>
      </c>
      <c r="KE55" s="1785" t="str">
        <f t="shared" si="270"/>
        <v/>
      </c>
      <c r="KF55" s="1785" t="str">
        <f t="shared" si="271"/>
        <v/>
      </c>
      <c r="KG55" s="1785" t="str">
        <f t="shared" si="272"/>
        <v/>
      </c>
      <c r="KH55" s="1785" t="str">
        <f t="shared" si="273"/>
        <v/>
      </c>
      <c r="KI55" s="1785" t="str">
        <f t="shared" si="274"/>
        <v/>
      </c>
      <c r="KJ55" s="1785" t="str">
        <f t="shared" si="275"/>
        <v/>
      </c>
      <c r="KK55" s="1785" t="str">
        <f t="shared" si="276"/>
        <v/>
      </c>
      <c r="KL55" s="1785" t="str">
        <f t="shared" si="277"/>
        <v/>
      </c>
      <c r="KM55" s="1785" t="str">
        <f t="shared" si="278"/>
        <v/>
      </c>
      <c r="KN55" s="1785" t="str">
        <f t="shared" si="279"/>
        <v/>
      </c>
      <c r="KO55" s="1785" t="str">
        <f t="shared" si="280"/>
        <v/>
      </c>
      <c r="KP55" s="1785" t="str">
        <f t="shared" si="281"/>
        <v/>
      </c>
      <c r="KQ55" s="1785" t="str">
        <f t="shared" si="282"/>
        <v/>
      </c>
      <c r="KR55" s="1785" t="str">
        <f t="shared" si="283"/>
        <v/>
      </c>
      <c r="KS55" s="1785" t="str">
        <f t="shared" si="284"/>
        <v/>
      </c>
      <c r="KT55" s="1785" t="str">
        <f t="shared" si="285"/>
        <v/>
      </c>
      <c r="KU55" s="1785" t="str">
        <f t="shared" si="286"/>
        <v/>
      </c>
      <c r="KV55" s="1785" t="str">
        <f t="shared" si="287"/>
        <v/>
      </c>
      <c r="KW55" s="1785" t="str">
        <f t="shared" si="288"/>
        <v/>
      </c>
      <c r="KX55" s="1785" t="str">
        <f t="shared" si="289"/>
        <v/>
      </c>
      <c r="KY55" s="1785" t="str">
        <f t="shared" si="290"/>
        <v/>
      </c>
      <c r="KZ55" s="1785" t="str">
        <f t="shared" si="291"/>
        <v/>
      </c>
      <c r="LA55" s="1785" t="str">
        <f t="shared" si="292"/>
        <v/>
      </c>
      <c r="LB55" s="1785" t="str">
        <f t="shared" si="293"/>
        <v/>
      </c>
      <c r="LC55" s="1785" t="str">
        <f t="shared" si="294"/>
        <v/>
      </c>
      <c r="LD55" s="1785" t="str">
        <f t="shared" si="295"/>
        <v/>
      </c>
      <c r="LE55" s="1785" t="str">
        <f t="shared" si="296"/>
        <v/>
      </c>
      <c r="LF55" s="1785" t="str">
        <f t="shared" si="297"/>
        <v/>
      </c>
      <c r="LG55" s="1785" t="str">
        <f t="shared" si="298"/>
        <v/>
      </c>
      <c r="LH55" s="1785" t="str">
        <f t="shared" si="299"/>
        <v/>
      </c>
      <c r="LI55" s="1785" t="str">
        <f t="shared" si="300"/>
        <v/>
      </c>
      <c r="LJ55" s="1785" t="str">
        <f t="shared" si="301"/>
        <v/>
      </c>
      <c r="LK55" s="1785" t="str">
        <f t="shared" si="302"/>
        <v/>
      </c>
      <c r="LL55" s="1785" t="str">
        <f t="shared" si="303"/>
        <v/>
      </c>
      <c r="LM55" s="1785" t="str">
        <f t="shared" si="304"/>
        <v/>
      </c>
      <c r="LN55" s="1785" t="str">
        <f t="shared" si="305"/>
        <v/>
      </c>
      <c r="LO55" s="1785" t="str">
        <f t="shared" si="306"/>
        <v/>
      </c>
      <c r="LP55" s="1785" t="str">
        <f t="shared" si="307"/>
        <v/>
      </c>
      <c r="LQ55" s="1785" t="str">
        <f t="shared" si="308"/>
        <v/>
      </c>
      <c r="LR55" s="1785" t="str">
        <f t="shared" si="309"/>
        <v/>
      </c>
      <c r="LS55" s="1785" t="str">
        <f t="shared" si="310"/>
        <v/>
      </c>
      <c r="LT55" s="1785" t="str">
        <f t="shared" si="311"/>
        <v/>
      </c>
      <c r="LU55" s="1785" t="str">
        <f t="shared" si="312"/>
        <v/>
      </c>
      <c r="LV55" s="1785" t="str">
        <f t="shared" si="313"/>
        <v/>
      </c>
      <c r="LW55" s="1785" t="str">
        <f t="shared" si="314"/>
        <v/>
      </c>
      <c r="LX55" s="1785" t="str">
        <f t="shared" si="315"/>
        <v/>
      </c>
      <c r="LY55" s="1785" t="str">
        <f t="shared" si="316"/>
        <v/>
      </c>
      <c r="LZ55" s="1785" t="str">
        <f t="shared" si="317"/>
        <v/>
      </c>
      <c r="MA55" s="1785" t="str">
        <f t="shared" si="318"/>
        <v/>
      </c>
      <c r="MB55" s="1785" t="str">
        <f t="shared" si="319"/>
        <v/>
      </c>
      <c r="MC55" s="1785" t="str">
        <f t="shared" si="320"/>
        <v/>
      </c>
      <c r="MD55" s="1785" t="str">
        <f t="shared" si="321"/>
        <v/>
      </c>
      <c r="ME55" s="1785" t="str">
        <f t="shared" si="322"/>
        <v/>
      </c>
      <c r="MF55" s="1785" t="str">
        <f t="shared" si="323"/>
        <v/>
      </c>
      <c r="MG55" s="1785" t="str">
        <f t="shared" si="324"/>
        <v/>
      </c>
      <c r="MH55" s="1785" t="str">
        <f t="shared" si="325"/>
        <v/>
      </c>
      <c r="MI55" s="1785" t="str">
        <f t="shared" si="326"/>
        <v/>
      </c>
      <c r="MJ55" s="1785" t="str">
        <f t="shared" si="327"/>
        <v/>
      </c>
      <c r="MK55" s="1785" t="str">
        <f t="shared" si="328"/>
        <v/>
      </c>
      <c r="ML55" s="1785" t="str">
        <f t="shared" si="329"/>
        <v/>
      </c>
      <c r="MM55" s="1785" t="str">
        <f t="shared" si="330"/>
        <v/>
      </c>
      <c r="MN55" s="1785" t="str">
        <f t="shared" si="331"/>
        <v/>
      </c>
      <c r="MO55" s="1785" t="str">
        <f t="shared" si="332"/>
        <v/>
      </c>
      <c r="MP55" s="2470" t="str">
        <f t="shared" si="333"/>
        <v/>
      </c>
      <c r="MQ55" s="2470" t="str">
        <f t="shared" si="334"/>
        <v/>
      </c>
      <c r="MR55" s="2470" t="str">
        <f t="shared" si="335"/>
        <v/>
      </c>
      <c r="MS55" s="2470" t="str">
        <f t="shared" si="336"/>
        <v/>
      </c>
      <c r="MT55" s="2470" t="str">
        <f t="shared" si="337"/>
        <v/>
      </c>
      <c r="MU55" s="356" t="str">
        <f t="shared" si="572"/>
        <v/>
      </c>
      <c r="MV55" s="356" t="str">
        <f t="shared" si="573"/>
        <v/>
      </c>
      <c r="MW55" s="356" t="str">
        <f t="shared" si="574"/>
        <v/>
      </c>
      <c r="MX55" s="356" t="str">
        <f t="shared" si="575"/>
        <v/>
      </c>
      <c r="MY55" s="356" t="str">
        <f t="shared" si="576"/>
        <v/>
      </c>
      <c r="MZ55" s="356" t="str">
        <f t="shared" si="343"/>
        <v/>
      </c>
      <c r="NA55" s="356" t="str">
        <f t="shared" si="344"/>
        <v/>
      </c>
      <c r="NB55" s="356" t="str">
        <f t="shared" si="345"/>
        <v/>
      </c>
      <c r="NC55" s="356" t="str">
        <f t="shared" si="346"/>
        <v/>
      </c>
      <c r="ND55" s="356" t="str">
        <f t="shared" si="347"/>
        <v/>
      </c>
      <c r="NE55" s="356" t="str">
        <f t="shared" si="348"/>
        <v/>
      </c>
      <c r="NF55" s="356" t="str">
        <f t="shared" si="349"/>
        <v/>
      </c>
      <c r="NG55" s="356" t="str">
        <f t="shared" si="350"/>
        <v/>
      </c>
      <c r="NH55" s="356" t="str">
        <f t="shared" si="351"/>
        <v/>
      </c>
      <c r="NI55" s="356" t="str">
        <f t="shared" si="352"/>
        <v/>
      </c>
      <c r="NJ55" s="356" t="str">
        <f t="shared" si="353"/>
        <v/>
      </c>
      <c r="NK55" s="356" t="str">
        <f t="shared" si="354"/>
        <v/>
      </c>
      <c r="NL55" s="356" t="str">
        <f t="shared" si="355"/>
        <v/>
      </c>
      <c r="NM55" s="356" t="str">
        <f t="shared" si="356"/>
        <v/>
      </c>
      <c r="NN55" s="356" t="str">
        <f t="shared" si="357"/>
        <v/>
      </c>
      <c r="NO55" s="1640">
        <f t="shared" si="358"/>
        <v>0</v>
      </c>
      <c r="NP55" s="1640">
        <f t="shared" si="359"/>
        <v>0</v>
      </c>
      <c r="NQ55" s="1640">
        <f t="shared" si="360"/>
        <v>0</v>
      </c>
      <c r="NR55" s="1640">
        <f t="shared" si="361"/>
        <v>0</v>
      </c>
      <c r="NS55" s="1640">
        <f t="shared" si="362"/>
        <v>0</v>
      </c>
      <c r="NT55" s="1640">
        <f t="shared" si="368"/>
        <v>0</v>
      </c>
      <c r="NU55" s="1640">
        <f t="shared" si="369"/>
        <v>0</v>
      </c>
      <c r="NV55" s="1640">
        <f t="shared" si="370"/>
        <v>0</v>
      </c>
      <c r="NW55" s="1640">
        <f t="shared" si="371"/>
        <v>0</v>
      </c>
      <c r="NX55" s="1640">
        <f t="shared" si="372"/>
        <v>0</v>
      </c>
      <c r="NY55" s="1640">
        <f t="shared" si="363"/>
        <v>0</v>
      </c>
      <c r="NZ55" s="1640">
        <f t="shared" si="364"/>
        <v>0</v>
      </c>
      <c r="OA55" s="1640">
        <f t="shared" si="365"/>
        <v>0</v>
      </c>
      <c r="OB55" s="1640">
        <f t="shared" si="366"/>
        <v>0</v>
      </c>
      <c r="OC55" s="1640">
        <f t="shared" si="367"/>
        <v>0</v>
      </c>
      <c r="OY55" s="2499" t="s">
        <v>4333</v>
      </c>
      <c r="OZ55" s="2503">
        <v>51</v>
      </c>
    </row>
    <row r="56" spans="1:416" ht="12" customHeight="1">
      <c r="A56" s="86" t="str">
        <f t="shared" ref="A56" si="577">IF(AND(E56&gt;0,OR(B56="",C56="",D56="",F56="",G56="", H56="",I56="",N56="",O56="",P56="",Q56="")),1,"")</f>
        <v/>
      </c>
      <c r="B56" s="1055"/>
      <c r="C56" s="132"/>
      <c r="D56" s="1643"/>
      <c r="E56" s="133"/>
      <c r="F56" s="133"/>
      <c r="G56" s="133"/>
      <c r="H56" s="133"/>
      <c r="I56" s="133"/>
      <c r="J56" s="1036">
        <f>IF(C56="",0,HLOOKUP(C56,'Part IV-Utility Allowances'!$I$11:$M$25,15))</f>
        <v>0</v>
      </c>
      <c r="K56" s="630"/>
      <c r="L56" s="460">
        <f t="shared" ref="L56" si="578">MAX(0,H56-I56-J56)</f>
        <v>0</v>
      </c>
      <c r="M56" s="460">
        <f t="shared" ref="M56" si="579">MAX(0,E56*L56)</f>
        <v>0</v>
      </c>
      <c r="N56" s="680"/>
      <c r="O56" s="1585"/>
      <c r="P56" s="680"/>
      <c r="Q56" s="134"/>
      <c r="R56" s="723"/>
      <c r="S56" s="724"/>
      <c r="T56" s="3613"/>
      <c r="U56" s="3614"/>
      <c r="V56" s="3614"/>
      <c r="W56" s="3615"/>
      <c r="X56" s="356" t="str">
        <f t="shared" ref="X56" si="580">IF(AND(C56="Efficiency",B56=80,NOT(N56="Common Space")),E56,"")</f>
        <v/>
      </c>
      <c r="Y56" s="356" t="str">
        <f t="shared" ref="Y56" si="581">IF(AND(C56=1,B56=80,NOT(N56="Common Space")),E56,"")</f>
        <v/>
      </c>
      <c r="Z56" s="356" t="str">
        <f t="shared" ref="Z56" si="582">IF(AND(C56=2,B56=80,NOT(N56="Common Space")),E56,"")</f>
        <v/>
      </c>
      <c r="AA56" s="356" t="str">
        <f t="shared" ref="AA56" si="583">IF(AND(C56=3,B56=80,NOT(N56="Common Space")),E56,"")</f>
        <v/>
      </c>
      <c r="AB56" s="356" t="str">
        <f t="shared" ref="AB56" si="584">IF(AND(C56=4,B56=80,NOT(N56="Common Space")),E56,"")</f>
        <v/>
      </c>
      <c r="AC56" s="356" t="str">
        <f t="shared" ref="AC56" si="585">IF(AND(C56="Efficiency",B56=70,NOT(N56="Common Space")),E56,"")</f>
        <v/>
      </c>
      <c r="AD56" s="356" t="str">
        <f t="shared" ref="AD56" si="586">IF(AND(C56=1,B56=70,NOT(N56="Common Space")),E56,"")</f>
        <v/>
      </c>
      <c r="AE56" s="356" t="str">
        <f t="shared" ref="AE56" si="587">IF(AND(C56=2,B56=70,NOT(N56="Common Space")),E56,"")</f>
        <v/>
      </c>
      <c r="AF56" s="356" t="str">
        <f t="shared" ref="AF56" si="588">IF(AND(C56=3,B56=70,NOT(N56="Common Space")),E56,"")</f>
        <v/>
      </c>
      <c r="AG56" s="356" t="str">
        <f t="shared" ref="AG56" si="589">IF(AND(C56=4,B56=70,NOT(N56="Common Space")),E56,"")</f>
        <v/>
      </c>
      <c r="AH56" s="356" t="str">
        <f t="shared" ref="AH56" si="590">IF(AND(C56="Efficiency",B56=60,NOT(N56="Common Space")),E56,"")</f>
        <v/>
      </c>
      <c r="AI56" s="356" t="str">
        <f t="shared" ref="AI56" si="591">IF(AND(C56=1,B56=60,NOT(N56="Common Space")),E56,"")</f>
        <v/>
      </c>
      <c r="AJ56" s="356" t="str">
        <f t="shared" ref="AJ56" si="592">IF(AND(C56=2,B56=60,NOT(N56="Common Space")),E56,"")</f>
        <v/>
      </c>
      <c r="AK56" s="356" t="str">
        <f t="shared" ref="AK56" si="593">IF(AND(C56=3,B56=60,NOT(N56="Common Space")),E56,"")</f>
        <v/>
      </c>
      <c r="AL56" s="356" t="str">
        <f t="shared" ref="AL56" si="594">IF(AND(C56=4,B56=60,NOT(N56="Common Space")),E56,"")</f>
        <v/>
      </c>
      <c r="AM56" s="356" t="str">
        <f t="shared" ref="AM56" si="595">IF(AND(C56="Efficiency",B56=50,NOT(N56="Common Space")),E56,"")</f>
        <v/>
      </c>
      <c r="AN56" s="356" t="str">
        <f t="shared" ref="AN56" si="596">IF(AND(C56=1,B56=50,NOT(N56="Common Space")),E56,"")</f>
        <v/>
      </c>
      <c r="AO56" s="356" t="str">
        <f t="shared" ref="AO56" si="597">IF(AND(C56=2,B56=50,NOT(N56="Common Space")),E56,"")</f>
        <v/>
      </c>
      <c r="AP56" s="356" t="str">
        <f t="shared" ref="AP56" si="598">IF(AND(C56=3,B56=50,NOT(N56="Common Space")),E56,"")</f>
        <v/>
      </c>
      <c r="AQ56" s="356" t="str">
        <f t="shared" ref="AQ56" si="599">IF(AND(C56=4,B56=50,NOT(N56="Common Space")),E56,"")</f>
        <v/>
      </c>
      <c r="AR56" s="356" t="str">
        <f t="shared" ref="AR56" si="600">IF(AND(C56="Efficiency",B56=40,NOT(N56="Common Space")),E56,"")</f>
        <v/>
      </c>
      <c r="AS56" s="356" t="str">
        <f t="shared" ref="AS56" si="601">IF(AND(C56=1,B56=40,NOT(N56="Common Space")),E56,"")</f>
        <v/>
      </c>
      <c r="AT56" s="356" t="str">
        <f t="shared" ref="AT56" si="602">IF(AND(C56=2,B56=40,NOT(N56="Common Space")),E56,"")</f>
        <v/>
      </c>
      <c r="AU56" s="356" t="str">
        <f t="shared" ref="AU56" si="603">IF(AND(C56=3,B56=40,NOT(N56="Common Space")),E56,"")</f>
        <v/>
      </c>
      <c r="AV56" s="356" t="str">
        <f t="shared" ref="AV56" si="604">IF(AND(C56=4,B56=40,NOT(N56="Common Space")),E56,"")</f>
        <v/>
      </c>
      <c r="AW56" s="356" t="str">
        <f t="shared" ref="AW56" si="605">IF(AND(C56="Efficiency",B56=30,NOT(N56="Common Space")),E56,"")</f>
        <v/>
      </c>
      <c r="AX56" s="356" t="str">
        <f t="shared" ref="AX56" si="606">IF(AND(C56=1,B56=30,NOT(N56="Common Space")),E56,"")</f>
        <v/>
      </c>
      <c r="AY56" s="356" t="str">
        <f t="shared" ref="AY56" si="607">IF(AND(C56=2,B56=30,NOT(N56="Common Space")),E56,"")</f>
        <v/>
      </c>
      <c r="AZ56" s="356" t="str">
        <f t="shared" ref="AZ56" si="608">IF(AND(C56=3,B56=30,NOT(N56="Common Space")),E56,"")</f>
        <v/>
      </c>
      <c r="BA56" s="356" t="str">
        <f t="shared" ref="BA56" si="609">IF(AND(C56=4,B56=30,NOT(N56="Common Space")),E56,"")</f>
        <v/>
      </c>
      <c r="BB56" s="356" t="str">
        <f t="shared" ref="BB56" si="610">IF(AND(C56="Efficiency",B56=20,NOT(N56="Common Space")),E56,"")</f>
        <v/>
      </c>
      <c r="BC56" s="356" t="str">
        <f t="shared" ref="BC56" si="611">IF(AND(C56=1,B56=20,NOT(N56="Common Space")),E56,"")</f>
        <v/>
      </c>
      <c r="BD56" s="356" t="str">
        <f t="shared" ref="BD56" si="612">IF(AND(C56=2,B56=20,NOT(N56="Common Space")),E56,"")</f>
        <v/>
      </c>
      <c r="BE56" s="356" t="str">
        <f t="shared" ref="BE56" si="613">IF(AND(C56=3,B56=20,NOT(N56="Common Space")),E56,"")</f>
        <v/>
      </c>
      <c r="BF56" s="356" t="str">
        <f t="shared" ref="BF56" si="614">IF(AND(C56=4,B56=20,NOT(N56="Common Space")),E56,"")</f>
        <v/>
      </c>
      <c r="BG56" s="356" t="str">
        <f t="shared" ref="BG56" si="615">IF(AND(C56="Efficiency",B56="Unrestricted",NOT(N56="Common Space")),E56,"")</f>
        <v/>
      </c>
      <c r="BH56" s="356" t="str">
        <f t="shared" ref="BH56" si="616">IF(AND(C56=1,B56="Unrestricted",NOT(N56="Common Space")),E56,"")</f>
        <v/>
      </c>
      <c r="BI56" s="356" t="str">
        <f t="shared" ref="BI56" si="617">IF(AND(C56=2,B56="Unrestricted",NOT(N56="Common Space")),E56,"")</f>
        <v/>
      </c>
      <c r="BJ56" s="356" t="str">
        <f t="shared" ref="BJ56" si="618">IF(AND(C56=3,B56="Unrestricted",NOT(N56="Common Space")),E56,"")</f>
        <v/>
      </c>
      <c r="BK56" s="356" t="str">
        <f t="shared" ref="BK56" si="619">IF(AND(C56=4,B56="Unrestricted",NOT(N56="Common Space")),E56,"")</f>
        <v/>
      </c>
      <c r="BL56" s="356" t="str">
        <f t="shared" si="43"/>
        <v/>
      </c>
      <c r="BM56" s="356" t="str">
        <f t="shared" si="44"/>
        <v/>
      </c>
      <c r="BN56" s="356" t="str">
        <f t="shared" si="45"/>
        <v/>
      </c>
      <c r="BO56" s="356" t="str">
        <f t="shared" si="46"/>
        <v/>
      </c>
      <c r="BP56" s="356" t="str">
        <f t="shared" si="47"/>
        <v/>
      </c>
      <c r="BQ56" s="356" t="str">
        <f t="shared" si="48"/>
        <v/>
      </c>
      <c r="BR56" s="356" t="str">
        <f t="shared" si="49"/>
        <v/>
      </c>
      <c r="BS56" s="356" t="str">
        <f t="shared" si="50"/>
        <v/>
      </c>
      <c r="BT56" s="356" t="str">
        <f t="shared" si="51"/>
        <v/>
      </c>
      <c r="BU56" s="356" t="str">
        <f t="shared" si="52"/>
        <v/>
      </c>
      <c r="BV56" s="356" t="str">
        <f t="shared" si="53"/>
        <v/>
      </c>
      <c r="BW56" s="356" t="str">
        <f t="shared" si="54"/>
        <v/>
      </c>
      <c r="BX56" s="356" t="str">
        <f t="shared" si="55"/>
        <v/>
      </c>
      <c r="BY56" s="356" t="str">
        <f t="shared" si="56"/>
        <v/>
      </c>
      <c r="BZ56" s="356" t="str">
        <f t="shared" si="57"/>
        <v/>
      </c>
      <c r="CA56" s="356" t="str">
        <f t="shared" si="58"/>
        <v/>
      </c>
      <c r="CB56" s="356" t="str">
        <f t="shared" si="59"/>
        <v/>
      </c>
      <c r="CC56" s="356" t="str">
        <f t="shared" si="60"/>
        <v/>
      </c>
      <c r="CD56" s="356" t="str">
        <f t="shared" si="61"/>
        <v/>
      </c>
      <c r="CE56" s="356" t="str">
        <f t="shared" si="62"/>
        <v/>
      </c>
      <c r="CF56" s="356" t="str">
        <f t="shared" si="63"/>
        <v/>
      </c>
      <c r="CG56" s="356" t="str">
        <f t="shared" si="64"/>
        <v/>
      </c>
      <c r="CH56" s="356" t="str">
        <f t="shared" si="65"/>
        <v/>
      </c>
      <c r="CI56" s="356" t="str">
        <f t="shared" si="66"/>
        <v/>
      </c>
      <c r="CJ56" s="356" t="str">
        <f t="shared" si="67"/>
        <v/>
      </c>
      <c r="CK56" s="356" t="str">
        <f t="shared" si="68"/>
        <v/>
      </c>
      <c r="CL56" s="356" t="str">
        <f t="shared" si="69"/>
        <v/>
      </c>
      <c r="CM56" s="356" t="str">
        <f t="shared" si="70"/>
        <v/>
      </c>
      <c r="CN56" s="356" t="str">
        <f t="shared" si="71"/>
        <v/>
      </c>
      <c r="CO56" s="356" t="str">
        <f t="shared" si="72"/>
        <v/>
      </c>
      <c r="CP56" s="356" t="str">
        <f t="shared" si="73"/>
        <v/>
      </c>
      <c r="CQ56" s="356" t="str">
        <f t="shared" si="74"/>
        <v/>
      </c>
      <c r="CR56" s="356" t="str">
        <f t="shared" si="75"/>
        <v/>
      </c>
      <c r="CS56" s="356" t="str">
        <f t="shared" si="76"/>
        <v/>
      </c>
      <c r="CT56" s="356" t="str">
        <f t="shared" si="77"/>
        <v/>
      </c>
      <c r="CU56" s="356" t="str">
        <f t="shared" si="78"/>
        <v/>
      </c>
      <c r="CV56" s="356" t="str">
        <f t="shared" si="79"/>
        <v/>
      </c>
      <c r="CW56" s="356" t="str">
        <f t="shared" si="80"/>
        <v/>
      </c>
      <c r="CX56" s="356" t="str">
        <f t="shared" si="81"/>
        <v/>
      </c>
      <c r="CY56" s="356" t="str">
        <f t="shared" si="82"/>
        <v/>
      </c>
      <c r="CZ56" s="356" t="str">
        <f t="shared" si="83"/>
        <v/>
      </c>
      <c r="DA56" s="356" t="str">
        <f t="shared" si="84"/>
        <v/>
      </c>
      <c r="DB56" s="356" t="str">
        <f t="shared" si="85"/>
        <v/>
      </c>
      <c r="DC56" s="356" t="str">
        <f t="shared" si="86"/>
        <v/>
      </c>
      <c r="DD56" s="356" t="str">
        <f t="shared" si="87"/>
        <v/>
      </c>
      <c r="DE56" s="356" t="str">
        <f t="shared" si="88"/>
        <v/>
      </c>
      <c r="DF56" s="356" t="str">
        <f t="shared" si="89"/>
        <v/>
      </c>
      <c r="DG56" s="356" t="str">
        <f t="shared" si="90"/>
        <v/>
      </c>
      <c r="DH56" s="356" t="str">
        <f t="shared" si="91"/>
        <v/>
      </c>
      <c r="DI56" s="356" t="str">
        <f t="shared" si="92"/>
        <v/>
      </c>
      <c r="DJ56" s="356" t="str">
        <f t="shared" si="93"/>
        <v/>
      </c>
      <c r="DK56" s="356" t="str">
        <f t="shared" si="94"/>
        <v/>
      </c>
      <c r="DL56" s="356" t="str">
        <f t="shared" si="95"/>
        <v/>
      </c>
      <c r="DM56" s="356" t="str">
        <f t="shared" si="96"/>
        <v/>
      </c>
      <c r="DN56" s="356" t="str">
        <f t="shared" si="97"/>
        <v/>
      </c>
      <c r="DO56" s="356" t="str">
        <f t="shared" si="98"/>
        <v/>
      </c>
      <c r="DP56" s="356" t="str">
        <f t="shared" si="99"/>
        <v/>
      </c>
      <c r="DQ56" s="356" t="str">
        <f t="shared" si="100"/>
        <v/>
      </c>
      <c r="DR56" s="356" t="str">
        <f t="shared" si="101"/>
        <v/>
      </c>
      <c r="DS56" s="356" t="str">
        <f t="shared" si="102"/>
        <v/>
      </c>
      <c r="DT56" s="356" t="str">
        <f t="shared" si="103"/>
        <v/>
      </c>
      <c r="DU56" s="356" t="str">
        <f t="shared" si="104"/>
        <v/>
      </c>
      <c r="DV56" s="356" t="str">
        <f t="shared" si="105"/>
        <v/>
      </c>
      <c r="DW56" s="356" t="str">
        <f t="shared" si="106"/>
        <v/>
      </c>
      <c r="DX56" s="356" t="str">
        <f t="shared" si="107"/>
        <v/>
      </c>
      <c r="DY56" s="356" t="str">
        <f t="shared" si="108"/>
        <v/>
      </c>
      <c r="DZ56" s="356" t="str">
        <f t="shared" si="109"/>
        <v/>
      </c>
      <c r="EA56" s="356" t="str">
        <f t="shared" si="110"/>
        <v/>
      </c>
      <c r="EB56" s="356" t="str">
        <f t="shared" si="111"/>
        <v/>
      </c>
      <c r="EC56" s="356" t="str">
        <f t="shared" si="112"/>
        <v/>
      </c>
      <c r="ED56" s="356" t="str">
        <f t="shared" si="113"/>
        <v/>
      </c>
      <c r="EE56" s="356" t="str">
        <f t="shared" si="114"/>
        <v/>
      </c>
      <c r="EF56" s="356" t="str">
        <f t="shared" si="115"/>
        <v/>
      </c>
      <c r="EG56" s="356" t="str">
        <f t="shared" si="116"/>
        <v/>
      </c>
      <c r="EH56" s="356" t="str">
        <f t="shared" si="117"/>
        <v/>
      </c>
      <c r="EI56" s="356" t="str">
        <f t="shared" si="118"/>
        <v/>
      </c>
      <c r="EJ56" s="356" t="str">
        <f t="shared" si="119"/>
        <v/>
      </c>
      <c r="EK56" s="356" t="str">
        <f t="shared" si="120"/>
        <v/>
      </c>
      <c r="EL56" s="356" t="str">
        <f t="shared" si="121"/>
        <v/>
      </c>
      <c r="EM56" s="356" t="str">
        <f t="shared" si="122"/>
        <v/>
      </c>
      <c r="EN56" s="356" t="str">
        <f t="shared" si="123"/>
        <v/>
      </c>
      <c r="EO56" s="356" t="str">
        <f t="shared" si="124"/>
        <v/>
      </c>
      <c r="EP56" s="356" t="str">
        <f t="shared" si="125"/>
        <v/>
      </c>
      <c r="EQ56" s="356" t="str">
        <f t="shared" si="126"/>
        <v/>
      </c>
      <c r="ER56" s="356" t="str">
        <f t="shared" si="127"/>
        <v/>
      </c>
      <c r="ES56" s="356" t="str">
        <f t="shared" si="128"/>
        <v/>
      </c>
      <c r="ET56" s="356" t="str">
        <f t="shared" si="129"/>
        <v/>
      </c>
      <c r="EU56" s="356" t="str">
        <f t="shared" si="130"/>
        <v/>
      </c>
      <c r="EV56" s="356" t="str">
        <f t="shared" si="131"/>
        <v/>
      </c>
      <c r="EW56" s="356" t="str">
        <f t="shared" si="132"/>
        <v/>
      </c>
      <c r="EX56" s="356" t="str">
        <f t="shared" si="133"/>
        <v/>
      </c>
      <c r="EY56" s="356" t="str">
        <f t="shared" si="134"/>
        <v/>
      </c>
      <c r="EZ56" s="356" t="str">
        <f t="shared" si="135"/>
        <v/>
      </c>
      <c r="FA56" s="356" t="str">
        <f t="shared" si="136"/>
        <v/>
      </c>
      <c r="FB56" s="356" t="str">
        <f t="shared" si="137"/>
        <v/>
      </c>
      <c r="FC56" s="356" t="str">
        <f t="shared" si="138"/>
        <v/>
      </c>
      <c r="FD56" s="356" t="str">
        <f t="shared" si="139"/>
        <v/>
      </c>
      <c r="FE56" s="356" t="str">
        <f t="shared" si="140"/>
        <v/>
      </c>
      <c r="FF56" s="356" t="str">
        <f t="shared" si="141"/>
        <v/>
      </c>
      <c r="FG56" s="356" t="str">
        <f t="shared" si="142"/>
        <v/>
      </c>
      <c r="FH56" s="356" t="str">
        <f t="shared" si="143"/>
        <v/>
      </c>
      <c r="FI56" s="356" t="str">
        <f t="shared" si="144"/>
        <v/>
      </c>
      <c r="FJ56" s="356" t="str">
        <f t="shared" si="145"/>
        <v/>
      </c>
      <c r="FK56" s="356" t="str">
        <f t="shared" si="146"/>
        <v/>
      </c>
      <c r="FL56" s="356" t="str">
        <f t="shared" si="147"/>
        <v/>
      </c>
      <c r="FM56" s="356" t="str">
        <f t="shared" ref="FM56" si="620">IF(AND(C56="Efficiency",N56="Common Space"),E56,"")</f>
        <v/>
      </c>
      <c r="FN56" s="356" t="str">
        <f t="shared" ref="FN56" si="621">IF(AND(C56=1,N56="Common Space"),E56,"")</f>
        <v/>
      </c>
      <c r="FO56" s="356" t="str">
        <f t="shared" ref="FO56" si="622">IF(AND(C56=2,N56="Common Space"),E56,"")</f>
        <v/>
      </c>
      <c r="FP56" s="356" t="str">
        <f t="shared" ref="FP56" si="623">IF(AND(C56=3,N56="Common Space"),E56,"")</f>
        <v/>
      </c>
      <c r="FQ56" s="356" t="str">
        <f t="shared" ref="FQ56" si="624">IF(AND(C56=4,N56="Common Space"),E56,"")</f>
        <v/>
      </c>
      <c r="FR56" s="356" t="str">
        <f t="shared" si="153"/>
        <v/>
      </c>
      <c r="FS56" s="356" t="str">
        <f t="shared" si="154"/>
        <v/>
      </c>
      <c r="FT56" s="356" t="str">
        <f t="shared" si="155"/>
        <v/>
      </c>
      <c r="FU56" s="356" t="str">
        <f t="shared" si="156"/>
        <v/>
      </c>
      <c r="FV56" s="356" t="str">
        <f t="shared" si="157"/>
        <v/>
      </c>
      <c r="FW56" s="356" t="str">
        <f t="shared" si="158"/>
        <v/>
      </c>
      <c r="FX56" s="356" t="str">
        <f t="shared" si="159"/>
        <v/>
      </c>
      <c r="FY56" s="356" t="str">
        <f t="shared" si="160"/>
        <v/>
      </c>
      <c r="FZ56" s="356" t="str">
        <f t="shared" si="161"/>
        <v/>
      </c>
      <c r="GA56" s="356" t="str">
        <f t="shared" si="162"/>
        <v/>
      </c>
      <c r="GB56" s="356" t="str">
        <f t="shared" si="163"/>
        <v/>
      </c>
      <c r="GC56" s="356" t="str">
        <f t="shared" si="164"/>
        <v/>
      </c>
      <c r="GD56" s="356" t="str">
        <f t="shared" si="165"/>
        <v/>
      </c>
      <c r="GE56" s="356" t="str">
        <f t="shared" si="166"/>
        <v/>
      </c>
      <c r="GF56" s="356" t="str">
        <f t="shared" si="167"/>
        <v/>
      </c>
      <c r="GG56" s="356" t="str">
        <f t="shared" si="168"/>
        <v/>
      </c>
      <c r="GH56" s="356" t="str">
        <f t="shared" si="169"/>
        <v/>
      </c>
      <c r="GI56" s="356" t="str">
        <f t="shared" si="170"/>
        <v/>
      </c>
      <c r="GJ56" s="356" t="str">
        <f t="shared" si="171"/>
        <v/>
      </c>
      <c r="GK56" s="356" t="str">
        <f t="shared" si="172"/>
        <v/>
      </c>
      <c r="GL56" s="356" t="str">
        <f t="shared" si="173"/>
        <v/>
      </c>
      <c r="GM56" s="356" t="str">
        <f t="shared" si="174"/>
        <v/>
      </c>
      <c r="GN56" s="356" t="str">
        <f t="shared" si="175"/>
        <v/>
      </c>
      <c r="GO56" s="356" t="str">
        <f t="shared" si="176"/>
        <v/>
      </c>
      <c r="GP56" s="356" t="str">
        <f t="shared" si="177"/>
        <v/>
      </c>
      <c r="GQ56" s="356" t="str">
        <f t="shared" si="178"/>
        <v/>
      </c>
      <c r="GR56" s="356" t="str">
        <f t="shared" si="179"/>
        <v/>
      </c>
      <c r="GS56" s="356" t="str">
        <f t="shared" si="180"/>
        <v/>
      </c>
      <c r="GT56" s="356" t="str">
        <f t="shared" si="181"/>
        <v/>
      </c>
      <c r="GU56" s="356" t="str">
        <f t="shared" si="182"/>
        <v/>
      </c>
      <c r="GV56" s="356" t="str">
        <f t="shared" si="183"/>
        <v/>
      </c>
      <c r="GW56" s="356" t="str">
        <f t="shared" si="184"/>
        <v/>
      </c>
      <c r="GX56" s="356" t="str">
        <f t="shared" si="185"/>
        <v/>
      </c>
      <c r="GY56" s="356" t="str">
        <f t="shared" si="186"/>
        <v/>
      </c>
      <c r="GZ56" s="356" t="str">
        <f t="shared" si="187"/>
        <v/>
      </c>
      <c r="HA56" s="356" t="str">
        <f t="shared" ref="HA56" si="625">IF(AND(C56="Efficiency",B56="Unrestricted",NOT(N56="Common Space")),E56*F56,"")</f>
        <v/>
      </c>
      <c r="HB56" s="356" t="str">
        <f t="shared" ref="HB56" si="626">IF(AND(C56=1,B56="Unrestricted",NOT(N56="Common Space")),E56*F56,"")</f>
        <v/>
      </c>
      <c r="HC56" s="356" t="str">
        <f t="shared" ref="HC56" si="627">IF(AND(C56=2,B56="Unrestricted",NOT(N56="Common Space")),E56*F56,"")</f>
        <v/>
      </c>
      <c r="HD56" s="356" t="str">
        <f t="shared" ref="HD56" si="628">IF(AND(C56=3,B56="Unrestricted",NOT(N56="Common Space")),E56*F56,"")</f>
        <v/>
      </c>
      <c r="HE56" s="356" t="str">
        <f t="shared" ref="HE56" si="629">IF(AND(C56=4,B56="Unrestricted",NOT(N56="Common Space")),E56*F56,"")</f>
        <v/>
      </c>
      <c r="HF56" s="356" t="str">
        <f t="shared" ref="HF56" si="630">IF(AND(C56="Efficiency",NOT(K56=""),NOT($K56=0),NOT(N56="Common Space")),E56*F56,"")</f>
        <v/>
      </c>
      <c r="HG56" s="356" t="str">
        <f t="shared" ref="HG56" si="631">IF(AND(C56=1,NOT(K56=""),NOT($K56=0),NOT(N56="Common Space")),E56*F56,"")</f>
        <v/>
      </c>
      <c r="HH56" s="356" t="str">
        <f t="shared" ref="HH56" si="632">IF(AND(C56=2,NOT(K56=""),NOT($K56=0),NOT(N56="Common Space")),E56*F56,"")</f>
        <v/>
      </c>
      <c r="HI56" s="356" t="str">
        <f t="shared" ref="HI56" si="633">IF(AND(C56=3,NOT(K56=""),NOT($K56=0),NOT(N56="Common Space")),E56*F56,"")</f>
        <v/>
      </c>
      <c r="HJ56" s="356" t="str">
        <f t="shared" ref="HJ56" si="634">IF(AND(C56=4,NOT(K56=""),NOT($K56=0),NOT(N56="Common Space")),E56*F56,"")</f>
        <v/>
      </c>
      <c r="HK56" s="356" t="str">
        <f t="shared" ref="HK56" si="635">IF(AND(C56="Efficiency",N56="Common Space"),E56*F56,"")</f>
        <v/>
      </c>
      <c r="HL56" s="356" t="str">
        <f t="shared" ref="HL56" si="636">IF(AND(C56=1,N56="Common Space"),E56*F56,"")</f>
        <v/>
      </c>
      <c r="HM56" s="356" t="str">
        <f t="shared" ref="HM56" si="637">IF(AND(C56=2,N56="Common Space"),E56*F56,"")</f>
        <v/>
      </c>
      <c r="HN56" s="356" t="str">
        <f t="shared" ref="HN56" si="638">IF(AND(C56=3,N56="Common Space"),E56*F56,"")</f>
        <v/>
      </c>
      <c r="HO56" s="356" t="str">
        <f t="shared" ref="HO56" si="639">IF(AND(C56=4,N56="Common Space"),E56*F56,"")</f>
        <v/>
      </c>
      <c r="HP56" s="356" t="str">
        <f t="shared" si="203"/>
        <v/>
      </c>
      <c r="HQ56" s="356" t="str">
        <f t="shared" si="204"/>
        <v/>
      </c>
      <c r="HR56" s="356" t="str">
        <f t="shared" si="205"/>
        <v/>
      </c>
      <c r="HS56" s="356" t="str">
        <f t="shared" si="206"/>
        <v/>
      </c>
      <c r="HT56" s="356" t="str">
        <f t="shared" si="207"/>
        <v/>
      </c>
      <c r="HU56" s="356" t="str">
        <f t="shared" si="208"/>
        <v/>
      </c>
      <c r="HV56" s="356" t="str">
        <f t="shared" si="209"/>
        <v/>
      </c>
      <c r="HW56" s="356" t="str">
        <f t="shared" si="210"/>
        <v/>
      </c>
      <c r="HX56" s="356" t="str">
        <f t="shared" si="211"/>
        <v/>
      </c>
      <c r="HY56" s="356" t="str">
        <f t="shared" si="212"/>
        <v/>
      </c>
      <c r="HZ56" s="356" t="str">
        <f t="shared" si="213"/>
        <v/>
      </c>
      <c r="IA56" s="356" t="str">
        <f t="shared" si="214"/>
        <v/>
      </c>
      <c r="IB56" s="356" t="str">
        <f t="shared" si="215"/>
        <v/>
      </c>
      <c r="IC56" s="356" t="str">
        <f t="shared" si="216"/>
        <v/>
      </c>
      <c r="ID56" s="356" t="str">
        <f t="shared" si="217"/>
        <v/>
      </c>
      <c r="IE56" s="356" t="str">
        <f t="shared" si="218"/>
        <v/>
      </c>
      <c r="IF56" s="356" t="str">
        <f t="shared" si="219"/>
        <v/>
      </c>
      <c r="IG56" s="356" t="str">
        <f t="shared" si="220"/>
        <v/>
      </c>
      <c r="IH56" s="356" t="str">
        <f t="shared" si="221"/>
        <v/>
      </c>
      <c r="II56" s="356" t="str">
        <f t="shared" si="222"/>
        <v/>
      </c>
      <c r="IJ56" s="356" t="str">
        <f t="shared" si="223"/>
        <v/>
      </c>
      <c r="IK56" s="356" t="str">
        <f t="shared" si="224"/>
        <v/>
      </c>
      <c r="IL56" s="356" t="str">
        <f t="shared" si="225"/>
        <v/>
      </c>
      <c r="IM56" s="356" t="str">
        <f t="shared" si="226"/>
        <v/>
      </c>
      <c r="IN56" s="356" t="str">
        <f t="shared" si="227"/>
        <v/>
      </c>
      <c r="IO56" s="356" t="str">
        <f t="shared" si="228"/>
        <v/>
      </c>
      <c r="IP56" s="356" t="str">
        <f t="shared" si="229"/>
        <v/>
      </c>
      <c r="IQ56" s="356" t="str">
        <f t="shared" si="230"/>
        <v/>
      </c>
      <c r="IR56" s="356" t="str">
        <f t="shared" si="231"/>
        <v/>
      </c>
      <c r="IS56" s="356" t="str">
        <f t="shared" si="232"/>
        <v/>
      </c>
      <c r="IT56" s="356" t="str">
        <f t="shared" si="233"/>
        <v/>
      </c>
      <c r="IU56" s="356" t="str">
        <f t="shared" si="234"/>
        <v/>
      </c>
      <c r="IV56" s="356" t="str">
        <f t="shared" si="235"/>
        <v/>
      </c>
      <c r="IW56" s="356" t="str">
        <f t="shared" si="236"/>
        <v/>
      </c>
      <c r="IX56" s="356" t="str">
        <f t="shared" si="237"/>
        <v/>
      </c>
      <c r="IY56" s="356" t="str">
        <f t="shared" si="238"/>
        <v/>
      </c>
      <c r="IZ56" s="356" t="str">
        <f t="shared" si="239"/>
        <v/>
      </c>
      <c r="JA56" s="356" t="str">
        <f t="shared" si="240"/>
        <v/>
      </c>
      <c r="JB56" s="356" t="str">
        <f t="shared" si="241"/>
        <v/>
      </c>
      <c r="JC56" s="356" t="str">
        <f t="shared" si="242"/>
        <v/>
      </c>
      <c r="JD56" s="356" t="str">
        <f t="shared" si="243"/>
        <v/>
      </c>
      <c r="JE56" s="356" t="str">
        <f t="shared" si="244"/>
        <v/>
      </c>
      <c r="JF56" s="356" t="str">
        <f t="shared" si="245"/>
        <v/>
      </c>
      <c r="JG56" s="356" t="str">
        <f t="shared" si="246"/>
        <v/>
      </c>
      <c r="JH56" s="356" t="str">
        <f t="shared" si="247"/>
        <v/>
      </c>
      <c r="JI56" s="1785" t="str">
        <f t="shared" si="248"/>
        <v/>
      </c>
      <c r="JJ56" s="1785" t="str">
        <f t="shared" si="249"/>
        <v/>
      </c>
      <c r="JK56" s="1785" t="str">
        <f t="shared" si="250"/>
        <v/>
      </c>
      <c r="JL56" s="1785" t="str">
        <f t="shared" si="251"/>
        <v/>
      </c>
      <c r="JM56" s="1785" t="str">
        <f t="shared" si="252"/>
        <v/>
      </c>
      <c r="JN56" s="1785" t="str">
        <f t="shared" si="253"/>
        <v/>
      </c>
      <c r="JO56" s="1785" t="str">
        <f t="shared" si="254"/>
        <v/>
      </c>
      <c r="JP56" s="1785" t="str">
        <f t="shared" si="255"/>
        <v/>
      </c>
      <c r="JQ56" s="1785" t="str">
        <f t="shared" si="256"/>
        <v/>
      </c>
      <c r="JR56" s="1785" t="str">
        <f t="shared" si="257"/>
        <v/>
      </c>
      <c r="JS56" s="1785" t="str">
        <f t="shared" si="258"/>
        <v/>
      </c>
      <c r="JT56" s="1785" t="str">
        <f t="shared" si="259"/>
        <v/>
      </c>
      <c r="JU56" s="1785" t="str">
        <f t="shared" si="260"/>
        <v/>
      </c>
      <c r="JV56" s="1785" t="str">
        <f t="shared" si="261"/>
        <v/>
      </c>
      <c r="JW56" s="1785" t="str">
        <f t="shared" si="262"/>
        <v/>
      </c>
      <c r="JX56" s="1785" t="str">
        <f t="shared" si="263"/>
        <v/>
      </c>
      <c r="JY56" s="1785" t="str">
        <f t="shared" si="264"/>
        <v/>
      </c>
      <c r="JZ56" s="1785" t="str">
        <f t="shared" si="265"/>
        <v/>
      </c>
      <c r="KA56" s="1785" t="str">
        <f t="shared" si="266"/>
        <v/>
      </c>
      <c r="KB56" s="1785" t="str">
        <f t="shared" si="267"/>
        <v/>
      </c>
      <c r="KC56" s="1785" t="str">
        <f t="shared" si="268"/>
        <v/>
      </c>
      <c r="KD56" s="1785" t="str">
        <f t="shared" si="269"/>
        <v/>
      </c>
      <c r="KE56" s="1785" t="str">
        <f t="shared" si="270"/>
        <v/>
      </c>
      <c r="KF56" s="1785" t="str">
        <f t="shared" si="271"/>
        <v/>
      </c>
      <c r="KG56" s="1785" t="str">
        <f t="shared" si="272"/>
        <v/>
      </c>
      <c r="KH56" s="1785" t="str">
        <f t="shared" si="273"/>
        <v/>
      </c>
      <c r="KI56" s="1785" t="str">
        <f t="shared" si="274"/>
        <v/>
      </c>
      <c r="KJ56" s="1785" t="str">
        <f t="shared" si="275"/>
        <v/>
      </c>
      <c r="KK56" s="1785" t="str">
        <f t="shared" si="276"/>
        <v/>
      </c>
      <c r="KL56" s="1785" t="str">
        <f t="shared" si="277"/>
        <v/>
      </c>
      <c r="KM56" s="1785" t="str">
        <f t="shared" si="278"/>
        <v/>
      </c>
      <c r="KN56" s="1785" t="str">
        <f t="shared" si="279"/>
        <v/>
      </c>
      <c r="KO56" s="1785" t="str">
        <f t="shared" si="280"/>
        <v/>
      </c>
      <c r="KP56" s="1785" t="str">
        <f t="shared" si="281"/>
        <v/>
      </c>
      <c r="KQ56" s="1785" t="str">
        <f t="shared" si="282"/>
        <v/>
      </c>
      <c r="KR56" s="1785" t="str">
        <f t="shared" si="283"/>
        <v/>
      </c>
      <c r="KS56" s="1785" t="str">
        <f t="shared" si="284"/>
        <v/>
      </c>
      <c r="KT56" s="1785" t="str">
        <f t="shared" si="285"/>
        <v/>
      </c>
      <c r="KU56" s="1785" t="str">
        <f t="shared" si="286"/>
        <v/>
      </c>
      <c r="KV56" s="1785" t="str">
        <f t="shared" si="287"/>
        <v/>
      </c>
      <c r="KW56" s="1785" t="str">
        <f t="shared" si="288"/>
        <v/>
      </c>
      <c r="KX56" s="1785" t="str">
        <f t="shared" si="289"/>
        <v/>
      </c>
      <c r="KY56" s="1785" t="str">
        <f t="shared" si="290"/>
        <v/>
      </c>
      <c r="KZ56" s="1785" t="str">
        <f t="shared" si="291"/>
        <v/>
      </c>
      <c r="LA56" s="1785" t="str">
        <f t="shared" si="292"/>
        <v/>
      </c>
      <c r="LB56" s="1785" t="str">
        <f t="shared" si="293"/>
        <v/>
      </c>
      <c r="LC56" s="1785" t="str">
        <f t="shared" si="294"/>
        <v/>
      </c>
      <c r="LD56" s="1785" t="str">
        <f t="shared" si="295"/>
        <v/>
      </c>
      <c r="LE56" s="1785" t="str">
        <f t="shared" si="296"/>
        <v/>
      </c>
      <c r="LF56" s="1785" t="str">
        <f t="shared" si="297"/>
        <v/>
      </c>
      <c r="LG56" s="1785" t="str">
        <f t="shared" si="298"/>
        <v/>
      </c>
      <c r="LH56" s="1785" t="str">
        <f t="shared" si="299"/>
        <v/>
      </c>
      <c r="LI56" s="1785" t="str">
        <f t="shared" si="300"/>
        <v/>
      </c>
      <c r="LJ56" s="1785" t="str">
        <f t="shared" si="301"/>
        <v/>
      </c>
      <c r="LK56" s="1785" t="str">
        <f t="shared" si="302"/>
        <v/>
      </c>
      <c r="LL56" s="1785" t="str">
        <f t="shared" si="303"/>
        <v/>
      </c>
      <c r="LM56" s="1785" t="str">
        <f t="shared" si="304"/>
        <v/>
      </c>
      <c r="LN56" s="1785" t="str">
        <f t="shared" si="305"/>
        <v/>
      </c>
      <c r="LO56" s="1785" t="str">
        <f t="shared" si="306"/>
        <v/>
      </c>
      <c r="LP56" s="1785" t="str">
        <f t="shared" si="307"/>
        <v/>
      </c>
      <c r="LQ56" s="1785" t="str">
        <f t="shared" si="308"/>
        <v/>
      </c>
      <c r="LR56" s="1785" t="str">
        <f t="shared" si="309"/>
        <v/>
      </c>
      <c r="LS56" s="1785" t="str">
        <f t="shared" si="310"/>
        <v/>
      </c>
      <c r="LT56" s="1785" t="str">
        <f t="shared" si="311"/>
        <v/>
      </c>
      <c r="LU56" s="1785" t="str">
        <f t="shared" si="312"/>
        <v/>
      </c>
      <c r="LV56" s="1785" t="str">
        <f t="shared" si="313"/>
        <v/>
      </c>
      <c r="LW56" s="1785" t="str">
        <f t="shared" si="314"/>
        <v/>
      </c>
      <c r="LX56" s="1785" t="str">
        <f t="shared" si="315"/>
        <v/>
      </c>
      <c r="LY56" s="1785" t="str">
        <f t="shared" si="316"/>
        <v/>
      </c>
      <c r="LZ56" s="1785" t="str">
        <f t="shared" si="317"/>
        <v/>
      </c>
      <c r="MA56" s="1785" t="str">
        <f t="shared" si="318"/>
        <v/>
      </c>
      <c r="MB56" s="1785" t="str">
        <f t="shared" si="319"/>
        <v/>
      </c>
      <c r="MC56" s="1785" t="str">
        <f t="shared" si="320"/>
        <v/>
      </c>
      <c r="MD56" s="1785" t="str">
        <f t="shared" si="321"/>
        <v/>
      </c>
      <c r="ME56" s="1785" t="str">
        <f t="shared" si="322"/>
        <v/>
      </c>
      <c r="MF56" s="1785" t="str">
        <f t="shared" si="323"/>
        <v/>
      </c>
      <c r="MG56" s="1785" t="str">
        <f t="shared" si="324"/>
        <v/>
      </c>
      <c r="MH56" s="1785" t="str">
        <f t="shared" si="325"/>
        <v/>
      </c>
      <c r="MI56" s="1785" t="str">
        <f t="shared" si="326"/>
        <v/>
      </c>
      <c r="MJ56" s="1785" t="str">
        <f t="shared" si="327"/>
        <v/>
      </c>
      <c r="MK56" s="1785" t="str">
        <f t="shared" si="328"/>
        <v/>
      </c>
      <c r="ML56" s="1785" t="str">
        <f t="shared" si="329"/>
        <v/>
      </c>
      <c r="MM56" s="1785" t="str">
        <f t="shared" si="330"/>
        <v/>
      </c>
      <c r="MN56" s="1785" t="str">
        <f t="shared" si="331"/>
        <v/>
      </c>
      <c r="MO56" s="1785" t="str">
        <f t="shared" si="332"/>
        <v/>
      </c>
      <c r="MP56" s="2470" t="str">
        <f t="shared" si="333"/>
        <v/>
      </c>
      <c r="MQ56" s="2470" t="str">
        <f t="shared" si="334"/>
        <v/>
      </c>
      <c r="MR56" s="2470" t="str">
        <f t="shared" si="335"/>
        <v/>
      </c>
      <c r="MS56" s="2470" t="str">
        <f t="shared" si="336"/>
        <v/>
      </c>
      <c r="MT56" s="2470" t="str">
        <f t="shared" si="337"/>
        <v/>
      </c>
      <c r="MU56" s="356" t="str">
        <f t="shared" ref="MU56" si="640">IF(AND(C56="Efficiency",B56="NSP 120% AMI",NOT(N56="Common Space")),E56*F56,"")</f>
        <v/>
      </c>
      <c r="MV56" s="356" t="str">
        <f t="shared" ref="MV56" si="641">IF(AND(C56=1,B56="NSP 120% AMI",NOT(N56="Common Space")),E56*F56,"")</f>
        <v/>
      </c>
      <c r="MW56" s="356" t="str">
        <f t="shared" ref="MW56" si="642">IF(AND(C56=2,B56="NSP 120% AMI",NOT(N56="Common Space")),E56*F56,"")</f>
        <v/>
      </c>
      <c r="MX56" s="356" t="str">
        <f t="shared" ref="MX56" si="643">IF(AND(C56=3,B56="NSP 120% AMI",NOT(N56="Common Space")),E56*F56,"")</f>
        <v/>
      </c>
      <c r="MY56" s="356" t="str">
        <f t="shared" ref="MY56" si="644">IF(AND(C56=4,B56="NSP 120% AMI",NOT(N56="Common Space")),E56*F56,"")</f>
        <v/>
      </c>
      <c r="MZ56" s="356" t="str">
        <f t="shared" si="343"/>
        <v/>
      </c>
      <c r="NA56" s="356" t="str">
        <f t="shared" si="344"/>
        <v/>
      </c>
      <c r="NB56" s="356" t="str">
        <f t="shared" si="345"/>
        <v/>
      </c>
      <c r="NC56" s="356" t="str">
        <f t="shared" si="346"/>
        <v/>
      </c>
      <c r="ND56" s="356" t="str">
        <f t="shared" si="347"/>
        <v/>
      </c>
      <c r="NE56" s="356" t="str">
        <f t="shared" si="348"/>
        <v/>
      </c>
      <c r="NF56" s="356" t="str">
        <f t="shared" si="349"/>
        <v/>
      </c>
      <c r="NG56" s="356" t="str">
        <f t="shared" si="350"/>
        <v/>
      </c>
      <c r="NH56" s="356" t="str">
        <f t="shared" si="351"/>
        <v/>
      </c>
      <c r="NI56" s="356" t="str">
        <f t="shared" si="352"/>
        <v/>
      </c>
      <c r="NJ56" s="356" t="str">
        <f t="shared" si="353"/>
        <v/>
      </c>
      <c r="NK56" s="356" t="str">
        <f t="shared" si="354"/>
        <v/>
      </c>
      <c r="NL56" s="356" t="str">
        <f t="shared" si="355"/>
        <v/>
      </c>
      <c r="NM56" s="356" t="str">
        <f t="shared" si="356"/>
        <v/>
      </c>
      <c r="NN56" s="356" t="str">
        <f t="shared" si="357"/>
        <v/>
      </c>
      <c r="NO56" s="1640">
        <f t="shared" si="358"/>
        <v>0</v>
      </c>
      <c r="NP56" s="1640">
        <f t="shared" si="359"/>
        <v>0</v>
      </c>
      <c r="NQ56" s="1640">
        <f t="shared" si="360"/>
        <v>0</v>
      </c>
      <c r="NR56" s="1640">
        <f t="shared" si="361"/>
        <v>0</v>
      </c>
      <c r="NS56" s="1640">
        <f t="shared" si="362"/>
        <v>0</v>
      </c>
      <c r="NT56" s="1640">
        <f t="shared" si="368"/>
        <v>0</v>
      </c>
      <c r="NU56" s="1640">
        <f t="shared" si="369"/>
        <v>0</v>
      </c>
      <c r="NV56" s="1640">
        <f t="shared" si="370"/>
        <v>0</v>
      </c>
      <c r="NW56" s="1640">
        <f t="shared" si="371"/>
        <v>0</v>
      </c>
      <c r="NX56" s="1640">
        <f t="shared" si="372"/>
        <v>0</v>
      </c>
      <c r="NY56" s="1640">
        <f t="shared" si="363"/>
        <v>0</v>
      </c>
      <c r="NZ56" s="1640">
        <f t="shared" si="364"/>
        <v>0</v>
      </c>
      <c r="OA56" s="1640">
        <f t="shared" si="365"/>
        <v>0</v>
      </c>
      <c r="OB56" s="1640">
        <f t="shared" si="366"/>
        <v>0</v>
      </c>
      <c r="OC56" s="1640">
        <f t="shared" si="367"/>
        <v>0</v>
      </c>
      <c r="OY56" s="2499" t="s">
        <v>4333</v>
      </c>
      <c r="OZ56" s="2503">
        <v>52</v>
      </c>
    </row>
    <row r="57" spans="1:416" ht="12" customHeight="1">
      <c r="A57" s="86" t="str">
        <f t="shared" si="0"/>
        <v/>
      </c>
      <c r="B57" s="1056"/>
      <c r="C57" s="135"/>
      <c r="D57" s="1646"/>
      <c r="E57" s="136"/>
      <c r="F57" s="136"/>
      <c r="G57" s="136"/>
      <c r="H57" s="136"/>
      <c r="I57" s="136"/>
      <c r="J57" s="740">
        <f>IF(C57="",0,HLOOKUP(C57,'Part IV-Utility Allowances'!$I$11:$M$25,15))</f>
        <v>0</v>
      </c>
      <c r="K57" s="631"/>
      <c r="L57" s="461">
        <f t="shared" si="1"/>
        <v>0</v>
      </c>
      <c r="M57" s="461">
        <f t="shared" si="2"/>
        <v>0</v>
      </c>
      <c r="N57" s="681"/>
      <c r="O57" s="1509"/>
      <c r="P57" s="681"/>
      <c r="Q57" s="137"/>
      <c r="R57" s="725"/>
      <c r="S57" s="726"/>
      <c r="T57" s="3580"/>
      <c r="U57" s="3581"/>
      <c r="V57" s="3581"/>
      <c r="W57" s="3582"/>
      <c r="X57" s="356" t="str">
        <f t="shared" si="3"/>
        <v/>
      </c>
      <c r="Y57" s="356" t="str">
        <f t="shared" si="4"/>
        <v/>
      </c>
      <c r="Z57" s="356" t="str">
        <f t="shared" si="5"/>
        <v/>
      </c>
      <c r="AA57" s="356" t="str">
        <f t="shared" si="6"/>
        <v/>
      </c>
      <c r="AB57" s="356" t="str">
        <f t="shared" si="7"/>
        <v/>
      </c>
      <c r="AC57" s="356" t="str">
        <f t="shared" si="8"/>
        <v/>
      </c>
      <c r="AD57" s="356" t="str">
        <f t="shared" si="9"/>
        <v/>
      </c>
      <c r="AE57" s="356" t="str">
        <f t="shared" si="10"/>
        <v/>
      </c>
      <c r="AF57" s="356" t="str">
        <f t="shared" si="11"/>
        <v/>
      </c>
      <c r="AG57" s="356" t="str">
        <f t="shared" si="12"/>
        <v/>
      </c>
      <c r="AH57" s="356" t="str">
        <f t="shared" si="13"/>
        <v/>
      </c>
      <c r="AI57" s="356" t="str">
        <f t="shared" si="14"/>
        <v/>
      </c>
      <c r="AJ57" s="356" t="str">
        <f t="shared" si="15"/>
        <v/>
      </c>
      <c r="AK57" s="356" t="str">
        <f t="shared" si="16"/>
        <v/>
      </c>
      <c r="AL57" s="356" t="str">
        <f t="shared" si="17"/>
        <v/>
      </c>
      <c r="AM57" s="356" t="str">
        <f t="shared" si="18"/>
        <v/>
      </c>
      <c r="AN57" s="356" t="str">
        <f t="shared" si="19"/>
        <v/>
      </c>
      <c r="AO57" s="356" t="str">
        <f t="shared" si="20"/>
        <v/>
      </c>
      <c r="AP57" s="356" t="str">
        <f t="shared" si="21"/>
        <v/>
      </c>
      <c r="AQ57" s="356" t="str">
        <f t="shared" si="22"/>
        <v/>
      </c>
      <c r="AR57" s="356" t="str">
        <f t="shared" si="23"/>
        <v/>
      </c>
      <c r="AS57" s="356" t="str">
        <f t="shared" si="24"/>
        <v/>
      </c>
      <c r="AT57" s="356" t="str">
        <f t="shared" si="25"/>
        <v/>
      </c>
      <c r="AU57" s="356" t="str">
        <f t="shared" si="26"/>
        <v/>
      </c>
      <c r="AV57" s="356" t="str">
        <f t="shared" si="27"/>
        <v/>
      </c>
      <c r="AW57" s="356" t="str">
        <f t="shared" si="28"/>
        <v/>
      </c>
      <c r="AX57" s="356" t="str">
        <f t="shared" si="29"/>
        <v/>
      </c>
      <c r="AY57" s="356" t="str">
        <f t="shared" si="30"/>
        <v/>
      </c>
      <c r="AZ57" s="356" t="str">
        <f t="shared" si="31"/>
        <v/>
      </c>
      <c r="BA57" s="356" t="str">
        <f t="shared" si="32"/>
        <v/>
      </c>
      <c r="BB57" s="356" t="str">
        <f t="shared" si="33"/>
        <v/>
      </c>
      <c r="BC57" s="356" t="str">
        <f t="shared" si="34"/>
        <v/>
      </c>
      <c r="BD57" s="356" t="str">
        <f t="shared" si="35"/>
        <v/>
      </c>
      <c r="BE57" s="356" t="str">
        <f t="shared" si="36"/>
        <v/>
      </c>
      <c r="BF57" s="356" t="str">
        <f t="shared" si="37"/>
        <v/>
      </c>
      <c r="BG57" s="356" t="str">
        <f t="shared" si="38"/>
        <v/>
      </c>
      <c r="BH57" s="356" t="str">
        <f t="shared" si="39"/>
        <v/>
      </c>
      <c r="BI57" s="356" t="str">
        <f t="shared" si="40"/>
        <v/>
      </c>
      <c r="BJ57" s="356" t="str">
        <f t="shared" si="41"/>
        <v/>
      </c>
      <c r="BK57" s="356" t="str">
        <f t="shared" si="42"/>
        <v/>
      </c>
      <c r="BL57" s="356" t="str">
        <f t="shared" si="43"/>
        <v/>
      </c>
      <c r="BM57" s="356" t="str">
        <f t="shared" si="44"/>
        <v/>
      </c>
      <c r="BN57" s="356" t="str">
        <f t="shared" si="45"/>
        <v/>
      </c>
      <c r="BO57" s="356" t="str">
        <f t="shared" si="46"/>
        <v/>
      </c>
      <c r="BP57" s="356" t="str">
        <f t="shared" si="47"/>
        <v/>
      </c>
      <c r="BQ57" s="356" t="str">
        <f t="shared" si="48"/>
        <v/>
      </c>
      <c r="BR57" s="356" t="str">
        <f t="shared" si="49"/>
        <v/>
      </c>
      <c r="BS57" s="356" t="str">
        <f t="shared" si="50"/>
        <v/>
      </c>
      <c r="BT57" s="356" t="str">
        <f t="shared" si="51"/>
        <v/>
      </c>
      <c r="BU57" s="356" t="str">
        <f t="shared" si="52"/>
        <v/>
      </c>
      <c r="BV57" s="356" t="str">
        <f t="shared" si="53"/>
        <v/>
      </c>
      <c r="BW57" s="356" t="str">
        <f t="shared" si="54"/>
        <v/>
      </c>
      <c r="BX57" s="356" t="str">
        <f t="shared" si="55"/>
        <v/>
      </c>
      <c r="BY57" s="356" t="str">
        <f t="shared" si="56"/>
        <v/>
      </c>
      <c r="BZ57" s="356" t="str">
        <f t="shared" si="57"/>
        <v/>
      </c>
      <c r="CA57" s="356" t="str">
        <f t="shared" si="58"/>
        <v/>
      </c>
      <c r="CB57" s="356" t="str">
        <f t="shared" si="59"/>
        <v/>
      </c>
      <c r="CC57" s="356" t="str">
        <f t="shared" si="60"/>
        <v/>
      </c>
      <c r="CD57" s="356" t="str">
        <f t="shared" si="61"/>
        <v/>
      </c>
      <c r="CE57" s="356" t="str">
        <f t="shared" si="62"/>
        <v/>
      </c>
      <c r="CF57" s="356" t="str">
        <f t="shared" si="63"/>
        <v/>
      </c>
      <c r="CG57" s="356" t="str">
        <f t="shared" si="64"/>
        <v/>
      </c>
      <c r="CH57" s="356" t="str">
        <f t="shared" si="65"/>
        <v/>
      </c>
      <c r="CI57" s="356" t="str">
        <f t="shared" si="66"/>
        <v/>
      </c>
      <c r="CJ57" s="356" t="str">
        <f t="shared" si="67"/>
        <v/>
      </c>
      <c r="CK57" s="356" t="str">
        <f t="shared" si="68"/>
        <v/>
      </c>
      <c r="CL57" s="356" t="str">
        <f t="shared" si="69"/>
        <v/>
      </c>
      <c r="CM57" s="356" t="str">
        <f t="shared" si="70"/>
        <v/>
      </c>
      <c r="CN57" s="356" t="str">
        <f t="shared" si="71"/>
        <v/>
      </c>
      <c r="CO57" s="356" t="str">
        <f t="shared" si="72"/>
        <v/>
      </c>
      <c r="CP57" s="356" t="str">
        <f t="shared" si="73"/>
        <v/>
      </c>
      <c r="CQ57" s="356" t="str">
        <f t="shared" si="74"/>
        <v/>
      </c>
      <c r="CR57" s="356" t="str">
        <f t="shared" si="75"/>
        <v/>
      </c>
      <c r="CS57" s="356" t="str">
        <f t="shared" si="76"/>
        <v/>
      </c>
      <c r="CT57" s="356" t="str">
        <f t="shared" si="77"/>
        <v/>
      </c>
      <c r="CU57" s="356" t="str">
        <f t="shared" si="78"/>
        <v/>
      </c>
      <c r="CV57" s="356" t="str">
        <f t="shared" si="79"/>
        <v/>
      </c>
      <c r="CW57" s="356" t="str">
        <f t="shared" si="80"/>
        <v/>
      </c>
      <c r="CX57" s="356" t="str">
        <f t="shared" si="81"/>
        <v/>
      </c>
      <c r="CY57" s="356" t="str">
        <f t="shared" si="82"/>
        <v/>
      </c>
      <c r="CZ57" s="356" t="str">
        <f t="shared" si="83"/>
        <v/>
      </c>
      <c r="DA57" s="356" t="str">
        <f t="shared" si="84"/>
        <v/>
      </c>
      <c r="DB57" s="356" t="str">
        <f t="shared" si="85"/>
        <v/>
      </c>
      <c r="DC57" s="356" t="str">
        <f t="shared" si="86"/>
        <v/>
      </c>
      <c r="DD57" s="356" t="str">
        <f t="shared" si="87"/>
        <v/>
      </c>
      <c r="DE57" s="356" t="str">
        <f t="shared" si="88"/>
        <v/>
      </c>
      <c r="DF57" s="356" t="str">
        <f t="shared" si="89"/>
        <v/>
      </c>
      <c r="DG57" s="356" t="str">
        <f t="shared" si="90"/>
        <v/>
      </c>
      <c r="DH57" s="356" t="str">
        <f t="shared" si="91"/>
        <v/>
      </c>
      <c r="DI57" s="356" t="str">
        <f t="shared" si="92"/>
        <v/>
      </c>
      <c r="DJ57" s="356" t="str">
        <f t="shared" si="93"/>
        <v/>
      </c>
      <c r="DK57" s="356" t="str">
        <f t="shared" si="94"/>
        <v/>
      </c>
      <c r="DL57" s="356" t="str">
        <f t="shared" si="95"/>
        <v/>
      </c>
      <c r="DM57" s="356" t="str">
        <f t="shared" si="96"/>
        <v/>
      </c>
      <c r="DN57" s="356" t="str">
        <f t="shared" si="97"/>
        <v/>
      </c>
      <c r="DO57" s="356" t="str">
        <f t="shared" si="98"/>
        <v/>
      </c>
      <c r="DP57" s="356" t="str">
        <f t="shared" si="99"/>
        <v/>
      </c>
      <c r="DQ57" s="356" t="str">
        <f t="shared" si="100"/>
        <v/>
      </c>
      <c r="DR57" s="356" t="str">
        <f t="shared" si="101"/>
        <v/>
      </c>
      <c r="DS57" s="356" t="str">
        <f t="shared" si="102"/>
        <v/>
      </c>
      <c r="DT57" s="356" t="str">
        <f t="shared" si="103"/>
        <v/>
      </c>
      <c r="DU57" s="356" t="str">
        <f t="shared" si="104"/>
        <v/>
      </c>
      <c r="DV57" s="356" t="str">
        <f t="shared" si="105"/>
        <v/>
      </c>
      <c r="DW57" s="356" t="str">
        <f t="shared" si="106"/>
        <v/>
      </c>
      <c r="DX57" s="356" t="str">
        <f t="shared" si="107"/>
        <v/>
      </c>
      <c r="DY57" s="356" t="str">
        <f t="shared" si="108"/>
        <v/>
      </c>
      <c r="DZ57" s="356" t="str">
        <f t="shared" si="109"/>
        <v/>
      </c>
      <c r="EA57" s="356" t="str">
        <f t="shared" si="110"/>
        <v/>
      </c>
      <c r="EB57" s="356" t="str">
        <f t="shared" si="111"/>
        <v/>
      </c>
      <c r="EC57" s="356" t="str">
        <f t="shared" si="112"/>
        <v/>
      </c>
      <c r="ED57" s="356" t="str">
        <f t="shared" si="113"/>
        <v/>
      </c>
      <c r="EE57" s="356" t="str">
        <f t="shared" si="114"/>
        <v/>
      </c>
      <c r="EF57" s="356" t="str">
        <f t="shared" si="115"/>
        <v/>
      </c>
      <c r="EG57" s="356" t="str">
        <f t="shared" si="116"/>
        <v/>
      </c>
      <c r="EH57" s="356" t="str">
        <f t="shared" si="117"/>
        <v/>
      </c>
      <c r="EI57" s="356" t="str">
        <f t="shared" si="118"/>
        <v/>
      </c>
      <c r="EJ57" s="356" t="str">
        <f t="shared" si="119"/>
        <v/>
      </c>
      <c r="EK57" s="356" t="str">
        <f t="shared" si="120"/>
        <v/>
      </c>
      <c r="EL57" s="356" t="str">
        <f t="shared" si="121"/>
        <v/>
      </c>
      <c r="EM57" s="356" t="str">
        <f t="shared" si="122"/>
        <v/>
      </c>
      <c r="EN57" s="356" t="str">
        <f t="shared" si="123"/>
        <v/>
      </c>
      <c r="EO57" s="356" t="str">
        <f t="shared" si="124"/>
        <v/>
      </c>
      <c r="EP57" s="356" t="str">
        <f t="shared" si="125"/>
        <v/>
      </c>
      <c r="EQ57" s="356" t="str">
        <f t="shared" si="126"/>
        <v/>
      </c>
      <c r="ER57" s="356" t="str">
        <f t="shared" si="127"/>
        <v/>
      </c>
      <c r="ES57" s="356" t="str">
        <f t="shared" si="128"/>
        <v/>
      </c>
      <c r="ET57" s="356" t="str">
        <f t="shared" si="129"/>
        <v/>
      </c>
      <c r="EU57" s="356" t="str">
        <f t="shared" si="130"/>
        <v/>
      </c>
      <c r="EV57" s="356" t="str">
        <f t="shared" si="131"/>
        <v/>
      </c>
      <c r="EW57" s="356" t="str">
        <f t="shared" si="132"/>
        <v/>
      </c>
      <c r="EX57" s="356" t="str">
        <f t="shared" si="133"/>
        <v/>
      </c>
      <c r="EY57" s="356" t="str">
        <f t="shared" si="134"/>
        <v/>
      </c>
      <c r="EZ57" s="356" t="str">
        <f t="shared" si="135"/>
        <v/>
      </c>
      <c r="FA57" s="356" t="str">
        <f t="shared" si="136"/>
        <v/>
      </c>
      <c r="FB57" s="356" t="str">
        <f t="shared" si="137"/>
        <v/>
      </c>
      <c r="FC57" s="356" t="str">
        <f t="shared" si="138"/>
        <v/>
      </c>
      <c r="FD57" s="356" t="str">
        <f t="shared" si="139"/>
        <v/>
      </c>
      <c r="FE57" s="356" t="str">
        <f t="shared" si="140"/>
        <v/>
      </c>
      <c r="FF57" s="356" t="str">
        <f t="shared" si="141"/>
        <v/>
      </c>
      <c r="FG57" s="356" t="str">
        <f t="shared" si="142"/>
        <v/>
      </c>
      <c r="FH57" s="356" t="str">
        <f t="shared" si="143"/>
        <v/>
      </c>
      <c r="FI57" s="356" t="str">
        <f t="shared" si="144"/>
        <v/>
      </c>
      <c r="FJ57" s="356" t="str">
        <f t="shared" si="145"/>
        <v/>
      </c>
      <c r="FK57" s="356" t="str">
        <f t="shared" si="146"/>
        <v/>
      </c>
      <c r="FL57" s="356" t="str">
        <f t="shared" si="147"/>
        <v/>
      </c>
      <c r="FM57" s="356" t="str">
        <f t="shared" si="148"/>
        <v/>
      </c>
      <c r="FN57" s="356" t="str">
        <f t="shared" si="149"/>
        <v/>
      </c>
      <c r="FO57" s="356" t="str">
        <f t="shared" si="150"/>
        <v/>
      </c>
      <c r="FP57" s="356" t="str">
        <f t="shared" si="151"/>
        <v/>
      </c>
      <c r="FQ57" s="356" t="str">
        <f t="shared" si="152"/>
        <v/>
      </c>
      <c r="FR57" s="356" t="str">
        <f t="shared" si="153"/>
        <v/>
      </c>
      <c r="FS57" s="356" t="str">
        <f t="shared" si="154"/>
        <v/>
      </c>
      <c r="FT57" s="356" t="str">
        <f t="shared" si="155"/>
        <v/>
      </c>
      <c r="FU57" s="356" t="str">
        <f t="shared" si="156"/>
        <v/>
      </c>
      <c r="FV57" s="356" t="str">
        <f t="shared" si="157"/>
        <v/>
      </c>
      <c r="FW57" s="356" t="str">
        <f t="shared" si="158"/>
        <v/>
      </c>
      <c r="FX57" s="356" t="str">
        <f t="shared" si="159"/>
        <v/>
      </c>
      <c r="FY57" s="356" t="str">
        <f t="shared" si="160"/>
        <v/>
      </c>
      <c r="FZ57" s="356" t="str">
        <f t="shared" si="161"/>
        <v/>
      </c>
      <c r="GA57" s="356" t="str">
        <f t="shared" si="162"/>
        <v/>
      </c>
      <c r="GB57" s="356" t="str">
        <f t="shared" si="163"/>
        <v/>
      </c>
      <c r="GC57" s="356" t="str">
        <f t="shared" si="164"/>
        <v/>
      </c>
      <c r="GD57" s="356" t="str">
        <f t="shared" si="165"/>
        <v/>
      </c>
      <c r="GE57" s="356" t="str">
        <f t="shared" si="166"/>
        <v/>
      </c>
      <c r="GF57" s="356" t="str">
        <f t="shared" si="167"/>
        <v/>
      </c>
      <c r="GG57" s="356" t="str">
        <f t="shared" si="168"/>
        <v/>
      </c>
      <c r="GH57" s="356" t="str">
        <f t="shared" si="169"/>
        <v/>
      </c>
      <c r="GI57" s="356" t="str">
        <f t="shared" si="170"/>
        <v/>
      </c>
      <c r="GJ57" s="356" t="str">
        <f t="shared" si="171"/>
        <v/>
      </c>
      <c r="GK57" s="356" t="str">
        <f t="shared" si="172"/>
        <v/>
      </c>
      <c r="GL57" s="356" t="str">
        <f t="shared" si="173"/>
        <v/>
      </c>
      <c r="GM57" s="356" t="str">
        <f t="shared" si="174"/>
        <v/>
      </c>
      <c r="GN57" s="356" t="str">
        <f t="shared" si="175"/>
        <v/>
      </c>
      <c r="GO57" s="356" t="str">
        <f t="shared" si="176"/>
        <v/>
      </c>
      <c r="GP57" s="356" t="str">
        <f t="shared" si="177"/>
        <v/>
      </c>
      <c r="GQ57" s="356" t="str">
        <f t="shared" si="178"/>
        <v/>
      </c>
      <c r="GR57" s="356" t="str">
        <f t="shared" si="179"/>
        <v/>
      </c>
      <c r="GS57" s="356" t="str">
        <f t="shared" si="180"/>
        <v/>
      </c>
      <c r="GT57" s="356" t="str">
        <f t="shared" si="181"/>
        <v/>
      </c>
      <c r="GU57" s="356" t="str">
        <f t="shared" si="182"/>
        <v/>
      </c>
      <c r="GV57" s="356" t="str">
        <f t="shared" si="183"/>
        <v/>
      </c>
      <c r="GW57" s="356" t="str">
        <f t="shared" si="184"/>
        <v/>
      </c>
      <c r="GX57" s="356" t="str">
        <f t="shared" si="185"/>
        <v/>
      </c>
      <c r="GY57" s="356" t="str">
        <f t="shared" si="186"/>
        <v/>
      </c>
      <c r="GZ57" s="356" t="str">
        <f t="shared" si="187"/>
        <v/>
      </c>
      <c r="HA57" s="356" t="str">
        <f t="shared" si="188"/>
        <v/>
      </c>
      <c r="HB57" s="356" t="str">
        <f t="shared" si="189"/>
        <v/>
      </c>
      <c r="HC57" s="356" t="str">
        <f t="shared" si="190"/>
        <v/>
      </c>
      <c r="HD57" s="356" t="str">
        <f t="shared" si="191"/>
        <v/>
      </c>
      <c r="HE57" s="356" t="str">
        <f t="shared" si="192"/>
        <v/>
      </c>
      <c r="HF57" s="356" t="str">
        <f t="shared" si="193"/>
        <v/>
      </c>
      <c r="HG57" s="356" t="str">
        <f t="shared" si="194"/>
        <v/>
      </c>
      <c r="HH57" s="356" t="str">
        <f t="shared" si="195"/>
        <v/>
      </c>
      <c r="HI57" s="356" t="str">
        <f t="shared" si="196"/>
        <v/>
      </c>
      <c r="HJ57" s="356" t="str">
        <f t="shared" si="197"/>
        <v/>
      </c>
      <c r="HK57" s="356" t="str">
        <f t="shared" si="198"/>
        <v/>
      </c>
      <c r="HL57" s="356" t="str">
        <f t="shared" si="199"/>
        <v/>
      </c>
      <c r="HM57" s="356" t="str">
        <f t="shared" si="200"/>
        <v/>
      </c>
      <c r="HN57" s="356" t="str">
        <f t="shared" si="201"/>
        <v/>
      </c>
      <c r="HO57" s="356" t="str">
        <f t="shared" si="202"/>
        <v/>
      </c>
      <c r="HP57" s="356" t="str">
        <f t="shared" si="203"/>
        <v/>
      </c>
      <c r="HQ57" s="356" t="str">
        <f t="shared" si="204"/>
        <v/>
      </c>
      <c r="HR57" s="356" t="str">
        <f t="shared" si="205"/>
        <v/>
      </c>
      <c r="HS57" s="356" t="str">
        <f t="shared" si="206"/>
        <v/>
      </c>
      <c r="HT57" s="356" t="str">
        <f t="shared" si="207"/>
        <v/>
      </c>
      <c r="HU57" s="356" t="str">
        <f t="shared" si="208"/>
        <v/>
      </c>
      <c r="HV57" s="356" t="str">
        <f t="shared" si="209"/>
        <v/>
      </c>
      <c r="HW57" s="356" t="str">
        <f t="shared" si="210"/>
        <v/>
      </c>
      <c r="HX57" s="356" t="str">
        <f t="shared" si="211"/>
        <v/>
      </c>
      <c r="HY57" s="356" t="str">
        <f t="shared" si="212"/>
        <v/>
      </c>
      <c r="HZ57" s="356" t="str">
        <f t="shared" si="213"/>
        <v/>
      </c>
      <c r="IA57" s="356" t="str">
        <f t="shared" si="214"/>
        <v/>
      </c>
      <c r="IB57" s="356" t="str">
        <f t="shared" si="215"/>
        <v/>
      </c>
      <c r="IC57" s="356" t="str">
        <f t="shared" si="216"/>
        <v/>
      </c>
      <c r="ID57" s="356" t="str">
        <f t="shared" si="217"/>
        <v/>
      </c>
      <c r="IE57" s="356" t="str">
        <f t="shared" si="218"/>
        <v/>
      </c>
      <c r="IF57" s="356" t="str">
        <f t="shared" si="219"/>
        <v/>
      </c>
      <c r="IG57" s="356" t="str">
        <f t="shared" si="220"/>
        <v/>
      </c>
      <c r="IH57" s="356" t="str">
        <f t="shared" si="221"/>
        <v/>
      </c>
      <c r="II57" s="356" t="str">
        <f t="shared" si="222"/>
        <v/>
      </c>
      <c r="IJ57" s="356" t="str">
        <f t="shared" si="223"/>
        <v/>
      </c>
      <c r="IK57" s="356" t="str">
        <f t="shared" si="224"/>
        <v/>
      </c>
      <c r="IL57" s="356" t="str">
        <f t="shared" si="225"/>
        <v/>
      </c>
      <c r="IM57" s="356" t="str">
        <f t="shared" si="226"/>
        <v/>
      </c>
      <c r="IN57" s="356" t="str">
        <f t="shared" si="227"/>
        <v/>
      </c>
      <c r="IO57" s="356" t="str">
        <f t="shared" si="228"/>
        <v/>
      </c>
      <c r="IP57" s="356" t="str">
        <f t="shared" si="229"/>
        <v/>
      </c>
      <c r="IQ57" s="356" t="str">
        <f t="shared" si="230"/>
        <v/>
      </c>
      <c r="IR57" s="356" t="str">
        <f t="shared" si="231"/>
        <v/>
      </c>
      <c r="IS57" s="356" t="str">
        <f t="shared" si="232"/>
        <v/>
      </c>
      <c r="IT57" s="356" t="str">
        <f t="shared" si="233"/>
        <v/>
      </c>
      <c r="IU57" s="356" t="str">
        <f t="shared" si="234"/>
        <v/>
      </c>
      <c r="IV57" s="356" t="str">
        <f t="shared" si="235"/>
        <v/>
      </c>
      <c r="IW57" s="356" t="str">
        <f t="shared" si="236"/>
        <v/>
      </c>
      <c r="IX57" s="356" t="str">
        <f t="shared" si="237"/>
        <v/>
      </c>
      <c r="IY57" s="356" t="str">
        <f t="shared" si="238"/>
        <v/>
      </c>
      <c r="IZ57" s="356" t="str">
        <f t="shared" si="239"/>
        <v/>
      </c>
      <c r="JA57" s="356" t="str">
        <f t="shared" si="240"/>
        <v/>
      </c>
      <c r="JB57" s="356" t="str">
        <f t="shared" si="241"/>
        <v/>
      </c>
      <c r="JC57" s="356" t="str">
        <f t="shared" si="242"/>
        <v/>
      </c>
      <c r="JD57" s="356" t="str">
        <f t="shared" si="243"/>
        <v/>
      </c>
      <c r="JE57" s="356" t="str">
        <f t="shared" si="244"/>
        <v/>
      </c>
      <c r="JF57" s="356" t="str">
        <f t="shared" si="245"/>
        <v/>
      </c>
      <c r="JG57" s="356" t="str">
        <f t="shared" si="246"/>
        <v/>
      </c>
      <c r="JH57" s="356" t="str">
        <f t="shared" si="247"/>
        <v/>
      </c>
      <c r="JI57" s="1785" t="str">
        <f t="shared" si="248"/>
        <v/>
      </c>
      <c r="JJ57" s="1785" t="str">
        <f t="shared" si="249"/>
        <v/>
      </c>
      <c r="JK57" s="1785" t="str">
        <f t="shared" si="250"/>
        <v/>
      </c>
      <c r="JL57" s="1785" t="str">
        <f t="shared" si="251"/>
        <v/>
      </c>
      <c r="JM57" s="1785" t="str">
        <f t="shared" si="252"/>
        <v/>
      </c>
      <c r="JN57" s="1785" t="str">
        <f t="shared" si="253"/>
        <v/>
      </c>
      <c r="JO57" s="1785" t="str">
        <f t="shared" si="254"/>
        <v/>
      </c>
      <c r="JP57" s="1785" t="str">
        <f t="shared" si="255"/>
        <v/>
      </c>
      <c r="JQ57" s="1785" t="str">
        <f t="shared" si="256"/>
        <v/>
      </c>
      <c r="JR57" s="1785" t="str">
        <f t="shared" si="257"/>
        <v/>
      </c>
      <c r="JS57" s="1785" t="str">
        <f t="shared" si="258"/>
        <v/>
      </c>
      <c r="JT57" s="1785" t="str">
        <f t="shared" si="259"/>
        <v/>
      </c>
      <c r="JU57" s="1785" t="str">
        <f t="shared" si="260"/>
        <v/>
      </c>
      <c r="JV57" s="1785" t="str">
        <f t="shared" si="261"/>
        <v/>
      </c>
      <c r="JW57" s="1785" t="str">
        <f t="shared" si="262"/>
        <v/>
      </c>
      <c r="JX57" s="1785" t="str">
        <f t="shared" si="263"/>
        <v/>
      </c>
      <c r="JY57" s="1785" t="str">
        <f t="shared" si="264"/>
        <v/>
      </c>
      <c r="JZ57" s="1785" t="str">
        <f t="shared" si="265"/>
        <v/>
      </c>
      <c r="KA57" s="1785" t="str">
        <f t="shared" si="266"/>
        <v/>
      </c>
      <c r="KB57" s="1785" t="str">
        <f t="shared" si="267"/>
        <v/>
      </c>
      <c r="KC57" s="1785" t="str">
        <f t="shared" si="268"/>
        <v/>
      </c>
      <c r="KD57" s="1785" t="str">
        <f t="shared" si="269"/>
        <v/>
      </c>
      <c r="KE57" s="1785" t="str">
        <f t="shared" si="270"/>
        <v/>
      </c>
      <c r="KF57" s="1785" t="str">
        <f t="shared" si="271"/>
        <v/>
      </c>
      <c r="KG57" s="1785" t="str">
        <f t="shared" si="272"/>
        <v/>
      </c>
      <c r="KH57" s="1785" t="str">
        <f t="shared" si="273"/>
        <v/>
      </c>
      <c r="KI57" s="1785" t="str">
        <f t="shared" si="274"/>
        <v/>
      </c>
      <c r="KJ57" s="1785" t="str">
        <f t="shared" si="275"/>
        <v/>
      </c>
      <c r="KK57" s="1785" t="str">
        <f t="shared" si="276"/>
        <v/>
      </c>
      <c r="KL57" s="1785" t="str">
        <f t="shared" si="277"/>
        <v/>
      </c>
      <c r="KM57" s="1785" t="str">
        <f t="shared" si="278"/>
        <v/>
      </c>
      <c r="KN57" s="1785" t="str">
        <f t="shared" si="279"/>
        <v/>
      </c>
      <c r="KO57" s="1785" t="str">
        <f t="shared" si="280"/>
        <v/>
      </c>
      <c r="KP57" s="1785" t="str">
        <f t="shared" si="281"/>
        <v/>
      </c>
      <c r="KQ57" s="1785" t="str">
        <f t="shared" si="282"/>
        <v/>
      </c>
      <c r="KR57" s="1785" t="str">
        <f t="shared" si="283"/>
        <v/>
      </c>
      <c r="KS57" s="1785" t="str">
        <f t="shared" si="284"/>
        <v/>
      </c>
      <c r="KT57" s="1785" t="str">
        <f t="shared" si="285"/>
        <v/>
      </c>
      <c r="KU57" s="1785" t="str">
        <f t="shared" si="286"/>
        <v/>
      </c>
      <c r="KV57" s="1785" t="str">
        <f t="shared" si="287"/>
        <v/>
      </c>
      <c r="KW57" s="1785" t="str">
        <f t="shared" si="288"/>
        <v/>
      </c>
      <c r="KX57" s="1785" t="str">
        <f t="shared" si="289"/>
        <v/>
      </c>
      <c r="KY57" s="1785" t="str">
        <f t="shared" si="290"/>
        <v/>
      </c>
      <c r="KZ57" s="1785" t="str">
        <f t="shared" si="291"/>
        <v/>
      </c>
      <c r="LA57" s="1785" t="str">
        <f t="shared" si="292"/>
        <v/>
      </c>
      <c r="LB57" s="1785" t="str">
        <f t="shared" si="293"/>
        <v/>
      </c>
      <c r="LC57" s="1785" t="str">
        <f t="shared" si="294"/>
        <v/>
      </c>
      <c r="LD57" s="1785" t="str">
        <f t="shared" si="295"/>
        <v/>
      </c>
      <c r="LE57" s="1785" t="str">
        <f t="shared" si="296"/>
        <v/>
      </c>
      <c r="LF57" s="1785" t="str">
        <f t="shared" si="297"/>
        <v/>
      </c>
      <c r="LG57" s="1785" t="str">
        <f t="shared" si="298"/>
        <v/>
      </c>
      <c r="LH57" s="1785" t="str">
        <f t="shared" si="299"/>
        <v/>
      </c>
      <c r="LI57" s="1785" t="str">
        <f t="shared" si="300"/>
        <v/>
      </c>
      <c r="LJ57" s="1785" t="str">
        <f t="shared" si="301"/>
        <v/>
      </c>
      <c r="LK57" s="1785" t="str">
        <f t="shared" si="302"/>
        <v/>
      </c>
      <c r="LL57" s="1785" t="str">
        <f t="shared" si="303"/>
        <v/>
      </c>
      <c r="LM57" s="1785" t="str">
        <f t="shared" si="304"/>
        <v/>
      </c>
      <c r="LN57" s="1785" t="str">
        <f t="shared" si="305"/>
        <v/>
      </c>
      <c r="LO57" s="1785" t="str">
        <f t="shared" si="306"/>
        <v/>
      </c>
      <c r="LP57" s="1785" t="str">
        <f t="shared" si="307"/>
        <v/>
      </c>
      <c r="LQ57" s="1785" t="str">
        <f t="shared" si="308"/>
        <v/>
      </c>
      <c r="LR57" s="1785" t="str">
        <f t="shared" si="309"/>
        <v/>
      </c>
      <c r="LS57" s="1785" t="str">
        <f t="shared" si="310"/>
        <v/>
      </c>
      <c r="LT57" s="1785" t="str">
        <f t="shared" si="311"/>
        <v/>
      </c>
      <c r="LU57" s="1785" t="str">
        <f t="shared" si="312"/>
        <v/>
      </c>
      <c r="LV57" s="1785" t="str">
        <f t="shared" si="313"/>
        <v/>
      </c>
      <c r="LW57" s="1785" t="str">
        <f t="shared" si="314"/>
        <v/>
      </c>
      <c r="LX57" s="1785" t="str">
        <f t="shared" si="315"/>
        <v/>
      </c>
      <c r="LY57" s="1785" t="str">
        <f t="shared" si="316"/>
        <v/>
      </c>
      <c r="LZ57" s="1785" t="str">
        <f t="shared" si="317"/>
        <v/>
      </c>
      <c r="MA57" s="1785" t="str">
        <f t="shared" si="318"/>
        <v/>
      </c>
      <c r="MB57" s="1785" t="str">
        <f t="shared" si="319"/>
        <v/>
      </c>
      <c r="MC57" s="1785" t="str">
        <f t="shared" si="320"/>
        <v/>
      </c>
      <c r="MD57" s="1785" t="str">
        <f t="shared" si="321"/>
        <v/>
      </c>
      <c r="ME57" s="1785" t="str">
        <f t="shared" si="322"/>
        <v/>
      </c>
      <c r="MF57" s="1785" t="str">
        <f t="shared" si="323"/>
        <v/>
      </c>
      <c r="MG57" s="1785" t="str">
        <f t="shared" si="324"/>
        <v/>
      </c>
      <c r="MH57" s="1785" t="str">
        <f t="shared" si="325"/>
        <v/>
      </c>
      <c r="MI57" s="1785" t="str">
        <f t="shared" si="326"/>
        <v/>
      </c>
      <c r="MJ57" s="1785" t="str">
        <f t="shared" si="327"/>
        <v/>
      </c>
      <c r="MK57" s="1785" t="str">
        <f t="shared" si="328"/>
        <v/>
      </c>
      <c r="ML57" s="1785" t="str">
        <f t="shared" si="329"/>
        <v/>
      </c>
      <c r="MM57" s="1785" t="str">
        <f t="shared" si="330"/>
        <v/>
      </c>
      <c r="MN57" s="1785" t="str">
        <f t="shared" si="331"/>
        <v/>
      </c>
      <c r="MO57" s="1785" t="str">
        <f t="shared" si="332"/>
        <v/>
      </c>
      <c r="MP57" s="2470" t="str">
        <f t="shared" si="333"/>
        <v/>
      </c>
      <c r="MQ57" s="2470" t="str">
        <f t="shared" si="334"/>
        <v/>
      </c>
      <c r="MR57" s="2470" t="str">
        <f t="shared" si="335"/>
        <v/>
      </c>
      <c r="MS57" s="2470" t="str">
        <f t="shared" si="336"/>
        <v/>
      </c>
      <c r="MT57" s="2470" t="str">
        <f t="shared" si="337"/>
        <v/>
      </c>
      <c r="MU57" s="356" t="str">
        <f t="shared" si="338"/>
        <v/>
      </c>
      <c r="MV57" s="356" t="str">
        <f t="shared" si="339"/>
        <v/>
      </c>
      <c r="MW57" s="356" t="str">
        <f t="shared" si="340"/>
        <v/>
      </c>
      <c r="MX57" s="356" t="str">
        <f t="shared" si="341"/>
        <v/>
      </c>
      <c r="MY57" s="356" t="str">
        <f t="shared" si="342"/>
        <v/>
      </c>
      <c r="MZ57" s="356" t="str">
        <f t="shared" si="343"/>
        <v/>
      </c>
      <c r="NA57" s="356" t="str">
        <f t="shared" si="344"/>
        <v/>
      </c>
      <c r="NB57" s="356" t="str">
        <f t="shared" si="345"/>
        <v/>
      </c>
      <c r="NC57" s="356" t="str">
        <f t="shared" si="346"/>
        <v/>
      </c>
      <c r="ND57" s="356" t="str">
        <f t="shared" si="347"/>
        <v/>
      </c>
      <c r="NE57" s="356" t="str">
        <f t="shared" si="348"/>
        <v/>
      </c>
      <c r="NF57" s="356" t="str">
        <f t="shared" si="349"/>
        <v/>
      </c>
      <c r="NG57" s="356" t="str">
        <f t="shared" si="350"/>
        <v/>
      </c>
      <c r="NH57" s="356" t="str">
        <f t="shared" si="351"/>
        <v/>
      </c>
      <c r="NI57" s="356" t="str">
        <f t="shared" si="352"/>
        <v/>
      </c>
      <c r="NJ57" s="356" t="str">
        <f t="shared" si="353"/>
        <v/>
      </c>
      <c r="NK57" s="356" t="str">
        <f t="shared" si="354"/>
        <v/>
      </c>
      <c r="NL57" s="356" t="str">
        <f t="shared" si="355"/>
        <v/>
      </c>
      <c r="NM57" s="356" t="str">
        <f t="shared" si="356"/>
        <v/>
      </c>
      <c r="NN57" s="356" t="str">
        <f t="shared" si="357"/>
        <v/>
      </c>
      <c r="NO57" s="1640">
        <f t="shared" si="358"/>
        <v>0</v>
      </c>
      <c r="NP57" s="1640">
        <f t="shared" si="359"/>
        <v>0</v>
      </c>
      <c r="NQ57" s="1640">
        <f t="shared" si="360"/>
        <v>0</v>
      </c>
      <c r="NR57" s="1640">
        <f t="shared" si="361"/>
        <v>0</v>
      </c>
      <c r="NS57" s="1640">
        <f t="shared" si="362"/>
        <v>0</v>
      </c>
      <c r="NT57" s="1640">
        <f t="shared" si="368"/>
        <v>0</v>
      </c>
      <c r="NU57" s="1640">
        <f t="shared" si="369"/>
        <v>0</v>
      </c>
      <c r="NV57" s="1640">
        <f t="shared" si="370"/>
        <v>0</v>
      </c>
      <c r="NW57" s="1640">
        <f t="shared" si="371"/>
        <v>0</v>
      </c>
      <c r="NX57" s="1640">
        <f t="shared" si="372"/>
        <v>0</v>
      </c>
      <c r="NY57" s="1640">
        <f t="shared" si="363"/>
        <v>0</v>
      </c>
      <c r="NZ57" s="1640">
        <f t="shared" si="364"/>
        <v>0</v>
      </c>
      <c r="OA57" s="1640">
        <f t="shared" si="365"/>
        <v>0</v>
      </c>
      <c r="OB57" s="1640">
        <f t="shared" si="366"/>
        <v>0</v>
      </c>
      <c r="OC57" s="1640">
        <f t="shared" si="367"/>
        <v>0</v>
      </c>
      <c r="OY57" s="2499" t="s">
        <v>4334</v>
      </c>
      <c r="OZ57" s="2504">
        <v>53</v>
      </c>
    </row>
    <row r="58" spans="1:416" s="115" customFormat="1" ht="12.75" customHeight="1">
      <c r="A58" s="1359">
        <f>COUNT(A11,A12,A13,A14,A15,A16,A17,A18,A19,A20,A21,A22,A23,A24,A25,A26,A27,A28,A29,A30,A31,A32,A33,A34,A35,A36,A37,A38,A39,A40,A41,A42,A43,A44,A45,A46,A47,A48,A49,A50,A51,A52,A53,A54,A55,A56,A57)</f>
        <v>0</v>
      </c>
      <c r="B58" s="3681" t="s">
        <v>3646</v>
      </c>
      <c r="C58" s="3682"/>
      <c r="D58" s="107" t="s">
        <v>953</v>
      </c>
      <c r="E58" s="1049">
        <f>SUM(E11:E57)</f>
        <v>160</v>
      </c>
      <c r="F58" s="1047">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144560</v>
      </c>
      <c r="H58" s="3683" t="s">
        <v>3643</v>
      </c>
      <c r="I58" s="1050" t="s">
        <v>3644</v>
      </c>
      <c r="J58" s="1051" t="str">
        <f>IF(P76=0,"",IF(SUM(P67:P71)/P76&gt;=0.4,"Pass","Fail"))</f>
        <v>Pass</v>
      </c>
      <c r="K58" s="447"/>
      <c r="L58" s="684" t="s">
        <v>1223</v>
      </c>
      <c r="M58" s="94">
        <f>SUM(M11:M57)</f>
        <v>218852</v>
      </c>
      <c r="N58" s="72"/>
      <c r="O58" s="72"/>
      <c r="P58" s="72"/>
      <c r="Q58" s="72"/>
      <c r="R58" s="72"/>
      <c r="S58" s="72"/>
      <c r="T58" s="72"/>
      <c r="U58" s="72"/>
      <c r="V58" s="671"/>
      <c r="W58" s="448"/>
      <c r="X58" s="1641">
        <f t="shared" ref="X58:GJ58" si="645">SUM(X11:X57)</f>
        <v>0</v>
      </c>
      <c r="Y58" s="1641">
        <f t="shared" si="645"/>
        <v>8</v>
      </c>
      <c r="Z58" s="1641">
        <f t="shared" si="645"/>
        <v>24</v>
      </c>
      <c r="AA58" s="1641">
        <f t="shared" si="645"/>
        <v>0</v>
      </c>
      <c r="AB58" s="1641">
        <f t="shared" si="645"/>
        <v>0</v>
      </c>
      <c r="AC58" s="1641">
        <f t="shared" si="645"/>
        <v>0</v>
      </c>
      <c r="AD58" s="1641">
        <f t="shared" si="645"/>
        <v>0</v>
      </c>
      <c r="AE58" s="1641">
        <f t="shared" si="645"/>
        <v>0</v>
      </c>
      <c r="AF58" s="1641">
        <f t="shared" si="645"/>
        <v>0</v>
      </c>
      <c r="AG58" s="1641">
        <f t="shared" si="645"/>
        <v>0</v>
      </c>
      <c r="AH58" s="1641">
        <f t="shared" si="645"/>
        <v>0</v>
      </c>
      <c r="AI58" s="1641">
        <f t="shared" si="645"/>
        <v>24</v>
      </c>
      <c r="AJ58" s="1641">
        <f t="shared" si="645"/>
        <v>72</v>
      </c>
      <c r="AK58" s="1641">
        <f t="shared" si="645"/>
        <v>0</v>
      </c>
      <c r="AL58" s="1641">
        <f t="shared" si="645"/>
        <v>0</v>
      </c>
      <c r="AM58" s="1641">
        <f>SUM(AM11:AM57)</f>
        <v>0</v>
      </c>
      <c r="AN58" s="1641">
        <f>SUM(AN11:AN57)</f>
        <v>4</v>
      </c>
      <c r="AO58" s="1641">
        <f>SUM(AO11:AO57)</f>
        <v>12</v>
      </c>
      <c r="AP58" s="1641">
        <f>SUM(AP11:AP57)</f>
        <v>0</v>
      </c>
      <c r="AQ58" s="1641">
        <f>SUM(AQ11:AQ57)</f>
        <v>0</v>
      </c>
      <c r="AR58" s="1641">
        <f t="shared" si="645"/>
        <v>0</v>
      </c>
      <c r="AS58" s="1641">
        <f t="shared" si="645"/>
        <v>0</v>
      </c>
      <c r="AT58" s="1641">
        <f t="shared" si="645"/>
        <v>0</v>
      </c>
      <c r="AU58" s="1641">
        <f t="shared" si="645"/>
        <v>0</v>
      </c>
      <c r="AV58" s="1641">
        <f t="shared" si="645"/>
        <v>0</v>
      </c>
      <c r="AW58" s="1641">
        <f t="shared" si="645"/>
        <v>0</v>
      </c>
      <c r="AX58" s="1641">
        <f t="shared" si="645"/>
        <v>4</v>
      </c>
      <c r="AY58" s="1641">
        <f t="shared" si="645"/>
        <v>12</v>
      </c>
      <c r="AZ58" s="1641">
        <f t="shared" si="645"/>
        <v>0</v>
      </c>
      <c r="BA58" s="1641">
        <f t="shared" si="645"/>
        <v>0</v>
      </c>
      <c r="BB58" s="1641">
        <f>SUM(BB11:BB57)</f>
        <v>0</v>
      </c>
      <c r="BC58" s="1641">
        <f>SUM(BC11:BC57)</f>
        <v>0</v>
      </c>
      <c r="BD58" s="1641">
        <f>SUM(BD11:BD57)</f>
        <v>0</v>
      </c>
      <c r="BE58" s="1641">
        <f>SUM(BE11:BE57)</f>
        <v>0</v>
      </c>
      <c r="BF58" s="1641">
        <f>SUM(BF11:BF57)</f>
        <v>0</v>
      </c>
      <c r="BG58" s="1641">
        <f t="shared" si="645"/>
        <v>0</v>
      </c>
      <c r="BH58" s="1641">
        <f t="shared" si="645"/>
        <v>0</v>
      </c>
      <c r="BI58" s="1641">
        <f t="shared" si="645"/>
        <v>0</v>
      </c>
      <c r="BJ58" s="1641">
        <f t="shared" si="645"/>
        <v>0</v>
      </c>
      <c r="BK58" s="1641">
        <f t="shared" si="645"/>
        <v>0</v>
      </c>
      <c r="BL58" s="1641">
        <f>SUM(BL11:BL57)</f>
        <v>0</v>
      </c>
      <c r="BM58" s="1641">
        <f>SUM(BM11:BM57)</f>
        <v>0</v>
      </c>
      <c r="BN58" s="1641">
        <f>SUM(BN11:BN57)</f>
        <v>0</v>
      </c>
      <c r="BO58" s="1641">
        <f>SUM(BO11:BO57)</f>
        <v>0</v>
      </c>
      <c r="BP58" s="1641">
        <f>SUM(BP11:BP57)</f>
        <v>0</v>
      </c>
      <c r="BQ58" s="1641">
        <f t="shared" si="645"/>
        <v>0</v>
      </c>
      <c r="BR58" s="1641">
        <f t="shared" si="645"/>
        <v>4</v>
      </c>
      <c r="BS58" s="1641">
        <f t="shared" si="645"/>
        <v>12</v>
      </c>
      <c r="BT58" s="1641">
        <f t="shared" si="645"/>
        <v>0</v>
      </c>
      <c r="BU58" s="1641">
        <f t="shared" si="645"/>
        <v>0</v>
      </c>
      <c r="BV58" s="1641">
        <f>SUM(BV11:BV57)</f>
        <v>0</v>
      </c>
      <c r="BW58" s="1641">
        <f>SUM(BW11:BW57)</f>
        <v>0</v>
      </c>
      <c r="BX58" s="1641">
        <f>SUM(BX11:BX57)</f>
        <v>0</v>
      </c>
      <c r="BY58" s="1641">
        <f>SUM(BY11:BY57)</f>
        <v>0</v>
      </c>
      <c r="BZ58" s="1641">
        <f>SUM(BZ11:BZ57)</f>
        <v>0</v>
      </c>
      <c r="CA58" s="1641">
        <f t="shared" si="645"/>
        <v>0</v>
      </c>
      <c r="CB58" s="1641">
        <f t="shared" si="645"/>
        <v>0</v>
      </c>
      <c r="CC58" s="1641">
        <f t="shared" si="645"/>
        <v>0</v>
      </c>
      <c r="CD58" s="1641">
        <f t="shared" si="645"/>
        <v>0</v>
      </c>
      <c r="CE58" s="1641">
        <f t="shared" si="645"/>
        <v>0</v>
      </c>
      <c r="CF58" s="1641">
        <f t="shared" si="645"/>
        <v>0</v>
      </c>
      <c r="CG58" s="1641">
        <f t="shared" si="645"/>
        <v>0</v>
      </c>
      <c r="CH58" s="1641">
        <f t="shared" si="645"/>
        <v>0</v>
      </c>
      <c r="CI58" s="1641">
        <f t="shared" si="645"/>
        <v>0</v>
      </c>
      <c r="CJ58" s="1641">
        <f t="shared" si="645"/>
        <v>0</v>
      </c>
      <c r="CK58" s="1641">
        <f>SUM(CK11:CK57)</f>
        <v>0</v>
      </c>
      <c r="CL58" s="1641">
        <f>SUM(CL11:CL57)</f>
        <v>0</v>
      </c>
      <c r="CM58" s="1641">
        <f>SUM(CM11:CM57)</f>
        <v>0</v>
      </c>
      <c r="CN58" s="1641">
        <f>SUM(CN11:CN57)</f>
        <v>0</v>
      </c>
      <c r="CO58" s="1641">
        <f>SUM(CO11:CO57)</f>
        <v>0</v>
      </c>
      <c r="CP58" s="1641">
        <f t="shared" ref="CP58:CY58" si="646">SUM(CP11:CP57)</f>
        <v>0</v>
      </c>
      <c r="CQ58" s="1641">
        <f t="shared" si="646"/>
        <v>0</v>
      </c>
      <c r="CR58" s="1641">
        <f t="shared" si="646"/>
        <v>0</v>
      </c>
      <c r="CS58" s="1641">
        <f t="shared" si="646"/>
        <v>0</v>
      </c>
      <c r="CT58" s="1641">
        <f t="shared" si="646"/>
        <v>0</v>
      </c>
      <c r="CU58" s="1641">
        <f t="shared" si="646"/>
        <v>0</v>
      </c>
      <c r="CV58" s="1641">
        <f t="shared" si="646"/>
        <v>0</v>
      </c>
      <c r="CW58" s="1641">
        <f t="shared" si="646"/>
        <v>0</v>
      </c>
      <c r="CX58" s="1641">
        <f t="shared" si="646"/>
        <v>0</v>
      </c>
      <c r="CY58" s="1641">
        <f t="shared" si="646"/>
        <v>0</v>
      </c>
      <c r="CZ58" s="1641">
        <f t="shared" si="645"/>
        <v>0</v>
      </c>
      <c r="DA58" s="1641">
        <f t="shared" si="645"/>
        <v>0</v>
      </c>
      <c r="DB58" s="1641">
        <f t="shared" si="645"/>
        <v>0</v>
      </c>
      <c r="DC58" s="1641">
        <f t="shared" si="645"/>
        <v>0</v>
      </c>
      <c r="DD58" s="1641">
        <f t="shared" si="645"/>
        <v>0</v>
      </c>
      <c r="DE58" s="1641">
        <f t="shared" si="645"/>
        <v>0</v>
      </c>
      <c r="DF58" s="1641">
        <f t="shared" si="645"/>
        <v>0</v>
      </c>
      <c r="DG58" s="1641">
        <f t="shared" si="645"/>
        <v>0</v>
      </c>
      <c r="DH58" s="1641">
        <f t="shared" si="645"/>
        <v>0</v>
      </c>
      <c r="DI58" s="1641">
        <f t="shared" si="645"/>
        <v>0</v>
      </c>
      <c r="DJ58" s="1641">
        <f t="shared" si="645"/>
        <v>0</v>
      </c>
      <c r="DK58" s="1641">
        <f t="shared" si="645"/>
        <v>0</v>
      </c>
      <c r="DL58" s="1641">
        <f t="shared" si="645"/>
        <v>0</v>
      </c>
      <c r="DM58" s="1641">
        <f t="shared" si="645"/>
        <v>0</v>
      </c>
      <c r="DN58" s="1641">
        <f t="shared" si="645"/>
        <v>0</v>
      </c>
      <c r="DO58" s="1641">
        <f t="shared" si="645"/>
        <v>0</v>
      </c>
      <c r="DP58" s="1641">
        <f t="shared" si="645"/>
        <v>0</v>
      </c>
      <c r="DQ58" s="1641">
        <f t="shared" si="645"/>
        <v>0</v>
      </c>
      <c r="DR58" s="1641">
        <f t="shared" si="645"/>
        <v>0</v>
      </c>
      <c r="DS58" s="1641">
        <f t="shared" si="645"/>
        <v>0</v>
      </c>
      <c r="DT58" s="1641">
        <f t="shared" si="645"/>
        <v>0</v>
      </c>
      <c r="DU58" s="1641">
        <f t="shared" si="645"/>
        <v>0</v>
      </c>
      <c r="DV58" s="1641">
        <f t="shared" si="645"/>
        <v>0</v>
      </c>
      <c r="DW58" s="1641">
        <f t="shared" si="645"/>
        <v>0</v>
      </c>
      <c r="DX58" s="1641">
        <f t="shared" si="645"/>
        <v>0</v>
      </c>
      <c r="DY58" s="1641">
        <f t="shared" si="645"/>
        <v>0</v>
      </c>
      <c r="DZ58" s="1641">
        <f t="shared" si="645"/>
        <v>0</v>
      </c>
      <c r="EA58" s="1641">
        <f t="shared" si="645"/>
        <v>0</v>
      </c>
      <c r="EB58" s="1641">
        <f t="shared" si="645"/>
        <v>0</v>
      </c>
      <c r="EC58" s="1641">
        <f t="shared" si="645"/>
        <v>0</v>
      </c>
      <c r="ED58" s="1641">
        <f t="shared" si="645"/>
        <v>0</v>
      </c>
      <c r="EE58" s="1641">
        <f t="shared" si="645"/>
        <v>0</v>
      </c>
      <c r="EF58" s="1641">
        <f t="shared" si="645"/>
        <v>0</v>
      </c>
      <c r="EG58" s="1641">
        <f t="shared" si="645"/>
        <v>0</v>
      </c>
      <c r="EH58" s="1641">
        <f t="shared" si="645"/>
        <v>0</v>
      </c>
      <c r="EI58" s="1641">
        <f t="shared" ref="EI58:FL58" si="647">SUM(EI11:EI57)</f>
        <v>0</v>
      </c>
      <c r="EJ58" s="1641">
        <f t="shared" si="647"/>
        <v>0</v>
      </c>
      <c r="EK58" s="1641">
        <f t="shared" si="647"/>
        <v>0</v>
      </c>
      <c r="EL58" s="1641">
        <f t="shared" si="647"/>
        <v>0</v>
      </c>
      <c r="EM58" s="1641">
        <f t="shared" si="647"/>
        <v>0</v>
      </c>
      <c r="EN58" s="1641">
        <f t="shared" si="647"/>
        <v>0</v>
      </c>
      <c r="EO58" s="1641">
        <f t="shared" si="647"/>
        <v>0</v>
      </c>
      <c r="EP58" s="1641">
        <f t="shared" si="647"/>
        <v>0</v>
      </c>
      <c r="EQ58" s="1641">
        <f t="shared" si="647"/>
        <v>0</v>
      </c>
      <c r="ER58" s="1641">
        <f t="shared" si="647"/>
        <v>0</v>
      </c>
      <c r="ES58" s="1641">
        <f t="shared" si="647"/>
        <v>0</v>
      </c>
      <c r="ET58" s="1641">
        <f t="shared" si="647"/>
        <v>0</v>
      </c>
      <c r="EU58" s="1641">
        <f t="shared" si="647"/>
        <v>0</v>
      </c>
      <c r="EV58" s="1641">
        <f t="shared" si="647"/>
        <v>0</v>
      </c>
      <c r="EW58" s="1641">
        <f t="shared" si="647"/>
        <v>0</v>
      </c>
      <c r="EX58" s="1641">
        <f t="shared" si="647"/>
        <v>0</v>
      </c>
      <c r="EY58" s="1641">
        <f t="shared" si="647"/>
        <v>0</v>
      </c>
      <c r="EZ58" s="1641">
        <f t="shared" si="647"/>
        <v>0</v>
      </c>
      <c r="FA58" s="1641">
        <f t="shared" si="647"/>
        <v>0</v>
      </c>
      <c r="FB58" s="1641">
        <f t="shared" si="647"/>
        <v>0</v>
      </c>
      <c r="FC58" s="1641">
        <f t="shared" si="647"/>
        <v>0</v>
      </c>
      <c r="FD58" s="1641">
        <f t="shared" si="647"/>
        <v>0</v>
      </c>
      <c r="FE58" s="1641">
        <f t="shared" si="647"/>
        <v>0</v>
      </c>
      <c r="FF58" s="1641">
        <f t="shared" si="647"/>
        <v>0</v>
      </c>
      <c r="FG58" s="1641">
        <f t="shared" si="647"/>
        <v>0</v>
      </c>
      <c r="FH58" s="1641">
        <f t="shared" si="647"/>
        <v>0</v>
      </c>
      <c r="FI58" s="1641">
        <f t="shared" si="647"/>
        <v>0</v>
      </c>
      <c r="FJ58" s="1641">
        <f t="shared" si="647"/>
        <v>0</v>
      </c>
      <c r="FK58" s="1641">
        <f t="shared" si="647"/>
        <v>0</v>
      </c>
      <c r="FL58" s="1641">
        <f t="shared" si="647"/>
        <v>0</v>
      </c>
      <c r="FM58" s="1641">
        <f t="shared" si="645"/>
        <v>0</v>
      </c>
      <c r="FN58" s="1641">
        <f t="shared" si="645"/>
        <v>0</v>
      </c>
      <c r="FO58" s="1641">
        <f t="shared" si="645"/>
        <v>0</v>
      </c>
      <c r="FP58" s="1641">
        <f t="shared" si="645"/>
        <v>0</v>
      </c>
      <c r="FQ58" s="1641">
        <f t="shared" si="645"/>
        <v>0</v>
      </c>
      <c r="FR58" s="1641">
        <f t="shared" si="645"/>
        <v>0</v>
      </c>
      <c r="FS58" s="1641">
        <f t="shared" si="645"/>
        <v>5608</v>
      </c>
      <c r="FT58" s="1641">
        <f t="shared" si="645"/>
        <v>23304</v>
      </c>
      <c r="FU58" s="1641">
        <f t="shared" si="645"/>
        <v>0</v>
      </c>
      <c r="FV58" s="1641">
        <f t="shared" si="645"/>
        <v>0</v>
      </c>
      <c r="FW58" s="1641">
        <f t="shared" si="645"/>
        <v>0</v>
      </c>
      <c r="FX58" s="1641">
        <f t="shared" si="645"/>
        <v>0</v>
      </c>
      <c r="FY58" s="1641">
        <f t="shared" si="645"/>
        <v>0</v>
      </c>
      <c r="FZ58" s="1641">
        <f t="shared" si="645"/>
        <v>0</v>
      </c>
      <c r="GA58" s="1641">
        <f t="shared" si="645"/>
        <v>0</v>
      </c>
      <c r="GB58" s="1641">
        <f t="shared" si="645"/>
        <v>0</v>
      </c>
      <c r="GC58" s="1641">
        <f t="shared" si="645"/>
        <v>16824</v>
      </c>
      <c r="GD58" s="1641">
        <f t="shared" si="645"/>
        <v>69912</v>
      </c>
      <c r="GE58" s="1641">
        <f t="shared" si="645"/>
        <v>0</v>
      </c>
      <c r="GF58" s="1641">
        <f t="shared" si="645"/>
        <v>0</v>
      </c>
      <c r="GG58" s="1641">
        <f t="shared" si="645"/>
        <v>0</v>
      </c>
      <c r="GH58" s="1641">
        <f t="shared" si="645"/>
        <v>2804</v>
      </c>
      <c r="GI58" s="1641">
        <f t="shared" si="645"/>
        <v>11652</v>
      </c>
      <c r="GJ58" s="1641">
        <f t="shared" si="645"/>
        <v>0</v>
      </c>
      <c r="GK58" s="1641">
        <f t="shared" ref="GK58:JF58" si="648">SUM(GK11:GK57)</f>
        <v>0</v>
      </c>
      <c r="GL58" s="1641">
        <f>SUM(GL11:GL57)</f>
        <v>0</v>
      </c>
      <c r="GM58" s="1641">
        <f>SUM(GM11:GM57)</f>
        <v>0</v>
      </c>
      <c r="GN58" s="1641">
        <f>SUM(GN11:GN57)</f>
        <v>0</v>
      </c>
      <c r="GO58" s="1641">
        <f>SUM(GO11:GO57)</f>
        <v>0</v>
      </c>
      <c r="GP58" s="1641">
        <f>SUM(GP11:GP57)</f>
        <v>0</v>
      </c>
      <c r="GQ58" s="1641">
        <f t="shared" si="648"/>
        <v>0</v>
      </c>
      <c r="GR58" s="1641">
        <f t="shared" si="648"/>
        <v>2804</v>
      </c>
      <c r="GS58" s="1641">
        <f t="shared" si="648"/>
        <v>11652</v>
      </c>
      <c r="GT58" s="1641">
        <f t="shared" si="648"/>
        <v>0</v>
      </c>
      <c r="GU58" s="1641">
        <f t="shared" si="648"/>
        <v>0</v>
      </c>
      <c r="GV58" s="1641">
        <f>SUM(GV11:GV57)</f>
        <v>0</v>
      </c>
      <c r="GW58" s="1641">
        <f>SUM(GW11:GW57)</f>
        <v>0</v>
      </c>
      <c r="GX58" s="1641">
        <f>SUM(GX11:GX57)</f>
        <v>0</v>
      </c>
      <c r="GY58" s="1641">
        <f>SUM(GY11:GY57)</f>
        <v>0</v>
      </c>
      <c r="GZ58" s="1641">
        <f>SUM(GZ11:GZ57)</f>
        <v>0</v>
      </c>
      <c r="HA58" s="1641">
        <f t="shared" si="648"/>
        <v>0</v>
      </c>
      <c r="HB58" s="1641">
        <f t="shared" si="648"/>
        <v>0</v>
      </c>
      <c r="HC58" s="1641">
        <f t="shared" si="648"/>
        <v>0</v>
      </c>
      <c r="HD58" s="1641">
        <f t="shared" si="648"/>
        <v>0</v>
      </c>
      <c r="HE58" s="1641">
        <f t="shared" si="648"/>
        <v>0</v>
      </c>
      <c r="HF58" s="1641">
        <f t="shared" si="648"/>
        <v>0</v>
      </c>
      <c r="HG58" s="1641">
        <f t="shared" si="648"/>
        <v>2804</v>
      </c>
      <c r="HH58" s="1641">
        <f t="shared" si="648"/>
        <v>11652</v>
      </c>
      <c r="HI58" s="1641">
        <f t="shared" si="648"/>
        <v>0</v>
      </c>
      <c r="HJ58" s="1641">
        <f t="shared" si="648"/>
        <v>0</v>
      </c>
      <c r="HK58" s="1641">
        <f t="shared" si="648"/>
        <v>0</v>
      </c>
      <c r="HL58" s="1641">
        <f t="shared" si="648"/>
        <v>0</v>
      </c>
      <c r="HM58" s="1641">
        <f t="shared" si="648"/>
        <v>0</v>
      </c>
      <c r="HN58" s="1641">
        <f t="shared" si="648"/>
        <v>0</v>
      </c>
      <c r="HO58" s="1641">
        <f t="shared" si="648"/>
        <v>0</v>
      </c>
      <c r="HP58" s="1641">
        <f t="shared" si="648"/>
        <v>0</v>
      </c>
      <c r="HQ58" s="1641">
        <f t="shared" si="648"/>
        <v>0</v>
      </c>
      <c r="HR58" s="1641">
        <f t="shared" si="648"/>
        <v>0</v>
      </c>
      <c r="HS58" s="1641">
        <f t="shared" si="648"/>
        <v>0</v>
      </c>
      <c r="HT58" s="1641">
        <f t="shared" si="648"/>
        <v>0</v>
      </c>
      <c r="HU58" s="1641">
        <f t="shared" si="648"/>
        <v>0</v>
      </c>
      <c r="HV58" s="1641">
        <f t="shared" si="648"/>
        <v>0</v>
      </c>
      <c r="HW58" s="1641">
        <f t="shared" si="648"/>
        <v>0</v>
      </c>
      <c r="HX58" s="1641">
        <f t="shared" si="648"/>
        <v>0</v>
      </c>
      <c r="HY58" s="1641">
        <f t="shared" si="648"/>
        <v>0</v>
      </c>
      <c r="HZ58" s="1641">
        <f t="shared" si="648"/>
        <v>0</v>
      </c>
      <c r="IA58" s="1641">
        <f t="shared" si="648"/>
        <v>0</v>
      </c>
      <c r="IB58" s="1641">
        <f t="shared" si="648"/>
        <v>0</v>
      </c>
      <c r="IC58" s="1641">
        <f t="shared" si="648"/>
        <v>0</v>
      </c>
      <c r="ID58" s="1641">
        <f t="shared" si="648"/>
        <v>0</v>
      </c>
      <c r="IE58" s="1641">
        <f t="shared" si="648"/>
        <v>0</v>
      </c>
      <c r="IF58" s="1641">
        <f t="shared" si="648"/>
        <v>0</v>
      </c>
      <c r="IG58" s="1641">
        <f t="shared" si="648"/>
        <v>0</v>
      </c>
      <c r="IH58" s="1641">
        <f t="shared" si="648"/>
        <v>0</v>
      </c>
      <c r="II58" s="1641">
        <f t="shared" si="648"/>
        <v>0</v>
      </c>
      <c r="IJ58" s="1641">
        <f t="shared" si="648"/>
        <v>0</v>
      </c>
      <c r="IK58" s="1641">
        <f t="shared" si="648"/>
        <v>0</v>
      </c>
      <c r="IL58" s="1641">
        <f t="shared" si="648"/>
        <v>0</v>
      </c>
      <c r="IM58" s="1641">
        <f t="shared" si="648"/>
        <v>0</v>
      </c>
      <c r="IN58" s="1641">
        <f t="shared" si="648"/>
        <v>0</v>
      </c>
      <c r="IO58" s="1641">
        <f t="shared" si="648"/>
        <v>0</v>
      </c>
      <c r="IP58" s="1641">
        <f t="shared" si="648"/>
        <v>0</v>
      </c>
      <c r="IQ58" s="1641">
        <f t="shared" si="648"/>
        <v>0</v>
      </c>
      <c r="IR58" s="1641">
        <f t="shared" si="648"/>
        <v>0</v>
      </c>
      <c r="IS58" s="1641">
        <f t="shared" si="648"/>
        <v>0</v>
      </c>
      <c r="IT58" s="1641">
        <f t="shared" si="648"/>
        <v>0</v>
      </c>
      <c r="IU58" s="1641">
        <f t="shared" si="648"/>
        <v>40</v>
      </c>
      <c r="IV58" s="1641">
        <f t="shared" si="648"/>
        <v>120</v>
      </c>
      <c r="IW58" s="1641">
        <f t="shared" si="648"/>
        <v>0</v>
      </c>
      <c r="IX58" s="1641">
        <f t="shared" si="648"/>
        <v>0</v>
      </c>
      <c r="IY58" s="1641">
        <f t="shared" si="648"/>
        <v>0</v>
      </c>
      <c r="IZ58" s="1641">
        <f t="shared" si="648"/>
        <v>0</v>
      </c>
      <c r="JA58" s="1641">
        <f t="shared" si="648"/>
        <v>0</v>
      </c>
      <c r="JB58" s="1641">
        <f t="shared" si="648"/>
        <v>0</v>
      </c>
      <c r="JC58" s="1641">
        <f t="shared" si="648"/>
        <v>0</v>
      </c>
      <c r="JD58" s="1641">
        <f t="shared" si="648"/>
        <v>0</v>
      </c>
      <c r="JE58" s="1641">
        <f t="shared" si="648"/>
        <v>0</v>
      </c>
      <c r="JF58" s="1641">
        <f t="shared" si="648"/>
        <v>0</v>
      </c>
      <c r="JG58" s="1641">
        <f t="shared" ref="JG58:LP58" si="649">SUM(JG11:JG57)</f>
        <v>0</v>
      </c>
      <c r="JH58" s="1641">
        <f t="shared" si="649"/>
        <v>0</v>
      </c>
      <c r="JI58" s="1641">
        <f t="shared" si="649"/>
        <v>0</v>
      </c>
      <c r="JJ58" s="1641">
        <f t="shared" si="649"/>
        <v>40</v>
      </c>
      <c r="JK58" s="1641">
        <f t="shared" si="649"/>
        <v>120</v>
      </c>
      <c r="JL58" s="1641">
        <f t="shared" si="649"/>
        <v>0</v>
      </c>
      <c r="JM58" s="1641">
        <f t="shared" si="649"/>
        <v>0</v>
      </c>
      <c r="JN58" s="1641">
        <f t="shared" si="649"/>
        <v>0</v>
      </c>
      <c r="JO58" s="1641">
        <f t="shared" si="649"/>
        <v>0</v>
      </c>
      <c r="JP58" s="1641">
        <f t="shared" si="649"/>
        <v>0</v>
      </c>
      <c r="JQ58" s="1641">
        <f t="shared" si="649"/>
        <v>0</v>
      </c>
      <c r="JR58" s="1641">
        <f t="shared" si="649"/>
        <v>0</v>
      </c>
      <c r="JS58" s="1641">
        <f t="shared" si="649"/>
        <v>0</v>
      </c>
      <c r="JT58" s="1641">
        <f t="shared" si="649"/>
        <v>0</v>
      </c>
      <c r="JU58" s="1641">
        <f t="shared" si="649"/>
        <v>0</v>
      </c>
      <c r="JV58" s="1641">
        <f t="shared" si="649"/>
        <v>0</v>
      </c>
      <c r="JW58" s="1641">
        <f t="shared" si="649"/>
        <v>0</v>
      </c>
      <c r="JX58" s="1641">
        <f t="shared" si="649"/>
        <v>0</v>
      </c>
      <c r="JY58" s="1641">
        <f t="shared" si="649"/>
        <v>0</v>
      </c>
      <c r="JZ58" s="1641">
        <f t="shared" si="649"/>
        <v>0</v>
      </c>
      <c r="KA58" s="1641">
        <f t="shared" si="649"/>
        <v>0</v>
      </c>
      <c r="KB58" s="1641">
        <f t="shared" si="649"/>
        <v>0</v>
      </c>
      <c r="KC58" s="1641">
        <f t="shared" si="649"/>
        <v>0</v>
      </c>
      <c r="KD58" s="1641">
        <f t="shared" si="649"/>
        <v>0</v>
      </c>
      <c r="KE58" s="1641">
        <f t="shared" si="649"/>
        <v>0</v>
      </c>
      <c r="KF58" s="1641">
        <f t="shared" si="649"/>
        <v>0</v>
      </c>
      <c r="KG58" s="1641">
        <f t="shared" si="649"/>
        <v>0</v>
      </c>
      <c r="KH58" s="1641">
        <f t="shared" si="649"/>
        <v>0</v>
      </c>
      <c r="KI58" s="1641">
        <f t="shared" si="649"/>
        <v>0</v>
      </c>
      <c r="KJ58" s="1641">
        <f t="shared" si="649"/>
        <v>0</v>
      </c>
      <c r="KK58" s="1641">
        <f t="shared" si="649"/>
        <v>0</v>
      </c>
      <c r="KL58" s="1641">
        <f t="shared" si="649"/>
        <v>0</v>
      </c>
      <c r="KM58" s="1641">
        <f t="shared" si="649"/>
        <v>0</v>
      </c>
      <c r="KN58" s="1641">
        <f t="shared" si="649"/>
        <v>0</v>
      </c>
      <c r="KO58" s="1641">
        <f t="shared" si="649"/>
        <v>0</v>
      </c>
      <c r="KP58" s="1641">
        <f t="shared" si="649"/>
        <v>0</v>
      </c>
      <c r="KQ58" s="1641">
        <f t="shared" si="649"/>
        <v>0</v>
      </c>
      <c r="KR58" s="1641">
        <f t="shared" si="649"/>
        <v>0</v>
      </c>
      <c r="KS58" s="1641">
        <f t="shared" si="649"/>
        <v>0</v>
      </c>
      <c r="KT58" s="1641">
        <f t="shared" si="649"/>
        <v>0</v>
      </c>
      <c r="KU58" s="1641">
        <f t="shared" si="649"/>
        <v>0</v>
      </c>
      <c r="KV58" s="1641">
        <f t="shared" si="649"/>
        <v>0</v>
      </c>
      <c r="KW58" s="1641">
        <f t="shared" si="649"/>
        <v>0</v>
      </c>
      <c r="KX58" s="1641">
        <f t="shared" si="649"/>
        <v>0</v>
      </c>
      <c r="KY58" s="1641">
        <f t="shared" si="649"/>
        <v>0</v>
      </c>
      <c r="KZ58" s="1641">
        <f t="shared" si="649"/>
        <v>0</v>
      </c>
      <c r="LA58" s="1641">
        <f t="shared" si="649"/>
        <v>0</v>
      </c>
      <c r="LB58" s="1641">
        <f t="shared" si="649"/>
        <v>0</v>
      </c>
      <c r="LC58" s="1641">
        <f t="shared" si="649"/>
        <v>0</v>
      </c>
      <c r="LD58" s="1641">
        <f t="shared" si="649"/>
        <v>0</v>
      </c>
      <c r="LE58" s="1641">
        <f t="shared" si="649"/>
        <v>0</v>
      </c>
      <c r="LF58" s="1641">
        <f t="shared" si="649"/>
        <v>0</v>
      </c>
      <c r="LG58" s="1641">
        <f>SUM(LG11:LG57)</f>
        <v>0</v>
      </c>
      <c r="LH58" s="1641">
        <f>SUM(LH11:LH57)</f>
        <v>40</v>
      </c>
      <c r="LI58" s="1641">
        <f>SUM(LI11:LI57)</f>
        <v>120</v>
      </c>
      <c r="LJ58" s="1641">
        <f>SUM(LJ11:LJ57)</f>
        <v>0</v>
      </c>
      <c r="LK58" s="1641">
        <f>SUM(LK11:LK57)</f>
        <v>0</v>
      </c>
      <c r="LL58" s="1641">
        <f t="shared" si="649"/>
        <v>0</v>
      </c>
      <c r="LM58" s="1641">
        <f t="shared" si="649"/>
        <v>0</v>
      </c>
      <c r="LN58" s="1641">
        <f t="shared" si="649"/>
        <v>0</v>
      </c>
      <c r="LO58" s="1641">
        <f t="shared" si="649"/>
        <v>0</v>
      </c>
      <c r="LP58" s="1641">
        <f t="shared" si="649"/>
        <v>0</v>
      </c>
      <c r="LQ58" s="1641">
        <f>SUM(LQ11:LQ57)</f>
        <v>0</v>
      </c>
      <c r="LR58" s="1641">
        <f>SUM(LR11:LR57)</f>
        <v>0</v>
      </c>
      <c r="LS58" s="1641">
        <f>SUM(LS11:LS57)</f>
        <v>0</v>
      </c>
      <c r="LT58" s="1641">
        <f>SUM(LT11:LT57)</f>
        <v>0</v>
      </c>
      <c r="LU58" s="1641">
        <f>SUM(LU11:LU57)</f>
        <v>0</v>
      </c>
      <c r="LV58" s="1641">
        <f t="shared" ref="LV58:MJ58" si="650">SUM(LV11:LV57)</f>
        <v>0</v>
      </c>
      <c r="LW58" s="1641">
        <f t="shared" si="650"/>
        <v>0</v>
      </c>
      <c r="LX58" s="1641">
        <f t="shared" si="650"/>
        <v>0</v>
      </c>
      <c r="LY58" s="1641">
        <f t="shared" si="650"/>
        <v>0</v>
      </c>
      <c r="LZ58" s="1641">
        <f t="shared" si="650"/>
        <v>0</v>
      </c>
      <c r="MA58" s="1641">
        <f>SUM(MA11:MA57)</f>
        <v>0</v>
      </c>
      <c r="MB58" s="1641">
        <f>SUM(MB11:MB57)</f>
        <v>0</v>
      </c>
      <c r="MC58" s="1641">
        <f>SUM(MC11:MC57)</f>
        <v>0</v>
      </c>
      <c r="MD58" s="1641">
        <f>SUM(MD11:MD57)</f>
        <v>0</v>
      </c>
      <c r="ME58" s="1641">
        <f>SUM(ME11:ME57)</f>
        <v>0</v>
      </c>
      <c r="MF58" s="1641">
        <f t="shared" si="650"/>
        <v>0</v>
      </c>
      <c r="MG58" s="1641">
        <f t="shared" si="650"/>
        <v>0</v>
      </c>
      <c r="MH58" s="1641">
        <f t="shared" si="650"/>
        <v>0</v>
      </c>
      <c r="MI58" s="1641">
        <f t="shared" si="650"/>
        <v>0</v>
      </c>
      <c r="MJ58" s="1641">
        <f t="shared" si="650"/>
        <v>0</v>
      </c>
      <c r="MK58" s="1641">
        <f>SUM(MK11:MK57)</f>
        <v>0</v>
      </c>
      <c r="ML58" s="1641">
        <f>SUM(ML11:ML57)</f>
        <v>0</v>
      </c>
      <c r="MM58" s="1641">
        <f>SUM(MM11:MM57)</f>
        <v>0</v>
      </c>
      <c r="MN58" s="1641">
        <f>SUM(MN11:MN57)</f>
        <v>0</v>
      </c>
      <c r="MO58" s="1641">
        <f>SUM(MO11:MO57)</f>
        <v>0</v>
      </c>
      <c r="MP58" s="1641">
        <f t="shared" ref="MP58:OD58" si="651">SUM(MP11:MP57)</f>
        <v>0</v>
      </c>
      <c r="MQ58" s="1641">
        <f t="shared" si="651"/>
        <v>0</v>
      </c>
      <c r="MR58" s="1641">
        <f t="shared" si="651"/>
        <v>0</v>
      </c>
      <c r="MS58" s="1641">
        <f t="shared" si="651"/>
        <v>0</v>
      </c>
      <c r="MT58" s="1641">
        <f t="shared" si="651"/>
        <v>0</v>
      </c>
      <c r="MU58" s="1641">
        <f t="shared" si="651"/>
        <v>0</v>
      </c>
      <c r="MV58" s="1641">
        <f t="shared" si="651"/>
        <v>0</v>
      </c>
      <c r="MW58" s="1641">
        <f t="shared" si="651"/>
        <v>0</v>
      </c>
      <c r="MX58" s="1641">
        <f t="shared" si="651"/>
        <v>0</v>
      </c>
      <c r="MY58" s="1641">
        <f t="shared" si="651"/>
        <v>0</v>
      </c>
      <c r="MZ58" s="1641">
        <f t="shared" si="651"/>
        <v>0</v>
      </c>
      <c r="NA58" s="1641">
        <f t="shared" si="651"/>
        <v>0</v>
      </c>
      <c r="NB58" s="1641">
        <f t="shared" si="651"/>
        <v>0</v>
      </c>
      <c r="NC58" s="1641">
        <f t="shared" si="651"/>
        <v>0</v>
      </c>
      <c r="ND58" s="1641">
        <f t="shared" si="651"/>
        <v>0</v>
      </c>
      <c r="NE58" s="1641">
        <f t="shared" si="651"/>
        <v>0</v>
      </c>
      <c r="NF58" s="1641">
        <f t="shared" si="651"/>
        <v>0</v>
      </c>
      <c r="NG58" s="1641">
        <f t="shared" si="651"/>
        <v>0</v>
      </c>
      <c r="NH58" s="1641">
        <f t="shared" si="651"/>
        <v>0</v>
      </c>
      <c r="NI58" s="1641">
        <f t="shared" si="651"/>
        <v>0</v>
      </c>
      <c r="NJ58" s="1641">
        <f t="shared" si="651"/>
        <v>0</v>
      </c>
      <c r="NK58" s="1641">
        <f t="shared" si="651"/>
        <v>0</v>
      </c>
      <c r="NL58" s="1641">
        <f t="shared" si="651"/>
        <v>0</v>
      </c>
      <c r="NM58" s="1641">
        <f t="shared" si="651"/>
        <v>0</v>
      </c>
      <c r="NN58" s="1641">
        <f t="shared" si="651"/>
        <v>0</v>
      </c>
      <c r="NO58" s="1641">
        <f t="shared" si="651"/>
        <v>0</v>
      </c>
      <c r="NP58" s="1641">
        <f t="shared" si="651"/>
        <v>40</v>
      </c>
      <c r="NQ58" s="1641">
        <f t="shared" si="651"/>
        <v>120</v>
      </c>
      <c r="NR58" s="1641">
        <f t="shared" si="651"/>
        <v>0</v>
      </c>
      <c r="NS58" s="1641">
        <f t="shared" si="651"/>
        <v>0</v>
      </c>
      <c r="NT58" s="1641">
        <f t="shared" si="651"/>
        <v>0</v>
      </c>
      <c r="NU58" s="1641">
        <f t="shared" si="651"/>
        <v>0</v>
      </c>
      <c r="NV58" s="1641">
        <f t="shared" si="651"/>
        <v>0</v>
      </c>
      <c r="NW58" s="1641">
        <f t="shared" si="651"/>
        <v>0</v>
      </c>
      <c r="NX58" s="1641">
        <f t="shared" si="651"/>
        <v>0</v>
      </c>
      <c r="NY58" s="1641">
        <f t="shared" si="651"/>
        <v>0</v>
      </c>
      <c r="NZ58" s="1641">
        <f t="shared" si="651"/>
        <v>0</v>
      </c>
      <c r="OA58" s="1641">
        <f t="shared" si="651"/>
        <v>0</v>
      </c>
      <c r="OB58" s="1641">
        <f t="shared" si="651"/>
        <v>0</v>
      </c>
      <c r="OC58" s="1641">
        <f t="shared" si="651"/>
        <v>0</v>
      </c>
      <c r="OD58" s="1641">
        <f t="shared" si="651"/>
        <v>0</v>
      </c>
      <c r="OE58" s="356"/>
      <c r="OF58" s="356"/>
      <c r="OG58" s="356"/>
      <c r="OH58" s="356"/>
      <c r="OI58" s="356"/>
      <c r="OJ58" s="356"/>
      <c r="OK58" s="356"/>
      <c r="OL58" s="356"/>
      <c r="OM58" s="356"/>
      <c r="ON58" s="356"/>
      <c r="OO58" s="356"/>
      <c r="OP58" s="356"/>
      <c r="OQ58" s="356"/>
      <c r="OR58" s="356"/>
      <c r="OS58" s="356"/>
      <c r="OT58" s="356"/>
      <c r="OU58" s="356"/>
      <c r="OY58" s="2499" t="s">
        <v>4335</v>
      </c>
      <c r="OZ58" s="2504">
        <v>54</v>
      </c>
    </row>
    <row r="59" spans="1:416" s="115" customFormat="1" ht="13.95" customHeight="1">
      <c r="B59" s="3685">
        <f>IF(SUM(E18:E57)=0,"",(B18*E18+B19*E19+B20*E20+B21*E21+B22*E22+B23*E23+B24*E24+B25*E25+B26*E26+B27*E27+B28*E28+B29*E29+B30*E30+B31*E31+B32*E32+B33*E33+B34*E34+B35*E35+B36*E36+B37*E37+B38*E38+B39*E39+B40*E40+B41*E41+B42*E42+B43*E43+B44*E44+B45*E45+B46*E46+B47*E47+B48*E48+B49*E49+B50*E50+B51*E51+B52*E52+B53*E53+B54*E54+B55*E55+B56*E56+B57*E57)/SUM(E18:E57))</f>
        <v>60</v>
      </c>
      <c r="C59" s="3686"/>
      <c r="D59" s="119" t="s">
        <v>3553</v>
      </c>
      <c r="E59" s="1046">
        <f>SUM(E18:E57)</f>
        <v>160</v>
      </c>
      <c r="F59" s="1048">
        <f>(E18*F18+E19*F19+E20*F20+E21*F21+E22*F22+E23*F23+E24*F24+E25*F25+E26*F26+E27*F27+E28*F28+E29*F29+E30*F30+E31*F31+E32*F32+E33*F33+E34*F34+E35*F35+E36*F36+E37*F37+E38*F38+E39*F39+E40*F40+E41*F41+E42*F42+E43*F43+E44*F44+E45*F45+E46*F46+E47*F47+E48*F48+E49*F49+E50*F50+E51*F51+E52*F52+E53*F53+E54*F54+E55*F55+E56*F56+E57*F57)</f>
        <v>144560</v>
      </c>
      <c r="H59" s="3684"/>
      <c r="I59" s="1052" t="s">
        <v>3645</v>
      </c>
      <c r="J59" s="1053" t="str">
        <f>IF(P76=0,"",IF(SUM(P68:P71)/P76&gt;=0.2,"Pass","Fail"))</f>
        <v>Pass</v>
      </c>
      <c r="K59" s="447"/>
      <c r="L59" s="107" t="s">
        <v>756</v>
      </c>
      <c r="M59" s="94">
        <f>M58*12</f>
        <v>2626224</v>
      </c>
      <c r="N59" s="72"/>
      <c r="O59" s="72"/>
      <c r="P59" s="72"/>
      <c r="Q59" s="72"/>
      <c r="R59" s="72"/>
      <c r="S59" s="72"/>
      <c r="T59" s="72"/>
      <c r="U59" s="72"/>
      <c r="V59" s="72"/>
      <c r="W59" s="448"/>
      <c r="X59" s="1641"/>
      <c r="Y59" s="1641"/>
      <c r="Z59" s="1641"/>
      <c r="AA59" s="1641"/>
      <c r="AB59" s="1641"/>
      <c r="AC59" s="1641"/>
      <c r="AD59" s="1641"/>
      <c r="AE59" s="1641"/>
      <c r="AF59" s="1641"/>
      <c r="AG59" s="1641"/>
      <c r="AH59" s="1641"/>
      <c r="AI59" s="1641"/>
      <c r="AJ59" s="1641"/>
      <c r="AK59" s="1641"/>
      <c r="AL59" s="1641"/>
      <c r="AM59" s="1641"/>
      <c r="AN59" s="1641"/>
      <c r="AO59" s="1641"/>
      <c r="AP59" s="1641"/>
      <c r="AQ59" s="1641"/>
      <c r="AR59" s="1641"/>
      <c r="AS59" s="1641"/>
      <c r="AT59" s="1641"/>
      <c r="AU59" s="1641"/>
      <c r="AV59" s="1641"/>
      <c r="AW59" s="1641"/>
      <c r="AX59" s="1641"/>
      <c r="AY59" s="1641"/>
      <c r="AZ59" s="1641"/>
      <c r="BA59" s="1641"/>
      <c r="BB59" s="1641"/>
      <c r="BC59" s="1641"/>
      <c r="BD59" s="1641"/>
      <c r="BE59" s="1641"/>
      <c r="BF59" s="1641"/>
      <c r="BG59" s="1641"/>
      <c r="BH59" s="1641"/>
      <c r="BI59" s="1641"/>
      <c r="BJ59" s="1641"/>
      <c r="BK59" s="1641"/>
      <c r="BL59" s="1641"/>
      <c r="BM59" s="1641"/>
      <c r="BN59" s="1641"/>
      <c r="BO59" s="1641"/>
      <c r="BP59" s="1641"/>
      <c r="BQ59" s="1641"/>
      <c r="BR59" s="1641"/>
      <c r="BS59" s="1641"/>
      <c r="BT59" s="1641"/>
      <c r="BU59" s="1641"/>
      <c r="BV59" s="1641"/>
      <c r="BW59" s="1641"/>
      <c r="BX59" s="1641"/>
      <c r="BY59" s="1641"/>
      <c r="BZ59" s="1641"/>
      <c r="CA59" s="1641"/>
      <c r="CB59" s="1641"/>
      <c r="CC59" s="1641"/>
      <c r="CD59" s="1641"/>
      <c r="CE59" s="1641"/>
      <c r="CF59" s="1641"/>
      <c r="CG59" s="1641"/>
      <c r="CH59" s="1641"/>
      <c r="CI59" s="1641"/>
      <c r="CJ59" s="1641"/>
      <c r="CK59" s="1641"/>
      <c r="CL59" s="1641"/>
      <c r="CM59" s="1641"/>
      <c r="CN59" s="1641"/>
      <c r="CO59" s="1641"/>
      <c r="CP59" s="1641"/>
      <c r="CQ59" s="1641"/>
      <c r="CR59" s="1641"/>
      <c r="CS59" s="1641"/>
      <c r="CT59" s="1641"/>
      <c r="CU59" s="1641"/>
      <c r="CV59" s="1641"/>
      <c r="CW59" s="1641"/>
      <c r="CX59" s="1641"/>
      <c r="CY59" s="1641"/>
      <c r="CZ59" s="1641"/>
      <c r="DA59" s="1641"/>
      <c r="DB59" s="1641"/>
      <c r="DC59" s="1641"/>
      <c r="DD59" s="1641"/>
      <c r="DE59" s="1641"/>
      <c r="DF59" s="1641"/>
      <c r="DG59" s="1641"/>
      <c r="DH59" s="1641"/>
      <c r="DI59" s="1641"/>
      <c r="DJ59" s="1641"/>
      <c r="DK59" s="1641"/>
      <c r="DL59" s="1641"/>
      <c r="DM59" s="1641"/>
      <c r="DN59" s="1641"/>
      <c r="DO59" s="1641"/>
      <c r="DP59" s="1641"/>
      <c r="DQ59" s="1641"/>
      <c r="DR59" s="1641"/>
      <c r="DS59" s="1641"/>
      <c r="DT59" s="1641"/>
      <c r="DU59" s="1641"/>
      <c r="DV59" s="1641"/>
      <c r="DW59" s="1641"/>
      <c r="DX59" s="1641"/>
      <c r="DY59" s="1641"/>
      <c r="DZ59" s="1641"/>
      <c r="EA59" s="1641"/>
      <c r="EB59" s="1641"/>
      <c r="EC59" s="1641"/>
      <c r="ED59" s="1641"/>
      <c r="EE59" s="1641"/>
      <c r="EF59" s="1641"/>
      <c r="EG59" s="1641"/>
      <c r="EH59" s="1641"/>
      <c r="EI59" s="1641"/>
      <c r="EJ59" s="1641"/>
      <c r="EK59" s="1641"/>
      <c r="EL59" s="1641"/>
      <c r="EM59" s="1641"/>
      <c r="EN59" s="1641"/>
      <c r="EO59" s="1641"/>
      <c r="EP59" s="1641"/>
      <c r="EQ59" s="1641"/>
      <c r="ER59" s="1641"/>
      <c r="ES59" s="1641"/>
      <c r="ET59" s="1641"/>
      <c r="EU59" s="1641"/>
      <c r="EV59" s="1641"/>
      <c r="EW59" s="1641"/>
      <c r="EX59" s="1641"/>
      <c r="EY59" s="1641"/>
      <c r="EZ59" s="1641"/>
      <c r="FA59" s="1641"/>
      <c r="FB59" s="1641"/>
      <c r="FC59" s="1641"/>
      <c r="FD59" s="1641"/>
      <c r="FE59" s="1641"/>
      <c r="FF59" s="1641"/>
      <c r="FG59" s="1641"/>
      <c r="FH59" s="1641"/>
      <c r="FI59" s="1641"/>
      <c r="FJ59" s="1641"/>
      <c r="FK59" s="1641"/>
      <c r="FL59" s="1641"/>
      <c r="FM59" s="1641"/>
      <c r="FN59" s="1641"/>
      <c r="FO59" s="1641"/>
      <c r="FP59" s="1641"/>
      <c r="FQ59" s="1641"/>
      <c r="FR59" s="1641"/>
      <c r="FS59" s="1641"/>
      <c r="FT59" s="1641"/>
      <c r="FU59" s="1641"/>
      <c r="FV59" s="1641"/>
      <c r="FW59" s="1641"/>
      <c r="FX59" s="1641"/>
      <c r="FY59" s="1641"/>
      <c r="FZ59" s="1641"/>
      <c r="GA59" s="1641"/>
      <c r="GB59" s="1641"/>
      <c r="GC59" s="1641"/>
      <c r="GD59" s="1641"/>
      <c r="GE59" s="1641"/>
      <c r="GF59" s="1641"/>
      <c r="GG59" s="1641"/>
      <c r="GH59" s="1641"/>
      <c r="GI59" s="1641"/>
      <c r="GJ59" s="1641"/>
      <c r="GK59" s="1641"/>
      <c r="GL59" s="1641"/>
      <c r="GM59" s="1641"/>
      <c r="GN59" s="1641"/>
      <c r="GO59" s="1641"/>
      <c r="GP59" s="1641"/>
      <c r="GQ59" s="1641"/>
      <c r="GR59" s="1641"/>
      <c r="GS59" s="1641"/>
      <c r="GT59" s="1641"/>
      <c r="GU59" s="1641"/>
      <c r="GV59" s="1641"/>
      <c r="GW59" s="1641"/>
      <c r="GX59" s="1641"/>
      <c r="GY59" s="1641"/>
      <c r="GZ59" s="1641"/>
      <c r="HA59" s="1641"/>
      <c r="HB59" s="1641"/>
      <c r="HC59" s="1641"/>
      <c r="HD59" s="1641"/>
      <c r="HE59" s="1641"/>
      <c r="HF59" s="1641"/>
      <c r="HG59" s="1641"/>
      <c r="HH59" s="1641"/>
      <c r="HI59" s="1641"/>
      <c r="HJ59" s="1641"/>
      <c r="HK59" s="1641"/>
      <c r="HL59" s="1641"/>
      <c r="HM59" s="1641"/>
      <c r="HN59" s="1641"/>
      <c r="HO59" s="1641"/>
      <c r="HP59" s="1641"/>
      <c r="HQ59" s="1641"/>
      <c r="HR59" s="1641"/>
      <c r="HS59" s="1641"/>
      <c r="HT59" s="1641"/>
      <c r="HU59" s="1641"/>
      <c r="HV59" s="1641"/>
      <c r="HW59" s="1641"/>
      <c r="HX59" s="1641"/>
      <c r="HY59" s="1641"/>
      <c r="HZ59" s="1641"/>
      <c r="IA59" s="1641"/>
      <c r="IB59" s="1641"/>
      <c r="IC59" s="1641"/>
      <c r="ID59" s="1641"/>
      <c r="IE59" s="1641"/>
      <c r="IF59" s="1641"/>
      <c r="IG59" s="1641"/>
      <c r="IH59" s="1641"/>
      <c r="II59" s="1641"/>
      <c r="IJ59" s="1641"/>
      <c r="IK59" s="1641"/>
      <c r="IL59" s="1641"/>
      <c r="IM59" s="1641"/>
      <c r="IN59" s="1641"/>
      <c r="IO59" s="1641"/>
      <c r="IP59" s="1641"/>
      <c r="IQ59" s="1641"/>
      <c r="IR59" s="1641"/>
      <c r="IS59" s="1641"/>
      <c r="IT59" s="1641"/>
      <c r="IU59" s="1641"/>
      <c r="IV59" s="1641"/>
      <c r="IW59" s="1641"/>
      <c r="IX59" s="1641"/>
      <c r="IY59" s="1641"/>
      <c r="IZ59" s="1641"/>
      <c r="JA59" s="1641"/>
      <c r="JB59" s="1641"/>
      <c r="JC59" s="1641"/>
      <c r="JD59" s="1641"/>
      <c r="JE59" s="1641"/>
      <c r="JF59" s="1641"/>
      <c r="JG59" s="1641"/>
      <c r="JH59" s="1641"/>
      <c r="JI59" s="1641"/>
      <c r="JJ59" s="1641"/>
      <c r="JK59" s="1641"/>
      <c r="JL59" s="1641"/>
      <c r="JM59" s="1641"/>
      <c r="JN59" s="1641"/>
      <c r="JO59" s="1641"/>
      <c r="JP59" s="1641"/>
      <c r="JQ59" s="1641"/>
      <c r="JR59" s="1641"/>
      <c r="JS59" s="1641"/>
      <c r="JT59" s="1641"/>
      <c r="JU59" s="1641"/>
      <c r="JV59" s="1641"/>
      <c r="JW59" s="1641"/>
      <c r="JX59" s="1641"/>
      <c r="JY59" s="1641"/>
      <c r="JZ59" s="1641"/>
      <c r="KA59" s="1641"/>
      <c r="KB59" s="1641"/>
      <c r="KC59" s="1641"/>
      <c r="KD59" s="1641"/>
      <c r="KE59" s="1641"/>
      <c r="KF59" s="1641"/>
      <c r="KG59" s="1641"/>
      <c r="KH59" s="1641"/>
      <c r="KI59" s="1641"/>
      <c r="KJ59" s="1641"/>
      <c r="KK59" s="1641"/>
      <c r="KL59" s="1641"/>
      <c r="KM59" s="1641"/>
      <c r="KN59" s="1641"/>
      <c r="KO59" s="1641"/>
      <c r="KP59" s="1641"/>
      <c r="KQ59" s="1641"/>
      <c r="KR59" s="1641"/>
      <c r="KS59" s="1641"/>
      <c r="KT59" s="1641"/>
      <c r="KU59" s="1641"/>
      <c r="KV59" s="1641"/>
      <c r="KW59" s="1641"/>
      <c r="KX59" s="1641"/>
      <c r="KY59" s="1641"/>
      <c r="KZ59" s="1641"/>
      <c r="LA59" s="1641"/>
      <c r="LB59" s="1641"/>
      <c r="LC59" s="1641"/>
      <c r="LD59" s="1641"/>
      <c r="LE59" s="1641"/>
      <c r="LF59" s="1641"/>
      <c r="LG59" s="1641"/>
      <c r="LH59" s="1641"/>
      <c r="LI59" s="1641"/>
      <c r="LJ59" s="1641"/>
      <c r="LK59" s="1641"/>
      <c r="LL59" s="1641"/>
      <c r="LM59" s="1641"/>
      <c r="LN59" s="1641"/>
      <c r="LO59" s="1641"/>
      <c r="LP59" s="1641"/>
      <c r="LQ59" s="1641"/>
      <c r="LR59" s="1641"/>
      <c r="LS59" s="1641"/>
      <c r="LT59" s="1641"/>
      <c r="LU59" s="1641"/>
      <c r="LV59" s="1641"/>
      <c r="LW59" s="1641"/>
      <c r="LX59" s="1641"/>
      <c r="LY59" s="1641"/>
      <c r="LZ59" s="1641"/>
      <c r="MA59" s="1641"/>
      <c r="MB59" s="1641"/>
      <c r="MC59" s="1641"/>
      <c r="MD59" s="1641"/>
      <c r="ME59" s="1641"/>
      <c r="MF59" s="1641"/>
      <c r="MG59" s="1641"/>
      <c r="MH59" s="1641"/>
      <c r="MI59" s="1641"/>
      <c r="MJ59" s="1641"/>
      <c r="MK59" s="1641"/>
      <c r="ML59" s="1641"/>
      <c r="MM59" s="1641"/>
      <c r="MN59" s="1641"/>
      <c r="MO59" s="1641"/>
      <c r="MP59" s="1641"/>
      <c r="MQ59" s="1641"/>
      <c r="MR59" s="1641"/>
      <c r="MS59" s="1641"/>
      <c r="MT59" s="1641"/>
      <c r="MU59" s="1641"/>
      <c r="MV59" s="1641"/>
      <c r="MW59" s="1641"/>
      <c r="MX59" s="1641"/>
      <c r="MY59" s="1641"/>
      <c r="MZ59" s="1641"/>
      <c r="NA59" s="1641"/>
      <c r="NB59" s="1641"/>
      <c r="NC59" s="1641"/>
      <c r="ND59" s="1641"/>
      <c r="NE59" s="1641"/>
      <c r="NF59" s="1641"/>
      <c r="NG59" s="1641"/>
      <c r="NH59" s="1641"/>
      <c r="NI59" s="1641"/>
      <c r="NJ59" s="1641"/>
      <c r="NK59" s="1641"/>
      <c r="NL59" s="1641"/>
      <c r="NM59" s="1641"/>
      <c r="NN59" s="1641"/>
      <c r="NO59" s="356"/>
      <c r="NP59" s="356"/>
      <c r="NQ59" s="356"/>
      <c r="NR59" s="356"/>
      <c r="NS59" s="356"/>
      <c r="NT59" s="356"/>
      <c r="NU59" s="356"/>
      <c r="NV59" s="356"/>
      <c r="NW59" s="356"/>
      <c r="NX59" s="356"/>
      <c r="NY59" s="356"/>
      <c r="NZ59" s="356"/>
      <c r="OA59" s="356"/>
      <c r="OB59" s="356"/>
      <c r="OC59" s="356"/>
      <c r="OD59" s="356"/>
      <c r="OE59" s="356"/>
      <c r="OF59" s="356"/>
      <c r="OG59" s="356"/>
      <c r="OH59" s="356"/>
      <c r="OI59" s="356"/>
      <c r="OJ59" s="356"/>
      <c r="OK59" s="356"/>
      <c r="OL59" s="356"/>
      <c r="OM59" s="356"/>
      <c r="ON59" s="356"/>
      <c r="OO59" s="356"/>
      <c r="OP59" s="356"/>
      <c r="OQ59" s="356"/>
      <c r="OR59" s="356"/>
      <c r="OS59" s="356"/>
      <c r="OT59" s="356"/>
      <c r="OU59" s="356"/>
      <c r="OY59" s="2499" t="s">
        <v>4336</v>
      </c>
      <c r="OZ59" s="2504">
        <v>55</v>
      </c>
    </row>
    <row r="60" spans="1:416" ht="7.5" customHeight="1">
      <c r="A60" s="3687" t="s">
        <v>5003</v>
      </c>
      <c r="B60" s="3687"/>
      <c r="C60" s="3687"/>
      <c r="D60" s="3687"/>
      <c r="E60" s="3687"/>
      <c r="F60" s="3687"/>
      <c r="G60" s="3687"/>
      <c r="H60" s="3687"/>
      <c r="I60" s="3687"/>
      <c r="J60" s="3687"/>
      <c r="K60" s="3687"/>
      <c r="L60" s="3687"/>
      <c r="M60" s="3687"/>
      <c r="N60" s="3687"/>
      <c r="O60" s="3687"/>
      <c r="P60" s="3687"/>
      <c r="Q60" s="3687"/>
      <c r="R60" s="815"/>
      <c r="S60" s="69"/>
      <c r="T60" s="69"/>
      <c r="U60" s="69"/>
      <c r="V60" s="69"/>
      <c r="W60" s="240"/>
      <c r="X60" s="1641"/>
      <c r="Y60" s="1641"/>
      <c r="Z60" s="1641"/>
      <c r="AA60" s="1641"/>
      <c r="AB60" s="1641"/>
      <c r="AC60" s="1641"/>
      <c r="AD60" s="1641"/>
      <c r="AE60" s="1641"/>
      <c r="AF60" s="1641"/>
      <c r="AG60" s="1641"/>
      <c r="AH60" s="1641"/>
      <c r="AI60" s="1641"/>
      <c r="AJ60" s="1641"/>
      <c r="AK60" s="1641"/>
      <c r="AL60" s="1641"/>
      <c r="AM60" s="1641"/>
      <c r="AN60" s="1641"/>
      <c r="AO60" s="1641"/>
      <c r="AP60" s="1641"/>
      <c r="AQ60" s="1641"/>
      <c r="AR60" s="1641"/>
      <c r="AS60" s="1641"/>
      <c r="AT60" s="1641"/>
      <c r="AU60" s="1641"/>
      <c r="AV60" s="1641"/>
      <c r="AW60" s="1641"/>
      <c r="AX60" s="1641"/>
      <c r="AY60" s="1641"/>
      <c r="AZ60" s="1641"/>
      <c r="BA60" s="1641"/>
      <c r="BB60" s="1641"/>
      <c r="BC60" s="1641"/>
      <c r="BD60" s="1641"/>
      <c r="BE60" s="1641"/>
      <c r="BF60" s="1641"/>
      <c r="BG60" s="1641"/>
      <c r="BH60" s="1641"/>
      <c r="BI60" s="1641"/>
      <c r="BJ60" s="1641"/>
      <c r="BK60" s="1641"/>
      <c r="BL60" s="1641"/>
      <c r="BM60" s="1641"/>
      <c r="BN60" s="1641"/>
      <c r="BO60" s="1641"/>
      <c r="BP60" s="1641"/>
      <c r="BQ60" s="1641"/>
      <c r="BR60" s="1641"/>
      <c r="BS60" s="1641"/>
      <c r="BT60" s="1641"/>
      <c r="BU60" s="1641"/>
      <c r="BV60" s="1641"/>
      <c r="BW60" s="1641"/>
      <c r="BX60" s="1641"/>
      <c r="BY60" s="1641"/>
      <c r="BZ60" s="1641"/>
      <c r="CA60" s="1641"/>
      <c r="CB60" s="1641"/>
      <c r="CC60" s="1641"/>
      <c r="CD60" s="1641"/>
      <c r="CE60" s="1641"/>
      <c r="CF60" s="1641"/>
      <c r="CG60" s="1641"/>
      <c r="CH60" s="1641"/>
      <c r="CI60" s="1641"/>
      <c r="CJ60" s="1641"/>
      <c r="CK60" s="1641"/>
      <c r="CL60" s="1641"/>
      <c r="CM60" s="1641"/>
      <c r="CN60" s="1641"/>
      <c r="CO60" s="1641"/>
      <c r="CP60" s="1641"/>
      <c r="CQ60" s="1641"/>
      <c r="CR60" s="1641"/>
      <c r="CS60" s="1641"/>
      <c r="CT60" s="1641"/>
      <c r="CU60" s="1641"/>
      <c r="CV60" s="1641"/>
      <c r="CW60" s="1641"/>
      <c r="CX60" s="1641"/>
      <c r="CY60" s="1641"/>
      <c r="CZ60" s="1641"/>
      <c r="DA60" s="1641"/>
      <c r="DB60" s="1641"/>
      <c r="DC60" s="1641"/>
      <c r="DD60" s="1641"/>
      <c r="DE60" s="1641"/>
      <c r="DF60" s="1641"/>
      <c r="DG60" s="1641"/>
      <c r="DH60" s="1641"/>
      <c r="DI60" s="1641"/>
      <c r="DJ60" s="1641"/>
      <c r="DK60" s="1641"/>
      <c r="DL60" s="1641"/>
      <c r="DM60" s="1641"/>
      <c r="DN60" s="1641"/>
      <c r="DO60" s="1641"/>
      <c r="DP60" s="1641"/>
      <c r="DQ60" s="1641"/>
      <c r="DR60" s="1641"/>
      <c r="DS60" s="1641"/>
      <c r="DT60" s="1641"/>
      <c r="DU60" s="1641"/>
      <c r="DV60" s="1641"/>
      <c r="DW60" s="1641"/>
      <c r="DX60" s="1641"/>
      <c r="DY60" s="1641"/>
      <c r="DZ60" s="1641"/>
      <c r="EA60" s="1641"/>
      <c r="EB60" s="1641"/>
      <c r="EC60" s="1641"/>
      <c r="ED60" s="1641"/>
      <c r="EE60" s="1641"/>
      <c r="EF60" s="1641"/>
      <c r="EG60" s="1641"/>
      <c r="EH60" s="1641"/>
      <c r="EI60" s="1641"/>
      <c r="EJ60" s="1641"/>
      <c r="EK60" s="1641"/>
      <c r="EL60" s="1641"/>
      <c r="EM60" s="1641"/>
      <c r="EN60" s="1641"/>
      <c r="EO60" s="1641"/>
      <c r="EP60" s="1641"/>
      <c r="EQ60" s="1641"/>
      <c r="ER60" s="1641"/>
      <c r="ES60" s="1641"/>
      <c r="ET60" s="1641"/>
      <c r="EU60" s="1641"/>
      <c r="EV60" s="1641"/>
      <c r="EW60" s="1641"/>
      <c r="EX60" s="1641"/>
      <c r="EY60" s="1641"/>
      <c r="EZ60" s="1641"/>
      <c r="FA60" s="1641"/>
      <c r="FB60" s="1641"/>
      <c r="FC60" s="1641"/>
      <c r="FD60" s="1641"/>
      <c r="FE60" s="1641"/>
      <c r="FF60" s="1641"/>
      <c r="FG60" s="1641"/>
      <c r="FH60" s="1641"/>
      <c r="FI60" s="1641"/>
      <c r="FJ60" s="1641"/>
      <c r="FK60" s="1641"/>
      <c r="FL60" s="1641"/>
      <c r="FM60" s="1641"/>
      <c r="FN60" s="1641"/>
      <c r="FO60" s="1641"/>
      <c r="FP60" s="1641"/>
      <c r="FQ60" s="1641"/>
      <c r="FR60" s="1641"/>
      <c r="FS60" s="1641"/>
      <c r="FT60" s="1641"/>
      <c r="FU60" s="1641"/>
      <c r="FV60" s="1641"/>
      <c r="FW60" s="1641"/>
      <c r="FX60" s="1641"/>
      <c r="FY60" s="1641"/>
      <c r="FZ60" s="1641"/>
      <c r="GA60" s="1641"/>
      <c r="GB60" s="1641"/>
      <c r="GC60" s="1641"/>
      <c r="GD60" s="1641"/>
      <c r="GE60" s="1641"/>
      <c r="GF60" s="1641"/>
      <c r="GG60" s="1641"/>
      <c r="GH60" s="1641"/>
      <c r="GI60" s="1641"/>
      <c r="GJ60" s="1641"/>
      <c r="GK60" s="1641"/>
      <c r="GL60" s="1641"/>
      <c r="GM60" s="1641"/>
      <c r="GN60" s="1641"/>
      <c r="GO60" s="1641"/>
      <c r="GP60" s="1641"/>
      <c r="GQ60" s="1641"/>
      <c r="GR60" s="1641"/>
      <c r="GS60" s="1641"/>
      <c r="GT60" s="1641"/>
      <c r="GU60" s="1641"/>
      <c r="GV60" s="1641"/>
      <c r="GW60" s="1641"/>
      <c r="GX60" s="1641"/>
      <c r="GY60" s="1641"/>
      <c r="GZ60" s="1641"/>
      <c r="HA60" s="1641"/>
      <c r="HB60" s="1641"/>
      <c r="HC60" s="1641"/>
      <c r="HD60" s="1641"/>
      <c r="HE60" s="1641"/>
      <c r="HF60" s="1641"/>
      <c r="HG60" s="1641"/>
      <c r="HH60" s="1641"/>
      <c r="HI60" s="1641"/>
      <c r="HJ60" s="1641"/>
      <c r="HK60" s="1641"/>
      <c r="HL60" s="1641"/>
      <c r="HM60" s="1641"/>
      <c r="HN60" s="1641"/>
      <c r="HO60" s="1641"/>
      <c r="HP60" s="1641"/>
      <c r="HQ60" s="1641"/>
      <c r="HR60" s="1641"/>
      <c r="HS60" s="1641"/>
      <c r="HT60" s="1641"/>
      <c r="HU60" s="1641"/>
      <c r="HV60" s="1641"/>
      <c r="HW60" s="1641"/>
      <c r="HX60" s="1641"/>
      <c r="HY60" s="1641"/>
      <c r="HZ60" s="1641"/>
      <c r="IA60" s="1641"/>
      <c r="IB60" s="1641"/>
      <c r="IC60" s="1641"/>
      <c r="ID60" s="1641"/>
      <c r="IE60" s="1641"/>
      <c r="IF60" s="1641"/>
      <c r="IG60" s="1641"/>
      <c r="IH60" s="1641"/>
      <c r="II60" s="1641"/>
      <c r="IJ60" s="1641"/>
      <c r="IK60" s="1641"/>
      <c r="IL60" s="1641"/>
      <c r="IM60" s="1641"/>
      <c r="IN60" s="1641"/>
      <c r="IO60" s="1641"/>
      <c r="IP60" s="1641"/>
      <c r="IQ60" s="1641"/>
      <c r="IR60" s="1641"/>
      <c r="IS60" s="1641"/>
      <c r="IT60" s="1641"/>
      <c r="IU60" s="1641"/>
      <c r="IV60" s="1641"/>
      <c r="IW60" s="1641"/>
      <c r="IX60" s="1641"/>
      <c r="IY60" s="1641"/>
      <c r="IZ60" s="1641"/>
      <c r="JA60" s="1641"/>
      <c r="JB60" s="1641"/>
      <c r="JC60" s="1641"/>
      <c r="JD60" s="1641"/>
      <c r="JE60" s="1641"/>
      <c r="JF60" s="1641"/>
      <c r="JG60" s="1641"/>
      <c r="JH60" s="1641"/>
      <c r="JI60" s="1641"/>
      <c r="JJ60" s="1641"/>
      <c r="JK60" s="1641"/>
      <c r="JL60" s="1641"/>
      <c r="JM60" s="1641"/>
      <c r="JN60" s="1641"/>
      <c r="JO60" s="1641"/>
      <c r="JP60" s="1641"/>
      <c r="JQ60" s="1641"/>
      <c r="JR60" s="1641"/>
      <c r="JS60" s="1641"/>
      <c r="JT60" s="1641"/>
      <c r="JU60" s="1641"/>
      <c r="JV60" s="1641"/>
      <c r="JW60" s="1641"/>
      <c r="JX60" s="1641"/>
      <c r="JY60" s="1641"/>
      <c r="JZ60" s="1641"/>
      <c r="KA60" s="1641"/>
      <c r="KB60" s="1641"/>
      <c r="KC60" s="1641"/>
      <c r="KD60" s="1641"/>
      <c r="KE60" s="1641"/>
      <c r="KF60" s="1641"/>
      <c r="KG60" s="1641"/>
      <c r="KH60" s="1641"/>
      <c r="KI60" s="1641"/>
      <c r="KJ60" s="1641"/>
      <c r="KK60" s="1641"/>
      <c r="KL60" s="1641"/>
      <c r="KM60" s="1641"/>
      <c r="KN60" s="1641"/>
      <c r="KO60" s="1641"/>
      <c r="KP60" s="1641"/>
      <c r="KQ60" s="1641"/>
      <c r="KR60" s="1641"/>
      <c r="KS60" s="1641"/>
      <c r="KT60" s="1641"/>
      <c r="KU60" s="1641"/>
      <c r="KV60" s="1641"/>
      <c r="KW60" s="1641"/>
      <c r="KX60" s="1641"/>
      <c r="KY60" s="1641"/>
      <c r="KZ60" s="1641"/>
      <c r="LA60" s="1641"/>
      <c r="LB60" s="1641"/>
      <c r="LC60" s="1641"/>
      <c r="LD60" s="1641"/>
      <c r="LE60" s="1641"/>
      <c r="LF60" s="1641"/>
      <c r="LG60" s="1641"/>
      <c r="LH60" s="1641"/>
      <c r="LI60" s="1641"/>
      <c r="LJ60" s="1641"/>
      <c r="LK60" s="1641"/>
      <c r="LL60" s="1641"/>
      <c r="LM60" s="1641"/>
      <c r="LN60" s="1641"/>
      <c r="LO60" s="1641"/>
      <c r="LP60" s="1641"/>
      <c r="LQ60" s="1641"/>
      <c r="LR60" s="1641"/>
      <c r="LS60" s="1641"/>
      <c r="LT60" s="1641"/>
      <c r="LU60" s="1641"/>
      <c r="LV60" s="1641"/>
      <c r="LW60" s="1641"/>
      <c r="LX60" s="1641"/>
      <c r="LY60" s="1641"/>
      <c r="LZ60" s="1641"/>
      <c r="MA60" s="1641"/>
      <c r="MB60" s="1641"/>
      <c r="MC60" s="1641"/>
      <c r="MD60" s="1641"/>
      <c r="ME60" s="1641"/>
      <c r="MF60" s="1641"/>
      <c r="MG60" s="1641"/>
      <c r="MH60" s="1641"/>
      <c r="MI60" s="1641"/>
      <c r="MJ60" s="1641"/>
      <c r="MK60" s="1641"/>
      <c r="ML60" s="1641"/>
      <c r="MM60" s="1641"/>
      <c r="MN60" s="1641"/>
      <c r="MO60" s="1641"/>
      <c r="MP60" s="1641"/>
      <c r="MQ60" s="1641"/>
      <c r="MR60" s="1641"/>
      <c r="MS60" s="1641"/>
      <c r="MT60" s="1641"/>
      <c r="MU60" s="1641"/>
      <c r="MV60" s="1641"/>
      <c r="MW60" s="1641"/>
      <c r="MX60" s="1641"/>
      <c r="MY60" s="1641"/>
      <c r="MZ60" s="1641"/>
      <c r="NA60" s="1641"/>
      <c r="NB60" s="1641"/>
      <c r="NC60" s="1641"/>
      <c r="ND60" s="1641"/>
      <c r="NE60" s="1641"/>
      <c r="NF60" s="1641"/>
      <c r="NG60" s="1641"/>
      <c r="NH60" s="1641"/>
      <c r="NI60" s="1641"/>
      <c r="NJ60" s="1641"/>
      <c r="NK60" s="1641"/>
      <c r="NL60" s="1641"/>
      <c r="NM60" s="1641"/>
      <c r="NN60" s="1641"/>
      <c r="OZ60" s="2504">
        <v>56</v>
      </c>
    </row>
    <row r="61" spans="1:416" ht="7.5" customHeight="1">
      <c r="A61" s="3687"/>
      <c r="B61" s="3687"/>
      <c r="C61" s="3687"/>
      <c r="D61" s="3687"/>
      <c r="E61" s="3687"/>
      <c r="F61" s="3687"/>
      <c r="G61" s="3687"/>
      <c r="H61" s="3687"/>
      <c r="I61" s="3687"/>
      <c r="J61" s="3687"/>
      <c r="K61" s="3687"/>
      <c r="L61" s="3687"/>
      <c r="M61" s="3687"/>
      <c r="N61" s="3687"/>
      <c r="O61" s="3687"/>
      <c r="P61" s="3687"/>
      <c r="Q61" s="3687"/>
      <c r="R61" s="815"/>
      <c r="S61" s="69"/>
      <c r="T61" s="69"/>
      <c r="U61" s="69"/>
      <c r="V61" s="69"/>
      <c r="W61" s="240"/>
      <c r="X61" s="1641"/>
      <c r="Y61" s="1641"/>
      <c r="Z61" s="1641"/>
      <c r="AA61" s="1641"/>
      <c r="AB61" s="1641"/>
      <c r="AC61" s="1641"/>
      <c r="AD61" s="1641"/>
      <c r="AE61" s="1641"/>
      <c r="AF61" s="1641"/>
      <c r="AG61" s="1641"/>
      <c r="AH61" s="1641"/>
      <c r="AI61" s="1641"/>
      <c r="AJ61" s="1641"/>
      <c r="AK61" s="1641"/>
      <c r="AL61" s="1641"/>
      <c r="AM61" s="1641"/>
      <c r="AN61" s="1641"/>
      <c r="AO61" s="1641"/>
      <c r="AP61" s="1641"/>
      <c r="AQ61" s="1641"/>
      <c r="AR61" s="1641"/>
      <c r="AS61" s="1641"/>
      <c r="AT61" s="1641"/>
      <c r="AU61" s="1641"/>
      <c r="AV61" s="1641"/>
      <c r="AW61" s="1641"/>
      <c r="AX61" s="1641"/>
      <c r="AY61" s="1641"/>
      <c r="AZ61" s="1641"/>
      <c r="BA61" s="1641"/>
      <c r="BB61" s="1641"/>
      <c r="BC61" s="1641"/>
      <c r="BD61" s="1641"/>
      <c r="BE61" s="1641"/>
      <c r="BF61" s="1641"/>
      <c r="BG61" s="1641"/>
      <c r="BH61" s="1641"/>
      <c r="BI61" s="1641"/>
      <c r="BJ61" s="1641"/>
      <c r="BK61" s="1641"/>
      <c r="BL61" s="1641"/>
      <c r="BM61" s="1641"/>
      <c r="BN61" s="1641"/>
      <c r="BO61" s="1641"/>
      <c r="BP61" s="1641"/>
      <c r="BQ61" s="1641"/>
      <c r="BR61" s="1641"/>
      <c r="BS61" s="1641"/>
      <c r="BT61" s="1641"/>
      <c r="BU61" s="1641"/>
      <c r="BV61" s="1641"/>
      <c r="BW61" s="1641"/>
      <c r="BX61" s="1641"/>
      <c r="BY61" s="1641"/>
      <c r="BZ61" s="1641"/>
      <c r="CA61" s="1641"/>
      <c r="CB61" s="1641"/>
      <c r="CC61" s="1641"/>
      <c r="CD61" s="1641"/>
      <c r="CE61" s="1641"/>
      <c r="CF61" s="1641"/>
      <c r="CG61" s="1641"/>
      <c r="CH61" s="1641"/>
      <c r="CI61" s="1641"/>
      <c r="CJ61" s="1641"/>
      <c r="CK61" s="1641"/>
      <c r="CL61" s="1641"/>
      <c r="CM61" s="1641"/>
      <c r="CN61" s="1641"/>
      <c r="CO61" s="1641"/>
      <c r="CP61" s="1641"/>
      <c r="CQ61" s="1641"/>
      <c r="CR61" s="1641"/>
      <c r="CS61" s="1641"/>
      <c r="CT61" s="1641"/>
      <c r="CU61" s="1641"/>
      <c r="CV61" s="1641"/>
      <c r="CW61" s="1641"/>
      <c r="CX61" s="1641"/>
      <c r="CY61" s="1641"/>
      <c r="CZ61" s="1641"/>
      <c r="DA61" s="1641"/>
      <c r="DB61" s="1641"/>
      <c r="DC61" s="1641"/>
      <c r="DD61" s="1641"/>
      <c r="DE61" s="1641"/>
      <c r="DF61" s="1641"/>
      <c r="DG61" s="1641"/>
      <c r="DH61" s="1641"/>
      <c r="DI61" s="1641"/>
      <c r="DJ61" s="1641"/>
      <c r="DK61" s="1641"/>
      <c r="DL61" s="1641"/>
      <c r="DM61" s="1641"/>
      <c r="DN61" s="1641"/>
      <c r="DO61" s="1641"/>
      <c r="DP61" s="1641"/>
      <c r="DQ61" s="1641"/>
      <c r="DR61" s="1641"/>
      <c r="DS61" s="1641"/>
      <c r="DT61" s="1641"/>
      <c r="DU61" s="1641"/>
      <c r="DV61" s="1641"/>
      <c r="DW61" s="1641"/>
      <c r="DX61" s="1641"/>
      <c r="DY61" s="1641"/>
      <c r="DZ61" s="1641"/>
      <c r="EA61" s="1641"/>
      <c r="EB61" s="1641"/>
      <c r="EC61" s="1641"/>
      <c r="ED61" s="1641"/>
      <c r="EE61" s="1641"/>
      <c r="EF61" s="1641"/>
      <c r="EG61" s="1641"/>
      <c r="EH61" s="1641"/>
      <c r="EI61" s="1641"/>
      <c r="EJ61" s="1641"/>
      <c r="EK61" s="1641"/>
      <c r="EL61" s="1641"/>
      <c r="EM61" s="1641"/>
      <c r="EN61" s="1641"/>
      <c r="EO61" s="1641"/>
      <c r="EP61" s="1641"/>
      <c r="EQ61" s="1641"/>
      <c r="ER61" s="1641"/>
      <c r="ES61" s="1641"/>
      <c r="ET61" s="1641"/>
      <c r="EU61" s="1641"/>
      <c r="EV61" s="1641"/>
      <c r="EW61" s="1641"/>
      <c r="EX61" s="1641"/>
      <c r="EY61" s="1641"/>
      <c r="EZ61" s="1641"/>
      <c r="FA61" s="1641"/>
      <c r="FB61" s="1641"/>
      <c r="FC61" s="1641"/>
      <c r="FD61" s="1641"/>
      <c r="FE61" s="1641"/>
      <c r="FF61" s="1641"/>
      <c r="FG61" s="1641"/>
      <c r="FH61" s="1641"/>
      <c r="FI61" s="1641"/>
      <c r="FJ61" s="1641"/>
      <c r="FK61" s="1641"/>
      <c r="FL61" s="1641"/>
      <c r="FM61" s="1641"/>
      <c r="FN61" s="1641"/>
      <c r="FO61" s="1641"/>
      <c r="FP61" s="1641"/>
      <c r="FQ61" s="1641"/>
      <c r="FR61" s="1641"/>
      <c r="FS61" s="1641"/>
      <c r="FT61" s="1641"/>
      <c r="FU61" s="1641"/>
      <c r="FV61" s="1641"/>
      <c r="FW61" s="1641"/>
      <c r="FX61" s="1641"/>
      <c r="FY61" s="1641"/>
      <c r="FZ61" s="1641"/>
      <c r="GA61" s="1641"/>
      <c r="GB61" s="1641"/>
      <c r="GC61" s="1641"/>
      <c r="GD61" s="1641"/>
      <c r="GE61" s="1641"/>
      <c r="GF61" s="1641"/>
      <c r="GG61" s="1641"/>
      <c r="GH61" s="1641"/>
      <c r="GI61" s="1641"/>
      <c r="GJ61" s="1641"/>
      <c r="GK61" s="1641"/>
      <c r="GL61" s="1641"/>
      <c r="GM61" s="1641"/>
      <c r="GN61" s="1641"/>
      <c r="GO61" s="1641"/>
      <c r="GP61" s="1641"/>
      <c r="GQ61" s="1641"/>
      <c r="GR61" s="1641"/>
      <c r="GS61" s="1641"/>
      <c r="GT61" s="1641"/>
      <c r="GU61" s="1641"/>
      <c r="GV61" s="1641"/>
      <c r="GW61" s="1641"/>
      <c r="GX61" s="1641"/>
      <c r="GY61" s="1641"/>
      <c r="GZ61" s="1641"/>
      <c r="HA61" s="1641"/>
      <c r="HB61" s="1641"/>
      <c r="HC61" s="1641"/>
      <c r="HD61" s="1641"/>
      <c r="HE61" s="1641"/>
      <c r="HF61" s="1641"/>
      <c r="HG61" s="1641"/>
      <c r="HH61" s="1641"/>
      <c r="HI61" s="1641"/>
      <c r="HJ61" s="1641"/>
      <c r="HK61" s="1641"/>
      <c r="HL61" s="1641"/>
      <c r="HM61" s="1641"/>
      <c r="HN61" s="1641"/>
      <c r="HO61" s="1641"/>
      <c r="HP61" s="1641"/>
      <c r="HQ61" s="1641"/>
      <c r="HR61" s="1641"/>
      <c r="HS61" s="1641"/>
      <c r="HT61" s="1641"/>
      <c r="HU61" s="1641"/>
      <c r="HV61" s="1641"/>
      <c r="HW61" s="1641"/>
      <c r="HX61" s="1641"/>
      <c r="HY61" s="1641"/>
      <c r="HZ61" s="1641"/>
      <c r="IA61" s="1641"/>
      <c r="IB61" s="1641"/>
      <c r="IC61" s="1641"/>
      <c r="ID61" s="1641"/>
      <c r="IE61" s="1641"/>
      <c r="IF61" s="1641"/>
      <c r="IG61" s="1641"/>
      <c r="IH61" s="1641"/>
      <c r="II61" s="1641"/>
      <c r="IJ61" s="1641"/>
      <c r="IK61" s="1641"/>
      <c r="IL61" s="1641"/>
      <c r="IM61" s="1641"/>
      <c r="IN61" s="1641"/>
      <c r="IO61" s="1641"/>
      <c r="IP61" s="1641"/>
      <c r="IQ61" s="1641"/>
      <c r="IR61" s="1641"/>
      <c r="IS61" s="1641"/>
      <c r="IT61" s="1641"/>
      <c r="IU61" s="1641"/>
      <c r="IV61" s="1641"/>
      <c r="IW61" s="1641"/>
      <c r="IX61" s="1641"/>
      <c r="IY61" s="1641"/>
      <c r="IZ61" s="1641"/>
      <c r="JA61" s="1641"/>
      <c r="JB61" s="1641"/>
      <c r="JC61" s="1641"/>
      <c r="JD61" s="1641"/>
      <c r="JE61" s="1641"/>
      <c r="JF61" s="1641"/>
      <c r="JG61" s="1641"/>
      <c r="JH61" s="1641"/>
      <c r="JI61" s="1641"/>
      <c r="JJ61" s="1641"/>
      <c r="JK61" s="1641"/>
      <c r="JL61" s="1641"/>
      <c r="JM61" s="1641"/>
      <c r="JN61" s="1641"/>
      <c r="JO61" s="1641"/>
      <c r="JP61" s="1641"/>
      <c r="JQ61" s="1641"/>
      <c r="JR61" s="1641"/>
      <c r="JS61" s="1641"/>
      <c r="JT61" s="1641"/>
      <c r="JU61" s="1641"/>
      <c r="JV61" s="1641"/>
      <c r="JW61" s="1641"/>
      <c r="JX61" s="1641"/>
      <c r="JY61" s="1641"/>
      <c r="JZ61" s="1641"/>
      <c r="KA61" s="1641"/>
      <c r="KB61" s="1641"/>
      <c r="KC61" s="1641"/>
      <c r="KD61" s="1641"/>
      <c r="KE61" s="1641"/>
      <c r="KF61" s="1641"/>
      <c r="KG61" s="1641"/>
      <c r="KH61" s="1641"/>
      <c r="KI61" s="1641"/>
      <c r="KJ61" s="1641"/>
      <c r="KK61" s="1641"/>
      <c r="KL61" s="1641"/>
      <c r="KM61" s="1641"/>
      <c r="KN61" s="1641"/>
      <c r="KO61" s="1641"/>
      <c r="KP61" s="1641"/>
      <c r="KQ61" s="1641"/>
      <c r="KR61" s="1641"/>
      <c r="KS61" s="1641"/>
      <c r="KT61" s="1641"/>
      <c r="KU61" s="1641"/>
      <c r="KV61" s="1641"/>
      <c r="KW61" s="1641"/>
      <c r="KX61" s="1641"/>
      <c r="KY61" s="1641"/>
      <c r="KZ61" s="1641"/>
      <c r="LA61" s="1641"/>
      <c r="LB61" s="1641"/>
      <c r="LC61" s="1641"/>
      <c r="LD61" s="1641"/>
      <c r="LE61" s="1641"/>
      <c r="LF61" s="1641"/>
      <c r="LG61" s="1641"/>
      <c r="LH61" s="1641"/>
      <c r="LI61" s="1641"/>
      <c r="LJ61" s="1641"/>
      <c r="LK61" s="1641"/>
      <c r="LL61" s="1641"/>
      <c r="LM61" s="1641"/>
      <c r="LN61" s="1641"/>
      <c r="LO61" s="1641"/>
      <c r="LP61" s="1641"/>
      <c r="LQ61" s="1641"/>
      <c r="LR61" s="1641"/>
      <c r="LS61" s="1641"/>
      <c r="LT61" s="1641"/>
      <c r="LU61" s="1641"/>
      <c r="LV61" s="1641"/>
      <c r="LW61" s="1641"/>
      <c r="LX61" s="1641"/>
      <c r="LY61" s="1641"/>
      <c r="LZ61" s="1641"/>
      <c r="MA61" s="1641"/>
      <c r="MB61" s="1641"/>
      <c r="MC61" s="1641"/>
      <c r="MD61" s="1641"/>
      <c r="ME61" s="1641"/>
      <c r="MF61" s="1641"/>
      <c r="MG61" s="1641"/>
      <c r="MH61" s="1641"/>
      <c r="MI61" s="1641"/>
      <c r="MJ61" s="1641"/>
      <c r="MK61" s="1641"/>
      <c r="ML61" s="1641"/>
      <c r="MM61" s="1641"/>
      <c r="MN61" s="1641"/>
      <c r="MO61" s="1641"/>
      <c r="MP61" s="1641"/>
      <c r="MQ61" s="1641"/>
      <c r="MR61" s="1641"/>
      <c r="MS61" s="1641"/>
      <c r="MT61" s="1641"/>
      <c r="MU61" s="1641"/>
      <c r="MV61" s="1641"/>
      <c r="MW61" s="1641"/>
      <c r="MX61" s="1641"/>
      <c r="MY61" s="1641"/>
      <c r="MZ61" s="1641"/>
      <c r="NA61" s="1641"/>
      <c r="NB61" s="1641"/>
      <c r="NC61" s="1641"/>
      <c r="ND61" s="1641"/>
      <c r="NE61" s="1641"/>
      <c r="NF61" s="1641"/>
      <c r="NG61" s="1641"/>
      <c r="NH61" s="1641"/>
      <c r="NI61" s="1641"/>
      <c r="NJ61" s="1641"/>
      <c r="NK61" s="1641"/>
      <c r="NL61" s="1641"/>
      <c r="NM61" s="1641"/>
      <c r="NN61" s="1641"/>
      <c r="OZ61" s="2503">
        <v>57</v>
      </c>
    </row>
    <row r="62" spans="1:416" ht="14.7" customHeight="1">
      <c r="A62" s="10" t="s">
        <v>688</v>
      </c>
      <c r="B62" s="10" t="s">
        <v>498</v>
      </c>
      <c r="K62" s="1781" t="s">
        <v>4530</v>
      </c>
      <c r="O62" s="3679" t="s">
        <v>3687</v>
      </c>
      <c r="P62" s="3680"/>
      <c r="S62" s="3286" t="str">
        <f>B62</f>
        <v>UNIT SUMMARY</v>
      </c>
      <c r="T62" s="3286"/>
      <c r="U62" s="3286"/>
      <c r="V62" s="3286"/>
      <c r="AY62" s="358"/>
      <c r="BD62" s="358"/>
      <c r="MX62" s="360"/>
      <c r="NM62" s="356"/>
      <c r="OZ62" s="2504">
        <v>58</v>
      </c>
    </row>
    <row r="63" spans="1:416" ht="14.25" customHeight="1">
      <c r="A63" s="10"/>
      <c r="B63" s="10"/>
      <c r="K63" s="144" t="s">
        <v>4531</v>
      </c>
      <c r="O63" s="3637" t="s">
        <v>5225</v>
      </c>
      <c r="P63" s="3638"/>
      <c r="S63" s="95"/>
      <c r="T63" s="95"/>
      <c r="U63" s="367"/>
      <c r="AY63" s="358"/>
      <c r="BD63" s="358"/>
      <c r="MX63" s="360"/>
      <c r="NM63" s="356"/>
      <c r="OZ63" s="2504">
        <v>59</v>
      </c>
    </row>
    <row r="64" spans="1:416" ht="14.7" customHeight="1">
      <c r="A64" s="10"/>
      <c r="B64" s="10" t="s">
        <v>4385</v>
      </c>
      <c r="H64" s="62" t="s">
        <v>974</v>
      </c>
      <c r="I64" s="62"/>
      <c r="J64" s="62"/>
      <c r="K64" s="1780" t="s">
        <v>525</v>
      </c>
      <c r="L64" s="91" t="s">
        <v>499</v>
      </c>
      <c r="M64" s="91" t="s">
        <v>500</v>
      </c>
      <c r="N64" s="91" t="s">
        <v>501</v>
      </c>
      <c r="O64" s="91" t="s">
        <v>502</v>
      </c>
      <c r="P64" s="91" t="s">
        <v>503</v>
      </c>
      <c r="S64" s="10" t="s">
        <v>1705</v>
      </c>
      <c r="T64" s="10"/>
      <c r="U64" s="367"/>
      <c r="AR64" s="1786"/>
      <c r="AS64" s="1786"/>
      <c r="AT64" s="1786"/>
      <c r="AU64" s="1786"/>
      <c r="AV64" s="1786"/>
      <c r="AW64" s="1786"/>
      <c r="AY64" s="358"/>
      <c r="BB64" s="1786"/>
      <c r="BD64" s="358"/>
      <c r="MX64" s="360"/>
      <c r="NM64" s="356"/>
      <c r="OZ64" s="2503">
        <v>60</v>
      </c>
    </row>
    <row r="65" spans="1:520" ht="15" customHeight="1">
      <c r="A65" s="3639" t="s">
        <v>3941</v>
      </c>
      <c r="B65" s="3639"/>
      <c r="C65" s="72" t="s">
        <v>1068</v>
      </c>
      <c r="D65" s="1"/>
      <c r="E65" s="1"/>
      <c r="F65" s="1"/>
      <c r="G65" s="62"/>
      <c r="H65" s="81" t="s">
        <v>3554</v>
      </c>
      <c r="I65" s="29"/>
      <c r="J65" s="62"/>
      <c r="K65" s="1060">
        <f>X58</f>
        <v>0</v>
      </c>
      <c r="L65" s="1061">
        <f>Y58</f>
        <v>8</v>
      </c>
      <c r="M65" s="1061">
        <f>Z58</f>
        <v>24</v>
      </c>
      <c r="N65" s="1061">
        <f>AA58</f>
        <v>0</v>
      </c>
      <c r="O65" s="1062">
        <f>AB58</f>
        <v>0</v>
      </c>
      <c r="P65" s="733">
        <f t="shared" ref="P65:P76" si="652">SUM(K65:O65)</f>
        <v>32</v>
      </c>
      <c r="Q65" s="3640" t="s">
        <v>3098</v>
      </c>
      <c r="R65" s="872"/>
      <c r="S65" s="3632"/>
      <c r="T65" s="3633"/>
      <c r="U65" s="3633"/>
      <c r="V65" s="3633"/>
      <c r="W65" s="3634"/>
      <c r="X65" s="358"/>
      <c r="AA65" s="358"/>
      <c r="AB65" s="361"/>
      <c r="AC65" s="358"/>
      <c r="AF65" s="358"/>
      <c r="AG65" s="361"/>
      <c r="AH65" s="358"/>
      <c r="AK65" s="358"/>
      <c r="AL65" s="361"/>
      <c r="AM65" s="358"/>
      <c r="AP65" s="358"/>
      <c r="AQ65" s="361"/>
      <c r="AR65" s="362"/>
      <c r="AS65" s="362"/>
      <c r="AT65" s="362"/>
      <c r="AU65" s="362"/>
      <c r="AV65" s="362"/>
      <c r="AW65" s="362"/>
      <c r="AX65" s="361"/>
      <c r="AY65" s="358"/>
      <c r="BB65" s="362"/>
      <c r="BC65" s="361"/>
      <c r="BD65" s="358"/>
      <c r="MX65" s="360"/>
      <c r="NM65" s="356"/>
      <c r="OZ65" s="2504">
        <v>61</v>
      </c>
    </row>
    <row r="66" spans="1:520" ht="15" customHeight="1">
      <c r="A66" s="3639"/>
      <c r="B66" s="3639"/>
      <c r="C66" s="72"/>
      <c r="D66" s="1"/>
      <c r="E66" s="1"/>
      <c r="F66" s="1"/>
      <c r="G66" s="62"/>
      <c r="H66" s="81" t="s">
        <v>3555</v>
      </c>
      <c r="I66" s="29"/>
      <c r="J66" s="62"/>
      <c r="K66" s="1063">
        <f>AC58</f>
        <v>0</v>
      </c>
      <c r="L66" s="1064">
        <f>AD58</f>
        <v>0</v>
      </c>
      <c r="M66" s="1064">
        <f>AE58</f>
        <v>0</v>
      </c>
      <c r="N66" s="1064">
        <f>AF58</f>
        <v>0</v>
      </c>
      <c r="O66" s="1065">
        <f>AG58</f>
        <v>0</v>
      </c>
      <c r="P66" s="729">
        <f t="shared" si="652"/>
        <v>0</v>
      </c>
      <c r="Q66" s="3640"/>
      <c r="R66" s="872"/>
      <c r="S66" s="3613"/>
      <c r="T66" s="3614"/>
      <c r="U66" s="3614"/>
      <c r="V66" s="3614"/>
      <c r="W66" s="3615"/>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MX66" s="360"/>
      <c r="NM66" s="356"/>
      <c r="OZ66" s="2504">
        <v>62</v>
      </c>
    </row>
    <row r="67" spans="1:520" ht="15" customHeight="1">
      <c r="A67" s="3639"/>
      <c r="B67" s="3639"/>
      <c r="C67" s="72"/>
      <c r="D67" s="1"/>
      <c r="E67" s="1"/>
      <c r="F67" s="1"/>
      <c r="G67" s="62"/>
      <c r="H67" s="81" t="s">
        <v>1080</v>
      </c>
      <c r="I67" s="29"/>
      <c r="J67" s="62"/>
      <c r="K67" s="1063">
        <f>AH58</f>
        <v>0</v>
      </c>
      <c r="L67" s="1064">
        <f>AI58</f>
        <v>24</v>
      </c>
      <c r="M67" s="1064">
        <f>AJ58</f>
        <v>72</v>
      </c>
      <c r="N67" s="1064">
        <f>AK58</f>
        <v>0</v>
      </c>
      <c r="O67" s="1065">
        <f>AL58</f>
        <v>0</v>
      </c>
      <c r="P67" s="729">
        <f t="shared" si="652"/>
        <v>96</v>
      </c>
      <c r="Q67" s="3640"/>
      <c r="R67" s="872"/>
      <c r="S67" s="3613"/>
      <c r="T67" s="3614"/>
      <c r="U67" s="3614"/>
      <c r="V67" s="3614"/>
      <c r="W67" s="3615"/>
      <c r="X67" s="358"/>
      <c r="AA67" s="358"/>
      <c r="AB67" s="361"/>
      <c r="AC67" s="358"/>
      <c r="AF67" s="358"/>
      <c r="AG67" s="361"/>
      <c r="AH67" s="358"/>
      <c r="AK67" s="358"/>
      <c r="AL67" s="361"/>
      <c r="AM67" s="358"/>
      <c r="AP67" s="358"/>
      <c r="AQ67" s="361"/>
      <c r="AR67" s="362"/>
      <c r="AS67" s="362"/>
      <c r="AT67" s="362"/>
      <c r="AU67" s="362"/>
      <c r="AV67" s="362"/>
      <c r="AW67" s="362"/>
      <c r="AX67" s="361"/>
      <c r="AY67" s="358"/>
      <c r="BB67" s="362"/>
      <c r="BC67" s="361"/>
      <c r="BD67" s="358"/>
      <c r="MX67" s="360"/>
      <c r="NM67" s="356"/>
      <c r="OZ67" s="2504">
        <v>63</v>
      </c>
    </row>
    <row r="68" spans="1:520" ht="15" customHeight="1">
      <c r="A68" s="3639"/>
      <c r="B68" s="3639"/>
      <c r="C68" s="72"/>
      <c r="D68" s="1"/>
      <c r="E68" s="1"/>
      <c r="F68" s="1"/>
      <c r="G68" s="62"/>
      <c r="H68" s="81" t="s">
        <v>112</v>
      </c>
      <c r="I68" s="29"/>
      <c r="J68" s="895"/>
      <c r="K68" s="1084">
        <f>AM58</f>
        <v>0</v>
      </c>
      <c r="L68" s="1085">
        <f>AN58</f>
        <v>4</v>
      </c>
      <c r="M68" s="1085">
        <f>AO58</f>
        <v>12</v>
      </c>
      <c r="N68" s="1085">
        <f>AP58</f>
        <v>0</v>
      </c>
      <c r="O68" s="1086">
        <f>AQ58</f>
        <v>0</v>
      </c>
      <c r="P68" s="465">
        <f t="shared" si="652"/>
        <v>16</v>
      </c>
      <c r="Q68" s="3640"/>
      <c r="R68" s="872"/>
      <c r="S68" s="3613"/>
      <c r="T68" s="3614"/>
      <c r="U68" s="3614"/>
      <c r="V68" s="3614"/>
      <c r="W68" s="3615"/>
      <c r="X68" s="358"/>
      <c r="AA68" s="358"/>
      <c r="AB68" s="361"/>
      <c r="AC68" s="358"/>
      <c r="AF68" s="358"/>
      <c r="AG68" s="361"/>
      <c r="AH68" s="358"/>
      <c r="AK68" s="358"/>
      <c r="AL68" s="361"/>
      <c r="AM68" s="358"/>
      <c r="AP68" s="358"/>
      <c r="AQ68" s="361"/>
      <c r="AR68" s="362"/>
      <c r="AS68" s="362"/>
      <c r="AT68" s="362"/>
      <c r="AU68" s="362"/>
      <c r="AV68" s="362"/>
      <c r="AW68" s="362"/>
      <c r="AX68" s="361"/>
      <c r="AY68" s="358"/>
      <c r="BB68" s="362"/>
      <c r="BC68" s="361"/>
      <c r="BD68" s="358"/>
      <c r="MX68" s="360"/>
      <c r="NM68" s="356"/>
      <c r="OZ68" s="2504">
        <v>64</v>
      </c>
    </row>
    <row r="69" spans="1:520" ht="15" customHeight="1">
      <c r="A69" s="3639"/>
      <c r="B69" s="3639"/>
      <c r="C69" s="72"/>
      <c r="D69" s="1"/>
      <c r="E69" s="1"/>
      <c r="F69" s="1"/>
      <c r="G69" s="62"/>
      <c r="H69" s="81" t="s">
        <v>3556</v>
      </c>
      <c r="I69" s="29"/>
      <c r="J69" s="895"/>
      <c r="K69" s="1063">
        <f>AR58</f>
        <v>0</v>
      </c>
      <c r="L69" s="1064">
        <f>AS58</f>
        <v>0</v>
      </c>
      <c r="M69" s="1064">
        <f>AT58</f>
        <v>0</v>
      </c>
      <c r="N69" s="1064">
        <f>AU58</f>
        <v>0</v>
      </c>
      <c r="O69" s="1065">
        <f>AV58</f>
        <v>0</v>
      </c>
      <c r="P69" s="729">
        <f t="shared" si="652"/>
        <v>0</v>
      </c>
      <c r="Q69" s="3640"/>
      <c r="R69" s="872"/>
      <c r="S69" s="3613"/>
      <c r="T69" s="3614"/>
      <c r="U69" s="3614"/>
      <c r="V69" s="3614"/>
      <c r="W69" s="3615"/>
      <c r="X69" s="358"/>
      <c r="AA69" s="358"/>
      <c r="AB69" s="361"/>
      <c r="AC69" s="358"/>
      <c r="AF69" s="358"/>
      <c r="AG69" s="361"/>
      <c r="AH69" s="358"/>
      <c r="AK69" s="358"/>
      <c r="AL69" s="361"/>
      <c r="AM69" s="358"/>
      <c r="AP69" s="358"/>
      <c r="AQ69" s="361"/>
      <c r="AR69" s="362"/>
      <c r="AS69" s="362"/>
      <c r="AT69" s="362"/>
      <c r="AU69" s="362"/>
      <c r="AV69" s="362"/>
      <c r="AW69" s="362"/>
      <c r="AX69" s="361"/>
      <c r="AY69" s="358"/>
      <c r="BB69" s="362"/>
      <c r="BC69" s="361"/>
      <c r="BD69" s="358"/>
      <c r="MX69" s="360"/>
      <c r="NM69" s="356"/>
      <c r="OZ69" s="2504">
        <v>65</v>
      </c>
    </row>
    <row r="70" spans="1:520" ht="15" customHeight="1">
      <c r="A70" s="3639"/>
      <c r="B70" s="3639"/>
      <c r="C70" s="72"/>
      <c r="D70" s="1"/>
      <c r="E70" s="1"/>
      <c r="F70" s="1"/>
      <c r="G70" s="62"/>
      <c r="H70" s="81" t="s">
        <v>3557</v>
      </c>
      <c r="I70" s="29"/>
      <c r="J70" s="62"/>
      <c r="K70" s="1063">
        <f>AW58</f>
        <v>0</v>
      </c>
      <c r="L70" s="1064">
        <f>AX58</f>
        <v>4</v>
      </c>
      <c r="M70" s="1064">
        <f>AY58</f>
        <v>12</v>
      </c>
      <c r="N70" s="1064">
        <f>AZ58</f>
        <v>0</v>
      </c>
      <c r="O70" s="1065">
        <f>BA58</f>
        <v>0</v>
      </c>
      <c r="P70" s="729">
        <f t="shared" si="652"/>
        <v>16</v>
      </c>
      <c r="Q70" s="3640"/>
      <c r="R70" s="872"/>
      <c r="S70" s="3613"/>
      <c r="T70" s="3614"/>
      <c r="U70" s="3614"/>
      <c r="V70" s="3614"/>
      <c r="W70" s="3615"/>
      <c r="X70" s="358"/>
      <c r="AA70" s="358"/>
      <c r="AB70" s="361"/>
      <c r="AC70" s="358"/>
      <c r="AF70" s="358"/>
      <c r="AG70" s="361"/>
      <c r="AH70" s="358"/>
      <c r="AK70" s="358"/>
      <c r="AL70" s="361"/>
      <c r="AM70" s="358"/>
      <c r="AP70" s="358"/>
      <c r="AQ70" s="361"/>
      <c r="AR70" s="362"/>
      <c r="AS70" s="362"/>
      <c r="AT70" s="362"/>
      <c r="AU70" s="362"/>
      <c r="AV70" s="362"/>
      <c r="AW70" s="362"/>
      <c r="AX70" s="361"/>
      <c r="AY70" s="358"/>
      <c r="BB70" s="362"/>
      <c r="BC70" s="361"/>
      <c r="BD70" s="358"/>
      <c r="MX70" s="360"/>
      <c r="NM70" s="356"/>
      <c r="OZ70" s="2504">
        <v>66</v>
      </c>
    </row>
    <row r="71" spans="1:520" ht="15" customHeight="1">
      <c r="A71" s="3639"/>
      <c r="B71" s="3639"/>
      <c r="C71" s="4"/>
      <c r="D71" s="1"/>
      <c r="E71" s="1"/>
      <c r="F71" s="1"/>
      <c r="G71" s="62"/>
      <c r="H71" s="81" t="s">
        <v>3558</v>
      </c>
      <c r="I71" s="29"/>
      <c r="J71" s="62"/>
      <c r="K71" s="1066">
        <f>BB58</f>
        <v>0</v>
      </c>
      <c r="L71" s="1067">
        <f>BC58</f>
        <v>0</v>
      </c>
      <c r="M71" s="1067">
        <f>BD58</f>
        <v>0</v>
      </c>
      <c r="N71" s="1067">
        <f>BE58</f>
        <v>0</v>
      </c>
      <c r="O71" s="1068">
        <f>BF58</f>
        <v>0</v>
      </c>
      <c r="P71" s="465">
        <f t="shared" si="652"/>
        <v>0</v>
      </c>
      <c r="Q71" s="3640"/>
      <c r="R71" s="872"/>
      <c r="S71" s="3613"/>
      <c r="T71" s="3614"/>
      <c r="U71" s="3614"/>
      <c r="V71" s="3614"/>
      <c r="W71" s="3615"/>
      <c r="X71" s="1639"/>
      <c r="AA71" s="358"/>
      <c r="AB71" s="361"/>
      <c r="AC71" s="1639"/>
      <c r="AF71" s="358"/>
      <c r="AG71" s="361"/>
      <c r="AH71" s="1639"/>
      <c r="AK71" s="358"/>
      <c r="AL71" s="361"/>
      <c r="AM71" s="1639"/>
      <c r="AP71" s="358"/>
      <c r="AQ71" s="361"/>
      <c r="AR71" s="362"/>
      <c r="AS71" s="362"/>
      <c r="AT71" s="362"/>
      <c r="AU71" s="362"/>
      <c r="AV71" s="362"/>
      <c r="AW71" s="362"/>
      <c r="AX71" s="361"/>
      <c r="AY71" s="358"/>
      <c r="BB71" s="362"/>
      <c r="BC71" s="361"/>
      <c r="BD71" s="358"/>
      <c r="MX71" s="360"/>
      <c r="NM71" s="356"/>
      <c r="OZ71" s="2503">
        <v>67</v>
      </c>
    </row>
    <row r="72" spans="1:520" ht="15" customHeight="1">
      <c r="A72" s="3639"/>
      <c r="B72" s="3639"/>
      <c r="C72" s="81" t="s">
        <v>3640</v>
      </c>
      <c r="D72" s="1"/>
      <c r="E72" s="1"/>
      <c r="F72" s="1"/>
      <c r="G72" s="62"/>
      <c r="H72" s="68"/>
      <c r="I72" s="44"/>
      <c r="J72" s="62"/>
      <c r="K72" s="1028">
        <f>SUM(K65:K71)</f>
        <v>0</v>
      </c>
      <c r="L72" s="1028">
        <f>SUM(L65:L71)</f>
        <v>40</v>
      </c>
      <c r="M72" s="1028">
        <f>SUM(M65:M71)</f>
        <v>120</v>
      </c>
      <c r="N72" s="1028">
        <f>SUM(N65:N71)</f>
        <v>0</v>
      </c>
      <c r="O72" s="1028">
        <f>SUM(O65:O71)</f>
        <v>0</v>
      </c>
      <c r="P72" s="1028">
        <f t="shared" si="652"/>
        <v>160</v>
      </c>
      <c r="Q72" s="3641"/>
      <c r="S72" s="3613"/>
      <c r="T72" s="3614"/>
      <c r="U72" s="3614"/>
      <c r="V72" s="3614"/>
      <c r="W72" s="3615"/>
      <c r="X72" s="1639"/>
      <c r="AA72" s="358"/>
      <c r="AB72" s="361"/>
      <c r="AC72" s="1639"/>
      <c r="AF72" s="358"/>
      <c r="AG72" s="361"/>
      <c r="AH72" s="1639"/>
      <c r="AK72" s="358"/>
      <c r="AL72" s="361"/>
      <c r="AM72" s="1639"/>
      <c r="AP72" s="358"/>
      <c r="AQ72" s="361"/>
      <c r="AR72" s="362"/>
      <c r="AS72" s="362"/>
      <c r="AT72" s="362"/>
      <c r="AU72" s="362"/>
      <c r="AV72" s="362"/>
      <c r="AW72" s="362"/>
      <c r="AX72" s="361"/>
      <c r="AY72" s="358"/>
      <c r="BB72" s="362"/>
      <c r="BC72" s="361"/>
      <c r="BD72" s="358"/>
      <c r="MX72" s="360"/>
      <c r="NM72" s="356"/>
      <c r="OZ72" s="2504">
        <v>68</v>
      </c>
    </row>
    <row r="73" spans="1:520" ht="15" customHeight="1">
      <c r="A73" s="3639"/>
      <c r="B73" s="3639"/>
      <c r="D73" s="1"/>
      <c r="E73" s="1"/>
      <c r="F73" s="1"/>
      <c r="G73" s="62"/>
      <c r="H73" s="81" t="s">
        <v>290</v>
      </c>
      <c r="I73" s="29"/>
      <c r="J73" s="62"/>
      <c r="K73" s="730">
        <f>BG58</f>
        <v>0</v>
      </c>
      <c r="L73" s="730">
        <f>BH58</f>
        <v>0</v>
      </c>
      <c r="M73" s="730">
        <f>BI58</f>
        <v>0</v>
      </c>
      <c r="N73" s="730">
        <f>BJ58</f>
        <v>0</v>
      </c>
      <c r="O73" s="730">
        <f>BK58</f>
        <v>0</v>
      </c>
      <c r="P73" s="730">
        <f t="shared" si="652"/>
        <v>0</v>
      </c>
      <c r="S73" s="3613"/>
      <c r="T73" s="3614"/>
      <c r="U73" s="3614"/>
      <c r="V73" s="3614"/>
      <c r="W73" s="3615"/>
      <c r="X73" s="358"/>
      <c r="AA73" s="358"/>
      <c r="AB73" s="361"/>
      <c r="AC73" s="358"/>
      <c r="AF73" s="358"/>
      <c r="AG73" s="361"/>
      <c r="AH73" s="358"/>
      <c r="AK73" s="358"/>
      <c r="AL73" s="361"/>
      <c r="AM73" s="358"/>
      <c r="AP73" s="358"/>
      <c r="AQ73" s="361"/>
      <c r="AR73" s="362"/>
      <c r="AS73" s="362"/>
      <c r="AT73" s="362"/>
      <c r="AU73" s="362"/>
      <c r="AV73" s="362"/>
      <c r="AW73" s="362"/>
      <c r="AX73" s="790"/>
      <c r="AY73" s="358"/>
      <c r="BB73" s="362"/>
      <c r="BC73" s="790"/>
      <c r="BD73" s="358"/>
      <c r="MX73" s="360"/>
      <c r="NM73" s="356"/>
      <c r="OZ73" s="2504">
        <v>69</v>
      </c>
    </row>
    <row r="74" spans="1:520" ht="15" customHeight="1">
      <c r="A74" s="3639"/>
      <c r="B74" s="3639"/>
      <c r="C74" s="1033" t="s">
        <v>1069</v>
      </c>
      <c r="D74" s="1033"/>
      <c r="E74" s="1033"/>
      <c r="F74" s="1033"/>
      <c r="G74" s="1034"/>
      <c r="H74" s="1366"/>
      <c r="I74" s="42"/>
      <c r="J74" s="1034"/>
      <c r="K74" s="1035">
        <f>SUM(K72:K73)</f>
        <v>0</v>
      </c>
      <c r="L74" s="1035">
        <f>SUM(L72:L73)</f>
        <v>40</v>
      </c>
      <c r="M74" s="1035">
        <f>SUM(M72:M73)</f>
        <v>120</v>
      </c>
      <c r="N74" s="1035">
        <f>SUM(N72:N73)</f>
        <v>0</v>
      </c>
      <c r="O74" s="1035">
        <f>SUM(O72:O73)</f>
        <v>0</v>
      </c>
      <c r="P74" s="1035">
        <f t="shared" si="652"/>
        <v>160</v>
      </c>
      <c r="S74" s="3613"/>
      <c r="T74" s="3614"/>
      <c r="U74" s="3614"/>
      <c r="V74" s="3614"/>
      <c r="W74" s="3615"/>
      <c r="X74" s="358"/>
      <c r="AA74" s="358"/>
      <c r="AB74" s="361"/>
      <c r="AC74" s="358"/>
      <c r="AF74" s="358"/>
      <c r="AG74" s="361"/>
      <c r="AH74" s="358"/>
      <c r="AK74" s="358"/>
      <c r="AL74" s="361"/>
      <c r="AM74" s="358"/>
      <c r="AP74" s="358"/>
      <c r="AQ74" s="361"/>
      <c r="AR74" s="362"/>
      <c r="AS74" s="362"/>
      <c r="AT74" s="362"/>
      <c r="AU74" s="362"/>
      <c r="AV74" s="362"/>
      <c r="AW74" s="362"/>
      <c r="AX74" s="790"/>
      <c r="AY74" s="358"/>
      <c r="BB74" s="362"/>
      <c r="BC74" s="790"/>
      <c r="BD74" s="358"/>
      <c r="MX74" s="360"/>
      <c r="NM74" s="356"/>
      <c r="OZ74" s="2504">
        <v>70</v>
      </c>
    </row>
    <row r="75" spans="1:520" ht="15" customHeight="1">
      <c r="A75" s="3639"/>
      <c r="B75" s="3639"/>
      <c r="D75" s="1"/>
      <c r="E75" s="1"/>
      <c r="F75" s="1"/>
      <c r="G75" s="62"/>
      <c r="H75" s="81" t="s">
        <v>2302</v>
      </c>
      <c r="I75" s="29"/>
      <c r="J75" s="62"/>
      <c r="K75" s="730">
        <f>FM58</f>
        <v>0</v>
      </c>
      <c r="L75" s="730">
        <f>FN58</f>
        <v>0</v>
      </c>
      <c r="M75" s="730">
        <f>FO58</f>
        <v>0</v>
      </c>
      <c r="N75" s="730">
        <f>FP58</f>
        <v>0</v>
      </c>
      <c r="O75" s="730">
        <f>FQ58</f>
        <v>0</v>
      </c>
      <c r="P75" s="730">
        <f t="shared" si="652"/>
        <v>0</v>
      </c>
      <c r="Q75" s="147" t="s">
        <v>3099</v>
      </c>
      <c r="S75" s="3613"/>
      <c r="T75" s="3614"/>
      <c r="U75" s="3614"/>
      <c r="V75" s="3614"/>
      <c r="W75" s="3615"/>
      <c r="X75" s="358"/>
      <c r="AA75" s="358"/>
      <c r="AB75" s="361"/>
      <c r="AC75" s="358"/>
      <c r="AF75" s="358"/>
      <c r="AG75" s="361"/>
      <c r="AH75" s="358"/>
      <c r="AK75" s="358"/>
      <c r="AL75" s="361"/>
      <c r="AM75" s="358"/>
      <c r="AP75" s="358"/>
      <c r="AQ75" s="361"/>
      <c r="AR75" s="362"/>
      <c r="AS75" s="362"/>
      <c r="AT75" s="362"/>
      <c r="AU75" s="362"/>
      <c r="AV75" s="362"/>
      <c r="AW75" s="362"/>
      <c r="AX75" s="361"/>
      <c r="AY75" s="358"/>
      <c r="BB75" s="362"/>
      <c r="BC75" s="361"/>
      <c r="BD75" s="358"/>
      <c r="MX75" s="360"/>
      <c r="NM75" s="356"/>
      <c r="OZ75" s="2504">
        <v>71</v>
      </c>
    </row>
    <row r="76" spans="1:520" ht="15" customHeight="1">
      <c r="A76" s="3639"/>
      <c r="B76" s="3639"/>
      <c r="C76" s="4" t="s">
        <v>1662</v>
      </c>
      <c r="D76" s="1"/>
      <c r="E76" s="1"/>
      <c r="F76" s="1"/>
      <c r="G76" s="62"/>
      <c r="H76" s="81"/>
      <c r="I76" s="29"/>
      <c r="J76" s="62"/>
      <c r="K76" s="1027">
        <f>SUM(K74:K75)</f>
        <v>0</v>
      </c>
      <c r="L76" s="1027">
        <f>SUM(L74:L75)</f>
        <v>40</v>
      </c>
      <c r="M76" s="1027">
        <f>SUM(M74:M75)</f>
        <v>120</v>
      </c>
      <c r="N76" s="1027">
        <f>SUM(N74:N75)</f>
        <v>0</v>
      </c>
      <c r="O76" s="1027">
        <f>SUM(O74:O75)</f>
        <v>0</v>
      </c>
      <c r="P76" s="1027">
        <f t="shared" si="652"/>
        <v>160</v>
      </c>
      <c r="S76" s="3580"/>
      <c r="T76" s="3581"/>
      <c r="U76" s="3581"/>
      <c r="V76" s="3581"/>
      <c r="W76" s="3582"/>
      <c r="X76" s="358"/>
      <c r="AA76" s="358"/>
      <c r="AB76" s="361"/>
      <c r="AC76" s="358"/>
      <c r="AF76" s="358"/>
      <c r="AG76" s="361"/>
      <c r="AH76" s="358"/>
      <c r="AK76" s="358"/>
      <c r="AL76" s="361"/>
      <c r="AM76" s="358"/>
      <c r="AP76" s="358"/>
      <c r="AQ76" s="361"/>
      <c r="AR76" s="362"/>
      <c r="AS76" s="362"/>
      <c r="AT76" s="362"/>
      <c r="AU76" s="362"/>
      <c r="AV76" s="362"/>
      <c r="AW76" s="362"/>
      <c r="AY76" s="358"/>
      <c r="BB76" s="362"/>
      <c r="BD76" s="358"/>
      <c r="MX76" s="360"/>
      <c r="NM76" s="356"/>
      <c r="OZ76" s="2504">
        <v>72</v>
      </c>
    </row>
    <row r="77" spans="1:520" ht="16.2" customHeight="1">
      <c r="A77" s="3639"/>
      <c r="B77" s="3639"/>
      <c r="C77" s="1180"/>
      <c r="D77" s="1180"/>
      <c r="E77" s="1180"/>
      <c r="F77" s="1180"/>
      <c r="G77" s="1180"/>
      <c r="H77" s="1367"/>
      <c r="I77" s="1180"/>
      <c r="J77" s="1180"/>
      <c r="K77" s="1180"/>
      <c r="L77" s="1180"/>
      <c r="M77" s="1180"/>
      <c r="N77" s="1180"/>
      <c r="O77" s="1180"/>
      <c r="P77" s="1180"/>
      <c r="Q77" s="356"/>
      <c r="X77" s="358"/>
      <c r="AA77" s="358"/>
      <c r="AB77" s="361"/>
      <c r="AC77" s="358"/>
      <c r="AF77" s="358"/>
      <c r="AG77" s="361"/>
      <c r="AH77" s="358"/>
      <c r="AK77" s="358"/>
      <c r="AL77" s="361"/>
      <c r="AM77" s="358"/>
      <c r="AP77" s="358"/>
      <c r="AQ77" s="361"/>
      <c r="AR77" s="358"/>
      <c r="AS77" s="358"/>
      <c r="AT77" s="358"/>
      <c r="AU77" s="358"/>
      <c r="AV77" s="358"/>
      <c r="AW77" s="358"/>
      <c r="AY77" s="358"/>
      <c r="BB77" s="358"/>
      <c r="BD77" s="358"/>
      <c r="MX77" s="360"/>
      <c r="NM77" s="356"/>
      <c r="OZ77" s="2506">
        <v>73</v>
      </c>
    </row>
    <row r="78" spans="1:520" ht="12" customHeight="1">
      <c r="A78" s="3639"/>
      <c r="B78" s="3639"/>
      <c r="C78" s="3642" t="s">
        <v>3649</v>
      </c>
      <c r="D78" s="3642"/>
      <c r="E78" s="3642"/>
      <c r="F78" s="3642"/>
      <c r="G78" s="1180"/>
      <c r="H78" s="1367"/>
      <c r="I78" s="1180"/>
      <c r="J78" s="1180"/>
      <c r="K78" s="1372"/>
      <c r="L78" s="1372"/>
      <c r="M78" s="1372"/>
      <c r="N78" s="1372"/>
      <c r="O78" s="1372"/>
      <c r="P78" s="1372"/>
      <c r="Q78" s="356"/>
      <c r="S78" s="223" t="str">
        <f>C78</f>
        <v xml:space="preserve">Income Limit Distribution among Bedroom Sizes </v>
      </c>
      <c r="U78" s="327"/>
      <c r="X78" s="358"/>
      <c r="AA78" s="358"/>
      <c r="AB78" s="361"/>
      <c r="AC78" s="358"/>
      <c r="AF78" s="358"/>
      <c r="AG78" s="361"/>
      <c r="AH78" s="358"/>
      <c r="AK78" s="358"/>
      <c r="AL78" s="361"/>
      <c r="AM78" s="358"/>
      <c r="AP78" s="358"/>
      <c r="AQ78" s="361"/>
      <c r="AR78" s="358"/>
      <c r="AS78" s="358"/>
      <c r="AT78" s="358"/>
      <c r="AU78" s="358"/>
      <c r="AV78" s="358"/>
      <c r="AW78" s="358"/>
      <c r="AY78" s="358"/>
      <c r="BB78" s="358"/>
      <c r="BD78" s="358"/>
      <c r="MX78" s="360"/>
      <c r="NM78" s="356"/>
      <c r="OZ78" s="2504">
        <v>74</v>
      </c>
    </row>
    <row r="79" spans="1:520" customFormat="1" ht="13.2" customHeight="1">
      <c r="A79" s="3639"/>
      <c r="B79" s="3639"/>
      <c r="C79" s="3642"/>
      <c r="D79" s="3642"/>
      <c r="E79" s="3642"/>
      <c r="F79" s="3642"/>
      <c r="G79" s="6"/>
      <c r="H79" s="81" t="s">
        <v>3554</v>
      </c>
      <c r="I79" s="29"/>
      <c r="J79" s="1335"/>
      <c r="K79" s="1360" t="str">
        <f t="shared" ref="K79:P79" si="653">IF(OR(K65=0,K76=0),"",K65/K76)</f>
        <v/>
      </c>
      <c r="L79" s="1361">
        <f t="shared" si="653"/>
        <v>0.2</v>
      </c>
      <c r="M79" s="1361">
        <f t="shared" si="653"/>
        <v>0.2</v>
      </c>
      <c r="N79" s="1361" t="str">
        <f t="shared" si="653"/>
        <v/>
      </c>
      <c r="O79" s="1361" t="str">
        <f t="shared" si="653"/>
        <v/>
      </c>
      <c r="P79" s="1362">
        <f t="shared" si="653"/>
        <v>0.2</v>
      </c>
      <c r="Q79" s="33" t="s">
        <v>3935</v>
      </c>
      <c r="S79" s="3632"/>
      <c r="T79" s="3633"/>
      <c r="U79" s="3633"/>
      <c r="V79" s="3633"/>
      <c r="W79" s="3634"/>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356"/>
      <c r="MV79" s="356"/>
      <c r="MW79" s="356"/>
      <c r="MX79" s="356"/>
      <c r="MY79" s="356"/>
      <c r="MZ79" s="356"/>
      <c r="NA79" s="356"/>
      <c r="NB79" s="356"/>
      <c r="NC79" s="356"/>
      <c r="ND79" s="356"/>
      <c r="NE79" s="356"/>
      <c r="NF79" s="356"/>
      <c r="NG79" s="356"/>
      <c r="NH79" s="356"/>
      <c r="NI79" s="356"/>
      <c r="NJ79" s="356"/>
      <c r="NK79" s="356"/>
      <c r="NL79" s="356"/>
      <c r="NM79" s="356"/>
      <c r="NN79" s="356"/>
      <c r="NO79" s="356"/>
      <c r="NP79" s="356"/>
      <c r="NQ79" s="356"/>
      <c r="NR79" s="356"/>
      <c r="NS79" s="356"/>
      <c r="NT79" s="356"/>
      <c r="NU79" s="356"/>
      <c r="NV79" s="356"/>
      <c r="NW79" s="356"/>
      <c r="NX79" s="356"/>
      <c r="NY79" s="356"/>
      <c r="NZ79" s="356"/>
      <c r="OA79" s="356"/>
      <c r="OB79" s="356"/>
      <c r="OC79" s="356"/>
      <c r="OD79" s="356"/>
      <c r="OE79" s="356"/>
      <c r="OF79" s="356"/>
      <c r="OG79" s="356"/>
      <c r="OH79" s="356"/>
      <c r="OI79" s="356"/>
      <c r="OJ79" s="356"/>
      <c r="OK79" s="356"/>
      <c r="OL79" s="356"/>
      <c r="OM79" s="356"/>
      <c r="ON79" s="356"/>
      <c r="OO79" s="356"/>
      <c r="OP79" s="356"/>
      <c r="OQ79" s="356"/>
      <c r="OR79" s="356"/>
      <c r="OS79" s="356"/>
      <c r="OT79" s="356"/>
      <c r="OU79" s="356"/>
      <c r="OV79" s="115"/>
      <c r="OW79" s="115"/>
      <c r="OX79" s="115"/>
      <c r="OY79" s="2499"/>
      <c r="OZ79" s="2503">
        <v>75</v>
      </c>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c r="RR79" s="115"/>
      <c r="RS79" s="115"/>
      <c r="RT79" s="115"/>
      <c r="RU79" s="115"/>
      <c r="RV79" s="115"/>
      <c r="RW79" s="115"/>
      <c r="RX79" s="115"/>
      <c r="RY79" s="115"/>
      <c r="RZ79" s="115"/>
      <c r="SA79" s="115"/>
      <c r="SB79" s="115"/>
      <c r="SC79" s="115"/>
      <c r="SD79" s="115"/>
      <c r="SE79" s="115"/>
      <c r="SF79" s="115"/>
      <c r="SG79" s="115"/>
      <c r="SH79" s="115"/>
      <c r="SI79" s="115"/>
      <c r="SJ79" s="115"/>
      <c r="SK79" s="115"/>
      <c r="SL79" s="115"/>
      <c r="SM79" s="115"/>
      <c r="SN79" s="115"/>
      <c r="SO79" s="115"/>
      <c r="SP79" s="115"/>
      <c r="SQ79" s="115"/>
      <c r="SR79" s="115"/>
      <c r="SS79" s="115"/>
      <c r="ST79" s="115"/>
      <c r="SU79" s="115"/>
      <c r="SV79" s="115"/>
      <c r="SW79" s="115"/>
      <c r="SX79" s="115"/>
      <c r="SY79" s="115"/>
      <c r="SZ79" s="115"/>
    </row>
    <row r="80" spans="1:520" customFormat="1">
      <c r="A80" s="3639"/>
      <c r="B80" s="3639"/>
      <c r="C80" s="653"/>
      <c r="D80" s="6"/>
      <c r="E80" s="6"/>
      <c r="F80" s="6"/>
      <c r="G80" s="6"/>
      <c r="H80" s="81" t="s">
        <v>4378</v>
      </c>
      <c r="I80" s="29"/>
      <c r="J80" s="1"/>
      <c r="K80" s="1415" t="str">
        <f>IF(OR(K65=0,P79="",K76=0),"",P79*K76)</f>
        <v/>
      </c>
      <c r="L80" s="1415">
        <f>IF(OR(L65=0,P79="",L76=0),"",P79*L76)</f>
        <v>8</v>
      </c>
      <c r="M80" s="1415">
        <f>IF(OR(M65=0,P79="",M76=0),"",P79*M76)</f>
        <v>24</v>
      </c>
      <c r="N80" s="1415" t="str">
        <f>IF(OR(N65=0,P79="",N76=0),"",P79*N76)</f>
        <v/>
      </c>
      <c r="O80" s="1415" t="str">
        <f>IF(OR(O65=0,P79="",O76=0),"",P79*O76)</f>
        <v/>
      </c>
      <c r="P80" s="1416">
        <f>IF(OR(P79="",P76=0),"",P79*P76)</f>
        <v>32</v>
      </c>
      <c r="S80" s="3613"/>
      <c r="T80" s="3614"/>
      <c r="U80" s="3614"/>
      <c r="V80" s="3614"/>
      <c r="W80" s="3615"/>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356"/>
      <c r="MV80" s="356"/>
      <c r="MW80" s="356"/>
      <c r="MX80" s="356"/>
      <c r="MY80" s="356"/>
      <c r="MZ80" s="356"/>
      <c r="NA80" s="356"/>
      <c r="NB80" s="356"/>
      <c r="NC80" s="356"/>
      <c r="ND80" s="356"/>
      <c r="NE80" s="356"/>
      <c r="NF80" s="356"/>
      <c r="NG80" s="356"/>
      <c r="NH80" s="356"/>
      <c r="NI80" s="356"/>
      <c r="NJ80" s="356"/>
      <c r="NK80" s="356"/>
      <c r="NL80" s="356"/>
      <c r="NM80" s="356"/>
      <c r="NN80" s="356"/>
      <c r="NO80" s="356"/>
      <c r="NP80" s="356"/>
      <c r="NQ80" s="356"/>
      <c r="NR80" s="356"/>
      <c r="NS80" s="356"/>
      <c r="NT80" s="356"/>
      <c r="NU80" s="356"/>
      <c r="NV80" s="356"/>
      <c r="NW80" s="356"/>
      <c r="NX80" s="356"/>
      <c r="NY80" s="356"/>
      <c r="NZ80" s="356"/>
      <c r="OA80" s="356"/>
      <c r="OB80" s="356"/>
      <c r="OC80" s="356"/>
      <c r="OD80" s="356"/>
      <c r="OE80" s="356"/>
      <c r="OF80" s="356"/>
      <c r="OG80" s="356"/>
      <c r="OH80" s="356"/>
      <c r="OI80" s="356"/>
      <c r="OJ80" s="356"/>
      <c r="OK80" s="356"/>
      <c r="OL80" s="356"/>
      <c r="OM80" s="356"/>
      <c r="ON80" s="356"/>
      <c r="OO80" s="356"/>
      <c r="OP80" s="356"/>
      <c r="OQ80" s="356"/>
      <c r="OR80" s="356"/>
      <c r="OS80" s="356"/>
      <c r="OT80" s="356"/>
      <c r="OU80" s="356"/>
      <c r="OV80" s="115"/>
      <c r="OW80" s="115"/>
      <c r="OX80" s="115"/>
      <c r="OY80" s="2499"/>
      <c r="OZ80" s="2504">
        <v>76</v>
      </c>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c r="RR80" s="115"/>
      <c r="RS80" s="115"/>
      <c r="RT80" s="115"/>
      <c r="RU80" s="115"/>
      <c r="RV80" s="115"/>
      <c r="RW80" s="115"/>
      <c r="RX80" s="115"/>
      <c r="RY80" s="115"/>
      <c r="RZ80" s="115"/>
      <c r="SA80" s="115"/>
      <c r="SB80" s="115"/>
      <c r="SC80" s="115"/>
      <c r="SD80" s="115"/>
      <c r="SE80" s="115"/>
      <c r="SF80" s="115"/>
      <c r="SG80" s="115"/>
      <c r="SH80" s="115"/>
      <c r="SI80" s="115"/>
      <c r="SJ80" s="115"/>
      <c r="SK80" s="115"/>
      <c r="SL80" s="115"/>
      <c r="SM80" s="115"/>
      <c r="SN80" s="115"/>
      <c r="SO80" s="115"/>
      <c r="SP80" s="115"/>
      <c r="SQ80" s="115"/>
      <c r="SR80" s="115"/>
      <c r="SS80" s="115"/>
      <c r="ST80" s="115"/>
      <c r="SU80" s="115"/>
      <c r="SV80" s="115"/>
      <c r="SW80" s="115"/>
      <c r="SX80" s="115"/>
      <c r="SY80" s="115"/>
      <c r="SZ80" s="115"/>
    </row>
    <row r="81" spans="1:520" customFormat="1">
      <c r="A81" s="3639"/>
      <c r="B81" s="3639"/>
      <c r="C81" s="653"/>
      <c r="D81" s="6"/>
      <c r="E81" s="6"/>
      <c r="F81" s="6"/>
      <c r="G81" s="1410"/>
      <c r="H81" s="1368" t="s">
        <v>4379</v>
      </c>
      <c r="I81" s="1336"/>
      <c r="J81" s="1"/>
      <c r="K81" s="1417" t="str">
        <f t="shared" ref="K81:P81" si="654">IF(OR(K80="",K65=0),"", K65-K80)</f>
        <v/>
      </c>
      <c r="L81" s="1418">
        <f t="shared" si="654"/>
        <v>0</v>
      </c>
      <c r="M81" s="1418">
        <f t="shared" si="654"/>
        <v>0</v>
      </c>
      <c r="N81" s="1418" t="str">
        <f t="shared" si="654"/>
        <v/>
      </c>
      <c r="O81" s="1418" t="str">
        <f t="shared" si="654"/>
        <v/>
      </c>
      <c r="P81" s="1419">
        <f t="shared" si="654"/>
        <v>0</v>
      </c>
      <c r="S81" s="3613"/>
      <c r="T81" s="3614"/>
      <c r="U81" s="3614"/>
      <c r="V81" s="3614"/>
      <c r="W81" s="3615"/>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356"/>
      <c r="MV81" s="356"/>
      <c r="MW81" s="356"/>
      <c r="MX81" s="356"/>
      <c r="MY81" s="356"/>
      <c r="MZ81" s="356"/>
      <c r="NA81" s="356"/>
      <c r="NB81" s="356"/>
      <c r="NC81" s="356"/>
      <c r="ND81" s="356"/>
      <c r="NE81" s="356"/>
      <c r="NF81" s="356"/>
      <c r="NG81" s="356"/>
      <c r="NH81" s="356"/>
      <c r="NI81" s="356"/>
      <c r="NJ81" s="356"/>
      <c r="NK81" s="356"/>
      <c r="NL81" s="356"/>
      <c r="NM81" s="356"/>
      <c r="NN81" s="356"/>
      <c r="NO81" s="356"/>
      <c r="NP81" s="356"/>
      <c r="NQ81" s="356"/>
      <c r="NR81" s="356"/>
      <c r="NS81" s="356"/>
      <c r="NT81" s="356"/>
      <c r="NU81" s="356"/>
      <c r="NV81" s="356"/>
      <c r="NW81" s="356"/>
      <c r="NX81" s="356"/>
      <c r="NY81" s="356"/>
      <c r="NZ81" s="356"/>
      <c r="OA81" s="356"/>
      <c r="OB81" s="356"/>
      <c r="OC81" s="356"/>
      <c r="OD81" s="356"/>
      <c r="OE81" s="356"/>
      <c r="OF81" s="356"/>
      <c r="OG81" s="356"/>
      <c r="OH81" s="356"/>
      <c r="OI81" s="356"/>
      <c r="OJ81" s="356"/>
      <c r="OK81" s="356"/>
      <c r="OL81" s="356"/>
      <c r="OM81" s="356"/>
      <c r="ON81" s="356"/>
      <c r="OO81" s="356"/>
      <c r="OP81" s="356"/>
      <c r="OQ81" s="356"/>
      <c r="OR81" s="356"/>
      <c r="OS81" s="356"/>
      <c r="OT81" s="356"/>
      <c r="OU81" s="356"/>
      <c r="OV81" s="115"/>
      <c r="OW81" s="115"/>
      <c r="OX81" s="115"/>
      <c r="OY81" s="2499"/>
      <c r="OZ81" s="2504">
        <v>77</v>
      </c>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c r="RR81" s="115"/>
      <c r="RS81" s="115"/>
      <c r="RT81" s="115"/>
      <c r="RU81" s="115"/>
      <c r="RV81" s="115"/>
      <c r="RW81" s="115"/>
      <c r="RX81" s="115"/>
      <c r="RY81" s="115"/>
      <c r="RZ81" s="115"/>
      <c r="SA81" s="115"/>
      <c r="SB81" s="115"/>
      <c r="SC81" s="115"/>
      <c r="SD81" s="115"/>
      <c r="SE81" s="115"/>
      <c r="SF81" s="115"/>
      <c r="SG81" s="115"/>
      <c r="SH81" s="115"/>
      <c r="SI81" s="115"/>
      <c r="SJ81" s="115"/>
      <c r="SK81" s="115"/>
      <c r="SL81" s="115"/>
      <c r="SM81" s="115"/>
      <c r="SN81" s="115"/>
      <c r="SO81" s="115"/>
      <c r="SP81" s="115"/>
      <c r="SQ81" s="115"/>
      <c r="SR81" s="115"/>
      <c r="SS81" s="115"/>
      <c r="ST81" s="115"/>
      <c r="SU81" s="115"/>
      <c r="SV81" s="115"/>
      <c r="SW81" s="115"/>
      <c r="SX81" s="115"/>
      <c r="SY81" s="115"/>
      <c r="SZ81" s="115"/>
    </row>
    <row r="82" spans="1:520" customFormat="1" ht="12.75" customHeight="1">
      <c r="A82" s="3639"/>
      <c r="B82" s="3639"/>
      <c r="C82" s="653"/>
      <c r="D82" s="3643" t="s">
        <v>3934</v>
      </c>
      <c r="E82" s="3643"/>
      <c r="F82" s="3643"/>
      <c r="G82" s="6"/>
      <c r="H82" s="81" t="s">
        <v>3555</v>
      </c>
      <c r="I82" s="29"/>
      <c r="J82" s="1"/>
      <c r="K82" s="1363" t="str">
        <f t="shared" ref="K82:P82" si="655">IF(OR(K66=0,K76=0),"",K66/K76)</f>
        <v/>
      </c>
      <c r="L82" s="1364" t="str">
        <f t="shared" si="655"/>
        <v/>
      </c>
      <c r="M82" s="1364" t="str">
        <f t="shared" si="655"/>
        <v/>
      </c>
      <c r="N82" s="1364" t="str">
        <f t="shared" si="655"/>
        <v/>
      </c>
      <c r="O82" s="1364" t="str">
        <f t="shared" si="655"/>
        <v/>
      </c>
      <c r="P82" s="1365" t="str">
        <f t="shared" si="655"/>
        <v/>
      </c>
      <c r="S82" s="3613"/>
      <c r="T82" s="3614"/>
      <c r="U82" s="3614"/>
      <c r="V82" s="3614"/>
      <c r="W82" s="3615"/>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356"/>
      <c r="MV82" s="356"/>
      <c r="MW82" s="356"/>
      <c r="MX82" s="356"/>
      <c r="MY82" s="356"/>
      <c r="MZ82" s="356"/>
      <c r="NA82" s="356"/>
      <c r="NB82" s="356"/>
      <c r="NC82" s="356"/>
      <c r="ND82" s="356"/>
      <c r="NE82" s="356"/>
      <c r="NF82" s="356"/>
      <c r="NG82" s="356"/>
      <c r="NH82" s="356"/>
      <c r="NI82" s="356"/>
      <c r="NJ82" s="356"/>
      <c r="NK82" s="356"/>
      <c r="NL82" s="356"/>
      <c r="NM82" s="356"/>
      <c r="NN82" s="356"/>
      <c r="NO82" s="356"/>
      <c r="NP82" s="356"/>
      <c r="NQ82" s="356"/>
      <c r="NR82" s="356"/>
      <c r="NS82" s="356"/>
      <c r="NT82" s="356"/>
      <c r="NU82" s="356"/>
      <c r="NV82" s="356"/>
      <c r="NW82" s="356"/>
      <c r="NX82" s="356"/>
      <c r="NY82" s="356"/>
      <c r="NZ82" s="356"/>
      <c r="OA82" s="356"/>
      <c r="OB82" s="356"/>
      <c r="OC82" s="356"/>
      <c r="OD82" s="356"/>
      <c r="OE82" s="356"/>
      <c r="OF82" s="356"/>
      <c r="OG82" s="356"/>
      <c r="OH82" s="356"/>
      <c r="OI82" s="356"/>
      <c r="OJ82" s="356"/>
      <c r="OK82" s="356"/>
      <c r="OL82" s="356"/>
      <c r="OM82" s="356"/>
      <c r="ON82" s="356"/>
      <c r="OO82" s="356"/>
      <c r="OP82" s="356"/>
      <c r="OQ82" s="356"/>
      <c r="OR82" s="356"/>
      <c r="OS82" s="356"/>
      <c r="OT82" s="356"/>
      <c r="OU82" s="356"/>
      <c r="OV82" s="115"/>
      <c r="OW82" s="115"/>
      <c r="OX82" s="115"/>
      <c r="OY82" s="2499"/>
      <c r="OZ82" s="2503">
        <v>78</v>
      </c>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c r="RR82" s="115"/>
      <c r="RS82" s="115"/>
      <c r="RT82" s="115"/>
      <c r="RU82" s="115"/>
      <c r="RV82" s="115"/>
      <c r="RW82" s="115"/>
      <c r="RX82" s="115"/>
      <c r="RY82" s="115"/>
      <c r="RZ82" s="115"/>
      <c r="SA82" s="115"/>
      <c r="SB82" s="115"/>
      <c r="SC82" s="115"/>
      <c r="SD82" s="115"/>
      <c r="SE82" s="115"/>
      <c r="SF82" s="115"/>
      <c r="SG82" s="115"/>
      <c r="SH82" s="115"/>
      <c r="SI82" s="115"/>
      <c r="SJ82" s="115"/>
      <c r="SK82" s="115"/>
      <c r="SL82" s="115"/>
      <c r="SM82" s="115"/>
      <c r="SN82" s="115"/>
      <c r="SO82" s="115"/>
      <c r="SP82" s="115"/>
      <c r="SQ82" s="115"/>
      <c r="SR82" s="115"/>
      <c r="SS82" s="115"/>
      <c r="ST82" s="115"/>
      <c r="SU82" s="115"/>
      <c r="SV82" s="115"/>
      <c r="SW82" s="115"/>
      <c r="SX82" s="115"/>
      <c r="SY82" s="115"/>
      <c r="SZ82" s="115"/>
    </row>
    <row r="83" spans="1:520" customFormat="1">
      <c r="C83" s="653"/>
      <c r="D83" s="3643"/>
      <c r="E83" s="3643"/>
      <c r="F83" s="3643"/>
      <c r="G83" s="6"/>
      <c r="H83" s="81" t="s">
        <v>4378</v>
      </c>
      <c r="I83" s="29"/>
      <c r="J83" s="1"/>
      <c r="K83" s="1415" t="str">
        <f>IF(OR(K66=0,P82="",K76=0),"",P82*K76)</f>
        <v/>
      </c>
      <c r="L83" s="1415" t="str">
        <f>IF(OR(L66=0,P82="",L76=0),"",P82*L76)</f>
        <v/>
      </c>
      <c r="M83" s="1415" t="str">
        <f>IF(OR(M66=0,P82="",M76=0),"",P82*M76)</f>
        <v/>
      </c>
      <c r="N83" s="1415" t="str">
        <f>IF(OR(N66=0,P82="",N76=0),"",P82*N76)</f>
        <v/>
      </c>
      <c r="O83" s="1415" t="str">
        <f>IF(OR(O66=0,P82="",O76=0),"",P82*O76)</f>
        <v/>
      </c>
      <c r="P83" s="1416" t="str">
        <f>IF(OR(P82="",P76=0),"",P82*P76)</f>
        <v/>
      </c>
      <c r="S83" s="3613"/>
      <c r="T83" s="3614"/>
      <c r="U83" s="3614"/>
      <c r="V83" s="3614"/>
      <c r="W83" s="3615"/>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356"/>
      <c r="MV83" s="356"/>
      <c r="MW83" s="356"/>
      <c r="MX83" s="356"/>
      <c r="MY83" s="356"/>
      <c r="MZ83" s="356"/>
      <c r="NA83" s="356"/>
      <c r="NB83" s="356"/>
      <c r="NC83" s="356"/>
      <c r="ND83" s="356"/>
      <c r="NE83" s="356"/>
      <c r="NF83" s="356"/>
      <c r="NG83" s="356"/>
      <c r="NH83" s="356"/>
      <c r="NI83" s="356"/>
      <c r="NJ83" s="356"/>
      <c r="NK83" s="356"/>
      <c r="NL83" s="356"/>
      <c r="NM83" s="356"/>
      <c r="NN83" s="356"/>
      <c r="NO83" s="356"/>
      <c r="NP83" s="356"/>
      <c r="NQ83" s="356"/>
      <c r="NR83" s="356"/>
      <c r="NS83" s="356"/>
      <c r="NT83" s="356"/>
      <c r="NU83" s="356"/>
      <c r="NV83" s="356"/>
      <c r="NW83" s="356"/>
      <c r="NX83" s="356"/>
      <c r="NY83" s="356"/>
      <c r="NZ83" s="356"/>
      <c r="OA83" s="356"/>
      <c r="OB83" s="356"/>
      <c r="OC83" s="356"/>
      <c r="OD83" s="356"/>
      <c r="OE83" s="356"/>
      <c r="OF83" s="356"/>
      <c r="OG83" s="356"/>
      <c r="OH83" s="356"/>
      <c r="OI83" s="356"/>
      <c r="OJ83" s="356"/>
      <c r="OK83" s="356"/>
      <c r="OL83" s="356"/>
      <c r="OM83" s="356"/>
      <c r="ON83" s="356"/>
      <c r="OO83" s="356"/>
      <c r="OP83" s="356"/>
      <c r="OQ83" s="356"/>
      <c r="OR83" s="356"/>
      <c r="OS83" s="356"/>
      <c r="OT83" s="356"/>
      <c r="OU83" s="356"/>
      <c r="OV83" s="115"/>
      <c r="OW83" s="115"/>
      <c r="OX83" s="115"/>
      <c r="OY83" s="2499"/>
      <c r="OZ83" s="2504">
        <v>79</v>
      </c>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c r="RR83" s="115"/>
      <c r="RS83" s="115"/>
      <c r="RT83" s="115"/>
      <c r="RU83" s="115"/>
      <c r="RV83" s="115"/>
      <c r="RW83" s="115"/>
      <c r="RX83" s="115"/>
      <c r="RY83" s="115"/>
      <c r="RZ83" s="115"/>
      <c r="SA83" s="115"/>
      <c r="SB83" s="115"/>
      <c r="SC83" s="115"/>
      <c r="SD83" s="115"/>
      <c r="SE83" s="115"/>
      <c r="SF83" s="115"/>
      <c r="SG83" s="115"/>
      <c r="SH83" s="115"/>
      <c r="SI83" s="115"/>
      <c r="SJ83" s="115"/>
      <c r="SK83" s="115"/>
      <c r="SL83" s="115"/>
      <c r="SM83" s="115"/>
      <c r="SN83" s="115"/>
      <c r="SO83" s="115"/>
      <c r="SP83" s="115"/>
      <c r="SQ83" s="115"/>
      <c r="SR83" s="115"/>
      <c r="SS83" s="115"/>
      <c r="ST83" s="115"/>
      <c r="SU83" s="115"/>
      <c r="SV83" s="115"/>
      <c r="SW83" s="115"/>
      <c r="SX83" s="115"/>
      <c r="SY83" s="115"/>
      <c r="SZ83" s="115"/>
    </row>
    <row r="84" spans="1:520" customFormat="1">
      <c r="C84" s="653"/>
      <c r="D84" s="3643"/>
      <c r="E84" s="3643"/>
      <c r="F84" s="3643"/>
      <c r="G84" s="1410"/>
      <c r="H84" s="1368" t="s">
        <v>4379</v>
      </c>
      <c r="I84" s="1336"/>
      <c r="J84" s="1"/>
      <c r="K84" s="1417" t="str">
        <f t="shared" ref="K84:P84" si="656">IF(OR(K83="",K66=0),"", K66-K83)</f>
        <v/>
      </c>
      <c r="L84" s="1417" t="str">
        <f t="shared" si="656"/>
        <v/>
      </c>
      <c r="M84" s="1417" t="str">
        <f t="shared" si="656"/>
        <v/>
      </c>
      <c r="N84" s="1417" t="str">
        <f t="shared" si="656"/>
        <v/>
      </c>
      <c r="O84" s="1417" t="str">
        <f t="shared" si="656"/>
        <v/>
      </c>
      <c r="P84" s="1417" t="str">
        <f t="shared" si="656"/>
        <v/>
      </c>
      <c r="S84" s="3613"/>
      <c r="T84" s="3614"/>
      <c r="U84" s="3614"/>
      <c r="V84" s="3614"/>
      <c r="W84" s="3615"/>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356"/>
      <c r="MV84" s="356"/>
      <c r="MW84" s="356"/>
      <c r="MX84" s="356"/>
      <c r="MY84" s="356"/>
      <c r="MZ84" s="356"/>
      <c r="NA84" s="356"/>
      <c r="NB84" s="356"/>
      <c r="NC84" s="356"/>
      <c r="ND84" s="356"/>
      <c r="NE84" s="356"/>
      <c r="NF84" s="356"/>
      <c r="NG84" s="356"/>
      <c r="NH84" s="356"/>
      <c r="NI84" s="356"/>
      <c r="NJ84" s="356"/>
      <c r="NK84" s="356"/>
      <c r="NL84" s="356"/>
      <c r="NM84" s="356"/>
      <c r="NN84" s="356"/>
      <c r="NO84" s="356"/>
      <c r="NP84" s="356"/>
      <c r="NQ84" s="356"/>
      <c r="NR84" s="356"/>
      <c r="NS84" s="356"/>
      <c r="NT84" s="356"/>
      <c r="NU84" s="356"/>
      <c r="NV84" s="356"/>
      <c r="NW84" s="356"/>
      <c r="NX84" s="356"/>
      <c r="NY84" s="356"/>
      <c r="NZ84" s="356"/>
      <c r="OA84" s="356"/>
      <c r="OB84" s="356"/>
      <c r="OC84" s="356"/>
      <c r="OD84" s="356"/>
      <c r="OE84" s="356"/>
      <c r="OF84" s="356"/>
      <c r="OG84" s="356"/>
      <c r="OH84" s="356"/>
      <c r="OI84" s="356"/>
      <c r="OJ84" s="356"/>
      <c r="OK84" s="356"/>
      <c r="OL84" s="356"/>
      <c r="OM84" s="356"/>
      <c r="ON84" s="356"/>
      <c r="OO84" s="356"/>
      <c r="OP84" s="356"/>
      <c r="OQ84" s="356"/>
      <c r="OR84" s="356"/>
      <c r="OS84" s="356"/>
      <c r="OT84" s="356"/>
      <c r="OU84" s="356"/>
      <c r="OV84" s="115"/>
      <c r="OW84" s="115"/>
      <c r="OX84" s="115"/>
      <c r="OY84" s="2499"/>
      <c r="OZ84" s="2504">
        <v>80</v>
      </c>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c r="RR84" s="115"/>
      <c r="RS84" s="115"/>
      <c r="RT84" s="115"/>
      <c r="RU84" s="115"/>
      <c r="RV84" s="115"/>
      <c r="RW84" s="115"/>
      <c r="RX84" s="115"/>
      <c r="RY84" s="115"/>
      <c r="RZ84" s="115"/>
      <c r="SA84" s="115"/>
      <c r="SB84" s="115"/>
      <c r="SC84" s="115"/>
      <c r="SD84" s="115"/>
      <c r="SE84" s="115"/>
      <c r="SF84" s="115"/>
      <c r="SG84" s="115"/>
      <c r="SH84" s="115"/>
      <c r="SI84" s="115"/>
      <c r="SJ84" s="115"/>
      <c r="SK84" s="115"/>
      <c r="SL84" s="115"/>
      <c r="SM84" s="115"/>
      <c r="SN84" s="115"/>
      <c r="SO84" s="115"/>
      <c r="SP84" s="115"/>
      <c r="SQ84" s="115"/>
      <c r="SR84" s="115"/>
      <c r="SS84" s="115"/>
      <c r="ST84" s="115"/>
      <c r="SU84" s="115"/>
      <c r="SV84" s="115"/>
      <c r="SW84" s="115"/>
      <c r="SX84" s="115"/>
      <c r="SY84" s="115"/>
      <c r="SZ84" s="115"/>
    </row>
    <row r="85" spans="1:520" customFormat="1">
      <c r="C85" s="169" t="s">
        <v>3933</v>
      </c>
      <c r="D85" s="3643"/>
      <c r="E85" s="3643"/>
      <c r="F85" s="3643"/>
      <c r="G85" s="6"/>
      <c r="H85" s="81" t="s">
        <v>1080</v>
      </c>
      <c r="I85" s="29"/>
      <c r="J85" s="1"/>
      <c r="K85" s="1363" t="str">
        <f t="shared" ref="K85:P85" si="657">IF(OR(K67=0,K76=0),"",K67/K76)</f>
        <v/>
      </c>
      <c r="L85" s="1364">
        <f t="shared" si="657"/>
        <v>0.6</v>
      </c>
      <c r="M85" s="1364">
        <f t="shared" si="657"/>
        <v>0.6</v>
      </c>
      <c r="N85" s="1364" t="str">
        <f t="shared" si="657"/>
        <v/>
      </c>
      <c r="O85" s="1364" t="str">
        <f t="shared" si="657"/>
        <v/>
      </c>
      <c r="P85" s="1365">
        <f t="shared" si="657"/>
        <v>0.6</v>
      </c>
      <c r="S85" s="3613"/>
      <c r="T85" s="3614"/>
      <c r="U85" s="3614"/>
      <c r="V85" s="3614"/>
      <c r="W85" s="3615"/>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356"/>
      <c r="MV85" s="356"/>
      <c r="MW85" s="356"/>
      <c r="MX85" s="356"/>
      <c r="MY85" s="356"/>
      <c r="MZ85" s="356"/>
      <c r="NA85" s="356"/>
      <c r="NB85" s="356"/>
      <c r="NC85" s="356"/>
      <c r="ND85" s="356"/>
      <c r="NE85" s="356"/>
      <c r="NF85" s="356"/>
      <c r="NG85" s="356"/>
      <c r="NH85" s="356"/>
      <c r="NI85" s="356"/>
      <c r="NJ85" s="356"/>
      <c r="NK85" s="356"/>
      <c r="NL85" s="356"/>
      <c r="NM85" s="356"/>
      <c r="NN85" s="356"/>
      <c r="NO85" s="356"/>
      <c r="NP85" s="356"/>
      <c r="NQ85" s="356"/>
      <c r="NR85" s="356"/>
      <c r="NS85" s="356"/>
      <c r="NT85" s="356"/>
      <c r="NU85" s="356"/>
      <c r="NV85" s="356"/>
      <c r="NW85" s="356"/>
      <c r="NX85" s="356"/>
      <c r="NY85" s="356"/>
      <c r="NZ85" s="356"/>
      <c r="OA85" s="356"/>
      <c r="OB85" s="356"/>
      <c r="OC85" s="356"/>
      <c r="OD85" s="356"/>
      <c r="OE85" s="356"/>
      <c r="OF85" s="356"/>
      <c r="OG85" s="356"/>
      <c r="OH85" s="356"/>
      <c r="OI85" s="356"/>
      <c r="OJ85" s="356"/>
      <c r="OK85" s="356"/>
      <c r="OL85" s="356"/>
      <c r="OM85" s="356"/>
      <c r="ON85" s="356"/>
      <c r="OO85" s="356"/>
      <c r="OP85" s="356"/>
      <c r="OQ85" s="356"/>
      <c r="OR85" s="356"/>
      <c r="OS85" s="356"/>
      <c r="OT85" s="356"/>
      <c r="OU85" s="356"/>
      <c r="OV85" s="115"/>
      <c r="OW85" s="115"/>
      <c r="OX85" s="115"/>
      <c r="OY85" s="2499"/>
      <c r="OZ85" s="2504">
        <v>81</v>
      </c>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c r="RR85" s="115"/>
      <c r="RS85" s="115"/>
      <c r="RT85" s="115"/>
      <c r="RU85" s="115"/>
      <c r="RV85" s="115"/>
      <c r="RW85" s="115"/>
      <c r="RX85" s="115"/>
      <c r="RY85" s="115"/>
      <c r="RZ85" s="115"/>
      <c r="SA85" s="115"/>
      <c r="SB85" s="115"/>
      <c r="SC85" s="115"/>
      <c r="SD85" s="115"/>
      <c r="SE85" s="115"/>
      <c r="SF85" s="115"/>
      <c r="SG85" s="115"/>
      <c r="SH85" s="115"/>
      <c r="SI85" s="115"/>
      <c r="SJ85" s="115"/>
      <c r="SK85" s="115"/>
      <c r="SL85" s="115"/>
      <c r="SM85" s="115"/>
      <c r="SN85" s="115"/>
      <c r="SO85" s="115"/>
      <c r="SP85" s="115"/>
      <c r="SQ85" s="115"/>
      <c r="SR85" s="115"/>
      <c r="SS85" s="115"/>
      <c r="ST85" s="115"/>
      <c r="SU85" s="115"/>
      <c r="SV85" s="115"/>
      <c r="SW85" s="115"/>
      <c r="SX85" s="115"/>
      <c r="SY85" s="115"/>
      <c r="SZ85" s="115"/>
    </row>
    <row r="86" spans="1:520" customFormat="1" ht="15.75" customHeight="1">
      <c r="C86" s="169"/>
      <c r="D86" s="3643"/>
      <c r="E86" s="3643"/>
      <c r="F86" s="3643"/>
      <c r="G86" s="6"/>
      <c r="H86" s="81" t="s">
        <v>4378</v>
      </c>
      <c r="I86" s="29"/>
      <c r="J86" s="1"/>
      <c r="K86" s="1415" t="str">
        <f>IF(OR(K67=0,P85="",K76=0),"",P85*K76)</f>
        <v/>
      </c>
      <c r="L86" s="1415">
        <f>IF(OR(L67=0,P85="",L76=0),"",P85*L76)</f>
        <v>24</v>
      </c>
      <c r="M86" s="1415">
        <f>IF(OR(M67=0,P85="",M76=0),"",P85*M76)</f>
        <v>72</v>
      </c>
      <c r="N86" s="1415" t="str">
        <f>IF(OR(N67=0,P85="",N76=0),"",P85*N76)</f>
        <v/>
      </c>
      <c r="O86" s="1415" t="str">
        <f>IF(OR(O67=0,P85="",O76=0),"",P85*O76)</f>
        <v/>
      </c>
      <c r="P86" s="1416">
        <f>IF(OR(P85="",P76=0),"",P85*P76)</f>
        <v>96</v>
      </c>
      <c r="S86" s="3580"/>
      <c r="T86" s="3581"/>
      <c r="U86" s="3581"/>
      <c r="V86" s="3581"/>
      <c r="W86" s="3582"/>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356"/>
      <c r="MV86" s="356"/>
      <c r="MW86" s="356"/>
      <c r="MX86" s="356"/>
      <c r="MY86" s="356"/>
      <c r="MZ86" s="356"/>
      <c r="NA86" s="356"/>
      <c r="NB86" s="356"/>
      <c r="NC86" s="356"/>
      <c r="ND86" s="356"/>
      <c r="NE86" s="356"/>
      <c r="NF86" s="356"/>
      <c r="NG86" s="356"/>
      <c r="NH86" s="356"/>
      <c r="NI86" s="356"/>
      <c r="NJ86" s="356"/>
      <c r="NK86" s="356"/>
      <c r="NL86" s="356"/>
      <c r="NM86" s="356"/>
      <c r="NN86" s="356"/>
      <c r="NO86" s="356"/>
      <c r="NP86" s="356"/>
      <c r="NQ86" s="356"/>
      <c r="NR86" s="356"/>
      <c r="NS86" s="356"/>
      <c r="NT86" s="356"/>
      <c r="NU86" s="356"/>
      <c r="NV86" s="356"/>
      <c r="NW86" s="356"/>
      <c r="NX86" s="356"/>
      <c r="NY86" s="356"/>
      <c r="NZ86" s="356"/>
      <c r="OA86" s="356"/>
      <c r="OB86" s="356"/>
      <c r="OC86" s="356"/>
      <c r="OD86" s="356"/>
      <c r="OE86" s="356"/>
      <c r="OF86" s="356"/>
      <c r="OG86" s="356"/>
      <c r="OH86" s="356"/>
      <c r="OI86" s="356"/>
      <c r="OJ86" s="356"/>
      <c r="OK86" s="356"/>
      <c r="OL86" s="356"/>
      <c r="OM86" s="356"/>
      <c r="ON86" s="356"/>
      <c r="OO86" s="356"/>
      <c r="OP86" s="356"/>
      <c r="OQ86" s="356"/>
      <c r="OR86" s="356"/>
      <c r="OS86" s="356"/>
      <c r="OT86" s="356"/>
      <c r="OU86" s="356"/>
      <c r="OV86" s="115"/>
      <c r="OW86" s="115"/>
      <c r="OX86" s="115"/>
      <c r="OY86" s="2499"/>
      <c r="OZ86" s="2504">
        <v>82</v>
      </c>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c r="RR86" s="115"/>
      <c r="RS86" s="115"/>
      <c r="RT86" s="115"/>
      <c r="RU86" s="115"/>
      <c r="RV86" s="115"/>
      <c r="RW86" s="115"/>
      <c r="RX86" s="115"/>
      <c r="RY86" s="115"/>
      <c r="RZ86" s="115"/>
      <c r="SA86" s="115"/>
      <c r="SB86" s="115"/>
      <c r="SC86" s="115"/>
      <c r="SD86" s="115"/>
      <c r="SE86" s="115"/>
      <c r="SF86" s="115"/>
      <c r="SG86" s="115"/>
      <c r="SH86" s="115"/>
      <c r="SI86" s="115"/>
      <c r="SJ86" s="115"/>
      <c r="SK86" s="115"/>
      <c r="SL86" s="115"/>
      <c r="SM86" s="115"/>
      <c r="SN86" s="115"/>
      <c r="SO86" s="115"/>
      <c r="SP86" s="115"/>
      <c r="SQ86" s="115"/>
      <c r="SR86" s="115"/>
      <c r="SS86" s="115"/>
      <c r="ST86" s="115"/>
      <c r="SU86" s="115"/>
      <c r="SV86" s="115"/>
      <c r="SW86" s="115"/>
      <c r="SX86" s="115"/>
      <c r="SY86" s="115"/>
      <c r="SZ86" s="115"/>
    </row>
    <row r="87" spans="1:520" customFormat="1" ht="15.75" customHeight="1">
      <c r="C87" s="169"/>
      <c r="D87" s="3643"/>
      <c r="E87" s="3643"/>
      <c r="F87" s="3643"/>
      <c r="G87" s="1410"/>
      <c r="H87" s="1368" t="s">
        <v>4379</v>
      </c>
      <c r="I87" s="1336"/>
      <c r="J87" s="1"/>
      <c r="K87" s="1417" t="str">
        <f t="shared" ref="K87:P87" si="658">IF(OR(K86="",K67=0),"", K67-K86)</f>
        <v/>
      </c>
      <c r="L87" s="1417">
        <f t="shared" si="658"/>
        <v>0</v>
      </c>
      <c r="M87" s="1417">
        <f t="shared" si="658"/>
        <v>0</v>
      </c>
      <c r="N87" s="1417" t="str">
        <f t="shared" si="658"/>
        <v/>
      </c>
      <c r="O87" s="1417" t="str">
        <f t="shared" si="658"/>
        <v/>
      </c>
      <c r="P87" s="1417">
        <f t="shared" si="658"/>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356"/>
      <c r="MV87" s="356"/>
      <c r="MW87" s="356"/>
      <c r="MX87" s="356"/>
      <c r="MY87" s="356"/>
      <c r="MZ87" s="356"/>
      <c r="NA87" s="356"/>
      <c r="NB87" s="356"/>
      <c r="NC87" s="356"/>
      <c r="ND87" s="356"/>
      <c r="NE87" s="356"/>
      <c r="NF87" s="356"/>
      <c r="NG87" s="356"/>
      <c r="NH87" s="356"/>
      <c r="NI87" s="356"/>
      <c r="NJ87" s="356"/>
      <c r="NK87" s="356"/>
      <c r="NL87" s="356"/>
      <c r="NM87" s="356"/>
      <c r="NN87" s="356"/>
      <c r="NO87" s="356"/>
      <c r="NP87" s="356"/>
      <c r="NQ87" s="356"/>
      <c r="NR87" s="356"/>
      <c r="NS87" s="356"/>
      <c r="NT87" s="356"/>
      <c r="NU87" s="356"/>
      <c r="NV87" s="356"/>
      <c r="NW87" s="356"/>
      <c r="NX87" s="356"/>
      <c r="NY87" s="356"/>
      <c r="NZ87" s="356"/>
      <c r="OA87" s="356"/>
      <c r="OB87" s="356"/>
      <c r="OC87" s="356"/>
      <c r="OD87" s="356"/>
      <c r="OE87" s="356"/>
      <c r="OF87" s="356"/>
      <c r="OG87" s="356"/>
      <c r="OH87" s="356"/>
      <c r="OI87" s="356"/>
      <c r="OJ87" s="356"/>
      <c r="OK87" s="356"/>
      <c r="OL87" s="356"/>
      <c r="OM87" s="356"/>
      <c r="ON87" s="356"/>
      <c r="OO87" s="356"/>
      <c r="OP87" s="356"/>
      <c r="OQ87" s="356"/>
      <c r="OR87" s="356"/>
      <c r="OS87" s="356"/>
      <c r="OT87" s="356"/>
      <c r="OU87" s="356"/>
      <c r="OV87" s="115"/>
      <c r="OW87" s="115"/>
      <c r="OX87" s="115"/>
      <c r="OY87" s="2499"/>
      <c r="OZ87" s="2504">
        <v>83</v>
      </c>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c r="RR87" s="115"/>
      <c r="RS87" s="115"/>
      <c r="RT87" s="115"/>
      <c r="RU87" s="115"/>
      <c r="RV87" s="115"/>
      <c r="RW87" s="115"/>
      <c r="RX87" s="115"/>
      <c r="RY87" s="115"/>
      <c r="RZ87" s="115"/>
      <c r="SA87" s="115"/>
      <c r="SB87" s="115"/>
      <c r="SC87" s="115"/>
      <c r="SD87" s="115"/>
      <c r="SE87" s="115"/>
      <c r="SF87" s="115"/>
      <c r="SG87" s="115"/>
      <c r="SH87" s="115"/>
      <c r="SI87" s="115"/>
      <c r="SJ87" s="115"/>
      <c r="SK87" s="115"/>
      <c r="SL87" s="115"/>
      <c r="SM87" s="115"/>
      <c r="SN87" s="115"/>
      <c r="SO87" s="115"/>
      <c r="SP87" s="115"/>
      <c r="SQ87" s="115"/>
      <c r="SR87" s="115"/>
      <c r="SS87" s="115"/>
      <c r="ST87" s="115"/>
      <c r="SU87" s="115"/>
      <c r="SV87" s="115"/>
      <c r="SW87" s="115"/>
      <c r="SX87" s="115"/>
      <c r="SY87" s="115"/>
      <c r="SZ87" s="115"/>
    </row>
    <row r="88" spans="1:520" customFormat="1">
      <c r="C88" s="169" t="s">
        <v>3933</v>
      </c>
      <c r="D88" s="1334"/>
      <c r="E88" s="1334"/>
      <c r="F88" s="6"/>
      <c r="G88" s="6"/>
      <c r="H88" s="81" t="s">
        <v>112</v>
      </c>
      <c r="I88" s="29"/>
      <c r="J88" s="1"/>
      <c r="K88" s="1363" t="str">
        <f t="shared" ref="K88:P88" si="659">IF(OR(K68=0,K76=0),"",K68/K76)</f>
        <v/>
      </c>
      <c r="L88" s="1364">
        <f t="shared" si="659"/>
        <v>0.1</v>
      </c>
      <c r="M88" s="1364">
        <f t="shared" si="659"/>
        <v>0.1</v>
      </c>
      <c r="N88" s="1364" t="str">
        <f t="shared" si="659"/>
        <v/>
      </c>
      <c r="O88" s="1364" t="str">
        <f t="shared" si="659"/>
        <v/>
      </c>
      <c r="P88" s="1365">
        <f t="shared" si="659"/>
        <v>0.1</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356"/>
      <c r="MV88" s="356"/>
      <c r="MW88" s="356"/>
      <c r="MX88" s="356"/>
      <c r="MY88" s="356"/>
      <c r="MZ88" s="356"/>
      <c r="NA88" s="356"/>
      <c r="NB88" s="356"/>
      <c r="NC88" s="356"/>
      <c r="ND88" s="356"/>
      <c r="NE88" s="356"/>
      <c r="NF88" s="356"/>
      <c r="NG88" s="356"/>
      <c r="NH88" s="356"/>
      <c r="NI88" s="356"/>
      <c r="NJ88" s="356"/>
      <c r="NK88" s="356"/>
      <c r="NL88" s="356"/>
      <c r="NM88" s="356"/>
      <c r="NN88" s="356"/>
      <c r="NO88" s="356"/>
      <c r="NP88" s="356"/>
      <c r="NQ88" s="356"/>
      <c r="NR88" s="356"/>
      <c r="NS88" s="356"/>
      <c r="NT88" s="356"/>
      <c r="NU88" s="356"/>
      <c r="NV88" s="356"/>
      <c r="NW88" s="356"/>
      <c r="NX88" s="356"/>
      <c r="NY88" s="356"/>
      <c r="NZ88" s="356"/>
      <c r="OA88" s="356"/>
      <c r="OB88" s="356"/>
      <c r="OC88" s="356"/>
      <c r="OD88" s="356"/>
      <c r="OE88" s="356"/>
      <c r="OF88" s="356"/>
      <c r="OG88" s="356"/>
      <c r="OH88" s="356"/>
      <c r="OI88" s="356"/>
      <c r="OJ88" s="356"/>
      <c r="OK88" s="356"/>
      <c r="OL88" s="356"/>
      <c r="OM88" s="356"/>
      <c r="ON88" s="356"/>
      <c r="OO88" s="356"/>
      <c r="OP88" s="356"/>
      <c r="OQ88" s="356"/>
      <c r="OR88" s="356"/>
      <c r="OS88" s="356"/>
      <c r="OT88" s="356"/>
      <c r="OU88" s="356"/>
      <c r="OV88" s="115"/>
      <c r="OW88" s="115"/>
      <c r="OX88" s="115"/>
      <c r="OY88" s="2499"/>
      <c r="OZ88" s="2506">
        <v>84</v>
      </c>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c r="RR88" s="115"/>
      <c r="RS88" s="115"/>
      <c r="RT88" s="115"/>
      <c r="RU88" s="115"/>
      <c r="RV88" s="115"/>
      <c r="RW88" s="115"/>
      <c r="RX88" s="115"/>
      <c r="RY88" s="115"/>
      <c r="RZ88" s="115"/>
      <c r="SA88" s="115"/>
      <c r="SB88" s="115"/>
      <c r="SC88" s="115"/>
      <c r="SD88" s="115"/>
      <c r="SE88" s="115"/>
      <c r="SF88" s="115"/>
      <c r="SG88" s="115"/>
      <c r="SH88" s="115"/>
      <c r="SI88" s="115"/>
      <c r="SJ88" s="115"/>
      <c r="SK88" s="115"/>
      <c r="SL88" s="115"/>
      <c r="SM88" s="115"/>
      <c r="SN88" s="115"/>
      <c r="SO88" s="115"/>
      <c r="SP88" s="115"/>
      <c r="SQ88" s="115"/>
      <c r="SR88" s="115"/>
      <c r="SS88" s="115"/>
      <c r="ST88" s="115"/>
      <c r="SU88" s="115"/>
      <c r="SV88" s="115"/>
      <c r="SW88" s="115"/>
      <c r="SX88" s="115"/>
      <c r="SY88" s="115"/>
      <c r="SZ88" s="115"/>
    </row>
    <row r="89" spans="1:520" customFormat="1">
      <c r="C89" s="169"/>
      <c r="D89" s="1334"/>
      <c r="E89" s="1334"/>
      <c r="F89" s="6"/>
      <c r="G89" s="6"/>
      <c r="H89" s="81" t="s">
        <v>4378</v>
      </c>
      <c r="I89" s="29"/>
      <c r="J89" s="1"/>
      <c r="K89" s="1415" t="str">
        <f>IF(OR(K68=0,P88="",K76=0),"",P88*K76)</f>
        <v/>
      </c>
      <c r="L89" s="1415">
        <f>IF(OR(L68=0,P88="",L76=0),"",P88*L76)</f>
        <v>4</v>
      </c>
      <c r="M89" s="1415">
        <f>IF(OR(M68=0,P88="",M76=0),"",P88*M76)</f>
        <v>12</v>
      </c>
      <c r="N89" s="1415" t="str">
        <f>IF(OR(N68=0,P88="",N76=0),"",P88*N76)</f>
        <v/>
      </c>
      <c r="O89" s="1415" t="str">
        <f>IF(OR(O68=0,P88="",O76=0),"",P88*O76)</f>
        <v/>
      </c>
      <c r="P89" s="1416">
        <f>IF(OR(P88="",P76=0),"",P88*P76)</f>
        <v>16</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356"/>
      <c r="MV89" s="356"/>
      <c r="MW89" s="356"/>
      <c r="MX89" s="356"/>
      <c r="MY89" s="356"/>
      <c r="MZ89" s="356"/>
      <c r="NA89" s="356"/>
      <c r="NB89" s="356"/>
      <c r="NC89" s="356"/>
      <c r="ND89" s="356"/>
      <c r="NE89" s="356"/>
      <c r="NF89" s="356"/>
      <c r="NG89" s="356"/>
      <c r="NH89" s="356"/>
      <c r="NI89" s="356"/>
      <c r="NJ89" s="356"/>
      <c r="NK89" s="356"/>
      <c r="NL89" s="356"/>
      <c r="NM89" s="356"/>
      <c r="NN89" s="356"/>
      <c r="NO89" s="356"/>
      <c r="NP89" s="356"/>
      <c r="NQ89" s="356"/>
      <c r="NR89" s="356"/>
      <c r="NS89" s="356"/>
      <c r="NT89" s="356"/>
      <c r="NU89" s="356"/>
      <c r="NV89" s="356"/>
      <c r="NW89" s="356"/>
      <c r="NX89" s="356"/>
      <c r="NY89" s="356"/>
      <c r="NZ89" s="356"/>
      <c r="OA89" s="356"/>
      <c r="OB89" s="356"/>
      <c r="OC89" s="356"/>
      <c r="OD89" s="356"/>
      <c r="OE89" s="356"/>
      <c r="OF89" s="356"/>
      <c r="OG89" s="356"/>
      <c r="OH89" s="356"/>
      <c r="OI89" s="356"/>
      <c r="OJ89" s="356"/>
      <c r="OK89" s="356"/>
      <c r="OL89" s="356"/>
      <c r="OM89" s="356"/>
      <c r="ON89" s="356"/>
      <c r="OO89" s="356"/>
      <c r="OP89" s="356"/>
      <c r="OQ89" s="356"/>
      <c r="OR89" s="356"/>
      <c r="OS89" s="356"/>
      <c r="OT89" s="356"/>
      <c r="OU89" s="356"/>
      <c r="OV89" s="115"/>
      <c r="OW89" s="115"/>
      <c r="OX89" s="115"/>
      <c r="OY89" s="2499"/>
      <c r="OZ89" s="2504">
        <v>85</v>
      </c>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c r="RR89" s="115"/>
      <c r="RS89" s="115"/>
      <c r="RT89" s="115"/>
      <c r="RU89" s="115"/>
      <c r="RV89" s="115"/>
      <c r="RW89" s="115"/>
      <c r="RX89" s="115"/>
      <c r="RY89" s="115"/>
      <c r="RZ89" s="115"/>
      <c r="SA89" s="115"/>
      <c r="SB89" s="115"/>
      <c r="SC89" s="115"/>
      <c r="SD89" s="115"/>
      <c r="SE89" s="115"/>
      <c r="SF89" s="115"/>
      <c r="SG89" s="115"/>
      <c r="SH89" s="115"/>
      <c r="SI89" s="115"/>
      <c r="SJ89" s="115"/>
      <c r="SK89" s="115"/>
      <c r="SL89" s="115"/>
      <c r="SM89" s="115"/>
      <c r="SN89" s="115"/>
      <c r="SO89" s="115"/>
      <c r="SP89" s="115"/>
      <c r="SQ89" s="115"/>
      <c r="SR89" s="115"/>
      <c r="SS89" s="115"/>
      <c r="ST89" s="115"/>
      <c r="SU89" s="115"/>
      <c r="SV89" s="115"/>
      <c r="SW89" s="115"/>
      <c r="SX89" s="115"/>
      <c r="SY89" s="115"/>
      <c r="SZ89" s="115"/>
    </row>
    <row r="90" spans="1:520" customFormat="1">
      <c r="C90" s="169"/>
      <c r="D90" s="1334"/>
      <c r="E90" s="1334"/>
      <c r="F90" s="6"/>
      <c r="G90" s="1410"/>
      <c r="H90" s="1368" t="s">
        <v>4379</v>
      </c>
      <c r="I90" s="1336"/>
      <c r="J90" s="1"/>
      <c r="K90" s="1417" t="str">
        <f t="shared" ref="K90:P90" si="660">IF(OR(K89="",K68=0),"", K68-K89)</f>
        <v/>
      </c>
      <c r="L90" s="1417">
        <f t="shared" si="660"/>
        <v>0</v>
      </c>
      <c r="M90" s="1417">
        <f t="shared" si="660"/>
        <v>0</v>
      </c>
      <c r="N90" s="1417" t="str">
        <f t="shared" si="660"/>
        <v/>
      </c>
      <c r="O90" s="1417" t="str">
        <f t="shared" si="660"/>
        <v/>
      </c>
      <c r="P90" s="1417">
        <f t="shared" si="660"/>
        <v>0</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356"/>
      <c r="MV90" s="356"/>
      <c r="MW90" s="356"/>
      <c r="MX90" s="356"/>
      <c r="MY90" s="356"/>
      <c r="MZ90" s="356"/>
      <c r="NA90" s="356"/>
      <c r="NB90" s="356"/>
      <c r="NC90" s="356"/>
      <c r="ND90" s="356"/>
      <c r="NE90" s="356"/>
      <c r="NF90" s="356"/>
      <c r="NG90" s="356"/>
      <c r="NH90" s="356"/>
      <c r="NI90" s="356"/>
      <c r="NJ90" s="356"/>
      <c r="NK90" s="356"/>
      <c r="NL90" s="356"/>
      <c r="NM90" s="356"/>
      <c r="NN90" s="356"/>
      <c r="NO90" s="356"/>
      <c r="NP90" s="356"/>
      <c r="NQ90" s="356"/>
      <c r="NR90" s="356"/>
      <c r="NS90" s="356"/>
      <c r="NT90" s="356"/>
      <c r="NU90" s="356"/>
      <c r="NV90" s="356"/>
      <c r="NW90" s="356"/>
      <c r="NX90" s="356"/>
      <c r="NY90" s="356"/>
      <c r="NZ90" s="356"/>
      <c r="OA90" s="356"/>
      <c r="OB90" s="356"/>
      <c r="OC90" s="356"/>
      <c r="OD90" s="356"/>
      <c r="OE90" s="356"/>
      <c r="OF90" s="356"/>
      <c r="OG90" s="356"/>
      <c r="OH90" s="356"/>
      <c r="OI90" s="356"/>
      <c r="OJ90" s="356"/>
      <c r="OK90" s="356"/>
      <c r="OL90" s="356"/>
      <c r="OM90" s="356"/>
      <c r="ON90" s="356"/>
      <c r="OO90" s="356"/>
      <c r="OP90" s="356"/>
      <c r="OQ90" s="356"/>
      <c r="OR90" s="356"/>
      <c r="OS90" s="356"/>
      <c r="OT90" s="356"/>
      <c r="OU90" s="356"/>
      <c r="OV90" s="115"/>
      <c r="OW90" s="115"/>
      <c r="OX90" s="115"/>
      <c r="OY90" s="2499"/>
      <c r="OZ90" s="2503">
        <v>86</v>
      </c>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c r="RR90" s="115"/>
      <c r="RS90" s="115"/>
      <c r="RT90" s="115"/>
      <c r="RU90" s="115"/>
      <c r="RV90" s="115"/>
      <c r="RW90" s="115"/>
      <c r="RX90" s="115"/>
      <c r="RY90" s="115"/>
      <c r="RZ90" s="115"/>
      <c r="SA90" s="115"/>
      <c r="SB90" s="115"/>
      <c r="SC90" s="115"/>
      <c r="SD90" s="115"/>
      <c r="SE90" s="115"/>
      <c r="SF90" s="115"/>
      <c r="SG90" s="115"/>
      <c r="SH90" s="115"/>
      <c r="SI90" s="115"/>
      <c r="SJ90" s="115"/>
      <c r="SK90" s="115"/>
      <c r="SL90" s="115"/>
      <c r="SM90" s="115"/>
      <c r="SN90" s="115"/>
      <c r="SO90" s="115"/>
      <c r="SP90" s="115"/>
      <c r="SQ90" s="115"/>
      <c r="SR90" s="115"/>
      <c r="SS90" s="115"/>
      <c r="ST90" s="115"/>
      <c r="SU90" s="115"/>
      <c r="SV90" s="115"/>
      <c r="SW90" s="115"/>
      <c r="SX90" s="115"/>
      <c r="SY90" s="115"/>
      <c r="SZ90" s="115"/>
    </row>
    <row r="91" spans="1:520" customFormat="1">
      <c r="C91" s="169" t="s">
        <v>3933</v>
      </c>
      <c r="D91" s="1334"/>
      <c r="E91" s="1334"/>
      <c r="F91" s="6"/>
      <c r="G91" s="6"/>
      <c r="H91" s="81" t="s">
        <v>3556</v>
      </c>
      <c r="I91" s="29"/>
      <c r="J91" s="1"/>
      <c r="K91" s="1363" t="str">
        <f t="shared" ref="K91:P91" si="661">IF(OR(K69=0,K76=0),"",K69/K76)</f>
        <v/>
      </c>
      <c r="L91" s="1364" t="str">
        <f t="shared" si="661"/>
        <v/>
      </c>
      <c r="M91" s="1364" t="str">
        <f t="shared" si="661"/>
        <v/>
      </c>
      <c r="N91" s="1364" t="str">
        <f t="shared" si="661"/>
        <v/>
      </c>
      <c r="O91" s="1364" t="str">
        <f t="shared" si="661"/>
        <v/>
      </c>
      <c r="P91" s="1365" t="str">
        <f t="shared" si="661"/>
        <v/>
      </c>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6"/>
      <c r="BG91" s="356"/>
      <c r="BH91" s="356"/>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356"/>
      <c r="DL91" s="356"/>
      <c r="DM91" s="356"/>
      <c r="DN91" s="356"/>
      <c r="DO91" s="356"/>
      <c r="DP91" s="356"/>
      <c r="DQ91" s="356"/>
      <c r="DR91" s="356"/>
      <c r="DS91" s="356"/>
      <c r="DT91" s="356"/>
      <c r="DU91" s="356"/>
      <c r="DV91" s="356"/>
      <c r="DW91" s="356"/>
      <c r="DX91" s="356"/>
      <c r="DY91" s="356"/>
      <c r="DZ91" s="356"/>
      <c r="EA91" s="356"/>
      <c r="EB91" s="356"/>
      <c r="EC91" s="356"/>
      <c r="ED91" s="356"/>
      <c r="EE91" s="356"/>
      <c r="EF91" s="356"/>
      <c r="EG91" s="356"/>
      <c r="EH91" s="356"/>
      <c r="EI91" s="356"/>
      <c r="EJ91" s="356"/>
      <c r="EK91" s="356"/>
      <c r="EL91" s="356"/>
      <c r="EM91" s="356"/>
      <c r="EN91" s="356"/>
      <c r="EO91" s="356"/>
      <c r="EP91" s="356"/>
      <c r="EQ91" s="356"/>
      <c r="ER91" s="356"/>
      <c r="ES91" s="356"/>
      <c r="ET91" s="356"/>
      <c r="EU91" s="356"/>
      <c r="EV91" s="356"/>
      <c r="EW91" s="356"/>
      <c r="EX91" s="356"/>
      <c r="EY91" s="356"/>
      <c r="EZ91" s="356"/>
      <c r="FA91" s="356"/>
      <c r="FB91" s="356"/>
      <c r="FC91" s="356"/>
      <c r="FD91" s="356"/>
      <c r="FE91" s="356"/>
      <c r="FF91" s="356"/>
      <c r="FG91" s="356"/>
      <c r="FH91" s="356"/>
      <c r="FI91" s="356"/>
      <c r="FJ91" s="356"/>
      <c r="FK91" s="356"/>
      <c r="FL91" s="356"/>
      <c r="FM91" s="356"/>
      <c r="FN91" s="356"/>
      <c r="FO91" s="356"/>
      <c r="FP91" s="356"/>
      <c r="FQ91" s="356"/>
      <c r="FR91" s="356"/>
      <c r="FS91" s="356"/>
      <c r="FT91" s="356"/>
      <c r="FU91" s="356"/>
      <c r="FV91" s="356"/>
      <c r="FW91" s="356"/>
      <c r="FX91" s="356"/>
      <c r="FY91" s="356"/>
      <c r="FZ91" s="356"/>
      <c r="GA91" s="356"/>
      <c r="GB91" s="356"/>
      <c r="GC91" s="356"/>
      <c r="GD91" s="356"/>
      <c r="GE91" s="356"/>
      <c r="GF91" s="356"/>
      <c r="GG91" s="356"/>
      <c r="GH91" s="356"/>
      <c r="GI91" s="356"/>
      <c r="GJ91" s="356"/>
      <c r="GK91" s="356"/>
      <c r="GL91" s="356"/>
      <c r="GM91" s="356"/>
      <c r="GN91" s="356"/>
      <c r="GO91" s="356"/>
      <c r="GP91" s="356"/>
      <c r="GQ91" s="356"/>
      <c r="GR91" s="356"/>
      <c r="GS91" s="356"/>
      <c r="GT91" s="356"/>
      <c r="GU91" s="356"/>
      <c r="GV91" s="356"/>
      <c r="GW91" s="356"/>
      <c r="GX91" s="356"/>
      <c r="GY91" s="356"/>
      <c r="GZ91" s="356"/>
      <c r="HA91" s="356"/>
      <c r="HB91" s="356"/>
      <c r="HC91" s="356"/>
      <c r="HD91" s="356"/>
      <c r="HE91" s="356"/>
      <c r="HF91" s="356"/>
      <c r="HG91" s="356"/>
      <c r="HH91" s="356"/>
      <c r="HI91" s="356"/>
      <c r="HJ91" s="356"/>
      <c r="HK91" s="356"/>
      <c r="HL91" s="356"/>
      <c r="HM91" s="356"/>
      <c r="HN91" s="356"/>
      <c r="HO91" s="356"/>
      <c r="HP91" s="356"/>
      <c r="HQ91" s="356"/>
      <c r="HR91" s="356"/>
      <c r="HS91" s="356"/>
      <c r="HT91" s="356"/>
      <c r="HU91" s="356"/>
      <c r="HV91" s="356"/>
      <c r="HW91" s="356"/>
      <c r="HX91" s="356"/>
      <c r="HY91" s="356"/>
      <c r="HZ91" s="356"/>
      <c r="IA91" s="356"/>
      <c r="IB91" s="356"/>
      <c r="IC91" s="356"/>
      <c r="ID91" s="356"/>
      <c r="IE91" s="356"/>
      <c r="IF91" s="356"/>
      <c r="IG91" s="356"/>
      <c r="IH91" s="356"/>
      <c r="II91" s="356"/>
      <c r="IJ91" s="356"/>
      <c r="IK91" s="356"/>
      <c r="IL91" s="356"/>
      <c r="IM91" s="356"/>
      <c r="IN91" s="356"/>
      <c r="IO91" s="356"/>
      <c r="IP91" s="356"/>
      <c r="IQ91" s="356"/>
      <c r="IR91" s="356"/>
      <c r="IS91" s="356"/>
      <c r="IT91" s="356"/>
      <c r="IU91" s="356"/>
      <c r="IV91" s="356"/>
      <c r="IW91" s="356"/>
      <c r="IX91" s="356"/>
      <c r="IY91" s="356"/>
      <c r="IZ91" s="356"/>
      <c r="JA91" s="356"/>
      <c r="JB91" s="356"/>
      <c r="JC91" s="356"/>
      <c r="JD91" s="356"/>
      <c r="JE91" s="356"/>
      <c r="JF91" s="356"/>
      <c r="JG91" s="356"/>
      <c r="JH91" s="356"/>
      <c r="JI91" s="356"/>
      <c r="JJ91" s="356"/>
      <c r="JK91" s="356"/>
      <c r="JL91" s="356"/>
      <c r="JM91" s="356"/>
      <c r="JN91" s="356"/>
      <c r="JO91" s="356"/>
      <c r="JP91" s="356"/>
      <c r="JQ91" s="356"/>
      <c r="JR91" s="356"/>
      <c r="JS91" s="356"/>
      <c r="JT91" s="356"/>
      <c r="JU91" s="356"/>
      <c r="JV91" s="356"/>
      <c r="JW91" s="356"/>
      <c r="JX91" s="356"/>
      <c r="JY91" s="356"/>
      <c r="JZ91" s="356"/>
      <c r="KA91" s="356"/>
      <c r="KB91" s="356"/>
      <c r="KC91" s="356"/>
      <c r="KD91" s="356"/>
      <c r="KE91" s="356"/>
      <c r="KF91" s="356"/>
      <c r="KG91" s="356"/>
      <c r="KH91" s="356"/>
      <c r="KI91" s="356"/>
      <c r="KJ91" s="356"/>
      <c r="KK91" s="356"/>
      <c r="KL91" s="356"/>
      <c r="KM91" s="356"/>
      <c r="KN91" s="356"/>
      <c r="KO91" s="356"/>
      <c r="KP91" s="356"/>
      <c r="KQ91" s="356"/>
      <c r="KR91" s="356"/>
      <c r="KS91" s="356"/>
      <c r="KT91" s="356"/>
      <c r="KU91" s="356"/>
      <c r="KV91" s="356"/>
      <c r="KW91" s="356"/>
      <c r="KX91" s="356"/>
      <c r="KY91" s="356"/>
      <c r="KZ91" s="356"/>
      <c r="LA91" s="356"/>
      <c r="LB91" s="356"/>
      <c r="LC91" s="356"/>
      <c r="LD91" s="356"/>
      <c r="LE91" s="356"/>
      <c r="LF91" s="356"/>
      <c r="LG91" s="356"/>
      <c r="LH91" s="356"/>
      <c r="LI91" s="356"/>
      <c r="LJ91" s="356"/>
      <c r="LK91" s="356"/>
      <c r="LL91" s="356"/>
      <c r="LM91" s="356"/>
      <c r="LN91" s="356"/>
      <c r="LO91" s="356"/>
      <c r="LP91" s="356"/>
      <c r="LQ91" s="356"/>
      <c r="LR91" s="356"/>
      <c r="LS91" s="356"/>
      <c r="LT91" s="356"/>
      <c r="LU91" s="356"/>
      <c r="LV91" s="356"/>
      <c r="LW91" s="356"/>
      <c r="LX91" s="356"/>
      <c r="LY91" s="356"/>
      <c r="LZ91" s="356"/>
      <c r="MA91" s="356"/>
      <c r="MB91" s="356"/>
      <c r="MC91" s="356"/>
      <c r="MD91" s="356"/>
      <c r="ME91" s="356"/>
      <c r="MF91" s="356"/>
      <c r="MG91" s="356"/>
      <c r="MH91" s="356"/>
      <c r="MI91" s="356"/>
      <c r="MJ91" s="356"/>
      <c r="MK91" s="356"/>
      <c r="ML91" s="356"/>
      <c r="MM91" s="356"/>
      <c r="MN91" s="356"/>
      <c r="MO91" s="356"/>
      <c r="MP91" s="356"/>
      <c r="MQ91" s="356"/>
      <c r="MR91" s="356"/>
      <c r="MS91" s="356"/>
      <c r="MT91" s="356"/>
      <c r="MU91" s="356"/>
      <c r="MV91" s="356"/>
      <c r="MW91" s="356"/>
      <c r="MX91" s="356"/>
      <c r="MY91" s="356"/>
      <c r="MZ91" s="356"/>
      <c r="NA91" s="356"/>
      <c r="NB91" s="356"/>
      <c r="NC91" s="356"/>
      <c r="ND91" s="356"/>
      <c r="NE91" s="356"/>
      <c r="NF91" s="356"/>
      <c r="NG91" s="356"/>
      <c r="NH91" s="356"/>
      <c r="NI91" s="356"/>
      <c r="NJ91" s="356"/>
      <c r="NK91" s="356"/>
      <c r="NL91" s="356"/>
      <c r="NM91" s="356"/>
      <c r="NN91" s="356"/>
      <c r="NO91" s="356"/>
      <c r="NP91" s="356"/>
      <c r="NQ91" s="356"/>
      <c r="NR91" s="356"/>
      <c r="NS91" s="356"/>
      <c r="NT91" s="356"/>
      <c r="NU91" s="356"/>
      <c r="NV91" s="356"/>
      <c r="NW91" s="356"/>
      <c r="NX91" s="356"/>
      <c r="NY91" s="356"/>
      <c r="NZ91" s="356"/>
      <c r="OA91" s="356"/>
      <c r="OB91" s="356"/>
      <c r="OC91" s="356"/>
      <c r="OD91" s="356"/>
      <c r="OE91" s="356"/>
      <c r="OF91" s="356"/>
      <c r="OG91" s="356"/>
      <c r="OH91" s="356"/>
      <c r="OI91" s="356"/>
      <c r="OJ91" s="356"/>
      <c r="OK91" s="356"/>
      <c r="OL91" s="356"/>
      <c r="OM91" s="356"/>
      <c r="ON91" s="356"/>
      <c r="OO91" s="356"/>
      <c r="OP91" s="356"/>
      <c r="OQ91" s="356"/>
      <c r="OR91" s="356"/>
      <c r="OS91" s="356"/>
      <c r="OT91" s="356"/>
      <c r="OU91" s="356"/>
      <c r="OV91" s="115"/>
      <c r="OW91" s="115"/>
      <c r="OX91" s="115"/>
      <c r="OY91" s="2499"/>
      <c r="OZ91" s="2504">
        <v>87</v>
      </c>
      <c r="PA91" s="115"/>
      <c r="PB91" s="115"/>
      <c r="PC91" s="115"/>
      <c r="PD91" s="115"/>
      <c r="PE91" s="115"/>
      <c r="PF91" s="115"/>
      <c r="PG91" s="115"/>
      <c r="PH91" s="115"/>
      <c r="PI91" s="115"/>
      <c r="PJ91" s="115"/>
      <c r="PK91" s="115"/>
      <c r="PL91" s="115"/>
      <c r="PM91" s="115"/>
      <c r="PN91" s="115"/>
      <c r="PO91" s="115"/>
      <c r="PP91" s="115"/>
      <c r="PQ91" s="115"/>
      <c r="PR91" s="115"/>
      <c r="PS91" s="115"/>
      <c r="PT91" s="115"/>
      <c r="PU91" s="115"/>
      <c r="PV91" s="115"/>
      <c r="PW91" s="115"/>
      <c r="PX91" s="115"/>
      <c r="PY91" s="115"/>
      <c r="PZ91" s="115"/>
      <c r="QA91" s="115"/>
      <c r="QB91" s="115"/>
      <c r="QC91" s="115"/>
      <c r="QD91" s="115"/>
      <c r="QE91" s="115"/>
      <c r="QF91" s="115"/>
      <c r="QG91" s="115"/>
      <c r="QH91" s="115"/>
      <c r="QI91" s="115"/>
      <c r="QJ91" s="115"/>
      <c r="QK91" s="115"/>
      <c r="QL91" s="115"/>
      <c r="QM91" s="115"/>
      <c r="QN91" s="115"/>
      <c r="QO91" s="115"/>
      <c r="QP91" s="115"/>
      <c r="QQ91" s="115"/>
      <c r="QR91" s="115"/>
      <c r="QS91" s="115"/>
      <c r="QT91" s="115"/>
      <c r="QU91" s="115"/>
      <c r="QV91" s="115"/>
      <c r="QW91" s="115"/>
      <c r="QX91" s="115"/>
      <c r="QY91" s="115"/>
      <c r="QZ91" s="115"/>
      <c r="RA91" s="115"/>
      <c r="RB91" s="115"/>
      <c r="RC91" s="115"/>
      <c r="RD91" s="115"/>
      <c r="RE91" s="115"/>
      <c r="RF91" s="115"/>
      <c r="RG91" s="115"/>
      <c r="RH91" s="115"/>
      <c r="RI91" s="115"/>
      <c r="RJ91" s="115"/>
      <c r="RK91" s="115"/>
      <c r="RL91" s="115"/>
      <c r="RM91" s="115"/>
      <c r="RN91" s="115"/>
      <c r="RO91" s="115"/>
      <c r="RP91" s="115"/>
      <c r="RQ91" s="115"/>
      <c r="RR91" s="115"/>
      <c r="RS91" s="115"/>
      <c r="RT91" s="115"/>
      <c r="RU91" s="115"/>
      <c r="RV91" s="115"/>
      <c r="RW91" s="115"/>
      <c r="RX91" s="115"/>
      <c r="RY91" s="115"/>
      <c r="RZ91" s="115"/>
      <c r="SA91" s="115"/>
      <c r="SB91" s="115"/>
      <c r="SC91" s="115"/>
      <c r="SD91" s="115"/>
      <c r="SE91" s="115"/>
      <c r="SF91" s="115"/>
      <c r="SG91" s="115"/>
      <c r="SH91" s="115"/>
      <c r="SI91" s="115"/>
      <c r="SJ91" s="115"/>
      <c r="SK91" s="115"/>
      <c r="SL91" s="115"/>
      <c r="SM91" s="115"/>
      <c r="SN91" s="115"/>
      <c r="SO91" s="115"/>
      <c r="SP91" s="115"/>
      <c r="SQ91" s="115"/>
      <c r="SR91" s="115"/>
      <c r="SS91" s="115"/>
      <c r="ST91" s="115"/>
      <c r="SU91" s="115"/>
      <c r="SV91" s="115"/>
      <c r="SW91" s="115"/>
      <c r="SX91" s="115"/>
      <c r="SY91" s="115"/>
      <c r="SZ91" s="115"/>
    </row>
    <row r="92" spans="1:520" customFormat="1">
      <c r="C92" s="169"/>
      <c r="D92" s="6"/>
      <c r="E92" s="6"/>
      <c r="F92" s="6"/>
      <c r="G92" s="6"/>
      <c r="H92" s="81" t="s">
        <v>4378</v>
      </c>
      <c r="I92" s="29"/>
      <c r="J92" s="1"/>
      <c r="K92" s="1415" t="str">
        <f>IF(OR(K69=0,P91="",K76=0),"",P91*K76)</f>
        <v/>
      </c>
      <c r="L92" s="1415" t="str">
        <f>IF(OR(L69=0,P91="",L76=0),"",P91*L76)</f>
        <v/>
      </c>
      <c r="M92" s="1415" t="str">
        <f>IF(OR(M69=0,P91="",M76=0),"",P91*M76)</f>
        <v/>
      </c>
      <c r="N92" s="1415" t="str">
        <f>IF(OR(N69=0,P91="",N76=0),"",P91*N76)</f>
        <v/>
      </c>
      <c r="O92" s="1415" t="str">
        <f>IF(OR(O69=0,P91="",O76=0),"",P91*O76)</f>
        <v/>
      </c>
      <c r="P92" s="1416" t="str">
        <f>IF(OR(P91="",P76=0),"",P91*P76)</f>
        <v/>
      </c>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6"/>
      <c r="BG92" s="356"/>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356"/>
      <c r="DL92" s="356"/>
      <c r="DM92" s="356"/>
      <c r="DN92" s="356"/>
      <c r="DO92" s="356"/>
      <c r="DP92" s="356"/>
      <c r="DQ92" s="356"/>
      <c r="DR92" s="356"/>
      <c r="DS92" s="356"/>
      <c r="DT92" s="356"/>
      <c r="DU92" s="356"/>
      <c r="DV92" s="356"/>
      <c r="DW92" s="356"/>
      <c r="DX92" s="356"/>
      <c r="DY92" s="356"/>
      <c r="DZ92" s="356"/>
      <c r="EA92" s="356"/>
      <c r="EB92" s="356"/>
      <c r="EC92" s="356"/>
      <c r="ED92" s="356"/>
      <c r="EE92" s="356"/>
      <c r="EF92" s="356"/>
      <c r="EG92" s="356"/>
      <c r="EH92" s="356"/>
      <c r="EI92" s="356"/>
      <c r="EJ92" s="356"/>
      <c r="EK92" s="356"/>
      <c r="EL92" s="356"/>
      <c r="EM92" s="356"/>
      <c r="EN92" s="356"/>
      <c r="EO92" s="356"/>
      <c r="EP92" s="356"/>
      <c r="EQ92" s="356"/>
      <c r="ER92" s="356"/>
      <c r="ES92" s="356"/>
      <c r="ET92" s="356"/>
      <c r="EU92" s="356"/>
      <c r="EV92" s="356"/>
      <c r="EW92" s="356"/>
      <c r="EX92" s="356"/>
      <c r="EY92" s="356"/>
      <c r="EZ92" s="356"/>
      <c r="FA92" s="356"/>
      <c r="FB92" s="356"/>
      <c r="FC92" s="356"/>
      <c r="FD92" s="356"/>
      <c r="FE92" s="356"/>
      <c r="FF92" s="356"/>
      <c r="FG92" s="356"/>
      <c r="FH92" s="356"/>
      <c r="FI92" s="356"/>
      <c r="FJ92" s="356"/>
      <c r="FK92" s="356"/>
      <c r="FL92" s="356"/>
      <c r="FM92" s="356"/>
      <c r="FN92" s="356"/>
      <c r="FO92" s="356"/>
      <c r="FP92" s="356"/>
      <c r="FQ92" s="356"/>
      <c r="FR92" s="356"/>
      <c r="FS92" s="356"/>
      <c r="FT92" s="356"/>
      <c r="FU92" s="356"/>
      <c r="FV92" s="356"/>
      <c r="FW92" s="356"/>
      <c r="FX92" s="356"/>
      <c r="FY92" s="356"/>
      <c r="FZ92" s="356"/>
      <c r="GA92" s="356"/>
      <c r="GB92" s="356"/>
      <c r="GC92" s="356"/>
      <c r="GD92" s="356"/>
      <c r="GE92" s="356"/>
      <c r="GF92" s="356"/>
      <c r="GG92" s="356"/>
      <c r="GH92" s="356"/>
      <c r="GI92" s="356"/>
      <c r="GJ92" s="356"/>
      <c r="GK92" s="356"/>
      <c r="GL92" s="356"/>
      <c r="GM92" s="356"/>
      <c r="GN92" s="356"/>
      <c r="GO92" s="356"/>
      <c r="GP92" s="356"/>
      <c r="GQ92" s="356"/>
      <c r="GR92" s="356"/>
      <c r="GS92" s="356"/>
      <c r="GT92" s="356"/>
      <c r="GU92" s="356"/>
      <c r="GV92" s="356"/>
      <c r="GW92" s="356"/>
      <c r="GX92" s="356"/>
      <c r="GY92" s="356"/>
      <c r="GZ92" s="356"/>
      <c r="HA92" s="356"/>
      <c r="HB92" s="356"/>
      <c r="HC92" s="356"/>
      <c r="HD92" s="356"/>
      <c r="HE92" s="356"/>
      <c r="HF92" s="356"/>
      <c r="HG92" s="356"/>
      <c r="HH92" s="356"/>
      <c r="HI92" s="356"/>
      <c r="HJ92" s="356"/>
      <c r="HK92" s="356"/>
      <c r="HL92" s="356"/>
      <c r="HM92" s="356"/>
      <c r="HN92" s="356"/>
      <c r="HO92" s="356"/>
      <c r="HP92" s="356"/>
      <c r="HQ92" s="356"/>
      <c r="HR92" s="356"/>
      <c r="HS92" s="356"/>
      <c r="HT92" s="356"/>
      <c r="HU92" s="356"/>
      <c r="HV92" s="356"/>
      <c r="HW92" s="356"/>
      <c r="HX92" s="356"/>
      <c r="HY92" s="356"/>
      <c r="HZ92" s="356"/>
      <c r="IA92" s="356"/>
      <c r="IB92" s="356"/>
      <c r="IC92" s="356"/>
      <c r="ID92" s="356"/>
      <c r="IE92" s="356"/>
      <c r="IF92" s="356"/>
      <c r="IG92" s="356"/>
      <c r="IH92" s="356"/>
      <c r="II92" s="356"/>
      <c r="IJ92" s="356"/>
      <c r="IK92" s="356"/>
      <c r="IL92" s="356"/>
      <c r="IM92" s="356"/>
      <c r="IN92" s="356"/>
      <c r="IO92" s="356"/>
      <c r="IP92" s="356"/>
      <c r="IQ92" s="356"/>
      <c r="IR92" s="356"/>
      <c r="IS92" s="356"/>
      <c r="IT92" s="356"/>
      <c r="IU92" s="356"/>
      <c r="IV92" s="356"/>
      <c r="IW92" s="356"/>
      <c r="IX92" s="356"/>
      <c r="IY92" s="356"/>
      <c r="IZ92" s="356"/>
      <c r="JA92" s="356"/>
      <c r="JB92" s="356"/>
      <c r="JC92" s="356"/>
      <c r="JD92" s="356"/>
      <c r="JE92" s="356"/>
      <c r="JF92" s="356"/>
      <c r="JG92" s="356"/>
      <c r="JH92" s="356"/>
      <c r="JI92" s="356"/>
      <c r="JJ92" s="356"/>
      <c r="JK92" s="356"/>
      <c r="JL92" s="356"/>
      <c r="JM92" s="356"/>
      <c r="JN92" s="356"/>
      <c r="JO92" s="356"/>
      <c r="JP92" s="356"/>
      <c r="JQ92" s="356"/>
      <c r="JR92" s="356"/>
      <c r="JS92" s="356"/>
      <c r="JT92" s="356"/>
      <c r="JU92" s="356"/>
      <c r="JV92" s="356"/>
      <c r="JW92" s="356"/>
      <c r="JX92" s="356"/>
      <c r="JY92" s="356"/>
      <c r="JZ92" s="356"/>
      <c r="KA92" s="356"/>
      <c r="KB92" s="356"/>
      <c r="KC92" s="356"/>
      <c r="KD92" s="356"/>
      <c r="KE92" s="356"/>
      <c r="KF92" s="356"/>
      <c r="KG92" s="356"/>
      <c r="KH92" s="356"/>
      <c r="KI92" s="356"/>
      <c r="KJ92" s="356"/>
      <c r="KK92" s="356"/>
      <c r="KL92" s="356"/>
      <c r="KM92" s="356"/>
      <c r="KN92" s="356"/>
      <c r="KO92" s="356"/>
      <c r="KP92" s="356"/>
      <c r="KQ92" s="356"/>
      <c r="KR92" s="356"/>
      <c r="KS92" s="356"/>
      <c r="KT92" s="356"/>
      <c r="KU92" s="356"/>
      <c r="KV92" s="356"/>
      <c r="KW92" s="356"/>
      <c r="KX92" s="356"/>
      <c r="KY92" s="356"/>
      <c r="KZ92" s="356"/>
      <c r="LA92" s="356"/>
      <c r="LB92" s="356"/>
      <c r="LC92" s="356"/>
      <c r="LD92" s="356"/>
      <c r="LE92" s="356"/>
      <c r="LF92" s="356"/>
      <c r="LG92" s="356"/>
      <c r="LH92" s="356"/>
      <c r="LI92" s="356"/>
      <c r="LJ92" s="356"/>
      <c r="LK92" s="356"/>
      <c r="LL92" s="356"/>
      <c r="LM92" s="356"/>
      <c r="LN92" s="356"/>
      <c r="LO92" s="356"/>
      <c r="LP92" s="356"/>
      <c r="LQ92" s="356"/>
      <c r="LR92" s="356"/>
      <c r="LS92" s="356"/>
      <c r="LT92" s="356"/>
      <c r="LU92" s="356"/>
      <c r="LV92" s="356"/>
      <c r="LW92" s="356"/>
      <c r="LX92" s="356"/>
      <c r="LY92" s="356"/>
      <c r="LZ92" s="356"/>
      <c r="MA92" s="356"/>
      <c r="MB92" s="356"/>
      <c r="MC92" s="356"/>
      <c r="MD92" s="356"/>
      <c r="ME92" s="356"/>
      <c r="MF92" s="356"/>
      <c r="MG92" s="356"/>
      <c r="MH92" s="356"/>
      <c r="MI92" s="356"/>
      <c r="MJ92" s="356"/>
      <c r="MK92" s="356"/>
      <c r="ML92" s="356"/>
      <c r="MM92" s="356"/>
      <c r="MN92" s="356"/>
      <c r="MO92" s="356"/>
      <c r="MP92" s="356"/>
      <c r="MQ92" s="356"/>
      <c r="MR92" s="356"/>
      <c r="MS92" s="356"/>
      <c r="MT92" s="356"/>
      <c r="MU92" s="356"/>
      <c r="MV92" s="356"/>
      <c r="MW92" s="356"/>
      <c r="MX92" s="356"/>
      <c r="MY92" s="356"/>
      <c r="MZ92" s="356"/>
      <c r="NA92" s="356"/>
      <c r="NB92" s="356"/>
      <c r="NC92" s="356"/>
      <c r="ND92" s="356"/>
      <c r="NE92" s="356"/>
      <c r="NF92" s="356"/>
      <c r="NG92" s="356"/>
      <c r="NH92" s="356"/>
      <c r="NI92" s="356"/>
      <c r="NJ92" s="356"/>
      <c r="NK92" s="356"/>
      <c r="NL92" s="356"/>
      <c r="NM92" s="356"/>
      <c r="NN92" s="356"/>
      <c r="NO92" s="356"/>
      <c r="NP92" s="356"/>
      <c r="NQ92" s="356"/>
      <c r="NR92" s="356"/>
      <c r="NS92" s="356"/>
      <c r="NT92" s="356"/>
      <c r="NU92" s="356"/>
      <c r="NV92" s="356"/>
      <c r="NW92" s="356"/>
      <c r="NX92" s="356"/>
      <c r="NY92" s="356"/>
      <c r="NZ92" s="356"/>
      <c r="OA92" s="356"/>
      <c r="OB92" s="356"/>
      <c r="OC92" s="356"/>
      <c r="OD92" s="356"/>
      <c r="OE92" s="356"/>
      <c r="OF92" s="356"/>
      <c r="OG92" s="356"/>
      <c r="OH92" s="356"/>
      <c r="OI92" s="356"/>
      <c r="OJ92" s="356"/>
      <c r="OK92" s="356"/>
      <c r="OL92" s="356"/>
      <c r="OM92" s="356"/>
      <c r="ON92" s="356"/>
      <c r="OO92" s="356"/>
      <c r="OP92" s="356"/>
      <c r="OQ92" s="356"/>
      <c r="OR92" s="356"/>
      <c r="OS92" s="356"/>
      <c r="OT92" s="356"/>
      <c r="OU92" s="356"/>
      <c r="OV92" s="115"/>
      <c r="OW92" s="115"/>
      <c r="OX92" s="115"/>
      <c r="OY92" s="2499"/>
      <c r="OZ92" s="2504">
        <v>88</v>
      </c>
      <c r="PA92" s="115"/>
      <c r="PB92" s="115"/>
      <c r="PC92" s="115"/>
      <c r="PD92" s="115"/>
      <c r="PE92" s="115"/>
      <c r="PF92" s="115"/>
      <c r="PG92" s="115"/>
      <c r="PH92" s="115"/>
      <c r="PI92" s="115"/>
      <c r="PJ92" s="115"/>
      <c r="PK92" s="115"/>
      <c r="PL92" s="115"/>
      <c r="PM92" s="115"/>
      <c r="PN92" s="115"/>
      <c r="PO92" s="115"/>
      <c r="PP92" s="115"/>
      <c r="PQ92" s="115"/>
      <c r="PR92" s="115"/>
      <c r="PS92" s="115"/>
      <c r="PT92" s="115"/>
      <c r="PU92" s="115"/>
      <c r="PV92" s="115"/>
      <c r="PW92" s="115"/>
      <c r="PX92" s="115"/>
      <c r="PY92" s="115"/>
      <c r="PZ92" s="115"/>
      <c r="QA92" s="115"/>
      <c r="QB92" s="115"/>
      <c r="QC92" s="115"/>
      <c r="QD92" s="115"/>
      <c r="QE92" s="115"/>
      <c r="QF92" s="115"/>
      <c r="QG92" s="115"/>
      <c r="QH92" s="115"/>
      <c r="QI92" s="115"/>
      <c r="QJ92" s="115"/>
      <c r="QK92" s="115"/>
      <c r="QL92" s="115"/>
      <c r="QM92" s="115"/>
      <c r="QN92" s="115"/>
      <c r="QO92" s="115"/>
      <c r="QP92" s="115"/>
      <c r="QQ92" s="115"/>
      <c r="QR92" s="115"/>
      <c r="QS92" s="115"/>
      <c r="QT92" s="115"/>
      <c r="QU92" s="115"/>
      <c r="QV92" s="115"/>
      <c r="QW92" s="115"/>
      <c r="QX92" s="115"/>
      <c r="QY92" s="115"/>
      <c r="QZ92" s="115"/>
      <c r="RA92" s="115"/>
      <c r="RB92" s="115"/>
      <c r="RC92" s="115"/>
      <c r="RD92" s="115"/>
      <c r="RE92" s="115"/>
      <c r="RF92" s="115"/>
      <c r="RG92" s="115"/>
      <c r="RH92" s="115"/>
      <c r="RI92" s="115"/>
      <c r="RJ92" s="115"/>
      <c r="RK92" s="115"/>
      <c r="RL92" s="115"/>
      <c r="RM92" s="115"/>
      <c r="RN92" s="115"/>
      <c r="RO92" s="115"/>
      <c r="RP92" s="115"/>
      <c r="RQ92" s="115"/>
      <c r="RR92" s="115"/>
      <c r="RS92" s="115"/>
      <c r="RT92" s="115"/>
      <c r="RU92" s="115"/>
      <c r="RV92" s="115"/>
      <c r="RW92" s="115"/>
      <c r="RX92" s="115"/>
      <c r="RY92" s="115"/>
      <c r="RZ92" s="115"/>
      <c r="SA92" s="115"/>
      <c r="SB92" s="115"/>
      <c r="SC92" s="115"/>
      <c r="SD92" s="115"/>
      <c r="SE92" s="115"/>
      <c r="SF92" s="115"/>
      <c r="SG92" s="115"/>
      <c r="SH92" s="115"/>
      <c r="SI92" s="115"/>
      <c r="SJ92" s="115"/>
      <c r="SK92" s="115"/>
      <c r="SL92" s="115"/>
      <c r="SM92" s="115"/>
      <c r="SN92" s="115"/>
      <c r="SO92" s="115"/>
      <c r="SP92" s="115"/>
      <c r="SQ92" s="115"/>
      <c r="SR92" s="115"/>
      <c r="SS92" s="115"/>
      <c r="ST92" s="115"/>
      <c r="SU92" s="115"/>
      <c r="SV92" s="115"/>
      <c r="SW92" s="115"/>
      <c r="SX92" s="115"/>
      <c r="SY92" s="115"/>
      <c r="SZ92" s="115"/>
    </row>
    <row r="93" spans="1:520" customFormat="1">
      <c r="C93" s="169"/>
      <c r="D93" s="6"/>
      <c r="E93" s="6"/>
      <c r="F93" s="6"/>
      <c r="G93" s="1410"/>
      <c r="H93" s="1368" t="s">
        <v>4379</v>
      </c>
      <c r="I93" s="1336"/>
      <c r="J93" s="1"/>
      <c r="K93" s="1417" t="str">
        <f t="shared" ref="K93:P93" si="662">IF(OR(K92="",K69=0),"", K69-K92)</f>
        <v/>
      </c>
      <c r="L93" s="1417" t="str">
        <f t="shared" si="662"/>
        <v/>
      </c>
      <c r="M93" s="1417" t="str">
        <f t="shared" si="662"/>
        <v/>
      </c>
      <c r="N93" s="1417" t="str">
        <f t="shared" si="662"/>
        <v/>
      </c>
      <c r="O93" s="1417" t="str">
        <f t="shared" si="662"/>
        <v/>
      </c>
      <c r="P93" s="1417" t="str">
        <f t="shared" si="662"/>
        <v/>
      </c>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6"/>
      <c r="BG93" s="356"/>
      <c r="BH93" s="356"/>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356"/>
      <c r="DL93" s="356"/>
      <c r="DM93" s="356"/>
      <c r="DN93" s="356"/>
      <c r="DO93" s="356"/>
      <c r="DP93" s="356"/>
      <c r="DQ93" s="356"/>
      <c r="DR93" s="356"/>
      <c r="DS93" s="356"/>
      <c r="DT93" s="356"/>
      <c r="DU93" s="356"/>
      <c r="DV93" s="356"/>
      <c r="DW93" s="356"/>
      <c r="DX93" s="356"/>
      <c r="DY93" s="356"/>
      <c r="DZ93" s="356"/>
      <c r="EA93" s="356"/>
      <c r="EB93" s="356"/>
      <c r="EC93" s="356"/>
      <c r="ED93" s="356"/>
      <c r="EE93" s="356"/>
      <c r="EF93" s="356"/>
      <c r="EG93" s="356"/>
      <c r="EH93" s="356"/>
      <c r="EI93" s="356"/>
      <c r="EJ93" s="356"/>
      <c r="EK93" s="356"/>
      <c r="EL93" s="356"/>
      <c r="EM93" s="356"/>
      <c r="EN93" s="356"/>
      <c r="EO93" s="356"/>
      <c r="EP93" s="356"/>
      <c r="EQ93" s="356"/>
      <c r="ER93" s="356"/>
      <c r="ES93" s="356"/>
      <c r="ET93" s="356"/>
      <c r="EU93" s="356"/>
      <c r="EV93" s="356"/>
      <c r="EW93" s="356"/>
      <c r="EX93" s="356"/>
      <c r="EY93" s="356"/>
      <c r="EZ93" s="356"/>
      <c r="FA93" s="356"/>
      <c r="FB93" s="356"/>
      <c r="FC93" s="356"/>
      <c r="FD93" s="356"/>
      <c r="FE93" s="356"/>
      <c r="FF93" s="356"/>
      <c r="FG93" s="356"/>
      <c r="FH93" s="356"/>
      <c r="FI93" s="356"/>
      <c r="FJ93" s="356"/>
      <c r="FK93" s="356"/>
      <c r="FL93" s="356"/>
      <c r="FM93" s="356"/>
      <c r="FN93" s="356"/>
      <c r="FO93" s="356"/>
      <c r="FP93" s="356"/>
      <c r="FQ93" s="356"/>
      <c r="FR93" s="356"/>
      <c r="FS93" s="356"/>
      <c r="FT93" s="356"/>
      <c r="FU93" s="356"/>
      <c r="FV93" s="356"/>
      <c r="FW93" s="356"/>
      <c r="FX93" s="356"/>
      <c r="FY93" s="356"/>
      <c r="FZ93" s="356"/>
      <c r="GA93" s="356"/>
      <c r="GB93" s="356"/>
      <c r="GC93" s="356"/>
      <c r="GD93" s="356"/>
      <c r="GE93" s="356"/>
      <c r="GF93" s="356"/>
      <c r="GG93" s="356"/>
      <c r="GH93" s="356"/>
      <c r="GI93" s="356"/>
      <c r="GJ93" s="356"/>
      <c r="GK93" s="356"/>
      <c r="GL93" s="356"/>
      <c r="GM93" s="356"/>
      <c r="GN93" s="356"/>
      <c r="GO93" s="356"/>
      <c r="GP93" s="356"/>
      <c r="GQ93" s="356"/>
      <c r="GR93" s="356"/>
      <c r="GS93" s="356"/>
      <c r="GT93" s="356"/>
      <c r="GU93" s="356"/>
      <c r="GV93" s="356"/>
      <c r="GW93" s="356"/>
      <c r="GX93" s="356"/>
      <c r="GY93" s="356"/>
      <c r="GZ93" s="356"/>
      <c r="HA93" s="356"/>
      <c r="HB93" s="356"/>
      <c r="HC93" s="356"/>
      <c r="HD93" s="356"/>
      <c r="HE93" s="356"/>
      <c r="HF93" s="356"/>
      <c r="HG93" s="356"/>
      <c r="HH93" s="356"/>
      <c r="HI93" s="356"/>
      <c r="HJ93" s="356"/>
      <c r="HK93" s="356"/>
      <c r="HL93" s="356"/>
      <c r="HM93" s="356"/>
      <c r="HN93" s="356"/>
      <c r="HO93" s="356"/>
      <c r="HP93" s="356"/>
      <c r="HQ93" s="356"/>
      <c r="HR93" s="356"/>
      <c r="HS93" s="356"/>
      <c r="HT93" s="356"/>
      <c r="HU93" s="356"/>
      <c r="HV93" s="356"/>
      <c r="HW93" s="356"/>
      <c r="HX93" s="356"/>
      <c r="HY93" s="356"/>
      <c r="HZ93" s="356"/>
      <c r="IA93" s="356"/>
      <c r="IB93" s="356"/>
      <c r="IC93" s="356"/>
      <c r="ID93" s="356"/>
      <c r="IE93" s="356"/>
      <c r="IF93" s="356"/>
      <c r="IG93" s="356"/>
      <c r="IH93" s="356"/>
      <c r="II93" s="356"/>
      <c r="IJ93" s="356"/>
      <c r="IK93" s="356"/>
      <c r="IL93" s="356"/>
      <c r="IM93" s="356"/>
      <c r="IN93" s="356"/>
      <c r="IO93" s="356"/>
      <c r="IP93" s="356"/>
      <c r="IQ93" s="356"/>
      <c r="IR93" s="356"/>
      <c r="IS93" s="356"/>
      <c r="IT93" s="356"/>
      <c r="IU93" s="356"/>
      <c r="IV93" s="356"/>
      <c r="IW93" s="356"/>
      <c r="IX93" s="356"/>
      <c r="IY93" s="356"/>
      <c r="IZ93" s="356"/>
      <c r="JA93" s="356"/>
      <c r="JB93" s="356"/>
      <c r="JC93" s="356"/>
      <c r="JD93" s="356"/>
      <c r="JE93" s="356"/>
      <c r="JF93" s="356"/>
      <c r="JG93" s="356"/>
      <c r="JH93" s="356"/>
      <c r="JI93" s="356"/>
      <c r="JJ93" s="356"/>
      <c r="JK93" s="356"/>
      <c r="JL93" s="356"/>
      <c r="JM93" s="356"/>
      <c r="JN93" s="356"/>
      <c r="JO93" s="356"/>
      <c r="JP93" s="356"/>
      <c r="JQ93" s="356"/>
      <c r="JR93" s="356"/>
      <c r="JS93" s="356"/>
      <c r="JT93" s="356"/>
      <c r="JU93" s="356"/>
      <c r="JV93" s="356"/>
      <c r="JW93" s="356"/>
      <c r="JX93" s="356"/>
      <c r="JY93" s="356"/>
      <c r="JZ93" s="356"/>
      <c r="KA93" s="356"/>
      <c r="KB93" s="356"/>
      <c r="KC93" s="356"/>
      <c r="KD93" s="356"/>
      <c r="KE93" s="356"/>
      <c r="KF93" s="356"/>
      <c r="KG93" s="356"/>
      <c r="KH93" s="356"/>
      <c r="KI93" s="356"/>
      <c r="KJ93" s="356"/>
      <c r="KK93" s="356"/>
      <c r="KL93" s="356"/>
      <c r="KM93" s="356"/>
      <c r="KN93" s="356"/>
      <c r="KO93" s="356"/>
      <c r="KP93" s="356"/>
      <c r="KQ93" s="356"/>
      <c r="KR93" s="356"/>
      <c r="KS93" s="356"/>
      <c r="KT93" s="356"/>
      <c r="KU93" s="356"/>
      <c r="KV93" s="356"/>
      <c r="KW93" s="356"/>
      <c r="KX93" s="356"/>
      <c r="KY93" s="356"/>
      <c r="KZ93" s="356"/>
      <c r="LA93" s="356"/>
      <c r="LB93" s="356"/>
      <c r="LC93" s="356"/>
      <c r="LD93" s="356"/>
      <c r="LE93" s="356"/>
      <c r="LF93" s="356"/>
      <c r="LG93" s="356"/>
      <c r="LH93" s="356"/>
      <c r="LI93" s="356"/>
      <c r="LJ93" s="356"/>
      <c r="LK93" s="356"/>
      <c r="LL93" s="356"/>
      <c r="LM93" s="356"/>
      <c r="LN93" s="356"/>
      <c r="LO93" s="356"/>
      <c r="LP93" s="356"/>
      <c r="LQ93" s="356"/>
      <c r="LR93" s="356"/>
      <c r="LS93" s="356"/>
      <c r="LT93" s="356"/>
      <c r="LU93" s="356"/>
      <c r="LV93" s="356"/>
      <c r="LW93" s="356"/>
      <c r="LX93" s="356"/>
      <c r="LY93" s="356"/>
      <c r="LZ93" s="356"/>
      <c r="MA93" s="356"/>
      <c r="MB93" s="356"/>
      <c r="MC93" s="356"/>
      <c r="MD93" s="356"/>
      <c r="ME93" s="356"/>
      <c r="MF93" s="356"/>
      <c r="MG93" s="356"/>
      <c r="MH93" s="356"/>
      <c r="MI93" s="356"/>
      <c r="MJ93" s="356"/>
      <c r="MK93" s="356"/>
      <c r="ML93" s="356"/>
      <c r="MM93" s="356"/>
      <c r="MN93" s="356"/>
      <c r="MO93" s="356"/>
      <c r="MP93" s="356"/>
      <c r="MQ93" s="356"/>
      <c r="MR93" s="356"/>
      <c r="MS93" s="356"/>
      <c r="MT93" s="356"/>
      <c r="MU93" s="356"/>
      <c r="MV93" s="356"/>
      <c r="MW93" s="356"/>
      <c r="MX93" s="356"/>
      <c r="MY93" s="356"/>
      <c r="MZ93" s="356"/>
      <c r="NA93" s="356"/>
      <c r="NB93" s="356"/>
      <c r="NC93" s="356"/>
      <c r="ND93" s="356"/>
      <c r="NE93" s="356"/>
      <c r="NF93" s="356"/>
      <c r="NG93" s="356"/>
      <c r="NH93" s="356"/>
      <c r="NI93" s="356"/>
      <c r="NJ93" s="356"/>
      <c r="NK93" s="356"/>
      <c r="NL93" s="356"/>
      <c r="NM93" s="356"/>
      <c r="NN93" s="356"/>
      <c r="NO93" s="356"/>
      <c r="NP93" s="356"/>
      <c r="NQ93" s="356"/>
      <c r="NR93" s="356"/>
      <c r="NS93" s="356"/>
      <c r="NT93" s="356"/>
      <c r="NU93" s="356"/>
      <c r="NV93" s="356"/>
      <c r="NW93" s="356"/>
      <c r="NX93" s="356"/>
      <c r="NY93" s="356"/>
      <c r="NZ93" s="356"/>
      <c r="OA93" s="356"/>
      <c r="OB93" s="356"/>
      <c r="OC93" s="356"/>
      <c r="OD93" s="356"/>
      <c r="OE93" s="356"/>
      <c r="OF93" s="356"/>
      <c r="OG93" s="356"/>
      <c r="OH93" s="356"/>
      <c r="OI93" s="356"/>
      <c r="OJ93" s="356"/>
      <c r="OK93" s="356"/>
      <c r="OL93" s="356"/>
      <c r="OM93" s="356"/>
      <c r="ON93" s="356"/>
      <c r="OO93" s="356"/>
      <c r="OP93" s="356"/>
      <c r="OQ93" s="356"/>
      <c r="OR93" s="356"/>
      <c r="OS93" s="356"/>
      <c r="OT93" s="356"/>
      <c r="OU93" s="356"/>
      <c r="OV93" s="115"/>
      <c r="OW93" s="115"/>
      <c r="OX93" s="115"/>
      <c r="OY93" s="2499"/>
      <c r="OZ93" s="2503">
        <v>89</v>
      </c>
      <c r="PA93" s="115"/>
      <c r="PB93" s="115"/>
      <c r="PC93" s="115"/>
      <c r="PD93" s="115"/>
      <c r="PE93" s="115"/>
      <c r="PF93" s="115"/>
      <c r="PG93" s="115"/>
      <c r="PH93" s="115"/>
      <c r="PI93" s="115"/>
      <c r="PJ93" s="115"/>
      <c r="PK93" s="115"/>
      <c r="PL93" s="115"/>
      <c r="PM93" s="115"/>
      <c r="PN93" s="115"/>
      <c r="PO93" s="115"/>
      <c r="PP93" s="115"/>
      <c r="PQ93" s="115"/>
      <c r="PR93" s="115"/>
      <c r="PS93" s="115"/>
      <c r="PT93" s="115"/>
      <c r="PU93" s="115"/>
      <c r="PV93" s="115"/>
      <c r="PW93" s="115"/>
      <c r="PX93" s="115"/>
      <c r="PY93" s="115"/>
      <c r="PZ93" s="115"/>
      <c r="QA93" s="115"/>
      <c r="QB93" s="115"/>
      <c r="QC93" s="115"/>
      <c r="QD93" s="115"/>
      <c r="QE93" s="115"/>
      <c r="QF93" s="115"/>
      <c r="QG93" s="115"/>
      <c r="QH93" s="115"/>
      <c r="QI93" s="115"/>
      <c r="QJ93" s="115"/>
      <c r="QK93" s="115"/>
      <c r="QL93" s="115"/>
      <c r="QM93" s="115"/>
      <c r="QN93" s="115"/>
      <c r="QO93" s="115"/>
      <c r="QP93" s="115"/>
      <c r="QQ93" s="115"/>
      <c r="QR93" s="115"/>
      <c r="QS93" s="115"/>
      <c r="QT93" s="115"/>
      <c r="QU93" s="115"/>
      <c r="QV93" s="115"/>
      <c r="QW93" s="115"/>
      <c r="QX93" s="115"/>
      <c r="QY93" s="115"/>
      <c r="QZ93" s="115"/>
      <c r="RA93" s="115"/>
      <c r="RB93" s="115"/>
      <c r="RC93" s="115"/>
      <c r="RD93" s="115"/>
      <c r="RE93" s="115"/>
      <c r="RF93" s="115"/>
      <c r="RG93" s="115"/>
      <c r="RH93" s="115"/>
      <c r="RI93" s="115"/>
      <c r="RJ93" s="115"/>
      <c r="RK93" s="115"/>
      <c r="RL93" s="115"/>
      <c r="RM93" s="115"/>
      <c r="RN93" s="115"/>
      <c r="RO93" s="115"/>
      <c r="RP93" s="115"/>
      <c r="RQ93" s="115"/>
      <c r="RR93" s="115"/>
      <c r="RS93" s="115"/>
      <c r="RT93" s="115"/>
      <c r="RU93" s="115"/>
      <c r="RV93" s="115"/>
      <c r="RW93" s="115"/>
      <c r="RX93" s="115"/>
      <c r="RY93" s="115"/>
      <c r="RZ93" s="115"/>
      <c r="SA93" s="115"/>
      <c r="SB93" s="115"/>
      <c r="SC93" s="115"/>
      <c r="SD93" s="115"/>
      <c r="SE93" s="115"/>
      <c r="SF93" s="115"/>
      <c r="SG93" s="115"/>
      <c r="SH93" s="115"/>
      <c r="SI93" s="115"/>
      <c r="SJ93" s="115"/>
      <c r="SK93" s="115"/>
      <c r="SL93" s="115"/>
      <c r="SM93" s="115"/>
      <c r="SN93" s="115"/>
      <c r="SO93" s="115"/>
      <c r="SP93" s="115"/>
      <c r="SQ93" s="115"/>
      <c r="SR93" s="115"/>
      <c r="SS93" s="115"/>
      <c r="ST93" s="115"/>
      <c r="SU93" s="115"/>
      <c r="SV93" s="115"/>
      <c r="SW93" s="115"/>
      <c r="SX93" s="115"/>
      <c r="SY93" s="115"/>
      <c r="SZ93" s="115"/>
    </row>
    <row r="94" spans="1:520" customFormat="1">
      <c r="C94" s="169" t="s">
        <v>3933</v>
      </c>
      <c r="D94" s="6"/>
      <c r="E94" s="6"/>
      <c r="F94" s="6"/>
      <c r="G94" s="6"/>
      <c r="H94" s="81" t="s">
        <v>3557</v>
      </c>
      <c r="I94" s="29"/>
      <c r="J94" s="1"/>
      <c r="K94" s="1363" t="str">
        <f t="shared" ref="K94:P94" si="663">IF(OR(K70=0,K76=0),"",K70/K76)</f>
        <v/>
      </c>
      <c r="L94" s="1364">
        <f t="shared" si="663"/>
        <v>0.1</v>
      </c>
      <c r="M94" s="1364">
        <f t="shared" si="663"/>
        <v>0.1</v>
      </c>
      <c r="N94" s="1364" t="str">
        <f t="shared" si="663"/>
        <v/>
      </c>
      <c r="O94" s="1364" t="str">
        <f t="shared" si="663"/>
        <v/>
      </c>
      <c r="P94" s="1365">
        <f t="shared" si="663"/>
        <v>0.1</v>
      </c>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6"/>
      <c r="BG94" s="356"/>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356"/>
      <c r="DL94" s="356"/>
      <c r="DM94" s="356"/>
      <c r="DN94" s="356"/>
      <c r="DO94" s="356"/>
      <c r="DP94" s="356"/>
      <c r="DQ94" s="356"/>
      <c r="DR94" s="356"/>
      <c r="DS94" s="356"/>
      <c r="DT94" s="356"/>
      <c r="DU94" s="356"/>
      <c r="DV94" s="356"/>
      <c r="DW94" s="356"/>
      <c r="DX94" s="356"/>
      <c r="DY94" s="356"/>
      <c r="DZ94" s="356"/>
      <c r="EA94" s="356"/>
      <c r="EB94" s="356"/>
      <c r="EC94" s="356"/>
      <c r="ED94" s="356"/>
      <c r="EE94" s="356"/>
      <c r="EF94" s="356"/>
      <c r="EG94" s="356"/>
      <c r="EH94" s="356"/>
      <c r="EI94" s="356"/>
      <c r="EJ94" s="356"/>
      <c r="EK94" s="356"/>
      <c r="EL94" s="356"/>
      <c r="EM94" s="356"/>
      <c r="EN94" s="356"/>
      <c r="EO94" s="356"/>
      <c r="EP94" s="356"/>
      <c r="EQ94" s="356"/>
      <c r="ER94" s="356"/>
      <c r="ES94" s="356"/>
      <c r="ET94" s="356"/>
      <c r="EU94" s="356"/>
      <c r="EV94" s="356"/>
      <c r="EW94" s="356"/>
      <c r="EX94" s="356"/>
      <c r="EY94" s="356"/>
      <c r="EZ94" s="356"/>
      <c r="FA94" s="356"/>
      <c r="FB94" s="356"/>
      <c r="FC94" s="356"/>
      <c r="FD94" s="356"/>
      <c r="FE94" s="356"/>
      <c r="FF94" s="356"/>
      <c r="FG94" s="356"/>
      <c r="FH94" s="356"/>
      <c r="FI94" s="356"/>
      <c r="FJ94" s="356"/>
      <c r="FK94" s="356"/>
      <c r="FL94" s="356"/>
      <c r="FM94" s="356"/>
      <c r="FN94" s="356"/>
      <c r="FO94" s="356"/>
      <c r="FP94" s="356"/>
      <c r="FQ94" s="356"/>
      <c r="FR94" s="356"/>
      <c r="FS94" s="356"/>
      <c r="FT94" s="356"/>
      <c r="FU94" s="356"/>
      <c r="FV94" s="356"/>
      <c r="FW94" s="356"/>
      <c r="FX94" s="356"/>
      <c r="FY94" s="356"/>
      <c r="FZ94" s="356"/>
      <c r="GA94" s="356"/>
      <c r="GB94" s="356"/>
      <c r="GC94" s="356"/>
      <c r="GD94" s="356"/>
      <c r="GE94" s="356"/>
      <c r="GF94" s="356"/>
      <c r="GG94" s="356"/>
      <c r="GH94" s="356"/>
      <c r="GI94" s="356"/>
      <c r="GJ94" s="356"/>
      <c r="GK94" s="356"/>
      <c r="GL94" s="356"/>
      <c r="GM94" s="356"/>
      <c r="GN94" s="356"/>
      <c r="GO94" s="356"/>
      <c r="GP94" s="356"/>
      <c r="GQ94" s="356"/>
      <c r="GR94" s="356"/>
      <c r="GS94" s="356"/>
      <c r="GT94" s="356"/>
      <c r="GU94" s="356"/>
      <c r="GV94" s="356"/>
      <c r="GW94" s="356"/>
      <c r="GX94" s="356"/>
      <c r="GY94" s="356"/>
      <c r="GZ94" s="356"/>
      <c r="HA94" s="356"/>
      <c r="HB94" s="356"/>
      <c r="HC94" s="356"/>
      <c r="HD94" s="356"/>
      <c r="HE94" s="356"/>
      <c r="HF94" s="356"/>
      <c r="HG94" s="356"/>
      <c r="HH94" s="356"/>
      <c r="HI94" s="356"/>
      <c r="HJ94" s="356"/>
      <c r="HK94" s="356"/>
      <c r="HL94" s="356"/>
      <c r="HM94" s="356"/>
      <c r="HN94" s="356"/>
      <c r="HO94" s="356"/>
      <c r="HP94" s="356"/>
      <c r="HQ94" s="356"/>
      <c r="HR94" s="356"/>
      <c r="HS94" s="356"/>
      <c r="HT94" s="356"/>
      <c r="HU94" s="356"/>
      <c r="HV94" s="356"/>
      <c r="HW94" s="356"/>
      <c r="HX94" s="356"/>
      <c r="HY94" s="356"/>
      <c r="HZ94" s="356"/>
      <c r="IA94" s="356"/>
      <c r="IB94" s="356"/>
      <c r="IC94" s="356"/>
      <c r="ID94" s="356"/>
      <c r="IE94" s="356"/>
      <c r="IF94" s="356"/>
      <c r="IG94" s="356"/>
      <c r="IH94" s="356"/>
      <c r="II94" s="356"/>
      <c r="IJ94" s="356"/>
      <c r="IK94" s="356"/>
      <c r="IL94" s="356"/>
      <c r="IM94" s="356"/>
      <c r="IN94" s="356"/>
      <c r="IO94" s="356"/>
      <c r="IP94" s="356"/>
      <c r="IQ94" s="356"/>
      <c r="IR94" s="356"/>
      <c r="IS94" s="356"/>
      <c r="IT94" s="356"/>
      <c r="IU94" s="356"/>
      <c r="IV94" s="356"/>
      <c r="IW94" s="356"/>
      <c r="IX94" s="356"/>
      <c r="IY94" s="356"/>
      <c r="IZ94" s="356"/>
      <c r="JA94" s="356"/>
      <c r="JB94" s="356"/>
      <c r="JC94" s="356"/>
      <c r="JD94" s="356"/>
      <c r="JE94" s="356"/>
      <c r="JF94" s="356"/>
      <c r="JG94" s="356"/>
      <c r="JH94" s="356"/>
      <c r="JI94" s="356"/>
      <c r="JJ94" s="356"/>
      <c r="JK94" s="356"/>
      <c r="JL94" s="356"/>
      <c r="JM94" s="356"/>
      <c r="JN94" s="356"/>
      <c r="JO94" s="356"/>
      <c r="JP94" s="356"/>
      <c r="JQ94" s="356"/>
      <c r="JR94" s="356"/>
      <c r="JS94" s="356"/>
      <c r="JT94" s="356"/>
      <c r="JU94" s="356"/>
      <c r="JV94" s="356"/>
      <c r="JW94" s="356"/>
      <c r="JX94" s="356"/>
      <c r="JY94" s="356"/>
      <c r="JZ94" s="356"/>
      <c r="KA94" s="356"/>
      <c r="KB94" s="356"/>
      <c r="KC94" s="356"/>
      <c r="KD94" s="356"/>
      <c r="KE94" s="356"/>
      <c r="KF94" s="356"/>
      <c r="KG94" s="356"/>
      <c r="KH94" s="356"/>
      <c r="KI94" s="356"/>
      <c r="KJ94" s="356"/>
      <c r="KK94" s="356"/>
      <c r="KL94" s="356"/>
      <c r="KM94" s="356"/>
      <c r="KN94" s="356"/>
      <c r="KO94" s="356"/>
      <c r="KP94" s="356"/>
      <c r="KQ94" s="356"/>
      <c r="KR94" s="356"/>
      <c r="KS94" s="356"/>
      <c r="KT94" s="356"/>
      <c r="KU94" s="356"/>
      <c r="KV94" s="356"/>
      <c r="KW94" s="356"/>
      <c r="KX94" s="356"/>
      <c r="KY94" s="356"/>
      <c r="KZ94" s="356"/>
      <c r="LA94" s="356"/>
      <c r="LB94" s="356"/>
      <c r="LC94" s="356"/>
      <c r="LD94" s="356"/>
      <c r="LE94" s="356"/>
      <c r="LF94" s="356"/>
      <c r="LG94" s="356"/>
      <c r="LH94" s="356"/>
      <c r="LI94" s="356"/>
      <c r="LJ94" s="356"/>
      <c r="LK94" s="356"/>
      <c r="LL94" s="356"/>
      <c r="LM94" s="356"/>
      <c r="LN94" s="356"/>
      <c r="LO94" s="356"/>
      <c r="LP94" s="356"/>
      <c r="LQ94" s="356"/>
      <c r="LR94" s="356"/>
      <c r="LS94" s="356"/>
      <c r="LT94" s="356"/>
      <c r="LU94" s="356"/>
      <c r="LV94" s="356"/>
      <c r="LW94" s="356"/>
      <c r="LX94" s="356"/>
      <c r="LY94" s="356"/>
      <c r="LZ94" s="356"/>
      <c r="MA94" s="356"/>
      <c r="MB94" s="356"/>
      <c r="MC94" s="356"/>
      <c r="MD94" s="356"/>
      <c r="ME94" s="356"/>
      <c r="MF94" s="356"/>
      <c r="MG94" s="356"/>
      <c r="MH94" s="356"/>
      <c r="MI94" s="356"/>
      <c r="MJ94" s="356"/>
      <c r="MK94" s="356"/>
      <c r="ML94" s="356"/>
      <c r="MM94" s="356"/>
      <c r="MN94" s="356"/>
      <c r="MO94" s="356"/>
      <c r="MP94" s="356"/>
      <c r="MQ94" s="356"/>
      <c r="MR94" s="356"/>
      <c r="MS94" s="356"/>
      <c r="MT94" s="356"/>
      <c r="MU94" s="356"/>
      <c r="MV94" s="356"/>
      <c r="MW94" s="356"/>
      <c r="MX94" s="356"/>
      <c r="MY94" s="356"/>
      <c r="MZ94" s="356"/>
      <c r="NA94" s="356"/>
      <c r="NB94" s="356"/>
      <c r="NC94" s="356"/>
      <c r="ND94" s="356"/>
      <c r="NE94" s="356"/>
      <c r="NF94" s="356"/>
      <c r="NG94" s="356"/>
      <c r="NH94" s="356"/>
      <c r="NI94" s="356"/>
      <c r="NJ94" s="356"/>
      <c r="NK94" s="356"/>
      <c r="NL94" s="356"/>
      <c r="NM94" s="356"/>
      <c r="NN94" s="356"/>
      <c r="NO94" s="356"/>
      <c r="NP94" s="356"/>
      <c r="NQ94" s="356"/>
      <c r="NR94" s="356"/>
      <c r="NS94" s="356"/>
      <c r="NT94" s="356"/>
      <c r="NU94" s="356"/>
      <c r="NV94" s="356"/>
      <c r="NW94" s="356"/>
      <c r="NX94" s="356"/>
      <c r="NY94" s="356"/>
      <c r="NZ94" s="356"/>
      <c r="OA94" s="356"/>
      <c r="OB94" s="356"/>
      <c r="OC94" s="356"/>
      <c r="OD94" s="356"/>
      <c r="OE94" s="356"/>
      <c r="OF94" s="356"/>
      <c r="OG94" s="356"/>
      <c r="OH94" s="356"/>
      <c r="OI94" s="356"/>
      <c r="OJ94" s="356"/>
      <c r="OK94" s="356"/>
      <c r="OL94" s="356"/>
      <c r="OM94" s="356"/>
      <c r="ON94" s="356"/>
      <c r="OO94" s="356"/>
      <c r="OP94" s="356"/>
      <c r="OQ94" s="356"/>
      <c r="OR94" s="356"/>
      <c r="OS94" s="356"/>
      <c r="OT94" s="356"/>
      <c r="OU94" s="356"/>
      <c r="OV94" s="115"/>
      <c r="OW94" s="115"/>
      <c r="OX94" s="115"/>
      <c r="OY94" s="2499"/>
      <c r="OZ94" s="2504">
        <v>90</v>
      </c>
      <c r="PA94" s="115"/>
      <c r="PB94" s="115"/>
      <c r="PC94" s="115"/>
      <c r="PD94" s="115"/>
      <c r="PE94" s="115"/>
      <c r="PF94" s="115"/>
      <c r="PG94" s="115"/>
      <c r="PH94" s="115"/>
      <c r="PI94" s="115"/>
      <c r="PJ94" s="115"/>
      <c r="PK94" s="115"/>
      <c r="PL94" s="115"/>
      <c r="PM94" s="115"/>
      <c r="PN94" s="115"/>
      <c r="PO94" s="115"/>
      <c r="PP94" s="115"/>
      <c r="PQ94" s="115"/>
      <c r="PR94" s="115"/>
      <c r="PS94" s="115"/>
      <c r="PT94" s="115"/>
      <c r="PU94" s="115"/>
      <c r="PV94" s="115"/>
      <c r="PW94" s="115"/>
      <c r="PX94" s="115"/>
      <c r="PY94" s="115"/>
      <c r="PZ94" s="115"/>
      <c r="QA94" s="115"/>
      <c r="QB94" s="115"/>
      <c r="QC94" s="115"/>
      <c r="QD94" s="115"/>
      <c r="QE94" s="115"/>
      <c r="QF94" s="115"/>
      <c r="QG94" s="115"/>
      <c r="QH94" s="115"/>
      <c r="QI94" s="115"/>
      <c r="QJ94" s="115"/>
      <c r="QK94" s="115"/>
      <c r="QL94" s="115"/>
      <c r="QM94" s="115"/>
      <c r="QN94" s="115"/>
      <c r="QO94" s="115"/>
      <c r="QP94" s="115"/>
      <c r="QQ94" s="115"/>
      <c r="QR94" s="115"/>
      <c r="QS94" s="115"/>
      <c r="QT94" s="115"/>
      <c r="QU94" s="115"/>
      <c r="QV94" s="115"/>
      <c r="QW94" s="115"/>
      <c r="QX94" s="115"/>
      <c r="QY94" s="115"/>
      <c r="QZ94" s="115"/>
      <c r="RA94" s="115"/>
      <c r="RB94" s="115"/>
      <c r="RC94" s="115"/>
      <c r="RD94" s="115"/>
      <c r="RE94" s="115"/>
      <c r="RF94" s="115"/>
      <c r="RG94" s="115"/>
      <c r="RH94" s="115"/>
      <c r="RI94" s="115"/>
      <c r="RJ94" s="115"/>
      <c r="RK94" s="115"/>
      <c r="RL94" s="115"/>
      <c r="RM94" s="115"/>
      <c r="RN94" s="115"/>
      <c r="RO94" s="115"/>
      <c r="RP94" s="115"/>
      <c r="RQ94" s="115"/>
      <c r="RR94" s="115"/>
      <c r="RS94" s="115"/>
      <c r="RT94" s="115"/>
      <c r="RU94" s="115"/>
      <c r="RV94" s="115"/>
      <c r="RW94" s="115"/>
      <c r="RX94" s="115"/>
      <c r="RY94" s="115"/>
      <c r="RZ94" s="115"/>
      <c r="SA94" s="115"/>
      <c r="SB94" s="115"/>
      <c r="SC94" s="115"/>
      <c r="SD94" s="115"/>
      <c r="SE94" s="115"/>
      <c r="SF94" s="115"/>
      <c r="SG94" s="115"/>
      <c r="SH94" s="115"/>
      <c r="SI94" s="115"/>
      <c r="SJ94" s="115"/>
      <c r="SK94" s="115"/>
      <c r="SL94" s="115"/>
      <c r="SM94" s="115"/>
      <c r="SN94" s="115"/>
      <c r="SO94" s="115"/>
      <c r="SP94" s="115"/>
      <c r="SQ94" s="115"/>
      <c r="SR94" s="115"/>
      <c r="SS94" s="115"/>
      <c r="ST94" s="115"/>
      <c r="SU94" s="115"/>
      <c r="SV94" s="115"/>
      <c r="SW94" s="115"/>
      <c r="SX94" s="115"/>
      <c r="SY94" s="115"/>
      <c r="SZ94" s="115"/>
    </row>
    <row r="95" spans="1:520" customFormat="1">
      <c r="C95" s="169"/>
      <c r="D95" s="6"/>
      <c r="E95" s="6"/>
      <c r="F95" s="6"/>
      <c r="G95" s="6"/>
      <c r="H95" s="81" t="s">
        <v>4378</v>
      </c>
      <c r="I95" s="29"/>
      <c r="J95" s="1"/>
      <c r="K95" s="1415" t="str">
        <f>IF(OR(K70=0,P94="",K76=0),"",P94*K76)</f>
        <v/>
      </c>
      <c r="L95" s="1415">
        <f>IF(OR(L70=0,P94="",L76=0),"",P94*L76)</f>
        <v>4</v>
      </c>
      <c r="M95" s="1415">
        <f>IF(OR(M70=0,P94="",M76=0),"",P94*M76)</f>
        <v>12</v>
      </c>
      <c r="N95" s="1415" t="str">
        <f>IF(OR(N70=0,P94="",N76=0),"",P94*N76)</f>
        <v/>
      </c>
      <c r="O95" s="1415" t="str">
        <f>IF(OR(O70=0,P94="",O76=0),"",P94*O76)</f>
        <v/>
      </c>
      <c r="P95" s="1416">
        <f>IF(OR(P94="",P76=0),"",P94*P76)</f>
        <v>16</v>
      </c>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6"/>
      <c r="BG95" s="356"/>
      <c r="BH95" s="356"/>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356"/>
      <c r="DL95" s="356"/>
      <c r="DM95" s="356"/>
      <c r="DN95" s="356"/>
      <c r="DO95" s="356"/>
      <c r="DP95" s="356"/>
      <c r="DQ95" s="356"/>
      <c r="DR95" s="356"/>
      <c r="DS95" s="356"/>
      <c r="DT95" s="356"/>
      <c r="DU95" s="356"/>
      <c r="DV95" s="356"/>
      <c r="DW95" s="356"/>
      <c r="DX95" s="356"/>
      <c r="DY95" s="356"/>
      <c r="DZ95" s="356"/>
      <c r="EA95" s="356"/>
      <c r="EB95" s="356"/>
      <c r="EC95" s="356"/>
      <c r="ED95" s="356"/>
      <c r="EE95" s="356"/>
      <c r="EF95" s="356"/>
      <c r="EG95" s="356"/>
      <c r="EH95" s="356"/>
      <c r="EI95" s="356"/>
      <c r="EJ95" s="356"/>
      <c r="EK95" s="356"/>
      <c r="EL95" s="356"/>
      <c r="EM95" s="356"/>
      <c r="EN95" s="356"/>
      <c r="EO95" s="356"/>
      <c r="EP95" s="356"/>
      <c r="EQ95" s="356"/>
      <c r="ER95" s="356"/>
      <c r="ES95" s="356"/>
      <c r="ET95" s="356"/>
      <c r="EU95" s="356"/>
      <c r="EV95" s="356"/>
      <c r="EW95" s="356"/>
      <c r="EX95" s="356"/>
      <c r="EY95" s="356"/>
      <c r="EZ95" s="356"/>
      <c r="FA95" s="356"/>
      <c r="FB95" s="356"/>
      <c r="FC95" s="356"/>
      <c r="FD95" s="356"/>
      <c r="FE95" s="356"/>
      <c r="FF95" s="356"/>
      <c r="FG95" s="356"/>
      <c r="FH95" s="356"/>
      <c r="FI95" s="356"/>
      <c r="FJ95" s="356"/>
      <c r="FK95" s="356"/>
      <c r="FL95" s="356"/>
      <c r="FM95" s="356"/>
      <c r="FN95" s="356"/>
      <c r="FO95" s="356"/>
      <c r="FP95" s="356"/>
      <c r="FQ95" s="356"/>
      <c r="FR95" s="356"/>
      <c r="FS95" s="356"/>
      <c r="FT95" s="356"/>
      <c r="FU95" s="356"/>
      <c r="FV95" s="356"/>
      <c r="FW95" s="356"/>
      <c r="FX95" s="356"/>
      <c r="FY95" s="356"/>
      <c r="FZ95" s="356"/>
      <c r="GA95" s="356"/>
      <c r="GB95" s="356"/>
      <c r="GC95" s="356"/>
      <c r="GD95" s="356"/>
      <c r="GE95" s="356"/>
      <c r="GF95" s="356"/>
      <c r="GG95" s="356"/>
      <c r="GH95" s="356"/>
      <c r="GI95" s="356"/>
      <c r="GJ95" s="356"/>
      <c r="GK95" s="356"/>
      <c r="GL95" s="356"/>
      <c r="GM95" s="356"/>
      <c r="GN95" s="356"/>
      <c r="GO95" s="356"/>
      <c r="GP95" s="356"/>
      <c r="GQ95" s="356"/>
      <c r="GR95" s="356"/>
      <c r="GS95" s="356"/>
      <c r="GT95" s="356"/>
      <c r="GU95" s="356"/>
      <c r="GV95" s="356"/>
      <c r="GW95" s="356"/>
      <c r="GX95" s="356"/>
      <c r="GY95" s="356"/>
      <c r="GZ95" s="356"/>
      <c r="HA95" s="356"/>
      <c r="HB95" s="356"/>
      <c r="HC95" s="356"/>
      <c r="HD95" s="356"/>
      <c r="HE95" s="356"/>
      <c r="HF95" s="356"/>
      <c r="HG95" s="356"/>
      <c r="HH95" s="356"/>
      <c r="HI95" s="356"/>
      <c r="HJ95" s="356"/>
      <c r="HK95" s="356"/>
      <c r="HL95" s="356"/>
      <c r="HM95" s="356"/>
      <c r="HN95" s="356"/>
      <c r="HO95" s="356"/>
      <c r="HP95" s="356"/>
      <c r="HQ95" s="356"/>
      <c r="HR95" s="356"/>
      <c r="HS95" s="356"/>
      <c r="HT95" s="356"/>
      <c r="HU95" s="356"/>
      <c r="HV95" s="356"/>
      <c r="HW95" s="356"/>
      <c r="HX95" s="356"/>
      <c r="HY95" s="356"/>
      <c r="HZ95" s="356"/>
      <c r="IA95" s="356"/>
      <c r="IB95" s="356"/>
      <c r="IC95" s="356"/>
      <c r="ID95" s="356"/>
      <c r="IE95" s="356"/>
      <c r="IF95" s="356"/>
      <c r="IG95" s="356"/>
      <c r="IH95" s="356"/>
      <c r="II95" s="356"/>
      <c r="IJ95" s="356"/>
      <c r="IK95" s="356"/>
      <c r="IL95" s="356"/>
      <c r="IM95" s="356"/>
      <c r="IN95" s="356"/>
      <c r="IO95" s="356"/>
      <c r="IP95" s="356"/>
      <c r="IQ95" s="356"/>
      <c r="IR95" s="356"/>
      <c r="IS95" s="356"/>
      <c r="IT95" s="356"/>
      <c r="IU95" s="356"/>
      <c r="IV95" s="356"/>
      <c r="IW95" s="356"/>
      <c r="IX95" s="356"/>
      <c r="IY95" s="356"/>
      <c r="IZ95" s="356"/>
      <c r="JA95" s="356"/>
      <c r="JB95" s="356"/>
      <c r="JC95" s="356"/>
      <c r="JD95" s="356"/>
      <c r="JE95" s="356"/>
      <c r="JF95" s="356"/>
      <c r="JG95" s="356"/>
      <c r="JH95" s="356"/>
      <c r="JI95" s="356"/>
      <c r="JJ95" s="356"/>
      <c r="JK95" s="356"/>
      <c r="JL95" s="356"/>
      <c r="JM95" s="356"/>
      <c r="JN95" s="356"/>
      <c r="JO95" s="356"/>
      <c r="JP95" s="356"/>
      <c r="JQ95" s="356"/>
      <c r="JR95" s="356"/>
      <c r="JS95" s="356"/>
      <c r="JT95" s="356"/>
      <c r="JU95" s="356"/>
      <c r="JV95" s="356"/>
      <c r="JW95" s="356"/>
      <c r="JX95" s="356"/>
      <c r="JY95" s="356"/>
      <c r="JZ95" s="356"/>
      <c r="KA95" s="356"/>
      <c r="KB95" s="356"/>
      <c r="KC95" s="356"/>
      <c r="KD95" s="356"/>
      <c r="KE95" s="356"/>
      <c r="KF95" s="356"/>
      <c r="KG95" s="356"/>
      <c r="KH95" s="356"/>
      <c r="KI95" s="356"/>
      <c r="KJ95" s="356"/>
      <c r="KK95" s="356"/>
      <c r="KL95" s="356"/>
      <c r="KM95" s="356"/>
      <c r="KN95" s="356"/>
      <c r="KO95" s="356"/>
      <c r="KP95" s="356"/>
      <c r="KQ95" s="356"/>
      <c r="KR95" s="356"/>
      <c r="KS95" s="356"/>
      <c r="KT95" s="356"/>
      <c r="KU95" s="356"/>
      <c r="KV95" s="356"/>
      <c r="KW95" s="356"/>
      <c r="KX95" s="356"/>
      <c r="KY95" s="356"/>
      <c r="KZ95" s="356"/>
      <c r="LA95" s="356"/>
      <c r="LB95" s="356"/>
      <c r="LC95" s="356"/>
      <c r="LD95" s="356"/>
      <c r="LE95" s="356"/>
      <c r="LF95" s="356"/>
      <c r="LG95" s="356"/>
      <c r="LH95" s="356"/>
      <c r="LI95" s="356"/>
      <c r="LJ95" s="356"/>
      <c r="LK95" s="356"/>
      <c r="LL95" s="356"/>
      <c r="LM95" s="356"/>
      <c r="LN95" s="356"/>
      <c r="LO95" s="356"/>
      <c r="LP95" s="356"/>
      <c r="LQ95" s="356"/>
      <c r="LR95" s="356"/>
      <c r="LS95" s="356"/>
      <c r="LT95" s="356"/>
      <c r="LU95" s="356"/>
      <c r="LV95" s="356"/>
      <c r="LW95" s="356"/>
      <c r="LX95" s="356"/>
      <c r="LY95" s="356"/>
      <c r="LZ95" s="356"/>
      <c r="MA95" s="356"/>
      <c r="MB95" s="356"/>
      <c r="MC95" s="356"/>
      <c r="MD95" s="356"/>
      <c r="ME95" s="356"/>
      <c r="MF95" s="356"/>
      <c r="MG95" s="356"/>
      <c r="MH95" s="356"/>
      <c r="MI95" s="356"/>
      <c r="MJ95" s="356"/>
      <c r="MK95" s="356"/>
      <c r="ML95" s="356"/>
      <c r="MM95" s="356"/>
      <c r="MN95" s="356"/>
      <c r="MO95" s="356"/>
      <c r="MP95" s="356"/>
      <c r="MQ95" s="356"/>
      <c r="MR95" s="356"/>
      <c r="MS95" s="356"/>
      <c r="MT95" s="356"/>
      <c r="MU95" s="356"/>
      <c r="MV95" s="356"/>
      <c r="MW95" s="356"/>
      <c r="MX95" s="356"/>
      <c r="MY95" s="356"/>
      <c r="MZ95" s="356"/>
      <c r="NA95" s="356"/>
      <c r="NB95" s="356"/>
      <c r="NC95" s="356"/>
      <c r="ND95" s="356"/>
      <c r="NE95" s="356"/>
      <c r="NF95" s="356"/>
      <c r="NG95" s="356"/>
      <c r="NH95" s="356"/>
      <c r="NI95" s="356"/>
      <c r="NJ95" s="356"/>
      <c r="NK95" s="356"/>
      <c r="NL95" s="356"/>
      <c r="NM95" s="356"/>
      <c r="NN95" s="356"/>
      <c r="NO95" s="356"/>
      <c r="NP95" s="356"/>
      <c r="NQ95" s="356"/>
      <c r="NR95" s="356"/>
      <c r="NS95" s="356"/>
      <c r="NT95" s="356"/>
      <c r="NU95" s="356"/>
      <c r="NV95" s="356"/>
      <c r="NW95" s="356"/>
      <c r="NX95" s="356"/>
      <c r="NY95" s="356"/>
      <c r="NZ95" s="356"/>
      <c r="OA95" s="356"/>
      <c r="OB95" s="356"/>
      <c r="OC95" s="356"/>
      <c r="OD95" s="356"/>
      <c r="OE95" s="356"/>
      <c r="OF95" s="356"/>
      <c r="OG95" s="356"/>
      <c r="OH95" s="356"/>
      <c r="OI95" s="356"/>
      <c r="OJ95" s="356"/>
      <c r="OK95" s="356"/>
      <c r="OL95" s="356"/>
      <c r="OM95" s="356"/>
      <c r="ON95" s="356"/>
      <c r="OO95" s="356"/>
      <c r="OP95" s="356"/>
      <c r="OQ95" s="356"/>
      <c r="OR95" s="356"/>
      <c r="OS95" s="356"/>
      <c r="OT95" s="356"/>
      <c r="OU95" s="356"/>
      <c r="OV95" s="115"/>
      <c r="OW95" s="115"/>
      <c r="OX95" s="115"/>
      <c r="OY95" s="2499"/>
      <c r="OZ95" s="2504">
        <v>91</v>
      </c>
      <c r="PA95" s="115"/>
      <c r="PB95" s="115"/>
      <c r="PC95" s="115"/>
      <c r="PD95" s="115"/>
      <c r="PE95" s="115"/>
      <c r="PF95" s="115"/>
      <c r="PG95" s="115"/>
      <c r="PH95" s="115"/>
      <c r="PI95" s="115"/>
      <c r="PJ95" s="115"/>
      <c r="PK95" s="115"/>
      <c r="PL95" s="115"/>
      <c r="PM95" s="115"/>
      <c r="PN95" s="115"/>
      <c r="PO95" s="115"/>
      <c r="PP95" s="115"/>
      <c r="PQ95" s="115"/>
      <c r="PR95" s="115"/>
      <c r="PS95" s="115"/>
      <c r="PT95" s="115"/>
      <c r="PU95" s="115"/>
      <c r="PV95" s="115"/>
      <c r="PW95" s="115"/>
      <c r="PX95" s="115"/>
      <c r="PY95" s="115"/>
      <c r="PZ95" s="115"/>
      <c r="QA95" s="115"/>
      <c r="QB95" s="115"/>
      <c r="QC95" s="115"/>
      <c r="QD95" s="115"/>
      <c r="QE95" s="115"/>
      <c r="QF95" s="115"/>
      <c r="QG95" s="115"/>
      <c r="QH95" s="115"/>
      <c r="QI95" s="115"/>
      <c r="QJ95" s="115"/>
      <c r="QK95" s="115"/>
      <c r="QL95" s="115"/>
      <c r="QM95" s="115"/>
      <c r="QN95" s="115"/>
      <c r="QO95" s="115"/>
      <c r="QP95" s="115"/>
      <c r="QQ95" s="115"/>
      <c r="QR95" s="115"/>
      <c r="QS95" s="115"/>
      <c r="QT95" s="115"/>
      <c r="QU95" s="115"/>
      <c r="QV95" s="115"/>
      <c r="QW95" s="115"/>
      <c r="QX95" s="115"/>
      <c r="QY95" s="115"/>
      <c r="QZ95" s="115"/>
      <c r="RA95" s="115"/>
      <c r="RB95" s="115"/>
      <c r="RC95" s="115"/>
      <c r="RD95" s="115"/>
      <c r="RE95" s="115"/>
      <c r="RF95" s="115"/>
      <c r="RG95" s="115"/>
      <c r="RH95" s="115"/>
      <c r="RI95" s="115"/>
      <c r="RJ95" s="115"/>
      <c r="RK95" s="115"/>
      <c r="RL95" s="115"/>
      <c r="RM95" s="115"/>
      <c r="RN95" s="115"/>
      <c r="RO95" s="115"/>
      <c r="RP95" s="115"/>
      <c r="RQ95" s="115"/>
      <c r="RR95" s="115"/>
      <c r="RS95" s="115"/>
      <c r="RT95" s="115"/>
      <c r="RU95" s="115"/>
      <c r="RV95" s="115"/>
      <c r="RW95" s="115"/>
      <c r="RX95" s="115"/>
      <c r="RY95" s="115"/>
      <c r="RZ95" s="115"/>
      <c r="SA95" s="115"/>
      <c r="SB95" s="115"/>
      <c r="SC95" s="115"/>
      <c r="SD95" s="115"/>
      <c r="SE95" s="115"/>
      <c r="SF95" s="115"/>
      <c r="SG95" s="115"/>
      <c r="SH95" s="115"/>
      <c r="SI95" s="115"/>
      <c r="SJ95" s="115"/>
      <c r="SK95" s="115"/>
      <c r="SL95" s="115"/>
      <c r="SM95" s="115"/>
      <c r="SN95" s="115"/>
      <c r="SO95" s="115"/>
      <c r="SP95" s="115"/>
      <c r="SQ95" s="115"/>
      <c r="SR95" s="115"/>
      <c r="SS95" s="115"/>
      <c r="ST95" s="115"/>
      <c r="SU95" s="115"/>
      <c r="SV95" s="115"/>
      <c r="SW95" s="115"/>
      <c r="SX95" s="115"/>
      <c r="SY95" s="115"/>
      <c r="SZ95" s="115"/>
    </row>
    <row r="96" spans="1:520" customFormat="1">
      <c r="C96" s="169"/>
      <c r="D96" s="6"/>
      <c r="E96" s="6"/>
      <c r="F96" s="6"/>
      <c r="G96" s="1410"/>
      <c r="H96" s="1368" t="s">
        <v>4379</v>
      </c>
      <c r="I96" s="1336"/>
      <c r="J96" s="1"/>
      <c r="K96" s="1417" t="str">
        <f t="shared" ref="K96:P96" si="664">IF(OR(K95="",K70=0),"", K70-K95)</f>
        <v/>
      </c>
      <c r="L96" s="1417">
        <f t="shared" si="664"/>
        <v>0</v>
      </c>
      <c r="M96" s="1417">
        <f t="shared" si="664"/>
        <v>0</v>
      </c>
      <c r="N96" s="1417" t="str">
        <f t="shared" si="664"/>
        <v/>
      </c>
      <c r="O96" s="1417" t="str">
        <f t="shared" si="664"/>
        <v/>
      </c>
      <c r="P96" s="1417">
        <f t="shared" si="664"/>
        <v>0</v>
      </c>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356"/>
      <c r="BF96" s="356"/>
      <c r="BG96" s="356"/>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356"/>
      <c r="DL96" s="356"/>
      <c r="DM96" s="356"/>
      <c r="DN96" s="356"/>
      <c r="DO96" s="356"/>
      <c r="DP96" s="356"/>
      <c r="DQ96" s="356"/>
      <c r="DR96" s="356"/>
      <c r="DS96" s="356"/>
      <c r="DT96" s="356"/>
      <c r="DU96" s="356"/>
      <c r="DV96" s="356"/>
      <c r="DW96" s="356"/>
      <c r="DX96" s="356"/>
      <c r="DY96" s="356"/>
      <c r="DZ96" s="356"/>
      <c r="EA96" s="356"/>
      <c r="EB96" s="356"/>
      <c r="EC96" s="356"/>
      <c r="ED96" s="356"/>
      <c r="EE96" s="356"/>
      <c r="EF96" s="356"/>
      <c r="EG96" s="356"/>
      <c r="EH96" s="356"/>
      <c r="EI96" s="356"/>
      <c r="EJ96" s="356"/>
      <c r="EK96" s="356"/>
      <c r="EL96" s="356"/>
      <c r="EM96" s="356"/>
      <c r="EN96" s="356"/>
      <c r="EO96" s="356"/>
      <c r="EP96" s="356"/>
      <c r="EQ96" s="356"/>
      <c r="ER96" s="356"/>
      <c r="ES96" s="356"/>
      <c r="ET96" s="356"/>
      <c r="EU96" s="356"/>
      <c r="EV96" s="356"/>
      <c r="EW96" s="356"/>
      <c r="EX96" s="356"/>
      <c r="EY96" s="356"/>
      <c r="EZ96" s="356"/>
      <c r="FA96" s="356"/>
      <c r="FB96" s="356"/>
      <c r="FC96" s="356"/>
      <c r="FD96" s="356"/>
      <c r="FE96" s="356"/>
      <c r="FF96" s="356"/>
      <c r="FG96" s="356"/>
      <c r="FH96" s="356"/>
      <c r="FI96" s="356"/>
      <c r="FJ96" s="356"/>
      <c r="FK96" s="356"/>
      <c r="FL96" s="356"/>
      <c r="FM96" s="356"/>
      <c r="FN96" s="356"/>
      <c r="FO96" s="356"/>
      <c r="FP96" s="356"/>
      <c r="FQ96" s="356"/>
      <c r="FR96" s="356"/>
      <c r="FS96" s="356"/>
      <c r="FT96" s="356"/>
      <c r="FU96" s="356"/>
      <c r="FV96" s="356"/>
      <c r="FW96" s="356"/>
      <c r="FX96" s="356"/>
      <c r="FY96" s="356"/>
      <c r="FZ96" s="356"/>
      <c r="GA96" s="356"/>
      <c r="GB96" s="356"/>
      <c r="GC96" s="356"/>
      <c r="GD96" s="356"/>
      <c r="GE96" s="356"/>
      <c r="GF96" s="356"/>
      <c r="GG96" s="356"/>
      <c r="GH96" s="356"/>
      <c r="GI96" s="356"/>
      <c r="GJ96" s="356"/>
      <c r="GK96" s="356"/>
      <c r="GL96" s="356"/>
      <c r="GM96" s="356"/>
      <c r="GN96" s="356"/>
      <c r="GO96" s="356"/>
      <c r="GP96" s="356"/>
      <c r="GQ96" s="356"/>
      <c r="GR96" s="356"/>
      <c r="GS96" s="356"/>
      <c r="GT96" s="356"/>
      <c r="GU96" s="356"/>
      <c r="GV96" s="356"/>
      <c r="GW96" s="356"/>
      <c r="GX96" s="356"/>
      <c r="GY96" s="356"/>
      <c r="GZ96" s="356"/>
      <c r="HA96" s="356"/>
      <c r="HB96" s="356"/>
      <c r="HC96" s="356"/>
      <c r="HD96" s="356"/>
      <c r="HE96" s="356"/>
      <c r="HF96" s="356"/>
      <c r="HG96" s="356"/>
      <c r="HH96" s="356"/>
      <c r="HI96" s="356"/>
      <c r="HJ96" s="356"/>
      <c r="HK96" s="356"/>
      <c r="HL96" s="356"/>
      <c r="HM96" s="356"/>
      <c r="HN96" s="356"/>
      <c r="HO96" s="356"/>
      <c r="HP96" s="356"/>
      <c r="HQ96" s="356"/>
      <c r="HR96" s="356"/>
      <c r="HS96" s="356"/>
      <c r="HT96" s="356"/>
      <c r="HU96" s="356"/>
      <c r="HV96" s="356"/>
      <c r="HW96" s="356"/>
      <c r="HX96" s="356"/>
      <c r="HY96" s="356"/>
      <c r="HZ96" s="356"/>
      <c r="IA96" s="356"/>
      <c r="IB96" s="356"/>
      <c r="IC96" s="356"/>
      <c r="ID96" s="356"/>
      <c r="IE96" s="356"/>
      <c r="IF96" s="356"/>
      <c r="IG96" s="356"/>
      <c r="IH96" s="356"/>
      <c r="II96" s="356"/>
      <c r="IJ96" s="356"/>
      <c r="IK96" s="356"/>
      <c r="IL96" s="356"/>
      <c r="IM96" s="356"/>
      <c r="IN96" s="356"/>
      <c r="IO96" s="356"/>
      <c r="IP96" s="356"/>
      <c r="IQ96" s="356"/>
      <c r="IR96" s="356"/>
      <c r="IS96" s="356"/>
      <c r="IT96" s="356"/>
      <c r="IU96" s="356"/>
      <c r="IV96" s="356"/>
      <c r="IW96" s="356"/>
      <c r="IX96" s="356"/>
      <c r="IY96" s="356"/>
      <c r="IZ96" s="356"/>
      <c r="JA96" s="356"/>
      <c r="JB96" s="356"/>
      <c r="JC96" s="356"/>
      <c r="JD96" s="356"/>
      <c r="JE96" s="356"/>
      <c r="JF96" s="356"/>
      <c r="JG96" s="356"/>
      <c r="JH96" s="356"/>
      <c r="JI96" s="356"/>
      <c r="JJ96" s="356"/>
      <c r="JK96" s="356"/>
      <c r="JL96" s="356"/>
      <c r="JM96" s="356"/>
      <c r="JN96" s="356"/>
      <c r="JO96" s="356"/>
      <c r="JP96" s="356"/>
      <c r="JQ96" s="356"/>
      <c r="JR96" s="356"/>
      <c r="JS96" s="356"/>
      <c r="JT96" s="356"/>
      <c r="JU96" s="356"/>
      <c r="JV96" s="356"/>
      <c r="JW96" s="356"/>
      <c r="JX96" s="356"/>
      <c r="JY96" s="356"/>
      <c r="JZ96" s="356"/>
      <c r="KA96" s="356"/>
      <c r="KB96" s="356"/>
      <c r="KC96" s="356"/>
      <c r="KD96" s="356"/>
      <c r="KE96" s="356"/>
      <c r="KF96" s="356"/>
      <c r="KG96" s="356"/>
      <c r="KH96" s="356"/>
      <c r="KI96" s="356"/>
      <c r="KJ96" s="356"/>
      <c r="KK96" s="356"/>
      <c r="KL96" s="356"/>
      <c r="KM96" s="356"/>
      <c r="KN96" s="356"/>
      <c r="KO96" s="356"/>
      <c r="KP96" s="356"/>
      <c r="KQ96" s="356"/>
      <c r="KR96" s="356"/>
      <c r="KS96" s="356"/>
      <c r="KT96" s="356"/>
      <c r="KU96" s="356"/>
      <c r="KV96" s="356"/>
      <c r="KW96" s="356"/>
      <c r="KX96" s="356"/>
      <c r="KY96" s="356"/>
      <c r="KZ96" s="356"/>
      <c r="LA96" s="356"/>
      <c r="LB96" s="356"/>
      <c r="LC96" s="356"/>
      <c r="LD96" s="356"/>
      <c r="LE96" s="356"/>
      <c r="LF96" s="356"/>
      <c r="LG96" s="356"/>
      <c r="LH96" s="356"/>
      <c r="LI96" s="356"/>
      <c r="LJ96" s="356"/>
      <c r="LK96" s="356"/>
      <c r="LL96" s="356"/>
      <c r="LM96" s="356"/>
      <c r="LN96" s="356"/>
      <c r="LO96" s="356"/>
      <c r="LP96" s="356"/>
      <c r="LQ96" s="356"/>
      <c r="LR96" s="356"/>
      <c r="LS96" s="356"/>
      <c r="LT96" s="356"/>
      <c r="LU96" s="356"/>
      <c r="LV96" s="356"/>
      <c r="LW96" s="356"/>
      <c r="LX96" s="356"/>
      <c r="LY96" s="356"/>
      <c r="LZ96" s="356"/>
      <c r="MA96" s="356"/>
      <c r="MB96" s="356"/>
      <c r="MC96" s="356"/>
      <c r="MD96" s="356"/>
      <c r="ME96" s="356"/>
      <c r="MF96" s="356"/>
      <c r="MG96" s="356"/>
      <c r="MH96" s="356"/>
      <c r="MI96" s="356"/>
      <c r="MJ96" s="356"/>
      <c r="MK96" s="356"/>
      <c r="ML96" s="356"/>
      <c r="MM96" s="356"/>
      <c r="MN96" s="356"/>
      <c r="MO96" s="356"/>
      <c r="MP96" s="356"/>
      <c r="MQ96" s="356"/>
      <c r="MR96" s="356"/>
      <c r="MS96" s="356"/>
      <c r="MT96" s="356"/>
      <c r="MU96" s="356"/>
      <c r="MV96" s="356"/>
      <c r="MW96" s="356"/>
      <c r="MX96" s="356"/>
      <c r="MY96" s="356"/>
      <c r="MZ96" s="356"/>
      <c r="NA96" s="356"/>
      <c r="NB96" s="356"/>
      <c r="NC96" s="356"/>
      <c r="ND96" s="356"/>
      <c r="NE96" s="356"/>
      <c r="NF96" s="356"/>
      <c r="NG96" s="356"/>
      <c r="NH96" s="356"/>
      <c r="NI96" s="356"/>
      <c r="NJ96" s="356"/>
      <c r="NK96" s="356"/>
      <c r="NL96" s="356"/>
      <c r="NM96" s="356"/>
      <c r="NN96" s="356"/>
      <c r="NO96" s="356"/>
      <c r="NP96" s="356"/>
      <c r="NQ96" s="356"/>
      <c r="NR96" s="356"/>
      <c r="NS96" s="356"/>
      <c r="NT96" s="356"/>
      <c r="NU96" s="356"/>
      <c r="NV96" s="356"/>
      <c r="NW96" s="356"/>
      <c r="NX96" s="356"/>
      <c r="NY96" s="356"/>
      <c r="NZ96" s="356"/>
      <c r="OA96" s="356"/>
      <c r="OB96" s="356"/>
      <c r="OC96" s="356"/>
      <c r="OD96" s="356"/>
      <c r="OE96" s="356"/>
      <c r="OF96" s="356"/>
      <c r="OG96" s="356"/>
      <c r="OH96" s="356"/>
      <c r="OI96" s="356"/>
      <c r="OJ96" s="356"/>
      <c r="OK96" s="356"/>
      <c r="OL96" s="356"/>
      <c r="OM96" s="356"/>
      <c r="ON96" s="356"/>
      <c r="OO96" s="356"/>
      <c r="OP96" s="356"/>
      <c r="OQ96" s="356"/>
      <c r="OR96" s="356"/>
      <c r="OS96" s="356"/>
      <c r="OT96" s="356"/>
      <c r="OU96" s="356"/>
      <c r="OV96" s="115"/>
      <c r="OW96" s="115"/>
      <c r="OX96" s="115"/>
      <c r="OY96" s="2499"/>
      <c r="OZ96" s="2504">
        <v>92</v>
      </c>
      <c r="PA96" s="115"/>
      <c r="PB96" s="115"/>
      <c r="PC96" s="115"/>
      <c r="PD96" s="115"/>
      <c r="PE96" s="115"/>
      <c r="PF96" s="115"/>
      <c r="PG96" s="115"/>
      <c r="PH96" s="115"/>
      <c r="PI96" s="115"/>
      <c r="PJ96" s="115"/>
      <c r="PK96" s="115"/>
      <c r="PL96" s="115"/>
      <c r="PM96" s="115"/>
      <c r="PN96" s="115"/>
      <c r="PO96" s="115"/>
      <c r="PP96" s="115"/>
      <c r="PQ96" s="115"/>
      <c r="PR96" s="115"/>
      <c r="PS96" s="115"/>
      <c r="PT96" s="115"/>
      <c r="PU96" s="115"/>
      <c r="PV96" s="115"/>
      <c r="PW96" s="115"/>
      <c r="PX96" s="115"/>
      <c r="PY96" s="115"/>
      <c r="PZ96" s="115"/>
      <c r="QA96" s="115"/>
      <c r="QB96" s="115"/>
      <c r="QC96" s="115"/>
      <c r="QD96" s="115"/>
      <c r="QE96" s="115"/>
      <c r="QF96" s="115"/>
      <c r="QG96" s="115"/>
      <c r="QH96" s="115"/>
      <c r="QI96" s="115"/>
      <c r="QJ96" s="115"/>
      <c r="QK96" s="115"/>
      <c r="QL96" s="115"/>
      <c r="QM96" s="115"/>
      <c r="QN96" s="115"/>
      <c r="QO96" s="115"/>
      <c r="QP96" s="115"/>
      <c r="QQ96" s="115"/>
      <c r="QR96" s="115"/>
      <c r="QS96" s="115"/>
      <c r="QT96" s="115"/>
      <c r="QU96" s="115"/>
      <c r="QV96" s="115"/>
      <c r="QW96" s="115"/>
      <c r="QX96" s="115"/>
      <c r="QY96" s="115"/>
      <c r="QZ96" s="115"/>
      <c r="RA96" s="115"/>
      <c r="RB96" s="115"/>
      <c r="RC96" s="115"/>
      <c r="RD96" s="115"/>
      <c r="RE96" s="115"/>
      <c r="RF96" s="115"/>
      <c r="RG96" s="115"/>
      <c r="RH96" s="115"/>
      <c r="RI96" s="115"/>
      <c r="RJ96" s="115"/>
      <c r="RK96" s="115"/>
      <c r="RL96" s="115"/>
      <c r="RM96" s="115"/>
      <c r="RN96" s="115"/>
      <c r="RO96" s="115"/>
      <c r="RP96" s="115"/>
      <c r="RQ96" s="115"/>
      <c r="RR96" s="115"/>
      <c r="RS96" s="115"/>
      <c r="RT96" s="115"/>
      <c r="RU96" s="115"/>
      <c r="RV96" s="115"/>
      <c r="RW96" s="115"/>
      <c r="RX96" s="115"/>
      <c r="RY96" s="115"/>
      <c r="RZ96" s="115"/>
      <c r="SA96" s="115"/>
      <c r="SB96" s="115"/>
      <c r="SC96" s="115"/>
      <c r="SD96" s="115"/>
      <c r="SE96" s="115"/>
      <c r="SF96" s="115"/>
      <c r="SG96" s="115"/>
      <c r="SH96" s="115"/>
      <c r="SI96" s="115"/>
      <c r="SJ96" s="115"/>
      <c r="SK96" s="115"/>
      <c r="SL96" s="115"/>
      <c r="SM96" s="115"/>
      <c r="SN96" s="115"/>
      <c r="SO96" s="115"/>
      <c r="SP96" s="115"/>
      <c r="SQ96" s="115"/>
      <c r="SR96" s="115"/>
      <c r="SS96" s="115"/>
      <c r="ST96" s="115"/>
      <c r="SU96" s="115"/>
      <c r="SV96" s="115"/>
      <c r="SW96" s="115"/>
      <c r="SX96" s="115"/>
      <c r="SY96" s="115"/>
      <c r="SZ96" s="115"/>
    </row>
    <row r="97" spans="1:520" customFormat="1">
      <c r="C97" s="169" t="s">
        <v>3933</v>
      </c>
      <c r="D97" s="6"/>
      <c r="E97" s="6"/>
      <c r="F97" s="6"/>
      <c r="G97" s="6"/>
      <c r="H97" s="81" t="s">
        <v>3558</v>
      </c>
      <c r="I97" s="29"/>
      <c r="J97" s="1"/>
      <c r="K97" s="1363" t="str">
        <f t="shared" ref="K97:P97" si="665">IF(OR(K71=0,K76=0),"",K71/K76)</f>
        <v/>
      </c>
      <c r="L97" s="1364" t="str">
        <f t="shared" si="665"/>
        <v/>
      </c>
      <c r="M97" s="1364" t="str">
        <f t="shared" si="665"/>
        <v/>
      </c>
      <c r="N97" s="1364" t="str">
        <f t="shared" si="665"/>
        <v/>
      </c>
      <c r="O97" s="1364" t="str">
        <f t="shared" si="665"/>
        <v/>
      </c>
      <c r="P97" s="1365" t="str">
        <f t="shared" si="665"/>
        <v/>
      </c>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356"/>
      <c r="BF97" s="356"/>
      <c r="BG97" s="356"/>
      <c r="BH97" s="356"/>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356"/>
      <c r="DL97" s="356"/>
      <c r="DM97" s="356"/>
      <c r="DN97" s="356"/>
      <c r="DO97" s="356"/>
      <c r="DP97" s="356"/>
      <c r="DQ97" s="356"/>
      <c r="DR97" s="356"/>
      <c r="DS97" s="356"/>
      <c r="DT97" s="356"/>
      <c r="DU97" s="356"/>
      <c r="DV97" s="356"/>
      <c r="DW97" s="356"/>
      <c r="DX97" s="356"/>
      <c r="DY97" s="356"/>
      <c r="DZ97" s="356"/>
      <c r="EA97" s="356"/>
      <c r="EB97" s="356"/>
      <c r="EC97" s="356"/>
      <c r="ED97" s="356"/>
      <c r="EE97" s="356"/>
      <c r="EF97" s="356"/>
      <c r="EG97" s="356"/>
      <c r="EH97" s="356"/>
      <c r="EI97" s="356"/>
      <c r="EJ97" s="356"/>
      <c r="EK97" s="356"/>
      <c r="EL97" s="356"/>
      <c r="EM97" s="356"/>
      <c r="EN97" s="356"/>
      <c r="EO97" s="356"/>
      <c r="EP97" s="356"/>
      <c r="EQ97" s="356"/>
      <c r="ER97" s="356"/>
      <c r="ES97" s="356"/>
      <c r="ET97" s="356"/>
      <c r="EU97" s="356"/>
      <c r="EV97" s="356"/>
      <c r="EW97" s="356"/>
      <c r="EX97" s="356"/>
      <c r="EY97" s="356"/>
      <c r="EZ97" s="356"/>
      <c r="FA97" s="356"/>
      <c r="FB97" s="356"/>
      <c r="FC97" s="356"/>
      <c r="FD97" s="356"/>
      <c r="FE97" s="356"/>
      <c r="FF97" s="356"/>
      <c r="FG97" s="356"/>
      <c r="FH97" s="356"/>
      <c r="FI97" s="356"/>
      <c r="FJ97" s="356"/>
      <c r="FK97" s="356"/>
      <c r="FL97" s="356"/>
      <c r="FM97" s="356"/>
      <c r="FN97" s="356"/>
      <c r="FO97" s="356"/>
      <c r="FP97" s="356"/>
      <c r="FQ97" s="356"/>
      <c r="FR97" s="356"/>
      <c r="FS97" s="356"/>
      <c r="FT97" s="356"/>
      <c r="FU97" s="356"/>
      <c r="FV97" s="356"/>
      <c r="FW97" s="356"/>
      <c r="FX97" s="356"/>
      <c r="FY97" s="356"/>
      <c r="FZ97" s="356"/>
      <c r="GA97" s="356"/>
      <c r="GB97" s="356"/>
      <c r="GC97" s="356"/>
      <c r="GD97" s="356"/>
      <c r="GE97" s="356"/>
      <c r="GF97" s="356"/>
      <c r="GG97" s="356"/>
      <c r="GH97" s="356"/>
      <c r="GI97" s="356"/>
      <c r="GJ97" s="356"/>
      <c r="GK97" s="356"/>
      <c r="GL97" s="356"/>
      <c r="GM97" s="356"/>
      <c r="GN97" s="356"/>
      <c r="GO97" s="356"/>
      <c r="GP97" s="356"/>
      <c r="GQ97" s="356"/>
      <c r="GR97" s="356"/>
      <c r="GS97" s="356"/>
      <c r="GT97" s="356"/>
      <c r="GU97" s="356"/>
      <c r="GV97" s="356"/>
      <c r="GW97" s="356"/>
      <c r="GX97" s="356"/>
      <c r="GY97" s="356"/>
      <c r="GZ97" s="356"/>
      <c r="HA97" s="356"/>
      <c r="HB97" s="356"/>
      <c r="HC97" s="356"/>
      <c r="HD97" s="356"/>
      <c r="HE97" s="356"/>
      <c r="HF97" s="356"/>
      <c r="HG97" s="356"/>
      <c r="HH97" s="356"/>
      <c r="HI97" s="356"/>
      <c r="HJ97" s="356"/>
      <c r="HK97" s="356"/>
      <c r="HL97" s="356"/>
      <c r="HM97" s="356"/>
      <c r="HN97" s="356"/>
      <c r="HO97" s="356"/>
      <c r="HP97" s="356"/>
      <c r="HQ97" s="356"/>
      <c r="HR97" s="356"/>
      <c r="HS97" s="356"/>
      <c r="HT97" s="356"/>
      <c r="HU97" s="356"/>
      <c r="HV97" s="356"/>
      <c r="HW97" s="356"/>
      <c r="HX97" s="356"/>
      <c r="HY97" s="356"/>
      <c r="HZ97" s="356"/>
      <c r="IA97" s="356"/>
      <c r="IB97" s="356"/>
      <c r="IC97" s="356"/>
      <c r="ID97" s="356"/>
      <c r="IE97" s="356"/>
      <c r="IF97" s="356"/>
      <c r="IG97" s="356"/>
      <c r="IH97" s="356"/>
      <c r="II97" s="356"/>
      <c r="IJ97" s="356"/>
      <c r="IK97" s="356"/>
      <c r="IL97" s="356"/>
      <c r="IM97" s="356"/>
      <c r="IN97" s="356"/>
      <c r="IO97" s="356"/>
      <c r="IP97" s="356"/>
      <c r="IQ97" s="356"/>
      <c r="IR97" s="356"/>
      <c r="IS97" s="356"/>
      <c r="IT97" s="356"/>
      <c r="IU97" s="356"/>
      <c r="IV97" s="356"/>
      <c r="IW97" s="356"/>
      <c r="IX97" s="356"/>
      <c r="IY97" s="356"/>
      <c r="IZ97" s="356"/>
      <c r="JA97" s="356"/>
      <c r="JB97" s="356"/>
      <c r="JC97" s="356"/>
      <c r="JD97" s="356"/>
      <c r="JE97" s="356"/>
      <c r="JF97" s="356"/>
      <c r="JG97" s="356"/>
      <c r="JH97" s="356"/>
      <c r="JI97" s="356"/>
      <c r="JJ97" s="356"/>
      <c r="JK97" s="356"/>
      <c r="JL97" s="356"/>
      <c r="JM97" s="356"/>
      <c r="JN97" s="356"/>
      <c r="JO97" s="356"/>
      <c r="JP97" s="356"/>
      <c r="JQ97" s="356"/>
      <c r="JR97" s="356"/>
      <c r="JS97" s="356"/>
      <c r="JT97" s="356"/>
      <c r="JU97" s="356"/>
      <c r="JV97" s="356"/>
      <c r="JW97" s="356"/>
      <c r="JX97" s="356"/>
      <c r="JY97" s="356"/>
      <c r="JZ97" s="356"/>
      <c r="KA97" s="356"/>
      <c r="KB97" s="356"/>
      <c r="KC97" s="356"/>
      <c r="KD97" s="356"/>
      <c r="KE97" s="356"/>
      <c r="KF97" s="356"/>
      <c r="KG97" s="356"/>
      <c r="KH97" s="356"/>
      <c r="KI97" s="356"/>
      <c r="KJ97" s="356"/>
      <c r="KK97" s="356"/>
      <c r="KL97" s="356"/>
      <c r="KM97" s="356"/>
      <c r="KN97" s="356"/>
      <c r="KO97" s="356"/>
      <c r="KP97" s="356"/>
      <c r="KQ97" s="356"/>
      <c r="KR97" s="356"/>
      <c r="KS97" s="356"/>
      <c r="KT97" s="356"/>
      <c r="KU97" s="356"/>
      <c r="KV97" s="356"/>
      <c r="KW97" s="356"/>
      <c r="KX97" s="356"/>
      <c r="KY97" s="356"/>
      <c r="KZ97" s="356"/>
      <c r="LA97" s="356"/>
      <c r="LB97" s="356"/>
      <c r="LC97" s="356"/>
      <c r="LD97" s="356"/>
      <c r="LE97" s="356"/>
      <c r="LF97" s="356"/>
      <c r="LG97" s="356"/>
      <c r="LH97" s="356"/>
      <c r="LI97" s="356"/>
      <c r="LJ97" s="356"/>
      <c r="LK97" s="356"/>
      <c r="LL97" s="356"/>
      <c r="LM97" s="356"/>
      <c r="LN97" s="356"/>
      <c r="LO97" s="356"/>
      <c r="LP97" s="356"/>
      <c r="LQ97" s="356"/>
      <c r="LR97" s="356"/>
      <c r="LS97" s="356"/>
      <c r="LT97" s="356"/>
      <c r="LU97" s="356"/>
      <c r="LV97" s="356"/>
      <c r="LW97" s="356"/>
      <c r="LX97" s="356"/>
      <c r="LY97" s="356"/>
      <c r="LZ97" s="356"/>
      <c r="MA97" s="356"/>
      <c r="MB97" s="356"/>
      <c r="MC97" s="356"/>
      <c r="MD97" s="356"/>
      <c r="ME97" s="356"/>
      <c r="MF97" s="356"/>
      <c r="MG97" s="356"/>
      <c r="MH97" s="356"/>
      <c r="MI97" s="356"/>
      <c r="MJ97" s="356"/>
      <c r="MK97" s="356"/>
      <c r="ML97" s="356"/>
      <c r="MM97" s="356"/>
      <c r="MN97" s="356"/>
      <c r="MO97" s="356"/>
      <c r="MP97" s="356"/>
      <c r="MQ97" s="356"/>
      <c r="MR97" s="356"/>
      <c r="MS97" s="356"/>
      <c r="MT97" s="356"/>
      <c r="MU97" s="356"/>
      <c r="MV97" s="356"/>
      <c r="MW97" s="356"/>
      <c r="MX97" s="356"/>
      <c r="MY97" s="356"/>
      <c r="MZ97" s="356"/>
      <c r="NA97" s="356"/>
      <c r="NB97" s="356"/>
      <c r="NC97" s="356"/>
      <c r="ND97" s="356"/>
      <c r="NE97" s="356"/>
      <c r="NF97" s="356"/>
      <c r="NG97" s="356"/>
      <c r="NH97" s="356"/>
      <c r="NI97" s="356"/>
      <c r="NJ97" s="356"/>
      <c r="NK97" s="356"/>
      <c r="NL97" s="356"/>
      <c r="NM97" s="356"/>
      <c r="NN97" s="356"/>
      <c r="NO97" s="356"/>
      <c r="NP97" s="356"/>
      <c r="NQ97" s="356"/>
      <c r="NR97" s="356"/>
      <c r="NS97" s="356"/>
      <c r="NT97" s="356"/>
      <c r="NU97" s="356"/>
      <c r="NV97" s="356"/>
      <c r="NW97" s="356"/>
      <c r="NX97" s="356"/>
      <c r="NY97" s="356"/>
      <c r="NZ97" s="356"/>
      <c r="OA97" s="356"/>
      <c r="OB97" s="356"/>
      <c r="OC97" s="356"/>
      <c r="OD97" s="356"/>
      <c r="OE97" s="356"/>
      <c r="OF97" s="356"/>
      <c r="OG97" s="356"/>
      <c r="OH97" s="356"/>
      <c r="OI97" s="356"/>
      <c r="OJ97" s="356"/>
      <c r="OK97" s="356"/>
      <c r="OL97" s="356"/>
      <c r="OM97" s="356"/>
      <c r="ON97" s="356"/>
      <c r="OO97" s="356"/>
      <c r="OP97" s="356"/>
      <c r="OQ97" s="356"/>
      <c r="OR97" s="356"/>
      <c r="OS97" s="356"/>
      <c r="OT97" s="356"/>
      <c r="OU97" s="356"/>
      <c r="OV97" s="115"/>
      <c r="OW97" s="115"/>
      <c r="OX97" s="115"/>
      <c r="OY97" s="2499"/>
      <c r="OZ97" s="2504">
        <v>93</v>
      </c>
      <c r="PA97" s="115"/>
      <c r="PB97" s="115"/>
      <c r="PC97" s="115"/>
      <c r="PD97" s="115"/>
      <c r="PE97" s="115"/>
      <c r="PF97" s="115"/>
      <c r="PG97" s="115"/>
      <c r="PH97" s="115"/>
      <c r="PI97" s="115"/>
      <c r="PJ97" s="115"/>
      <c r="PK97" s="115"/>
      <c r="PL97" s="115"/>
      <c r="PM97" s="115"/>
      <c r="PN97" s="115"/>
      <c r="PO97" s="115"/>
      <c r="PP97" s="115"/>
      <c r="PQ97" s="115"/>
      <c r="PR97" s="115"/>
      <c r="PS97" s="115"/>
      <c r="PT97" s="115"/>
      <c r="PU97" s="115"/>
      <c r="PV97" s="115"/>
      <c r="PW97" s="115"/>
      <c r="PX97" s="115"/>
      <c r="PY97" s="115"/>
      <c r="PZ97" s="115"/>
      <c r="QA97" s="115"/>
      <c r="QB97" s="115"/>
      <c r="QC97" s="115"/>
      <c r="QD97" s="115"/>
      <c r="QE97" s="115"/>
      <c r="QF97" s="115"/>
      <c r="QG97" s="115"/>
      <c r="QH97" s="115"/>
      <c r="QI97" s="115"/>
      <c r="QJ97" s="115"/>
      <c r="QK97" s="115"/>
      <c r="QL97" s="115"/>
      <c r="QM97" s="115"/>
      <c r="QN97" s="115"/>
      <c r="QO97" s="115"/>
      <c r="QP97" s="115"/>
      <c r="QQ97" s="115"/>
      <c r="QR97" s="115"/>
      <c r="QS97" s="115"/>
      <c r="QT97" s="115"/>
      <c r="QU97" s="115"/>
      <c r="QV97" s="115"/>
      <c r="QW97" s="115"/>
      <c r="QX97" s="115"/>
      <c r="QY97" s="115"/>
      <c r="QZ97" s="115"/>
      <c r="RA97" s="115"/>
      <c r="RB97" s="115"/>
      <c r="RC97" s="115"/>
      <c r="RD97" s="115"/>
      <c r="RE97" s="115"/>
      <c r="RF97" s="115"/>
      <c r="RG97" s="115"/>
      <c r="RH97" s="115"/>
      <c r="RI97" s="115"/>
      <c r="RJ97" s="115"/>
      <c r="RK97" s="115"/>
      <c r="RL97" s="115"/>
      <c r="RM97" s="115"/>
      <c r="RN97" s="115"/>
      <c r="RO97" s="115"/>
      <c r="RP97" s="115"/>
      <c r="RQ97" s="115"/>
      <c r="RR97" s="115"/>
      <c r="RS97" s="115"/>
      <c r="RT97" s="115"/>
      <c r="RU97" s="115"/>
      <c r="RV97" s="115"/>
      <c r="RW97" s="115"/>
      <c r="RX97" s="115"/>
      <c r="RY97" s="115"/>
      <c r="RZ97" s="115"/>
      <c r="SA97" s="115"/>
      <c r="SB97" s="115"/>
      <c r="SC97" s="115"/>
      <c r="SD97" s="115"/>
      <c r="SE97" s="115"/>
      <c r="SF97" s="115"/>
      <c r="SG97" s="115"/>
      <c r="SH97" s="115"/>
      <c r="SI97" s="115"/>
      <c r="SJ97" s="115"/>
      <c r="SK97" s="115"/>
      <c r="SL97" s="115"/>
      <c r="SM97" s="115"/>
      <c r="SN97" s="115"/>
      <c r="SO97" s="115"/>
      <c r="SP97" s="115"/>
      <c r="SQ97" s="115"/>
      <c r="SR97" s="115"/>
      <c r="SS97" s="115"/>
      <c r="ST97" s="115"/>
      <c r="SU97" s="115"/>
      <c r="SV97" s="115"/>
      <c r="SW97" s="115"/>
      <c r="SX97" s="115"/>
      <c r="SY97" s="115"/>
      <c r="SZ97" s="115"/>
    </row>
    <row r="98" spans="1:520" customFormat="1">
      <c r="C98" s="169"/>
      <c r="D98" s="1334"/>
      <c r="E98" s="1334"/>
      <c r="F98" s="6"/>
      <c r="G98" s="6"/>
      <c r="H98" s="81" t="s">
        <v>4378</v>
      </c>
      <c r="I98" s="29"/>
      <c r="J98" s="1"/>
      <c r="K98" s="1415" t="str">
        <f>IF(OR(K71=0,P97="",K76=0),"",P97*K76)</f>
        <v/>
      </c>
      <c r="L98" s="1415" t="str">
        <f>IF(OR(L71=0,P97="",L76=0),"",P97*L76)</f>
        <v/>
      </c>
      <c r="M98" s="1415" t="str">
        <f>IF(OR(M71=0,P97="",M76=0),"",P97*M76)</f>
        <v/>
      </c>
      <c r="N98" s="1415" t="str">
        <f>IF(OR(N71=0,P97="",N76=0),"",P97*N76)</f>
        <v/>
      </c>
      <c r="O98" s="1415" t="str">
        <f>IF(OR(O71=0,P97="",O76=0),"",P97*O76)</f>
        <v/>
      </c>
      <c r="P98" s="1416" t="str">
        <f>IF(OR(P97="",P76=0),"",P97*P76)</f>
        <v/>
      </c>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6"/>
      <c r="BG98" s="356"/>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356"/>
      <c r="DL98" s="356"/>
      <c r="DM98" s="356"/>
      <c r="DN98" s="356"/>
      <c r="DO98" s="356"/>
      <c r="DP98" s="356"/>
      <c r="DQ98" s="356"/>
      <c r="DR98" s="356"/>
      <c r="DS98" s="356"/>
      <c r="DT98" s="356"/>
      <c r="DU98" s="356"/>
      <c r="DV98" s="356"/>
      <c r="DW98" s="356"/>
      <c r="DX98" s="356"/>
      <c r="DY98" s="356"/>
      <c r="DZ98" s="356"/>
      <c r="EA98" s="356"/>
      <c r="EB98" s="356"/>
      <c r="EC98" s="356"/>
      <c r="ED98" s="356"/>
      <c r="EE98" s="356"/>
      <c r="EF98" s="356"/>
      <c r="EG98" s="356"/>
      <c r="EH98" s="356"/>
      <c r="EI98" s="356"/>
      <c r="EJ98" s="356"/>
      <c r="EK98" s="356"/>
      <c r="EL98" s="356"/>
      <c r="EM98" s="356"/>
      <c r="EN98" s="356"/>
      <c r="EO98" s="356"/>
      <c r="EP98" s="356"/>
      <c r="EQ98" s="356"/>
      <c r="ER98" s="356"/>
      <c r="ES98" s="356"/>
      <c r="ET98" s="356"/>
      <c r="EU98" s="356"/>
      <c r="EV98" s="356"/>
      <c r="EW98" s="356"/>
      <c r="EX98" s="356"/>
      <c r="EY98" s="356"/>
      <c r="EZ98" s="356"/>
      <c r="FA98" s="356"/>
      <c r="FB98" s="356"/>
      <c r="FC98" s="356"/>
      <c r="FD98" s="356"/>
      <c r="FE98" s="356"/>
      <c r="FF98" s="356"/>
      <c r="FG98" s="356"/>
      <c r="FH98" s="356"/>
      <c r="FI98" s="356"/>
      <c r="FJ98" s="356"/>
      <c r="FK98" s="356"/>
      <c r="FL98" s="356"/>
      <c r="FM98" s="356"/>
      <c r="FN98" s="356"/>
      <c r="FO98" s="356"/>
      <c r="FP98" s="356"/>
      <c r="FQ98" s="356"/>
      <c r="FR98" s="356"/>
      <c r="FS98" s="356"/>
      <c r="FT98" s="356"/>
      <c r="FU98" s="356"/>
      <c r="FV98" s="356"/>
      <c r="FW98" s="356"/>
      <c r="FX98" s="356"/>
      <c r="FY98" s="356"/>
      <c r="FZ98" s="356"/>
      <c r="GA98" s="356"/>
      <c r="GB98" s="356"/>
      <c r="GC98" s="356"/>
      <c r="GD98" s="356"/>
      <c r="GE98" s="356"/>
      <c r="GF98" s="356"/>
      <c r="GG98" s="356"/>
      <c r="GH98" s="356"/>
      <c r="GI98" s="356"/>
      <c r="GJ98" s="356"/>
      <c r="GK98" s="356"/>
      <c r="GL98" s="356"/>
      <c r="GM98" s="356"/>
      <c r="GN98" s="356"/>
      <c r="GO98" s="356"/>
      <c r="GP98" s="356"/>
      <c r="GQ98" s="356"/>
      <c r="GR98" s="356"/>
      <c r="GS98" s="356"/>
      <c r="GT98" s="356"/>
      <c r="GU98" s="356"/>
      <c r="GV98" s="356"/>
      <c r="GW98" s="356"/>
      <c r="GX98" s="356"/>
      <c r="GY98" s="356"/>
      <c r="GZ98" s="356"/>
      <c r="HA98" s="356"/>
      <c r="HB98" s="356"/>
      <c r="HC98" s="356"/>
      <c r="HD98" s="356"/>
      <c r="HE98" s="356"/>
      <c r="HF98" s="356"/>
      <c r="HG98" s="356"/>
      <c r="HH98" s="356"/>
      <c r="HI98" s="356"/>
      <c r="HJ98" s="356"/>
      <c r="HK98" s="356"/>
      <c r="HL98" s="356"/>
      <c r="HM98" s="356"/>
      <c r="HN98" s="356"/>
      <c r="HO98" s="356"/>
      <c r="HP98" s="356"/>
      <c r="HQ98" s="356"/>
      <c r="HR98" s="356"/>
      <c r="HS98" s="356"/>
      <c r="HT98" s="356"/>
      <c r="HU98" s="356"/>
      <c r="HV98" s="356"/>
      <c r="HW98" s="356"/>
      <c r="HX98" s="356"/>
      <c r="HY98" s="356"/>
      <c r="HZ98" s="356"/>
      <c r="IA98" s="356"/>
      <c r="IB98" s="356"/>
      <c r="IC98" s="356"/>
      <c r="ID98" s="356"/>
      <c r="IE98" s="356"/>
      <c r="IF98" s="356"/>
      <c r="IG98" s="356"/>
      <c r="IH98" s="356"/>
      <c r="II98" s="356"/>
      <c r="IJ98" s="356"/>
      <c r="IK98" s="356"/>
      <c r="IL98" s="356"/>
      <c r="IM98" s="356"/>
      <c r="IN98" s="356"/>
      <c r="IO98" s="356"/>
      <c r="IP98" s="356"/>
      <c r="IQ98" s="356"/>
      <c r="IR98" s="356"/>
      <c r="IS98" s="356"/>
      <c r="IT98" s="356"/>
      <c r="IU98" s="356"/>
      <c r="IV98" s="356"/>
      <c r="IW98" s="356"/>
      <c r="IX98" s="356"/>
      <c r="IY98" s="356"/>
      <c r="IZ98" s="356"/>
      <c r="JA98" s="356"/>
      <c r="JB98" s="356"/>
      <c r="JC98" s="356"/>
      <c r="JD98" s="356"/>
      <c r="JE98" s="356"/>
      <c r="JF98" s="356"/>
      <c r="JG98" s="356"/>
      <c r="JH98" s="356"/>
      <c r="JI98" s="356"/>
      <c r="JJ98" s="356"/>
      <c r="JK98" s="356"/>
      <c r="JL98" s="356"/>
      <c r="JM98" s="356"/>
      <c r="JN98" s="356"/>
      <c r="JO98" s="356"/>
      <c r="JP98" s="356"/>
      <c r="JQ98" s="356"/>
      <c r="JR98" s="356"/>
      <c r="JS98" s="356"/>
      <c r="JT98" s="356"/>
      <c r="JU98" s="356"/>
      <c r="JV98" s="356"/>
      <c r="JW98" s="356"/>
      <c r="JX98" s="356"/>
      <c r="JY98" s="356"/>
      <c r="JZ98" s="356"/>
      <c r="KA98" s="356"/>
      <c r="KB98" s="356"/>
      <c r="KC98" s="356"/>
      <c r="KD98" s="356"/>
      <c r="KE98" s="356"/>
      <c r="KF98" s="356"/>
      <c r="KG98" s="356"/>
      <c r="KH98" s="356"/>
      <c r="KI98" s="356"/>
      <c r="KJ98" s="356"/>
      <c r="KK98" s="356"/>
      <c r="KL98" s="356"/>
      <c r="KM98" s="356"/>
      <c r="KN98" s="356"/>
      <c r="KO98" s="356"/>
      <c r="KP98" s="356"/>
      <c r="KQ98" s="356"/>
      <c r="KR98" s="356"/>
      <c r="KS98" s="356"/>
      <c r="KT98" s="356"/>
      <c r="KU98" s="356"/>
      <c r="KV98" s="356"/>
      <c r="KW98" s="356"/>
      <c r="KX98" s="356"/>
      <c r="KY98" s="356"/>
      <c r="KZ98" s="356"/>
      <c r="LA98" s="356"/>
      <c r="LB98" s="356"/>
      <c r="LC98" s="356"/>
      <c r="LD98" s="356"/>
      <c r="LE98" s="356"/>
      <c r="LF98" s="356"/>
      <c r="LG98" s="356"/>
      <c r="LH98" s="356"/>
      <c r="LI98" s="356"/>
      <c r="LJ98" s="356"/>
      <c r="LK98" s="356"/>
      <c r="LL98" s="356"/>
      <c r="LM98" s="356"/>
      <c r="LN98" s="356"/>
      <c r="LO98" s="356"/>
      <c r="LP98" s="356"/>
      <c r="LQ98" s="356"/>
      <c r="LR98" s="356"/>
      <c r="LS98" s="356"/>
      <c r="LT98" s="356"/>
      <c r="LU98" s="356"/>
      <c r="LV98" s="356"/>
      <c r="LW98" s="356"/>
      <c r="LX98" s="356"/>
      <c r="LY98" s="356"/>
      <c r="LZ98" s="356"/>
      <c r="MA98" s="356"/>
      <c r="MB98" s="356"/>
      <c r="MC98" s="356"/>
      <c r="MD98" s="356"/>
      <c r="ME98" s="356"/>
      <c r="MF98" s="356"/>
      <c r="MG98" s="356"/>
      <c r="MH98" s="356"/>
      <c r="MI98" s="356"/>
      <c r="MJ98" s="356"/>
      <c r="MK98" s="356"/>
      <c r="ML98" s="356"/>
      <c r="MM98" s="356"/>
      <c r="MN98" s="356"/>
      <c r="MO98" s="356"/>
      <c r="MP98" s="356"/>
      <c r="MQ98" s="356"/>
      <c r="MR98" s="356"/>
      <c r="MS98" s="356"/>
      <c r="MT98" s="356"/>
      <c r="MU98" s="356"/>
      <c r="MV98" s="356"/>
      <c r="MW98" s="356"/>
      <c r="MX98" s="356"/>
      <c r="MY98" s="356"/>
      <c r="MZ98" s="356"/>
      <c r="NA98" s="356"/>
      <c r="NB98" s="356"/>
      <c r="NC98" s="356"/>
      <c r="ND98" s="356"/>
      <c r="NE98" s="356"/>
      <c r="NF98" s="356"/>
      <c r="NG98" s="356"/>
      <c r="NH98" s="356"/>
      <c r="NI98" s="356"/>
      <c r="NJ98" s="356"/>
      <c r="NK98" s="356"/>
      <c r="NL98" s="356"/>
      <c r="NM98" s="356"/>
      <c r="NN98" s="356"/>
      <c r="NO98" s="356"/>
      <c r="NP98" s="356"/>
      <c r="NQ98" s="356"/>
      <c r="NR98" s="356"/>
      <c r="NS98" s="356"/>
      <c r="NT98" s="356"/>
      <c r="NU98" s="356"/>
      <c r="NV98" s="356"/>
      <c r="NW98" s="356"/>
      <c r="NX98" s="356"/>
      <c r="NY98" s="356"/>
      <c r="NZ98" s="356"/>
      <c r="OA98" s="356"/>
      <c r="OB98" s="356"/>
      <c r="OC98" s="356"/>
      <c r="OD98" s="356"/>
      <c r="OE98" s="356"/>
      <c r="OF98" s="356"/>
      <c r="OG98" s="356"/>
      <c r="OH98" s="356"/>
      <c r="OI98" s="356"/>
      <c r="OJ98" s="356"/>
      <c r="OK98" s="356"/>
      <c r="OL98" s="356"/>
      <c r="OM98" s="356"/>
      <c r="ON98" s="356"/>
      <c r="OO98" s="356"/>
      <c r="OP98" s="356"/>
      <c r="OQ98" s="356"/>
      <c r="OR98" s="356"/>
      <c r="OS98" s="356"/>
      <c r="OT98" s="356"/>
      <c r="OU98" s="356"/>
      <c r="OV98" s="115"/>
      <c r="OW98" s="115"/>
      <c r="OX98" s="115"/>
      <c r="OY98" s="2499"/>
      <c r="OZ98" s="2504">
        <v>94</v>
      </c>
      <c r="PA98" s="115"/>
      <c r="PB98" s="115"/>
      <c r="PC98" s="115"/>
      <c r="PD98" s="115"/>
      <c r="PE98" s="115"/>
      <c r="PF98" s="115"/>
      <c r="PG98" s="115"/>
      <c r="PH98" s="115"/>
      <c r="PI98" s="115"/>
      <c r="PJ98" s="115"/>
      <c r="PK98" s="115"/>
      <c r="PL98" s="115"/>
      <c r="PM98" s="115"/>
      <c r="PN98" s="115"/>
      <c r="PO98" s="115"/>
      <c r="PP98" s="115"/>
      <c r="PQ98" s="115"/>
      <c r="PR98" s="115"/>
      <c r="PS98" s="115"/>
      <c r="PT98" s="115"/>
      <c r="PU98" s="115"/>
      <c r="PV98" s="115"/>
      <c r="PW98" s="115"/>
      <c r="PX98" s="115"/>
      <c r="PY98" s="115"/>
      <c r="PZ98" s="115"/>
      <c r="QA98" s="115"/>
      <c r="QB98" s="115"/>
      <c r="QC98" s="115"/>
      <c r="QD98" s="115"/>
      <c r="QE98" s="115"/>
      <c r="QF98" s="115"/>
      <c r="QG98" s="115"/>
      <c r="QH98" s="115"/>
      <c r="QI98" s="115"/>
      <c r="QJ98" s="115"/>
      <c r="QK98" s="115"/>
      <c r="QL98" s="115"/>
      <c r="QM98" s="115"/>
      <c r="QN98" s="115"/>
      <c r="QO98" s="115"/>
      <c r="QP98" s="115"/>
      <c r="QQ98" s="115"/>
      <c r="QR98" s="115"/>
      <c r="QS98" s="115"/>
      <c r="QT98" s="115"/>
      <c r="QU98" s="115"/>
      <c r="QV98" s="115"/>
      <c r="QW98" s="115"/>
      <c r="QX98" s="115"/>
      <c r="QY98" s="115"/>
      <c r="QZ98" s="115"/>
      <c r="RA98" s="115"/>
      <c r="RB98" s="115"/>
      <c r="RC98" s="115"/>
      <c r="RD98" s="115"/>
      <c r="RE98" s="115"/>
      <c r="RF98" s="115"/>
      <c r="RG98" s="115"/>
      <c r="RH98" s="115"/>
      <c r="RI98" s="115"/>
      <c r="RJ98" s="115"/>
      <c r="RK98" s="115"/>
      <c r="RL98" s="115"/>
      <c r="RM98" s="115"/>
      <c r="RN98" s="115"/>
      <c r="RO98" s="115"/>
      <c r="RP98" s="115"/>
      <c r="RQ98" s="115"/>
      <c r="RR98" s="115"/>
      <c r="RS98" s="115"/>
      <c r="RT98" s="115"/>
      <c r="RU98" s="115"/>
      <c r="RV98" s="115"/>
      <c r="RW98" s="115"/>
      <c r="RX98" s="115"/>
      <c r="RY98" s="115"/>
      <c r="RZ98" s="115"/>
      <c r="SA98" s="115"/>
      <c r="SB98" s="115"/>
      <c r="SC98" s="115"/>
      <c r="SD98" s="115"/>
      <c r="SE98" s="115"/>
      <c r="SF98" s="115"/>
      <c r="SG98" s="115"/>
      <c r="SH98" s="115"/>
      <c r="SI98" s="115"/>
      <c r="SJ98" s="115"/>
      <c r="SK98" s="115"/>
      <c r="SL98" s="115"/>
      <c r="SM98" s="115"/>
      <c r="SN98" s="115"/>
      <c r="SO98" s="115"/>
      <c r="SP98" s="115"/>
      <c r="SQ98" s="115"/>
      <c r="SR98" s="115"/>
      <c r="SS98" s="115"/>
      <c r="ST98" s="115"/>
      <c r="SU98" s="115"/>
      <c r="SV98" s="115"/>
      <c r="SW98" s="115"/>
      <c r="SX98" s="115"/>
      <c r="SY98" s="115"/>
      <c r="SZ98" s="115"/>
    </row>
    <row r="99" spans="1:520" customFormat="1">
      <c r="C99" s="169"/>
      <c r="D99" s="1334"/>
      <c r="E99" s="1334"/>
      <c r="F99" s="6"/>
      <c r="G99" s="1410"/>
      <c r="H99" s="1368" t="s">
        <v>4379</v>
      </c>
      <c r="I99" s="1336"/>
      <c r="J99" s="1"/>
      <c r="K99" s="1420" t="str">
        <f t="shared" ref="K99:P99" si="666">IF(OR(K98="",K71=0),"", K71-K98)</f>
        <v/>
      </c>
      <c r="L99" s="1420" t="str">
        <f t="shared" si="666"/>
        <v/>
      </c>
      <c r="M99" s="1420" t="str">
        <f t="shared" si="666"/>
        <v/>
      </c>
      <c r="N99" s="1420" t="str">
        <f t="shared" si="666"/>
        <v/>
      </c>
      <c r="O99" s="1420" t="str">
        <f t="shared" si="666"/>
        <v/>
      </c>
      <c r="P99" s="1420" t="str">
        <f t="shared" si="666"/>
        <v/>
      </c>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6"/>
      <c r="BG99" s="356"/>
      <c r="BH99" s="356"/>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356"/>
      <c r="DL99" s="356"/>
      <c r="DM99" s="356"/>
      <c r="DN99" s="356"/>
      <c r="DO99" s="356"/>
      <c r="DP99" s="356"/>
      <c r="DQ99" s="356"/>
      <c r="DR99" s="356"/>
      <c r="DS99" s="356"/>
      <c r="DT99" s="356"/>
      <c r="DU99" s="356"/>
      <c r="DV99" s="356"/>
      <c r="DW99" s="356"/>
      <c r="DX99" s="356"/>
      <c r="DY99" s="356"/>
      <c r="DZ99" s="356"/>
      <c r="EA99" s="356"/>
      <c r="EB99" s="356"/>
      <c r="EC99" s="356"/>
      <c r="ED99" s="356"/>
      <c r="EE99" s="356"/>
      <c r="EF99" s="356"/>
      <c r="EG99" s="356"/>
      <c r="EH99" s="356"/>
      <c r="EI99" s="356"/>
      <c r="EJ99" s="356"/>
      <c r="EK99" s="356"/>
      <c r="EL99" s="356"/>
      <c r="EM99" s="356"/>
      <c r="EN99" s="356"/>
      <c r="EO99" s="356"/>
      <c r="EP99" s="356"/>
      <c r="EQ99" s="356"/>
      <c r="ER99" s="356"/>
      <c r="ES99" s="356"/>
      <c r="ET99" s="356"/>
      <c r="EU99" s="356"/>
      <c r="EV99" s="356"/>
      <c r="EW99" s="356"/>
      <c r="EX99" s="356"/>
      <c r="EY99" s="356"/>
      <c r="EZ99" s="356"/>
      <c r="FA99" s="356"/>
      <c r="FB99" s="356"/>
      <c r="FC99" s="356"/>
      <c r="FD99" s="356"/>
      <c r="FE99" s="356"/>
      <c r="FF99" s="356"/>
      <c r="FG99" s="356"/>
      <c r="FH99" s="356"/>
      <c r="FI99" s="356"/>
      <c r="FJ99" s="356"/>
      <c r="FK99" s="356"/>
      <c r="FL99" s="356"/>
      <c r="FM99" s="356"/>
      <c r="FN99" s="356"/>
      <c r="FO99" s="356"/>
      <c r="FP99" s="356"/>
      <c r="FQ99" s="356"/>
      <c r="FR99" s="356"/>
      <c r="FS99" s="356"/>
      <c r="FT99" s="356"/>
      <c r="FU99" s="356"/>
      <c r="FV99" s="356"/>
      <c r="FW99" s="356"/>
      <c r="FX99" s="356"/>
      <c r="FY99" s="356"/>
      <c r="FZ99" s="356"/>
      <c r="GA99" s="356"/>
      <c r="GB99" s="356"/>
      <c r="GC99" s="356"/>
      <c r="GD99" s="356"/>
      <c r="GE99" s="356"/>
      <c r="GF99" s="356"/>
      <c r="GG99" s="356"/>
      <c r="GH99" s="356"/>
      <c r="GI99" s="356"/>
      <c r="GJ99" s="356"/>
      <c r="GK99" s="356"/>
      <c r="GL99" s="356"/>
      <c r="GM99" s="356"/>
      <c r="GN99" s="356"/>
      <c r="GO99" s="356"/>
      <c r="GP99" s="356"/>
      <c r="GQ99" s="356"/>
      <c r="GR99" s="356"/>
      <c r="GS99" s="356"/>
      <c r="GT99" s="356"/>
      <c r="GU99" s="356"/>
      <c r="GV99" s="356"/>
      <c r="GW99" s="356"/>
      <c r="GX99" s="356"/>
      <c r="GY99" s="356"/>
      <c r="GZ99" s="356"/>
      <c r="HA99" s="356"/>
      <c r="HB99" s="356"/>
      <c r="HC99" s="356"/>
      <c r="HD99" s="356"/>
      <c r="HE99" s="356"/>
      <c r="HF99" s="356"/>
      <c r="HG99" s="356"/>
      <c r="HH99" s="356"/>
      <c r="HI99" s="356"/>
      <c r="HJ99" s="356"/>
      <c r="HK99" s="356"/>
      <c r="HL99" s="356"/>
      <c r="HM99" s="356"/>
      <c r="HN99" s="356"/>
      <c r="HO99" s="356"/>
      <c r="HP99" s="356"/>
      <c r="HQ99" s="356"/>
      <c r="HR99" s="356"/>
      <c r="HS99" s="356"/>
      <c r="HT99" s="356"/>
      <c r="HU99" s="356"/>
      <c r="HV99" s="356"/>
      <c r="HW99" s="356"/>
      <c r="HX99" s="356"/>
      <c r="HY99" s="356"/>
      <c r="HZ99" s="356"/>
      <c r="IA99" s="356"/>
      <c r="IB99" s="356"/>
      <c r="IC99" s="356"/>
      <c r="ID99" s="356"/>
      <c r="IE99" s="356"/>
      <c r="IF99" s="356"/>
      <c r="IG99" s="356"/>
      <c r="IH99" s="356"/>
      <c r="II99" s="356"/>
      <c r="IJ99" s="356"/>
      <c r="IK99" s="356"/>
      <c r="IL99" s="356"/>
      <c r="IM99" s="356"/>
      <c r="IN99" s="356"/>
      <c r="IO99" s="356"/>
      <c r="IP99" s="356"/>
      <c r="IQ99" s="356"/>
      <c r="IR99" s="356"/>
      <c r="IS99" s="356"/>
      <c r="IT99" s="356"/>
      <c r="IU99" s="356"/>
      <c r="IV99" s="356"/>
      <c r="IW99" s="356"/>
      <c r="IX99" s="356"/>
      <c r="IY99" s="356"/>
      <c r="IZ99" s="356"/>
      <c r="JA99" s="356"/>
      <c r="JB99" s="356"/>
      <c r="JC99" s="356"/>
      <c r="JD99" s="356"/>
      <c r="JE99" s="356"/>
      <c r="JF99" s="356"/>
      <c r="JG99" s="356"/>
      <c r="JH99" s="356"/>
      <c r="JI99" s="356"/>
      <c r="JJ99" s="356"/>
      <c r="JK99" s="356"/>
      <c r="JL99" s="356"/>
      <c r="JM99" s="356"/>
      <c r="JN99" s="356"/>
      <c r="JO99" s="356"/>
      <c r="JP99" s="356"/>
      <c r="JQ99" s="356"/>
      <c r="JR99" s="356"/>
      <c r="JS99" s="356"/>
      <c r="JT99" s="356"/>
      <c r="JU99" s="356"/>
      <c r="JV99" s="356"/>
      <c r="JW99" s="356"/>
      <c r="JX99" s="356"/>
      <c r="JY99" s="356"/>
      <c r="JZ99" s="356"/>
      <c r="KA99" s="356"/>
      <c r="KB99" s="356"/>
      <c r="KC99" s="356"/>
      <c r="KD99" s="356"/>
      <c r="KE99" s="356"/>
      <c r="KF99" s="356"/>
      <c r="KG99" s="356"/>
      <c r="KH99" s="356"/>
      <c r="KI99" s="356"/>
      <c r="KJ99" s="356"/>
      <c r="KK99" s="356"/>
      <c r="KL99" s="356"/>
      <c r="KM99" s="356"/>
      <c r="KN99" s="356"/>
      <c r="KO99" s="356"/>
      <c r="KP99" s="356"/>
      <c r="KQ99" s="356"/>
      <c r="KR99" s="356"/>
      <c r="KS99" s="356"/>
      <c r="KT99" s="356"/>
      <c r="KU99" s="356"/>
      <c r="KV99" s="356"/>
      <c r="KW99" s="356"/>
      <c r="KX99" s="356"/>
      <c r="KY99" s="356"/>
      <c r="KZ99" s="356"/>
      <c r="LA99" s="356"/>
      <c r="LB99" s="356"/>
      <c r="LC99" s="356"/>
      <c r="LD99" s="356"/>
      <c r="LE99" s="356"/>
      <c r="LF99" s="356"/>
      <c r="LG99" s="356"/>
      <c r="LH99" s="356"/>
      <c r="LI99" s="356"/>
      <c r="LJ99" s="356"/>
      <c r="LK99" s="356"/>
      <c r="LL99" s="356"/>
      <c r="LM99" s="356"/>
      <c r="LN99" s="356"/>
      <c r="LO99" s="356"/>
      <c r="LP99" s="356"/>
      <c r="LQ99" s="356"/>
      <c r="LR99" s="356"/>
      <c r="LS99" s="356"/>
      <c r="LT99" s="356"/>
      <c r="LU99" s="356"/>
      <c r="LV99" s="356"/>
      <c r="LW99" s="356"/>
      <c r="LX99" s="356"/>
      <c r="LY99" s="356"/>
      <c r="LZ99" s="356"/>
      <c r="MA99" s="356"/>
      <c r="MB99" s="356"/>
      <c r="MC99" s="356"/>
      <c r="MD99" s="356"/>
      <c r="ME99" s="356"/>
      <c r="MF99" s="356"/>
      <c r="MG99" s="356"/>
      <c r="MH99" s="356"/>
      <c r="MI99" s="356"/>
      <c r="MJ99" s="356"/>
      <c r="MK99" s="356"/>
      <c r="ML99" s="356"/>
      <c r="MM99" s="356"/>
      <c r="MN99" s="356"/>
      <c r="MO99" s="356"/>
      <c r="MP99" s="356"/>
      <c r="MQ99" s="356"/>
      <c r="MR99" s="356"/>
      <c r="MS99" s="356"/>
      <c r="MT99" s="356"/>
      <c r="MU99" s="356"/>
      <c r="MV99" s="356"/>
      <c r="MW99" s="356"/>
      <c r="MX99" s="356"/>
      <c r="MY99" s="356"/>
      <c r="MZ99" s="356"/>
      <c r="NA99" s="356"/>
      <c r="NB99" s="356"/>
      <c r="NC99" s="356"/>
      <c r="ND99" s="356"/>
      <c r="NE99" s="356"/>
      <c r="NF99" s="356"/>
      <c r="NG99" s="356"/>
      <c r="NH99" s="356"/>
      <c r="NI99" s="356"/>
      <c r="NJ99" s="356"/>
      <c r="NK99" s="356"/>
      <c r="NL99" s="356"/>
      <c r="NM99" s="356"/>
      <c r="NN99" s="356"/>
      <c r="NO99" s="356"/>
      <c r="NP99" s="356"/>
      <c r="NQ99" s="356"/>
      <c r="NR99" s="356"/>
      <c r="NS99" s="356"/>
      <c r="NT99" s="356"/>
      <c r="NU99" s="356"/>
      <c r="NV99" s="356"/>
      <c r="NW99" s="356"/>
      <c r="NX99" s="356"/>
      <c r="NY99" s="356"/>
      <c r="NZ99" s="356"/>
      <c r="OA99" s="356"/>
      <c r="OB99" s="356"/>
      <c r="OC99" s="356"/>
      <c r="OD99" s="356"/>
      <c r="OE99" s="356"/>
      <c r="OF99" s="356"/>
      <c r="OG99" s="356"/>
      <c r="OH99" s="356"/>
      <c r="OI99" s="356"/>
      <c r="OJ99" s="356"/>
      <c r="OK99" s="356"/>
      <c r="OL99" s="356"/>
      <c r="OM99" s="356"/>
      <c r="ON99" s="356"/>
      <c r="OO99" s="356"/>
      <c r="OP99" s="356"/>
      <c r="OQ99" s="356"/>
      <c r="OR99" s="356"/>
      <c r="OS99" s="356"/>
      <c r="OT99" s="356"/>
      <c r="OU99" s="356"/>
      <c r="OV99" s="115"/>
      <c r="OW99" s="115"/>
      <c r="OX99" s="115"/>
      <c r="OY99" s="2499"/>
      <c r="OZ99" s="2506">
        <v>95</v>
      </c>
      <c r="PA99" s="115"/>
      <c r="PB99" s="115"/>
      <c r="PC99" s="115"/>
      <c r="PD99" s="115"/>
      <c r="PE99" s="115"/>
      <c r="PF99" s="115"/>
      <c r="PG99" s="115"/>
      <c r="PH99" s="115"/>
      <c r="PI99" s="115"/>
      <c r="PJ99" s="115"/>
      <c r="PK99" s="115"/>
      <c r="PL99" s="115"/>
      <c r="PM99" s="115"/>
      <c r="PN99" s="115"/>
      <c r="PO99" s="115"/>
      <c r="PP99" s="115"/>
      <c r="PQ99" s="115"/>
      <c r="PR99" s="115"/>
      <c r="PS99" s="115"/>
      <c r="PT99" s="115"/>
      <c r="PU99" s="115"/>
      <c r="PV99" s="115"/>
      <c r="PW99" s="115"/>
      <c r="PX99" s="115"/>
      <c r="PY99" s="115"/>
      <c r="PZ99" s="115"/>
      <c r="QA99" s="115"/>
      <c r="QB99" s="115"/>
      <c r="QC99" s="115"/>
      <c r="QD99" s="115"/>
      <c r="QE99" s="115"/>
      <c r="QF99" s="115"/>
      <c r="QG99" s="115"/>
      <c r="QH99" s="115"/>
      <c r="QI99" s="115"/>
      <c r="QJ99" s="115"/>
      <c r="QK99" s="115"/>
      <c r="QL99" s="115"/>
      <c r="QM99" s="115"/>
      <c r="QN99" s="115"/>
      <c r="QO99" s="115"/>
      <c r="QP99" s="115"/>
      <c r="QQ99" s="115"/>
      <c r="QR99" s="115"/>
      <c r="QS99" s="115"/>
      <c r="QT99" s="115"/>
      <c r="QU99" s="115"/>
      <c r="QV99" s="115"/>
      <c r="QW99" s="115"/>
      <c r="QX99" s="115"/>
      <c r="QY99" s="115"/>
      <c r="QZ99" s="115"/>
      <c r="RA99" s="115"/>
      <c r="RB99" s="115"/>
      <c r="RC99" s="115"/>
      <c r="RD99" s="115"/>
      <c r="RE99" s="115"/>
      <c r="RF99" s="115"/>
      <c r="RG99" s="115"/>
      <c r="RH99" s="115"/>
      <c r="RI99" s="115"/>
      <c r="RJ99" s="115"/>
      <c r="RK99" s="115"/>
      <c r="RL99" s="115"/>
      <c r="RM99" s="115"/>
      <c r="RN99" s="115"/>
      <c r="RO99" s="115"/>
      <c r="RP99" s="115"/>
      <c r="RQ99" s="115"/>
      <c r="RR99" s="115"/>
      <c r="RS99" s="115"/>
      <c r="RT99" s="115"/>
      <c r="RU99" s="115"/>
      <c r="RV99" s="115"/>
      <c r="RW99" s="115"/>
      <c r="RX99" s="115"/>
      <c r="RY99" s="115"/>
      <c r="RZ99" s="115"/>
      <c r="SA99" s="115"/>
      <c r="SB99" s="115"/>
      <c r="SC99" s="115"/>
      <c r="SD99" s="115"/>
      <c r="SE99" s="115"/>
      <c r="SF99" s="115"/>
      <c r="SG99" s="115"/>
      <c r="SH99" s="115"/>
      <c r="SI99" s="115"/>
      <c r="SJ99" s="115"/>
      <c r="SK99" s="115"/>
      <c r="SL99" s="115"/>
      <c r="SM99" s="115"/>
      <c r="SN99" s="115"/>
      <c r="SO99" s="115"/>
      <c r="SP99" s="115"/>
      <c r="SQ99" s="115"/>
      <c r="SR99" s="115"/>
      <c r="SS99" s="115"/>
      <c r="ST99" s="115"/>
      <c r="SU99" s="115"/>
      <c r="SV99" s="115"/>
      <c r="SW99" s="115"/>
      <c r="SX99" s="115"/>
      <c r="SY99" s="115"/>
      <c r="SZ99" s="115"/>
    </row>
    <row r="100" spans="1:520" ht="12" customHeight="1">
      <c r="A100" s="1059"/>
      <c r="B100" s="1059"/>
      <c r="C100" s="72"/>
      <c r="D100" s="1"/>
      <c r="E100" s="1"/>
      <c r="F100" s="1"/>
      <c r="G100" s="62"/>
      <c r="H100" s="81"/>
      <c r="I100" s="29"/>
      <c r="J100" s="62"/>
      <c r="K100" s="464"/>
      <c r="L100" s="464"/>
      <c r="M100" s="464"/>
      <c r="N100" s="464"/>
      <c r="O100" s="464"/>
      <c r="P100" s="464"/>
      <c r="U100" s="327"/>
      <c r="X100" s="358"/>
      <c r="AA100" s="358"/>
      <c r="AB100" s="361"/>
      <c r="AC100" s="358"/>
      <c r="AF100" s="358"/>
      <c r="AG100" s="361"/>
      <c r="AH100" s="358"/>
      <c r="AK100" s="358"/>
      <c r="AL100" s="361"/>
      <c r="AM100" s="358"/>
      <c r="AP100" s="358"/>
      <c r="AQ100" s="361"/>
      <c r="AR100" s="358"/>
      <c r="AS100" s="358"/>
      <c r="AT100" s="358"/>
      <c r="AU100" s="358"/>
      <c r="AV100" s="358"/>
      <c r="AW100" s="358"/>
      <c r="AY100" s="358"/>
      <c r="BB100" s="358"/>
      <c r="BD100" s="358"/>
      <c r="MX100" s="360"/>
      <c r="NM100" s="356"/>
      <c r="OZ100" s="2504">
        <v>96</v>
      </c>
    </row>
    <row r="101" spans="1:520" ht="9" customHeight="1">
      <c r="A101" s="1059"/>
      <c r="B101" s="1059"/>
      <c r="C101" s="72"/>
      <c r="D101" s="1"/>
      <c r="E101" s="1"/>
      <c r="F101" s="1"/>
      <c r="G101" s="62"/>
      <c r="H101" s="81"/>
      <c r="I101" s="29"/>
      <c r="J101" s="62"/>
      <c r="K101" s="464"/>
      <c r="L101" s="464"/>
      <c r="M101" s="464"/>
      <c r="N101" s="464"/>
      <c r="O101" s="464"/>
      <c r="P101" s="464"/>
      <c r="S101" s="223" t="str">
        <f>C102</f>
        <v>PBRA-Assisted</v>
      </c>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MX101" s="360"/>
      <c r="NM101" s="356"/>
      <c r="OZ101" s="2503">
        <v>97</v>
      </c>
    </row>
    <row r="102" spans="1:520" ht="15" customHeight="1">
      <c r="A102" s="1059"/>
      <c r="B102" s="1059"/>
      <c r="C102" s="72" t="s">
        <v>874</v>
      </c>
      <c r="D102" s="1"/>
      <c r="E102" s="81"/>
      <c r="F102" s="1"/>
      <c r="G102" s="62"/>
      <c r="H102" s="81" t="s">
        <v>3554</v>
      </c>
      <c r="I102" s="29"/>
      <c r="J102" s="62"/>
      <c r="K102" s="1069">
        <f>CP58</f>
        <v>0</v>
      </c>
      <c r="L102" s="1070">
        <f>CQ58</f>
        <v>0</v>
      </c>
      <c r="M102" s="1070">
        <f>CR58</f>
        <v>0</v>
      </c>
      <c r="N102" s="1070">
        <f>CS58</f>
        <v>0</v>
      </c>
      <c r="O102" s="1071">
        <f>CT58</f>
        <v>0</v>
      </c>
      <c r="P102" s="731">
        <f t="shared" ref="P102:P109" si="667">SUM(K102:O102)</f>
        <v>0</v>
      </c>
      <c r="S102" s="3632"/>
      <c r="T102" s="3633"/>
      <c r="U102" s="3633"/>
      <c r="V102" s="3633"/>
      <c r="W102" s="3634"/>
      <c r="X102" s="358"/>
      <c r="AA102" s="358"/>
      <c r="AB102" s="361"/>
      <c r="AC102" s="358"/>
      <c r="AF102" s="358"/>
      <c r="AG102" s="361"/>
      <c r="AH102" s="358"/>
      <c r="AK102" s="358"/>
      <c r="AL102" s="361"/>
      <c r="AM102" s="358"/>
      <c r="AP102" s="358"/>
      <c r="AQ102" s="361"/>
      <c r="AR102" s="362"/>
      <c r="AS102" s="362"/>
      <c r="AT102" s="362"/>
      <c r="AU102" s="362"/>
      <c r="AV102" s="362"/>
      <c r="AW102" s="362"/>
      <c r="AX102" s="361"/>
      <c r="AY102" s="358"/>
      <c r="BB102" s="362"/>
      <c r="BC102" s="361"/>
      <c r="BD102" s="358"/>
      <c r="MX102" s="360"/>
      <c r="NM102" s="356"/>
      <c r="OZ102" s="2504">
        <v>98</v>
      </c>
    </row>
    <row r="103" spans="1:520" ht="15" customHeight="1">
      <c r="A103" s="1059"/>
      <c r="B103" s="1059"/>
      <c r="C103" s="29" t="s">
        <v>2303</v>
      </c>
      <c r="D103" s="1"/>
      <c r="E103" s="81"/>
      <c r="F103" s="1"/>
      <c r="G103" s="62"/>
      <c r="H103" s="81" t="s">
        <v>3555</v>
      </c>
      <c r="I103" s="29"/>
      <c r="J103" s="62"/>
      <c r="K103" s="1072">
        <f>CK58</f>
        <v>0</v>
      </c>
      <c r="L103" s="1073">
        <f>CL58</f>
        <v>0</v>
      </c>
      <c r="M103" s="1073">
        <f>CM58</f>
        <v>0</v>
      </c>
      <c r="N103" s="1073">
        <f>CN58</f>
        <v>0</v>
      </c>
      <c r="O103" s="1074">
        <f>CO58</f>
        <v>0</v>
      </c>
      <c r="P103" s="1026">
        <f t="shared" si="667"/>
        <v>0</v>
      </c>
      <c r="S103" s="3613"/>
      <c r="T103" s="3614"/>
      <c r="U103" s="3614"/>
      <c r="V103" s="3614"/>
      <c r="W103" s="3615"/>
      <c r="X103" s="358"/>
      <c r="AA103" s="358"/>
      <c r="AB103" s="361"/>
      <c r="AC103" s="358"/>
      <c r="AF103" s="358"/>
      <c r="AG103" s="361"/>
      <c r="AH103" s="358"/>
      <c r="AK103" s="358"/>
      <c r="AL103" s="361"/>
      <c r="AM103" s="358"/>
      <c r="AP103" s="358"/>
      <c r="AQ103" s="361"/>
      <c r="AR103" s="362"/>
      <c r="AS103" s="362"/>
      <c r="AT103" s="362"/>
      <c r="AU103" s="362"/>
      <c r="AV103" s="362"/>
      <c r="AW103" s="362"/>
      <c r="AX103" s="361"/>
      <c r="AY103" s="358"/>
      <c r="BB103" s="362"/>
      <c r="BC103" s="361"/>
      <c r="BD103" s="358"/>
      <c r="MX103" s="360"/>
      <c r="NM103" s="356"/>
      <c r="OZ103" s="2504">
        <v>99</v>
      </c>
    </row>
    <row r="104" spans="1:520" ht="14.4" customHeight="1">
      <c r="A104" s="1059"/>
      <c r="B104" s="1059"/>
      <c r="C104" s="72"/>
      <c r="D104" s="1"/>
      <c r="E104" s="81"/>
      <c r="F104" s="1"/>
      <c r="G104" s="62"/>
      <c r="H104" s="81" t="s">
        <v>1080</v>
      </c>
      <c r="I104" s="29"/>
      <c r="J104" s="62"/>
      <c r="K104" s="1072">
        <f>CF58</f>
        <v>0</v>
      </c>
      <c r="L104" s="1073">
        <f>CG58</f>
        <v>0</v>
      </c>
      <c r="M104" s="1073">
        <f>CH58</f>
        <v>0</v>
      </c>
      <c r="N104" s="1073">
        <f>CI58</f>
        <v>0</v>
      </c>
      <c r="O104" s="1074">
        <f>CJ58</f>
        <v>0</v>
      </c>
      <c r="P104" s="1026">
        <f t="shared" si="667"/>
        <v>0</v>
      </c>
      <c r="S104" s="3613"/>
      <c r="T104" s="3614"/>
      <c r="U104" s="3614"/>
      <c r="V104" s="3614"/>
      <c r="W104" s="3615"/>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MX104" s="360"/>
      <c r="NM104" s="356"/>
      <c r="OZ104" s="2503">
        <v>100</v>
      </c>
    </row>
    <row r="105" spans="1:520" ht="15" customHeight="1">
      <c r="A105" s="1059"/>
      <c r="B105" s="1059"/>
      <c r="C105" s="72"/>
      <c r="D105" s="1"/>
      <c r="E105" s="81"/>
      <c r="F105" s="1"/>
      <c r="G105" s="62"/>
      <c r="H105" s="81" t="s">
        <v>112</v>
      </c>
      <c r="I105" s="29"/>
      <c r="J105" s="895"/>
      <c r="K105" s="1093">
        <f>CA58</f>
        <v>0</v>
      </c>
      <c r="L105" s="1094">
        <f>CB58</f>
        <v>0</v>
      </c>
      <c r="M105" s="1094">
        <f>CC58</f>
        <v>0</v>
      </c>
      <c r="N105" s="1094">
        <f>CD58</f>
        <v>0</v>
      </c>
      <c r="O105" s="1095">
        <f>CE58</f>
        <v>0</v>
      </c>
      <c r="P105" s="469">
        <f t="shared" si="667"/>
        <v>0</v>
      </c>
      <c r="S105" s="3613"/>
      <c r="T105" s="3614"/>
      <c r="U105" s="3614"/>
      <c r="V105" s="3614"/>
      <c r="W105" s="3615"/>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MX105" s="360"/>
      <c r="NM105" s="356"/>
      <c r="OZ105" s="2504">
        <v>101</v>
      </c>
    </row>
    <row r="106" spans="1:520" ht="15" customHeight="1">
      <c r="A106" s="1059"/>
      <c r="B106" s="1059"/>
      <c r="C106" s="72"/>
      <c r="D106" s="1"/>
      <c r="E106" s="81"/>
      <c r="F106" s="1"/>
      <c r="G106" s="62"/>
      <c r="H106" s="81" t="s">
        <v>3556</v>
      </c>
      <c r="I106" s="29"/>
      <c r="J106" s="895"/>
      <c r="K106" s="1072">
        <f>BV58</f>
        <v>0</v>
      </c>
      <c r="L106" s="1073">
        <f>BW58</f>
        <v>0</v>
      </c>
      <c r="M106" s="1073">
        <f>BX58</f>
        <v>0</v>
      </c>
      <c r="N106" s="1073">
        <f>BY58</f>
        <v>0</v>
      </c>
      <c r="O106" s="1074">
        <f>BZ58</f>
        <v>0</v>
      </c>
      <c r="P106" s="1026">
        <f t="shared" si="667"/>
        <v>0</v>
      </c>
      <c r="S106" s="3613"/>
      <c r="T106" s="3614"/>
      <c r="U106" s="3614"/>
      <c r="V106" s="3614"/>
      <c r="W106" s="3615"/>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MX106" s="360"/>
      <c r="NM106" s="356"/>
      <c r="OZ106" s="2504">
        <v>102</v>
      </c>
    </row>
    <row r="107" spans="1:520" ht="15" customHeight="1">
      <c r="A107" s="1058"/>
      <c r="B107" s="1058"/>
      <c r="C107" s="72"/>
      <c r="D107" s="1"/>
      <c r="E107" s="81"/>
      <c r="F107" s="1"/>
      <c r="G107" s="62"/>
      <c r="H107" s="81" t="s">
        <v>3557</v>
      </c>
      <c r="I107" s="29"/>
      <c r="J107" s="62"/>
      <c r="K107" s="1072">
        <f>BQ58</f>
        <v>0</v>
      </c>
      <c r="L107" s="1073">
        <f>BR58</f>
        <v>4</v>
      </c>
      <c r="M107" s="1073">
        <f>BS58</f>
        <v>12</v>
      </c>
      <c r="N107" s="1073">
        <f>BT58</f>
        <v>0</v>
      </c>
      <c r="O107" s="1074">
        <f>BU58</f>
        <v>0</v>
      </c>
      <c r="P107" s="1026">
        <f t="shared" si="667"/>
        <v>16</v>
      </c>
      <c r="S107" s="3613"/>
      <c r="T107" s="3614"/>
      <c r="U107" s="3614"/>
      <c r="V107" s="3614"/>
      <c r="W107" s="3615"/>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MX107" s="360"/>
      <c r="NM107" s="356"/>
      <c r="OZ107" s="2504">
        <v>103</v>
      </c>
    </row>
    <row r="108" spans="1:520" ht="15" customHeight="1">
      <c r="A108" s="1058"/>
      <c r="B108" s="1058"/>
      <c r="D108" s="1"/>
      <c r="E108" s="81"/>
      <c r="F108" s="1"/>
      <c r="G108" s="62"/>
      <c r="H108" s="81" t="s">
        <v>3558</v>
      </c>
      <c r="I108" s="29"/>
      <c r="J108" s="62"/>
      <c r="K108" s="1075">
        <f>BL58</f>
        <v>0</v>
      </c>
      <c r="L108" s="1076">
        <f>BM58</f>
        <v>0</v>
      </c>
      <c r="M108" s="1076">
        <f>BN58</f>
        <v>0</v>
      </c>
      <c r="N108" s="1076">
        <f>BO58</f>
        <v>0</v>
      </c>
      <c r="O108" s="1077">
        <f>BP58</f>
        <v>0</v>
      </c>
      <c r="P108" s="732">
        <f t="shared" si="667"/>
        <v>0</v>
      </c>
      <c r="S108" s="3613"/>
      <c r="T108" s="3614"/>
      <c r="U108" s="3614"/>
      <c r="V108" s="3614"/>
      <c r="W108" s="3615"/>
      <c r="X108" s="361"/>
      <c r="AA108" s="358"/>
      <c r="AB108" s="361"/>
      <c r="AC108" s="361"/>
      <c r="AF108" s="358"/>
      <c r="AG108" s="361"/>
      <c r="AH108" s="361"/>
      <c r="AK108" s="358"/>
      <c r="AL108" s="361"/>
      <c r="AM108" s="361"/>
      <c r="AP108" s="358"/>
      <c r="AQ108" s="361"/>
      <c r="AR108" s="362"/>
      <c r="AS108" s="362"/>
      <c r="AT108" s="362"/>
      <c r="AU108" s="362"/>
      <c r="AV108" s="362"/>
      <c r="AW108" s="362"/>
      <c r="AX108" s="361"/>
      <c r="AY108" s="358"/>
      <c r="BB108" s="362"/>
      <c r="BC108" s="361"/>
      <c r="BD108" s="358"/>
      <c r="MX108" s="360"/>
      <c r="NM108" s="356"/>
      <c r="OZ108" s="2504">
        <v>104</v>
      </c>
    </row>
    <row r="109" spans="1:520" ht="15" customHeight="1">
      <c r="A109" s="1058"/>
      <c r="B109" s="1058"/>
      <c r="C109" s="4"/>
      <c r="D109" s="1"/>
      <c r="E109" s="81"/>
      <c r="F109" s="1"/>
      <c r="G109" s="62"/>
      <c r="H109" s="141" t="s">
        <v>503</v>
      </c>
      <c r="I109" s="66"/>
      <c r="J109" s="62"/>
      <c r="K109" s="1027">
        <f>SUM(K102:K108)</f>
        <v>0</v>
      </c>
      <c r="L109" s="1027">
        <f>SUM(L102:L108)</f>
        <v>4</v>
      </c>
      <c r="M109" s="1027">
        <f>SUM(M102:M108)</f>
        <v>12</v>
      </c>
      <c r="N109" s="1027">
        <f>SUM(N102:N108)</f>
        <v>0</v>
      </c>
      <c r="O109" s="1027">
        <f>SUM(O102:O108)</f>
        <v>0</v>
      </c>
      <c r="P109" s="1027">
        <f t="shared" si="667"/>
        <v>16</v>
      </c>
      <c r="S109" s="3580"/>
      <c r="T109" s="3581"/>
      <c r="U109" s="3581"/>
      <c r="V109" s="3581"/>
      <c r="W109" s="3582"/>
      <c r="X109" s="1639"/>
      <c r="AA109" s="358"/>
      <c r="AB109" s="361"/>
      <c r="AC109" s="1639"/>
      <c r="AF109" s="358"/>
      <c r="AG109" s="361"/>
      <c r="AH109" s="1639"/>
      <c r="AK109" s="358"/>
      <c r="AL109" s="361"/>
      <c r="AM109" s="1639"/>
      <c r="AP109" s="358"/>
      <c r="AQ109" s="361"/>
      <c r="AR109" s="362"/>
      <c r="AS109" s="362"/>
      <c r="AT109" s="362"/>
      <c r="AU109" s="362"/>
      <c r="AV109" s="362"/>
      <c r="AW109" s="362"/>
      <c r="AX109" s="361"/>
      <c r="AY109" s="358"/>
      <c r="BB109" s="362"/>
      <c r="BC109" s="361"/>
      <c r="BD109" s="358"/>
      <c r="MX109" s="360"/>
      <c r="NM109" s="356"/>
      <c r="OZ109" s="2503">
        <v>105</v>
      </c>
    </row>
    <row r="110" spans="1:520" ht="5.0999999999999996" customHeight="1" thickBot="1">
      <c r="A110" s="1058"/>
      <c r="B110" s="1058"/>
      <c r="C110" s="1"/>
      <c r="D110" s="1"/>
      <c r="E110" s="1"/>
      <c r="F110" s="1"/>
      <c r="G110" s="62"/>
      <c r="H110" s="81"/>
      <c r="I110" s="29"/>
      <c r="J110" s="62"/>
      <c r="K110" s="464"/>
      <c r="L110" s="464"/>
      <c r="M110" s="464"/>
      <c r="N110" s="464"/>
      <c r="O110" s="464"/>
      <c r="P110" s="464"/>
      <c r="U110" s="327"/>
      <c r="X110" s="358"/>
      <c r="AA110" s="358"/>
      <c r="AB110" s="361"/>
      <c r="AC110" s="358"/>
      <c r="AF110" s="358"/>
      <c r="AG110" s="361"/>
      <c r="AH110" s="358"/>
      <c r="AK110" s="358"/>
      <c r="AL110" s="361"/>
      <c r="AM110" s="358"/>
      <c r="AP110" s="358"/>
      <c r="AQ110" s="361"/>
      <c r="AR110" s="358"/>
      <c r="AS110" s="358"/>
      <c r="AT110" s="358"/>
      <c r="AU110" s="358"/>
      <c r="AV110" s="358"/>
      <c r="AW110" s="358"/>
      <c r="AY110" s="358"/>
      <c r="BB110" s="358"/>
      <c r="BD110" s="358"/>
      <c r="MX110" s="360"/>
      <c r="NM110" s="356"/>
      <c r="OZ110" s="2504">
        <v>106</v>
      </c>
    </row>
    <row r="111" spans="1:520" ht="14.7" customHeight="1" thickBot="1">
      <c r="A111" s="10" t="s">
        <v>688</v>
      </c>
      <c r="B111" s="10" t="s">
        <v>3749</v>
      </c>
      <c r="H111" s="68"/>
      <c r="L111" s="3626" t="str">
        <f>O62</f>
        <v>Income Averaging</v>
      </c>
      <c r="M111" s="3627"/>
      <c r="N111" s="3627"/>
      <c r="O111" s="3628"/>
      <c r="P111" s="62"/>
      <c r="S111" s="4" t="str">
        <f>B111</f>
        <v>UNIT SUMMARY (Continued)</v>
      </c>
      <c r="T111" s="4"/>
      <c r="U111" s="4"/>
      <c r="V111" s="4"/>
      <c r="AY111" s="358"/>
      <c r="BD111" s="358"/>
      <c r="MX111" s="360"/>
      <c r="NM111" s="356"/>
      <c r="OZ111" s="2504">
        <v>107</v>
      </c>
    </row>
    <row r="112" spans="1:520" ht="9" customHeight="1">
      <c r="A112" s="10"/>
      <c r="B112" s="10"/>
      <c r="H112" s="68"/>
      <c r="P112" s="62"/>
      <c r="S112" s="223" t="str">
        <f>C113</f>
        <v>PHA Operating Subsidy-Assisted</v>
      </c>
      <c r="T112" s="95"/>
      <c r="U112" s="367"/>
      <c r="AY112" s="358"/>
      <c r="BD112" s="358"/>
      <c r="MX112" s="360"/>
      <c r="NM112" s="356"/>
      <c r="OZ112" s="2504">
        <v>108</v>
      </c>
    </row>
    <row r="113" spans="1:416" ht="13.5" customHeight="1">
      <c r="A113" s="1058"/>
      <c r="B113" s="1058"/>
      <c r="C113" s="333" t="s">
        <v>831</v>
      </c>
      <c r="D113" s="333"/>
      <c r="E113" s="333"/>
      <c r="F113" s="1"/>
      <c r="G113" s="62"/>
      <c r="H113" s="81" t="s">
        <v>3554</v>
      </c>
      <c r="I113" s="29"/>
      <c r="J113" s="62"/>
      <c r="K113" s="1069">
        <f>DY58</f>
        <v>0</v>
      </c>
      <c r="L113" s="1070">
        <f>DZ58</f>
        <v>0</v>
      </c>
      <c r="M113" s="1070">
        <f>EA58</f>
        <v>0</v>
      </c>
      <c r="N113" s="1070">
        <f>EB58</f>
        <v>0</v>
      </c>
      <c r="O113" s="1071">
        <f>EC58</f>
        <v>0</v>
      </c>
      <c r="P113" s="733">
        <f t="shared" ref="P113:P120" si="668">SUM(K113:O113)</f>
        <v>0</v>
      </c>
      <c r="S113" s="3632"/>
      <c r="T113" s="3633"/>
      <c r="U113" s="3633"/>
      <c r="V113" s="3633"/>
      <c r="W113" s="3634"/>
      <c r="X113" s="358"/>
      <c r="AA113" s="358"/>
      <c r="AB113" s="361"/>
      <c r="AC113" s="358"/>
      <c r="AF113" s="358"/>
      <c r="AG113" s="361"/>
      <c r="AH113" s="358"/>
      <c r="AK113" s="358"/>
      <c r="AL113" s="361"/>
      <c r="AM113" s="358"/>
      <c r="AP113" s="358"/>
      <c r="AQ113" s="361"/>
      <c r="AR113" s="362"/>
      <c r="AS113" s="362"/>
      <c r="AT113" s="362"/>
      <c r="AU113" s="362"/>
      <c r="AV113" s="362"/>
      <c r="AW113" s="362"/>
      <c r="AX113" s="361"/>
      <c r="AY113" s="358"/>
      <c r="BB113" s="362"/>
      <c r="BC113" s="361"/>
      <c r="BD113" s="358"/>
      <c r="MX113" s="360"/>
      <c r="NM113" s="356"/>
      <c r="OZ113" s="2504">
        <v>109</v>
      </c>
    </row>
    <row r="114" spans="1:416" ht="13.5" customHeight="1">
      <c r="A114" s="1058"/>
      <c r="B114" s="1058"/>
      <c r="C114" s="29" t="s">
        <v>2303</v>
      </c>
      <c r="D114" s="333"/>
      <c r="E114" s="333"/>
      <c r="F114" s="1"/>
      <c r="G114" s="62"/>
      <c r="H114" s="81" t="s">
        <v>3555</v>
      </c>
      <c r="I114" s="29"/>
      <c r="J114" s="62"/>
      <c r="K114" s="1072">
        <f>DT58</f>
        <v>0</v>
      </c>
      <c r="L114" s="1073">
        <f>DU58</f>
        <v>0</v>
      </c>
      <c r="M114" s="1073">
        <f>DV58</f>
        <v>0</v>
      </c>
      <c r="N114" s="1073">
        <f>DW58</f>
        <v>0</v>
      </c>
      <c r="O114" s="1074">
        <f>DX58</f>
        <v>0</v>
      </c>
      <c r="P114" s="729">
        <f t="shared" si="668"/>
        <v>0</v>
      </c>
      <c r="S114" s="3613"/>
      <c r="T114" s="3614"/>
      <c r="U114" s="3614"/>
      <c r="V114" s="3614"/>
      <c r="W114" s="3615"/>
      <c r="X114" s="358"/>
      <c r="AA114" s="358"/>
      <c r="AB114" s="361"/>
      <c r="AC114" s="358"/>
      <c r="AF114" s="358"/>
      <c r="AG114" s="361"/>
      <c r="AH114" s="358"/>
      <c r="AK114" s="358"/>
      <c r="AL114" s="361"/>
      <c r="AM114" s="358"/>
      <c r="AP114" s="358"/>
      <c r="AQ114" s="361"/>
      <c r="AR114" s="362"/>
      <c r="AS114" s="362"/>
      <c r="AT114" s="362"/>
      <c r="AU114" s="362"/>
      <c r="AV114" s="362"/>
      <c r="AW114" s="362"/>
      <c r="AX114" s="361"/>
      <c r="AY114" s="358"/>
      <c r="BB114" s="362"/>
      <c r="BC114" s="361"/>
      <c r="BD114" s="358"/>
      <c r="MX114" s="360"/>
      <c r="NM114" s="356"/>
      <c r="OZ114" s="2504">
        <v>110</v>
      </c>
    </row>
    <row r="115" spans="1:416" ht="13.5" customHeight="1">
      <c r="A115" s="1058"/>
      <c r="B115" s="1058"/>
      <c r="C115" s="333"/>
      <c r="D115" s="333"/>
      <c r="E115" s="333"/>
      <c r="F115" s="1"/>
      <c r="G115" s="62"/>
      <c r="H115" s="81" t="s">
        <v>1080</v>
      </c>
      <c r="I115" s="29"/>
      <c r="J115" s="62"/>
      <c r="K115" s="1072">
        <f>DO58</f>
        <v>0</v>
      </c>
      <c r="L115" s="1073">
        <f>DP58</f>
        <v>0</v>
      </c>
      <c r="M115" s="1073">
        <f>DQ58</f>
        <v>0</v>
      </c>
      <c r="N115" s="1073">
        <f>DR58</f>
        <v>0</v>
      </c>
      <c r="O115" s="1074">
        <f>DS58</f>
        <v>0</v>
      </c>
      <c r="P115" s="729">
        <f t="shared" si="668"/>
        <v>0</v>
      </c>
      <c r="S115" s="3613"/>
      <c r="T115" s="3614"/>
      <c r="U115" s="3614"/>
      <c r="V115" s="3614"/>
      <c r="W115" s="3615"/>
      <c r="X115" s="358"/>
      <c r="AA115" s="358"/>
      <c r="AB115" s="361"/>
      <c r="AC115" s="358"/>
      <c r="AF115" s="358"/>
      <c r="AG115" s="361"/>
      <c r="AH115" s="358"/>
      <c r="AK115" s="358"/>
      <c r="AL115" s="361"/>
      <c r="AM115" s="358"/>
      <c r="AP115" s="358"/>
      <c r="AQ115" s="361"/>
      <c r="AR115" s="362"/>
      <c r="AS115" s="362"/>
      <c r="AT115" s="362"/>
      <c r="AU115" s="362"/>
      <c r="AV115" s="362"/>
      <c r="AW115" s="362"/>
      <c r="AX115" s="361"/>
      <c r="AY115" s="358"/>
      <c r="BB115" s="362"/>
      <c r="BC115" s="361"/>
      <c r="BD115" s="358"/>
      <c r="MX115" s="360"/>
      <c r="NM115" s="356"/>
      <c r="OZ115" s="2506">
        <v>111</v>
      </c>
    </row>
    <row r="116" spans="1:416" ht="13.5" customHeight="1">
      <c r="A116" s="1058"/>
      <c r="B116" s="1058"/>
      <c r="C116" s="333"/>
      <c r="D116" s="333"/>
      <c r="E116" s="333"/>
      <c r="F116" s="1"/>
      <c r="G116" s="62"/>
      <c r="H116" s="81" t="s">
        <v>112</v>
      </c>
      <c r="I116" s="29"/>
      <c r="J116" s="895"/>
      <c r="K116" s="1093">
        <f>DJ58</f>
        <v>0</v>
      </c>
      <c r="L116" s="1094">
        <f>DK58</f>
        <v>0</v>
      </c>
      <c r="M116" s="1094">
        <f>DL58</f>
        <v>0</v>
      </c>
      <c r="N116" s="1094">
        <f>DM58</f>
        <v>0</v>
      </c>
      <c r="O116" s="1095">
        <f>DN58</f>
        <v>0</v>
      </c>
      <c r="P116" s="465">
        <f t="shared" si="668"/>
        <v>0</v>
      </c>
      <c r="S116" s="3613"/>
      <c r="T116" s="3614"/>
      <c r="U116" s="3614"/>
      <c r="V116" s="3614"/>
      <c r="W116" s="3615"/>
      <c r="X116" s="358"/>
      <c r="AA116" s="358"/>
      <c r="AB116" s="361"/>
      <c r="AC116" s="358"/>
      <c r="AF116" s="358"/>
      <c r="AG116" s="361"/>
      <c r="AH116" s="358"/>
      <c r="AK116" s="358"/>
      <c r="AL116" s="361"/>
      <c r="AM116" s="358"/>
      <c r="AP116" s="358"/>
      <c r="AQ116" s="361"/>
      <c r="AR116" s="362"/>
      <c r="AS116" s="362"/>
      <c r="AT116" s="362"/>
      <c r="AU116" s="362"/>
      <c r="AV116" s="362"/>
      <c r="AW116" s="362"/>
      <c r="AX116" s="361"/>
      <c r="AY116" s="358"/>
      <c r="BB116" s="362"/>
      <c r="BC116" s="361"/>
      <c r="BD116" s="358"/>
      <c r="MX116" s="360"/>
      <c r="NM116" s="356"/>
      <c r="OZ116" s="2504">
        <v>112</v>
      </c>
    </row>
    <row r="117" spans="1:416" ht="13.5" customHeight="1">
      <c r="A117" s="1058"/>
      <c r="B117" s="1058"/>
      <c r="C117" s="333"/>
      <c r="D117" s="333"/>
      <c r="E117" s="333"/>
      <c r="F117" s="1"/>
      <c r="G117" s="62"/>
      <c r="H117" s="81" t="s">
        <v>3556</v>
      </c>
      <c r="I117" s="29"/>
      <c r="J117" s="895"/>
      <c r="K117" s="1072">
        <f>DE58</f>
        <v>0</v>
      </c>
      <c r="L117" s="1073">
        <f>DF58</f>
        <v>0</v>
      </c>
      <c r="M117" s="1073">
        <f>DG58</f>
        <v>0</v>
      </c>
      <c r="N117" s="1073">
        <f>DH58</f>
        <v>0</v>
      </c>
      <c r="O117" s="1074">
        <f>DI58</f>
        <v>0</v>
      </c>
      <c r="P117" s="729">
        <f t="shared" si="668"/>
        <v>0</v>
      </c>
      <c r="S117" s="3613"/>
      <c r="T117" s="3614"/>
      <c r="U117" s="3614"/>
      <c r="V117" s="3614"/>
      <c r="W117" s="3615"/>
      <c r="X117" s="358"/>
      <c r="AA117" s="358"/>
      <c r="AB117" s="361"/>
      <c r="AC117" s="358"/>
      <c r="AF117" s="358"/>
      <c r="AG117" s="361"/>
      <c r="AH117" s="358"/>
      <c r="AK117" s="358"/>
      <c r="AL117" s="361"/>
      <c r="AM117" s="358"/>
      <c r="AP117" s="358"/>
      <c r="AQ117" s="361"/>
      <c r="AR117" s="362"/>
      <c r="AS117" s="362"/>
      <c r="AT117" s="362"/>
      <c r="AU117" s="362"/>
      <c r="AV117" s="362"/>
      <c r="AW117" s="362"/>
      <c r="AX117" s="361"/>
      <c r="AY117" s="358"/>
      <c r="BB117" s="362"/>
      <c r="BC117" s="361"/>
      <c r="BD117" s="358"/>
      <c r="MX117" s="360"/>
      <c r="NM117" s="356"/>
      <c r="OZ117" s="2503">
        <v>113</v>
      </c>
    </row>
    <row r="118" spans="1:416" ht="13.5" customHeight="1">
      <c r="A118" s="1058"/>
      <c r="B118" s="1058"/>
      <c r="C118" s="333"/>
      <c r="D118" s="333"/>
      <c r="E118" s="333"/>
      <c r="F118" s="1"/>
      <c r="G118" s="62"/>
      <c r="H118" s="81" t="s">
        <v>3557</v>
      </c>
      <c r="I118" s="29"/>
      <c r="J118" s="62"/>
      <c r="K118" s="1072">
        <f>CZ58</f>
        <v>0</v>
      </c>
      <c r="L118" s="1073">
        <f>DA58</f>
        <v>0</v>
      </c>
      <c r="M118" s="1073">
        <f>DB58</f>
        <v>0</v>
      </c>
      <c r="N118" s="1073">
        <f>DC58</f>
        <v>0</v>
      </c>
      <c r="O118" s="1074">
        <f>DD58</f>
        <v>0</v>
      </c>
      <c r="P118" s="729">
        <f t="shared" si="668"/>
        <v>0</v>
      </c>
      <c r="S118" s="3613"/>
      <c r="T118" s="3614"/>
      <c r="U118" s="3614"/>
      <c r="V118" s="3614"/>
      <c r="W118" s="3615"/>
      <c r="X118" s="358"/>
      <c r="AA118" s="358"/>
      <c r="AB118" s="361"/>
      <c r="AC118" s="358"/>
      <c r="AF118" s="358"/>
      <c r="AG118" s="361"/>
      <c r="AH118" s="358"/>
      <c r="AK118" s="358"/>
      <c r="AL118" s="361"/>
      <c r="AM118" s="358"/>
      <c r="AP118" s="358"/>
      <c r="AQ118" s="361"/>
      <c r="AR118" s="362"/>
      <c r="AS118" s="362"/>
      <c r="AT118" s="362"/>
      <c r="AU118" s="362"/>
      <c r="AV118" s="362"/>
      <c r="AW118" s="362"/>
      <c r="AX118" s="361"/>
      <c r="AY118" s="358"/>
      <c r="BB118" s="362"/>
      <c r="BC118" s="361"/>
      <c r="BD118" s="358"/>
      <c r="MX118" s="360"/>
      <c r="NM118" s="356"/>
      <c r="OZ118" s="2504">
        <v>114</v>
      </c>
    </row>
    <row r="119" spans="1:416" ht="13.5" customHeight="1">
      <c r="A119" s="1058"/>
      <c r="B119" s="1058"/>
      <c r="C119" s="333"/>
      <c r="D119" s="333"/>
      <c r="E119" s="333"/>
      <c r="F119" s="1"/>
      <c r="G119" s="62"/>
      <c r="H119" s="81" t="s">
        <v>3558</v>
      </c>
      <c r="I119" s="29"/>
      <c r="J119" s="62"/>
      <c r="K119" s="1075">
        <f>CU58</f>
        <v>0</v>
      </c>
      <c r="L119" s="1076">
        <f>CV58</f>
        <v>0</v>
      </c>
      <c r="M119" s="1076">
        <f>CW58</f>
        <v>0</v>
      </c>
      <c r="N119" s="1076">
        <f>CX58</f>
        <v>0</v>
      </c>
      <c r="O119" s="1077">
        <f>CY58</f>
        <v>0</v>
      </c>
      <c r="P119" s="730">
        <f t="shared" si="668"/>
        <v>0</v>
      </c>
      <c r="S119" s="3613"/>
      <c r="T119" s="3614"/>
      <c r="U119" s="3614"/>
      <c r="V119" s="3614"/>
      <c r="W119" s="3615"/>
      <c r="X119" s="361"/>
      <c r="AA119" s="358"/>
      <c r="AB119" s="361"/>
      <c r="AC119" s="361"/>
      <c r="AF119" s="358"/>
      <c r="AG119" s="361"/>
      <c r="AH119" s="361"/>
      <c r="AK119" s="358"/>
      <c r="AL119" s="361"/>
      <c r="AM119" s="361"/>
      <c r="AP119" s="358"/>
      <c r="AQ119" s="361"/>
      <c r="AR119" s="362"/>
      <c r="AS119" s="362"/>
      <c r="AT119" s="362"/>
      <c r="AU119" s="362"/>
      <c r="AV119" s="362"/>
      <c r="AW119" s="362"/>
      <c r="AX119" s="361"/>
      <c r="AY119" s="358"/>
      <c r="BB119" s="362"/>
      <c r="BC119" s="361"/>
      <c r="BD119" s="358"/>
      <c r="MX119" s="360"/>
      <c r="NM119" s="356"/>
      <c r="OZ119" s="2504">
        <v>115</v>
      </c>
    </row>
    <row r="120" spans="1:416" ht="15" customHeight="1">
      <c r="A120" s="1058"/>
      <c r="B120" s="1058"/>
      <c r="C120" s="62"/>
      <c r="D120" s="1"/>
      <c r="E120" s="81"/>
      <c r="F120" s="1"/>
      <c r="G120" s="62"/>
      <c r="H120" s="141" t="s">
        <v>503</v>
      </c>
      <c r="I120" s="66"/>
      <c r="J120" s="62"/>
      <c r="K120" s="1027">
        <f>SUM(K113:K119)</f>
        <v>0</v>
      </c>
      <c r="L120" s="1027">
        <f>SUM(L113:L119)</f>
        <v>0</v>
      </c>
      <c r="M120" s="1027">
        <f>SUM(M113:M119)</f>
        <v>0</v>
      </c>
      <c r="N120" s="1027">
        <f>SUM(N113:N119)</f>
        <v>0</v>
      </c>
      <c r="O120" s="1027">
        <f>SUM(O113:O119)</f>
        <v>0</v>
      </c>
      <c r="P120" s="1027">
        <f t="shared" si="668"/>
        <v>0</v>
      </c>
      <c r="S120" s="3580"/>
      <c r="T120" s="3581"/>
      <c r="U120" s="3581"/>
      <c r="V120" s="3581"/>
      <c r="W120" s="3582"/>
      <c r="X120" s="1639"/>
      <c r="AA120" s="358"/>
      <c r="AB120" s="361"/>
      <c r="AC120" s="1639"/>
      <c r="AF120" s="358"/>
      <c r="AG120" s="361"/>
      <c r="AH120" s="1639"/>
      <c r="AK120" s="358"/>
      <c r="AL120" s="361"/>
      <c r="AM120" s="1639"/>
      <c r="AP120" s="358"/>
      <c r="AQ120" s="361"/>
      <c r="AR120" s="362"/>
      <c r="AS120" s="362"/>
      <c r="AT120" s="362"/>
      <c r="AU120" s="362"/>
      <c r="AV120" s="362"/>
      <c r="AW120" s="362"/>
      <c r="AX120" s="361"/>
      <c r="AY120" s="358"/>
      <c r="BB120" s="362"/>
      <c r="BC120" s="361"/>
      <c r="BD120" s="358"/>
      <c r="MX120" s="360"/>
      <c r="NM120" s="356"/>
      <c r="OZ120" s="2503">
        <v>116</v>
      </c>
    </row>
    <row r="121" spans="1:416" ht="9" customHeight="1">
      <c r="A121" s="10"/>
      <c r="B121" s="10"/>
      <c r="H121" s="68"/>
      <c r="P121" s="62"/>
      <c r="S121" s="223" t="str">
        <f>C122</f>
        <v>PBV</v>
      </c>
      <c r="T121" s="95"/>
      <c r="U121" s="367"/>
      <c r="AY121" s="358"/>
      <c r="BD121" s="358"/>
      <c r="MX121" s="360"/>
      <c r="NM121" s="356"/>
      <c r="OZ121" s="2504">
        <v>117</v>
      </c>
    </row>
    <row r="122" spans="1:416" ht="13.5" customHeight="1">
      <c r="A122" s="1058"/>
      <c r="B122" s="1058"/>
      <c r="C122" s="333" t="s">
        <v>5039</v>
      </c>
      <c r="D122" s="333"/>
      <c r="E122" s="333"/>
      <c r="F122" s="1"/>
      <c r="G122" s="62"/>
      <c r="H122" s="81" t="s">
        <v>3554</v>
      </c>
      <c r="I122" s="29"/>
      <c r="J122" s="62"/>
      <c r="K122" s="1069">
        <f>ED58</f>
        <v>0</v>
      </c>
      <c r="L122" s="1070">
        <f t="shared" ref="L122:O122" si="669">EE58</f>
        <v>0</v>
      </c>
      <c r="M122" s="1070">
        <f t="shared" si="669"/>
        <v>0</v>
      </c>
      <c r="N122" s="1070">
        <f t="shared" si="669"/>
        <v>0</v>
      </c>
      <c r="O122" s="1071">
        <f t="shared" si="669"/>
        <v>0</v>
      </c>
      <c r="P122" s="733">
        <f t="shared" ref="P122:P129" si="670">SUM(K122:O122)</f>
        <v>0</v>
      </c>
      <c r="S122" s="3632"/>
      <c r="T122" s="3633"/>
      <c r="U122" s="3633"/>
      <c r="V122" s="3633"/>
      <c r="W122" s="3634"/>
      <c r="X122" s="358"/>
      <c r="AA122" s="358"/>
      <c r="AB122" s="361"/>
      <c r="AC122" s="358"/>
      <c r="AF122" s="358"/>
      <c r="AG122" s="361"/>
      <c r="AH122" s="358"/>
      <c r="AK122" s="358"/>
      <c r="AL122" s="361"/>
      <c r="AM122" s="358"/>
      <c r="AP122" s="358"/>
      <c r="AQ122" s="361"/>
      <c r="AR122" s="362"/>
      <c r="AS122" s="362"/>
      <c r="AT122" s="362"/>
      <c r="AU122" s="362"/>
      <c r="AV122" s="362"/>
      <c r="AW122" s="362"/>
      <c r="AX122" s="361"/>
      <c r="AY122" s="358"/>
      <c r="BB122" s="362"/>
      <c r="BC122" s="361"/>
      <c r="BD122" s="358"/>
      <c r="MX122" s="360"/>
      <c r="NM122" s="356"/>
      <c r="OZ122" s="2504">
        <v>118</v>
      </c>
    </row>
    <row r="123" spans="1:416" ht="13.5" customHeight="1">
      <c r="A123" s="1058"/>
      <c r="B123" s="1058"/>
      <c r="C123" s="29" t="s">
        <v>2303</v>
      </c>
      <c r="D123" s="333"/>
      <c r="E123" s="333"/>
      <c r="F123" s="1"/>
      <c r="G123" s="62"/>
      <c r="H123" s="81" t="s">
        <v>3555</v>
      </c>
      <c r="I123" s="29"/>
      <c r="J123" s="62"/>
      <c r="K123" s="1072">
        <f>EI58</f>
        <v>0</v>
      </c>
      <c r="L123" s="1073">
        <f t="shared" ref="L123:O123" si="671">EJ58</f>
        <v>0</v>
      </c>
      <c r="M123" s="1073">
        <f t="shared" si="671"/>
        <v>0</v>
      </c>
      <c r="N123" s="1073">
        <f t="shared" si="671"/>
        <v>0</v>
      </c>
      <c r="O123" s="1074">
        <f t="shared" si="671"/>
        <v>0</v>
      </c>
      <c r="P123" s="729">
        <f t="shared" si="670"/>
        <v>0</v>
      </c>
      <c r="S123" s="3613"/>
      <c r="T123" s="3614"/>
      <c r="U123" s="3614"/>
      <c r="V123" s="3614"/>
      <c r="W123" s="3615"/>
      <c r="X123" s="358"/>
      <c r="AA123" s="358"/>
      <c r="AB123" s="361"/>
      <c r="AC123" s="358"/>
      <c r="AF123" s="358"/>
      <c r="AG123" s="361"/>
      <c r="AH123" s="358"/>
      <c r="AK123" s="358"/>
      <c r="AL123" s="361"/>
      <c r="AM123" s="358"/>
      <c r="AP123" s="358"/>
      <c r="AQ123" s="361"/>
      <c r="AR123" s="362"/>
      <c r="AS123" s="362"/>
      <c r="AT123" s="362"/>
      <c r="AU123" s="362"/>
      <c r="AV123" s="362"/>
      <c r="AW123" s="362"/>
      <c r="AX123" s="361"/>
      <c r="AY123" s="358"/>
      <c r="BB123" s="362"/>
      <c r="BC123" s="361"/>
      <c r="BD123" s="358"/>
      <c r="MX123" s="360"/>
      <c r="NM123" s="356"/>
      <c r="OZ123" s="2504">
        <v>119</v>
      </c>
    </row>
    <row r="124" spans="1:416" ht="13.5" customHeight="1">
      <c r="A124" s="1058"/>
      <c r="B124" s="1058"/>
      <c r="C124" s="333"/>
      <c r="D124" s="333"/>
      <c r="E124" s="333"/>
      <c r="F124" s="1"/>
      <c r="G124" s="62"/>
      <c r="H124" s="81" t="s">
        <v>1080</v>
      </c>
      <c r="I124" s="29"/>
      <c r="J124" s="62"/>
      <c r="K124" s="1072">
        <f>EN58</f>
        <v>0</v>
      </c>
      <c r="L124" s="1073">
        <f t="shared" ref="L124:O124" si="672">EO58</f>
        <v>0</v>
      </c>
      <c r="M124" s="1073">
        <f t="shared" si="672"/>
        <v>0</v>
      </c>
      <c r="N124" s="1073">
        <f t="shared" si="672"/>
        <v>0</v>
      </c>
      <c r="O124" s="1074">
        <f t="shared" si="672"/>
        <v>0</v>
      </c>
      <c r="P124" s="729">
        <f t="shared" si="670"/>
        <v>0</v>
      </c>
      <c r="S124" s="3613"/>
      <c r="T124" s="3614"/>
      <c r="U124" s="3614"/>
      <c r="V124" s="3614"/>
      <c r="W124" s="3615"/>
      <c r="X124" s="358"/>
      <c r="AA124" s="358"/>
      <c r="AB124" s="361"/>
      <c r="AC124" s="358"/>
      <c r="AF124" s="358"/>
      <c r="AG124" s="361"/>
      <c r="AH124" s="358"/>
      <c r="AK124" s="358"/>
      <c r="AL124" s="361"/>
      <c r="AM124" s="358"/>
      <c r="AP124" s="358"/>
      <c r="AQ124" s="361"/>
      <c r="AR124" s="362"/>
      <c r="AS124" s="362"/>
      <c r="AT124" s="362"/>
      <c r="AU124" s="362"/>
      <c r="AV124" s="362"/>
      <c r="AW124" s="362"/>
      <c r="AX124" s="361"/>
      <c r="AY124" s="358"/>
      <c r="BB124" s="362"/>
      <c r="BC124" s="361"/>
      <c r="BD124" s="358"/>
      <c r="MX124" s="360"/>
      <c r="NM124" s="356"/>
      <c r="OZ124" s="2504">
        <v>120</v>
      </c>
    </row>
    <row r="125" spans="1:416" ht="13.5" customHeight="1">
      <c r="A125" s="1058"/>
      <c r="B125" s="1058"/>
      <c r="C125" s="333"/>
      <c r="D125" s="333"/>
      <c r="E125" s="333"/>
      <c r="F125" s="1"/>
      <c r="G125" s="62"/>
      <c r="H125" s="81" t="s">
        <v>112</v>
      </c>
      <c r="I125" s="29"/>
      <c r="J125" s="895"/>
      <c r="K125" s="1093">
        <f>ES58</f>
        <v>0</v>
      </c>
      <c r="L125" s="1094">
        <f t="shared" ref="L125:O125" si="673">ET58</f>
        <v>0</v>
      </c>
      <c r="M125" s="1094">
        <f t="shared" si="673"/>
        <v>0</v>
      </c>
      <c r="N125" s="1094">
        <f t="shared" si="673"/>
        <v>0</v>
      </c>
      <c r="O125" s="1095">
        <f t="shared" si="673"/>
        <v>0</v>
      </c>
      <c r="P125" s="465">
        <f t="shared" si="670"/>
        <v>0</v>
      </c>
      <c r="S125" s="3613"/>
      <c r="T125" s="3614"/>
      <c r="U125" s="3614"/>
      <c r="V125" s="3614"/>
      <c r="W125" s="3615"/>
      <c r="X125" s="358"/>
      <c r="AA125" s="358"/>
      <c r="AB125" s="361"/>
      <c r="AC125" s="358"/>
      <c r="AF125" s="358"/>
      <c r="AG125" s="361"/>
      <c r="AH125" s="358"/>
      <c r="AK125" s="358"/>
      <c r="AL125" s="361"/>
      <c r="AM125" s="358"/>
      <c r="AP125" s="358"/>
      <c r="AQ125" s="361"/>
      <c r="AR125" s="362"/>
      <c r="AS125" s="362"/>
      <c r="AT125" s="362"/>
      <c r="AU125" s="362"/>
      <c r="AV125" s="362"/>
      <c r="AW125" s="362"/>
      <c r="AX125" s="361"/>
      <c r="AY125" s="358"/>
      <c r="BB125" s="362"/>
      <c r="BC125" s="361"/>
      <c r="BD125" s="358"/>
      <c r="MX125" s="360"/>
      <c r="NM125" s="356"/>
      <c r="OZ125" s="2504">
        <v>121</v>
      </c>
    </row>
    <row r="126" spans="1:416" ht="13.5" customHeight="1">
      <c r="A126" s="1058"/>
      <c r="B126" s="1058"/>
      <c r="C126" s="333"/>
      <c r="D126" s="333"/>
      <c r="E126" s="333"/>
      <c r="F126" s="1"/>
      <c r="G126" s="62"/>
      <c r="H126" s="81" t="s">
        <v>3556</v>
      </c>
      <c r="I126" s="29"/>
      <c r="J126" s="895"/>
      <c r="K126" s="1072">
        <f>EX58</f>
        <v>0</v>
      </c>
      <c r="L126" s="1073">
        <f t="shared" ref="L126:O126" si="674">EY58</f>
        <v>0</v>
      </c>
      <c r="M126" s="1073">
        <f t="shared" si="674"/>
        <v>0</v>
      </c>
      <c r="N126" s="1073">
        <f t="shared" si="674"/>
        <v>0</v>
      </c>
      <c r="O126" s="1074">
        <f t="shared" si="674"/>
        <v>0</v>
      </c>
      <c r="P126" s="729">
        <f t="shared" si="670"/>
        <v>0</v>
      </c>
      <c r="S126" s="3613"/>
      <c r="T126" s="3614"/>
      <c r="U126" s="3614"/>
      <c r="V126" s="3614"/>
      <c r="W126" s="3615"/>
      <c r="X126" s="358"/>
      <c r="AA126" s="358"/>
      <c r="AB126" s="361"/>
      <c r="AC126" s="358"/>
      <c r="AF126" s="358"/>
      <c r="AG126" s="361"/>
      <c r="AH126" s="358"/>
      <c r="AK126" s="358"/>
      <c r="AL126" s="361"/>
      <c r="AM126" s="358"/>
      <c r="AP126" s="358"/>
      <c r="AQ126" s="361"/>
      <c r="AR126" s="362"/>
      <c r="AS126" s="362"/>
      <c r="AT126" s="362"/>
      <c r="AU126" s="362"/>
      <c r="AV126" s="362"/>
      <c r="AW126" s="362"/>
      <c r="AX126" s="361"/>
      <c r="AY126" s="358"/>
      <c r="BB126" s="362"/>
      <c r="BC126" s="361"/>
      <c r="BD126" s="358"/>
      <c r="MX126" s="360"/>
      <c r="NM126" s="356"/>
      <c r="OZ126" s="2506">
        <v>122</v>
      </c>
    </row>
    <row r="127" spans="1:416" ht="13.5" customHeight="1">
      <c r="A127" s="1058"/>
      <c r="B127" s="1058"/>
      <c r="C127" s="333"/>
      <c r="D127" s="333"/>
      <c r="E127" s="333"/>
      <c r="F127" s="1"/>
      <c r="G127" s="62"/>
      <c r="H127" s="81" t="s">
        <v>3557</v>
      </c>
      <c r="I127" s="29"/>
      <c r="J127" s="62"/>
      <c r="K127" s="1072">
        <f>FC58</f>
        <v>0</v>
      </c>
      <c r="L127" s="1073">
        <f t="shared" ref="L127:O127" si="675">FD58</f>
        <v>0</v>
      </c>
      <c r="M127" s="1073">
        <f t="shared" si="675"/>
        <v>0</v>
      </c>
      <c r="N127" s="1073">
        <f t="shared" si="675"/>
        <v>0</v>
      </c>
      <c r="O127" s="1074">
        <f t="shared" si="675"/>
        <v>0</v>
      </c>
      <c r="P127" s="729">
        <f t="shared" si="670"/>
        <v>0</v>
      </c>
      <c r="S127" s="3613"/>
      <c r="T127" s="3614"/>
      <c r="U127" s="3614"/>
      <c r="V127" s="3614"/>
      <c r="W127" s="3615"/>
      <c r="X127" s="358"/>
      <c r="AA127" s="358"/>
      <c r="AB127" s="361"/>
      <c r="AC127" s="358"/>
      <c r="AF127" s="358"/>
      <c r="AG127" s="361"/>
      <c r="AH127" s="358"/>
      <c r="AK127" s="358"/>
      <c r="AL127" s="361"/>
      <c r="AM127" s="358"/>
      <c r="AP127" s="358"/>
      <c r="AQ127" s="361"/>
      <c r="AR127" s="362"/>
      <c r="AS127" s="362"/>
      <c r="AT127" s="362"/>
      <c r="AU127" s="362"/>
      <c r="AV127" s="362"/>
      <c r="AW127" s="362"/>
      <c r="AX127" s="361"/>
      <c r="AY127" s="358"/>
      <c r="BB127" s="362"/>
      <c r="BC127" s="361"/>
      <c r="BD127" s="358"/>
      <c r="MX127" s="360"/>
      <c r="NM127" s="356"/>
      <c r="OZ127" s="2504">
        <v>123</v>
      </c>
    </row>
    <row r="128" spans="1:416" ht="13.5" customHeight="1">
      <c r="A128" s="1058"/>
      <c r="B128" s="1058"/>
      <c r="C128" s="333"/>
      <c r="D128" s="333"/>
      <c r="E128" s="333"/>
      <c r="F128" s="1"/>
      <c r="G128" s="62"/>
      <c r="H128" s="81" t="s">
        <v>3558</v>
      </c>
      <c r="I128" s="29"/>
      <c r="J128" s="62"/>
      <c r="K128" s="1075">
        <f>FH58</f>
        <v>0</v>
      </c>
      <c r="L128" s="1076">
        <f t="shared" ref="L128:O128" si="676">FI58</f>
        <v>0</v>
      </c>
      <c r="M128" s="1076">
        <f t="shared" si="676"/>
        <v>0</v>
      </c>
      <c r="N128" s="1076">
        <f t="shared" si="676"/>
        <v>0</v>
      </c>
      <c r="O128" s="1077">
        <f t="shared" si="676"/>
        <v>0</v>
      </c>
      <c r="P128" s="730">
        <f t="shared" si="670"/>
        <v>0</v>
      </c>
      <c r="S128" s="3613"/>
      <c r="T128" s="3614"/>
      <c r="U128" s="3614"/>
      <c r="V128" s="3614"/>
      <c r="W128" s="3615"/>
      <c r="X128" s="361"/>
      <c r="AA128" s="358"/>
      <c r="AB128" s="361"/>
      <c r="AC128" s="361"/>
      <c r="AF128" s="358"/>
      <c r="AG128" s="361"/>
      <c r="AH128" s="361"/>
      <c r="AK128" s="358"/>
      <c r="AL128" s="361"/>
      <c r="AM128" s="361"/>
      <c r="AP128" s="358"/>
      <c r="AQ128" s="361"/>
      <c r="AR128" s="362"/>
      <c r="AS128" s="362"/>
      <c r="AT128" s="362"/>
      <c r="AU128" s="362"/>
      <c r="AV128" s="362"/>
      <c r="AW128" s="362"/>
      <c r="AX128" s="361"/>
      <c r="AY128" s="358"/>
      <c r="BB128" s="362"/>
      <c r="BC128" s="361"/>
      <c r="BD128" s="358"/>
      <c r="MX128" s="360"/>
      <c r="NM128" s="356"/>
      <c r="OZ128" s="2503">
        <v>124</v>
      </c>
    </row>
    <row r="129" spans="1:416" ht="15" customHeight="1">
      <c r="A129" s="1058"/>
      <c r="B129" s="1058"/>
      <c r="C129" s="62"/>
      <c r="D129" s="1"/>
      <c r="E129" s="81"/>
      <c r="F129" s="1"/>
      <c r="G129" s="62"/>
      <c r="H129" s="141" t="s">
        <v>503</v>
      </c>
      <c r="I129" s="66"/>
      <c r="J129" s="62"/>
      <c r="K129" s="1027">
        <f>SUM(K122:K128)</f>
        <v>0</v>
      </c>
      <c r="L129" s="1027">
        <f>SUM(L122:L128)</f>
        <v>0</v>
      </c>
      <c r="M129" s="1027">
        <f>SUM(M122:M128)</f>
        <v>0</v>
      </c>
      <c r="N129" s="1027">
        <f>SUM(N122:N128)</f>
        <v>0</v>
      </c>
      <c r="O129" s="1027">
        <f>SUM(O122:O128)</f>
        <v>0</v>
      </c>
      <c r="P129" s="1027">
        <f t="shared" si="670"/>
        <v>0</v>
      </c>
      <c r="S129" s="3580"/>
      <c r="T129" s="3581"/>
      <c r="U129" s="3581"/>
      <c r="V129" s="3581"/>
      <c r="W129" s="3582"/>
      <c r="X129" s="1639"/>
      <c r="AA129" s="358"/>
      <c r="AB129" s="361"/>
      <c r="AC129" s="1639"/>
      <c r="AF129" s="358"/>
      <c r="AG129" s="361"/>
      <c r="AH129" s="1639"/>
      <c r="AK129" s="358"/>
      <c r="AL129" s="361"/>
      <c r="AM129" s="1639"/>
      <c r="AP129" s="358"/>
      <c r="AQ129" s="361"/>
      <c r="AR129" s="362"/>
      <c r="AS129" s="362"/>
      <c r="AT129" s="362"/>
      <c r="AU129" s="362"/>
      <c r="AV129" s="362"/>
      <c r="AW129" s="362"/>
      <c r="AX129" s="361"/>
      <c r="AY129" s="358"/>
      <c r="BB129" s="362"/>
      <c r="BC129" s="361"/>
      <c r="BD129" s="358"/>
      <c r="MX129" s="360"/>
      <c r="NM129" s="356"/>
      <c r="OZ129" s="2504">
        <v>125</v>
      </c>
    </row>
    <row r="130" spans="1:416" ht="9" customHeight="1">
      <c r="A130" s="1058"/>
      <c r="B130" s="1058"/>
      <c r="D130" s="471"/>
      <c r="E130" s="81"/>
      <c r="F130" s="1"/>
      <c r="G130" s="62"/>
      <c r="H130" s="81"/>
      <c r="I130" s="29"/>
      <c r="J130" s="62"/>
      <c r="K130" s="464"/>
      <c r="L130" s="464"/>
      <c r="M130" s="464"/>
      <c r="N130" s="464"/>
      <c r="O130" s="464"/>
      <c r="P130" s="464"/>
      <c r="S130" s="223" t="str">
        <f>C131</f>
        <v>Type of Construction Activity</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MX130" s="360"/>
      <c r="NM130" s="356"/>
      <c r="OZ130" s="2504">
        <v>126</v>
      </c>
    </row>
    <row r="131" spans="1:416" ht="12.9" customHeight="1">
      <c r="A131" s="1058"/>
      <c r="B131" s="1058"/>
      <c r="C131" s="3630" t="s">
        <v>35</v>
      </c>
      <c r="D131" s="3630"/>
      <c r="E131" s="81" t="s">
        <v>4799</v>
      </c>
      <c r="F131" s="1"/>
      <c r="G131" s="62"/>
      <c r="H131" s="81" t="s">
        <v>1341</v>
      </c>
      <c r="I131" s="29"/>
      <c r="J131" s="62"/>
      <c r="K131" s="1060">
        <f>HP58</f>
        <v>0</v>
      </c>
      <c r="L131" s="1061">
        <f>HQ58</f>
        <v>0</v>
      </c>
      <c r="M131" s="1061">
        <f>HR58</f>
        <v>0</v>
      </c>
      <c r="N131" s="1061">
        <f>HS58</f>
        <v>0</v>
      </c>
      <c r="O131" s="1062">
        <f>HT58</f>
        <v>0</v>
      </c>
      <c r="P131" s="733">
        <f t="shared" ref="P131:P141" si="677">SUM(K131:O131)</f>
        <v>0</v>
      </c>
      <c r="S131" s="3632"/>
      <c r="T131" s="3633"/>
      <c r="U131" s="3633"/>
      <c r="V131" s="3633"/>
      <c r="W131" s="3634"/>
      <c r="X131" s="358"/>
      <c r="AA131" s="358"/>
      <c r="AB131" s="361"/>
      <c r="AC131" s="358"/>
      <c r="AF131" s="358"/>
      <c r="AG131" s="361"/>
      <c r="AH131" s="358"/>
      <c r="AK131" s="358"/>
      <c r="AL131" s="361"/>
      <c r="AM131" s="358"/>
      <c r="AP131" s="358"/>
      <c r="AQ131" s="361"/>
      <c r="AR131" s="362"/>
      <c r="AS131" s="362"/>
      <c r="AT131" s="362"/>
      <c r="AU131" s="362"/>
      <c r="AV131" s="362"/>
      <c r="AW131" s="362"/>
      <c r="BB131" s="362"/>
      <c r="LF131" s="356"/>
      <c r="LK131" s="356"/>
      <c r="LP131" s="356"/>
      <c r="LU131" s="356"/>
      <c r="LV131" s="356"/>
      <c r="LW131" s="356"/>
      <c r="LX131" s="356"/>
      <c r="LY131" s="356"/>
      <c r="LZ131" s="356"/>
      <c r="MA131" s="356"/>
      <c r="MB131" s="356"/>
      <c r="MC131" s="356"/>
      <c r="MD131" s="356"/>
      <c r="ME131" s="356"/>
      <c r="MF131" s="356"/>
      <c r="MG131" s="356"/>
      <c r="MH131" s="356"/>
      <c r="MI131" s="356"/>
      <c r="MJ131" s="356"/>
      <c r="MK131" s="356"/>
      <c r="ML131" s="356"/>
      <c r="MM131" s="356"/>
      <c r="MN131" s="356"/>
      <c r="MO131" s="356"/>
      <c r="MP131" s="356"/>
      <c r="MX131" s="360"/>
      <c r="NM131" s="356"/>
      <c r="OZ131" s="2503">
        <v>127</v>
      </c>
    </row>
    <row r="132" spans="1:416" ht="12.9" customHeight="1">
      <c r="A132" s="1058"/>
      <c r="B132" s="1058"/>
      <c r="C132" s="3630"/>
      <c r="D132" s="3630"/>
      <c r="E132" s="81"/>
      <c r="F132" s="1"/>
      <c r="G132" s="62"/>
      <c r="H132" s="81" t="s">
        <v>290</v>
      </c>
      <c r="I132" s="29"/>
      <c r="J132" s="62"/>
      <c r="K132" s="1066">
        <f>HU58</f>
        <v>0</v>
      </c>
      <c r="L132" s="1067">
        <f>HV58</f>
        <v>0</v>
      </c>
      <c r="M132" s="1067">
        <f>HW58</f>
        <v>0</v>
      </c>
      <c r="N132" s="1067">
        <f>HX58</f>
        <v>0</v>
      </c>
      <c r="O132" s="1068">
        <f>HY58</f>
        <v>0</v>
      </c>
      <c r="P132" s="730">
        <f t="shared" si="677"/>
        <v>0</v>
      </c>
      <c r="S132" s="3613"/>
      <c r="T132" s="3614"/>
      <c r="U132" s="3614"/>
      <c r="V132" s="3614"/>
      <c r="W132" s="3615"/>
      <c r="X132" s="358"/>
      <c r="AA132" s="358"/>
      <c r="AB132" s="361"/>
      <c r="AC132" s="358"/>
      <c r="AF132" s="358"/>
      <c r="AG132" s="361"/>
      <c r="AH132" s="358"/>
      <c r="AK132" s="358"/>
      <c r="AL132" s="361"/>
      <c r="AM132" s="358"/>
      <c r="AP132" s="358"/>
      <c r="AQ132" s="361"/>
      <c r="AR132" s="362"/>
      <c r="AS132" s="362"/>
      <c r="AT132" s="362"/>
      <c r="AU132" s="362"/>
      <c r="AV132" s="362"/>
      <c r="AW132" s="362"/>
      <c r="AX132" s="790"/>
      <c r="AY132" s="358"/>
      <c r="BB132" s="362"/>
      <c r="BC132" s="790"/>
      <c r="BD132" s="358"/>
      <c r="MX132" s="360"/>
      <c r="NM132" s="356"/>
      <c r="OZ132" s="2504">
        <v>128</v>
      </c>
    </row>
    <row r="133" spans="1:416" ht="14.25" customHeight="1">
      <c r="A133" s="1058"/>
      <c r="B133" s="1058"/>
      <c r="C133" s="3630"/>
      <c r="D133" s="3630"/>
      <c r="E133" s="81"/>
      <c r="F133" s="1"/>
      <c r="G133" s="62"/>
      <c r="H133" s="141" t="s">
        <v>29</v>
      </c>
      <c r="I133" s="644" t="s">
        <v>4804</v>
      </c>
      <c r="J133" s="2066">
        <f>IF(P76=0,0,P133/P76)</f>
        <v>0</v>
      </c>
      <c r="K133" s="1029">
        <f>SUM(K131:K132)+HZ58</f>
        <v>0</v>
      </c>
      <c r="L133" s="1029">
        <f>SUM(L131:L132)+IA58</f>
        <v>0</v>
      </c>
      <c r="M133" s="1029">
        <f>SUM(M131:M132)+IB58</f>
        <v>0</v>
      </c>
      <c r="N133" s="1029">
        <f>SUM(N131:N132)+IC58</f>
        <v>0</v>
      </c>
      <c r="O133" s="1029">
        <f>SUM(O131:O132)+ID58</f>
        <v>0</v>
      </c>
      <c r="P133" s="1029">
        <f t="shared" si="677"/>
        <v>0</v>
      </c>
      <c r="S133" s="3613"/>
      <c r="T133" s="3614"/>
      <c r="U133" s="3614"/>
      <c r="V133" s="3614"/>
      <c r="W133" s="3615"/>
      <c r="X133" s="1639"/>
      <c r="AA133" s="358"/>
      <c r="AB133" s="361"/>
      <c r="AC133" s="1639"/>
      <c r="AF133" s="358"/>
      <c r="AG133" s="361"/>
      <c r="AH133" s="1639"/>
      <c r="AK133" s="358"/>
      <c r="AL133" s="361"/>
      <c r="AM133" s="1639"/>
      <c r="AP133" s="358"/>
      <c r="AQ133" s="361"/>
      <c r="AR133" s="362"/>
      <c r="AS133" s="362"/>
      <c r="AT133" s="362"/>
      <c r="AU133" s="362"/>
      <c r="AV133" s="362"/>
      <c r="AW133" s="362"/>
      <c r="AX133" s="361"/>
      <c r="AY133" s="358"/>
      <c r="BB133" s="362"/>
      <c r="BC133" s="361"/>
      <c r="BD133" s="358"/>
      <c r="MX133" s="360"/>
      <c r="NM133" s="356"/>
      <c r="OZ133" s="2504">
        <v>129</v>
      </c>
    </row>
    <row r="134" spans="1:416" ht="12.9" customHeight="1">
      <c r="A134" s="1058"/>
      <c r="B134" s="1058"/>
      <c r="C134" s="3630"/>
      <c r="D134" s="3630"/>
      <c r="E134" s="81" t="s">
        <v>1977</v>
      </c>
      <c r="F134" s="1"/>
      <c r="G134" s="62"/>
      <c r="H134" s="81" t="s">
        <v>1341</v>
      </c>
      <c r="I134" s="29"/>
      <c r="J134" s="62"/>
      <c r="K134" s="1060">
        <f>IE58</f>
        <v>0</v>
      </c>
      <c r="L134" s="1061">
        <f>IF58</f>
        <v>0</v>
      </c>
      <c r="M134" s="1061">
        <f>IG58</f>
        <v>0</v>
      </c>
      <c r="N134" s="1061">
        <f>IH58</f>
        <v>0</v>
      </c>
      <c r="O134" s="1062">
        <f>II58</f>
        <v>0</v>
      </c>
      <c r="P134" s="733">
        <f t="shared" si="677"/>
        <v>0</v>
      </c>
      <c r="S134" s="3613"/>
      <c r="T134" s="3614"/>
      <c r="U134" s="3614"/>
      <c r="V134" s="3614"/>
      <c r="W134" s="3615"/>
      <c r="X134" s="358"/>
      <c r="AA134" s="358"/>
      <c r="AB134" s="361"/>
      <c r="AC134" s="358"/>
      <c r="AF134" s="358"/>
      <c r="AG134" s="361"/>
      <c r="AH134" s="358"/>
      <c r="AK134" s="358"/>
      <c r="AL134" s="361"/>
      <c r="AM134" s="358"/>
      <c r="AP134" s="358"/>
      <c r="AQ134" s="361"/>
      <c r="AR134" s="362"/>
      <c r="AS134" s="362"/>
      <c r="AT134" s="362"/>
      <c r="AU134" s="362"/>
      <c r="AV134" s="362"/>
      <c r="AW134" s="362"/>
      <c r="BB134" s="362"/>
      <c r="LF134" s="356"/>
      <c r="LK134" s="356"/>
      <c r="LP134" s="356"/>
      <c r="LU134" s="356"/>
      <c r="LV134" s="356"/>
      <c r="LW134" s="356"/>
      <c r="LX134" s="356"/>
      <c r="LY134" s="356"/>
      <c r="LZ134" s="356"/>
      <c r="MA134" s="356"/>
      <c r="MB134" s="356"/>
      <c r="MC134" s="356"/>
      <c r="MD134" s="356"/>
      <c r="ME134" s="356"/>
      <c r="MF134" s="356"/>
      <c r="MG134" s="356"/>
      <c r="MH134" s="356"/>
      <c r="MI134" s="356"/>
      <c r="MJ134" s="356"/>
      <c r="MK134" s="356"/>
      <c r="ML134" s="356"/>
      <c r="MM134" s="356"/>
      <c r="MN134" s="356"/>
      <c r="MO134" s="356"/>
      <c r="MP134" s="356"/>
      <c r="MX134" s="360"/>
      <c r="NM134" s="356"/>
      <c r="OZ134" s="2504">
        <v>130</v>
      </c>
    </row>
    <row r="135" spans="1:416" ht="12.9" customHeight="1">
      <c r="A135" s="1058"/>
      <c r="B135" s="1058"/>
      <c r="C135" s="3630"/>
      <c r="D135" s="3630"/>
      <c r="E135" s="81"/>
      <c r="F135" s="1"/>
      <c r="G135" s="62"/>
      <c r="H135" s="81" t="s">
        <v>290</v>
      </c>
      <c r="I135" s="29"/>
      <c r="J135" s="62"/>
      <c r="K135" s="1066">
        <f>IJ58</f>
        <v>0</v>
      </c>
      <c r="L135" s="1067">
        <f>IK58</f>
        <v>0</v>
      </c>
      <c r="M135" s="1067">
        <f>IL58</f>
        <v>0</v>
      </c>
      <c r="N135" s="1067">
        <f>IM58</f>
        <v>0</v>
      </c>
      <c r="O135" s="1068">
        <f>IN58</f>
        <v>0</v>
      </c>
      <c r="P135" s="730">
        <f t="shared" si="677"/>
        <v>0</v>
      </c>
      <c r="S135" s="3613"/>
      <c r="T135" s="3614"/>
      <c r="U135" s="3614"/>
      <c r="V135" s="3614"/>
      <c r="W135" s="3615"/>
      <c r="X135" s="358"/>
      <c r="AA135" s="358"/>
      <c r="AB135" s="361"/>
      <c r="AC135" s="358"/>
      <c r="AF135" s="358"/>
      <c r="AG135" s="361"/>
      <c r="AH135" s="358"/>
      <c r="AK135" s="358"/>
      <c r="AL135" s="361"/>
      <c r="AM135" s="358"/>
      <c r="AP135" s="358"/>
      <c r="AQ135" s="361"/>
      <c r="AR135" s="362"/>
      <c r="AS135" s="362"/>
      <c r="AT135" s="362"/>
      <c r="AU135" s="362"/>
      <c r="AV135" s="362"/>
      <c r="AW135" s="362"/>
      <c r="AX135" s="790"/>
      <c r="AY135" s="358"/>
      <c r="BB135" s="362"/>
      <c r="BC135" s="790"/>
      <c r="BD135" s="358"/>
      <c r="MX135" s="360"/>
      <c r="NM135" s="356"/>
      <c r="OZ135" s="2504">
        <v>131</v>
      </c>
    </row>
    <row r="136" spans="1:416" ht="14.25" customHeight="1">
      <c r="A136" s="1058"/>
      <c r="B136" s="1058"/>
      <c r="C136" s="3630"/>
      <c r="D136" s="3630"/>
      <c r="E136" s="81"/>
      <c r="F136" s="1"/>
      <c r="G136" s="62"/>
      <c r="H136" s="141" t="s">
        <v>29</v>
      </c>
      <c r="I136" s="644" t="s">
        <v>4804</v>
      </c>
      <c r="J136" s="2066">
        <f>IF(P76=0,0,P136/P76)</f>
        <v>0</v>
      </c>
      <c r="K136" s="1029">
        <f>SUM(K134:K135)+IO58</f>
        <v>0</v>
      </c>
      <c r="L136" s="1029">
        <f>SUM(L134:L135)+IP58</f>
        <v>0</v>
      </c>
      <c r="M136" s="1029">
        <f>SUM(M134:M135)+IQ58</f>
        <v>0</v>
      </c>
      <c r="N136" s="1029">
        <f>SUM(N134:N135)+IR58</f>
        <v>0</v>
      </c>
      <c r="O136" s="1029">
        <f>SUM(O134:O135)+IS58</f>
        <v>0</v>
      </c>
      <c r="P136" s="1029">
        <f t="shared" si="677"/>
        <v>0</v>
      </c>
      <c r="S136" s="3613"/>
      <c r="T136" s="3614"/>
      <c r="U136" s="3614"/>
      <c r="V136" s="3614"/>
      <c r="W136" s="3615"/>
      <c r="X136" s="1639"/>
      <c r="AA136" s="358"/>
      <c r="AB136" s="361"/>
      <c r="AC136" s="1639"/>
      <c r="AF136" s="358"/>
      <c r="AG136" s="361"/>
      <c r="AH136" s="1639"/>
      <c r="AK136" s="358"/>
      <c r="AL136" s="361"/>
      <c r="AM136" s="1639"/>
      <c r="AP136" s="358"/>
      <c r="AQ136" s="361"/>
      <c r="AR136" s="362"/>
      <c r="AS136" s="362"/>
      <c r="AT136" s="362"/>
      <c r="AU136" s="362"/>
      <c r="AV136" s="362"/>
      <c r="AW136" s="362"/>
      <c r="AX136" s="361"/>
      <c r="AY136" s="358"/>
      <c r="BB136" s="362"/>
      <c r="BC136" s="361"/>
      <c r="BD136" s="358"/>
      <c r="MX136" s="360"/>
      <c r="NM136" s="356"/>
      <c r="OZ136" s="2503">
        <v>132</v>
      </c>
    </row>
    <row r="137" spans="1:416" ht="12.9" customHeight="1">
      <c r="A137" s="1058"/>
      <c r="B137" s="1058"/>
      <c r="C137" s="682"/>
      <c r="D137" s="1"/>
      <c r="E137" s="3635" t="s">
        <v>1335</v>
      </c>
      <c r="F137" s="3635"/>
      <c r="G137" s="62"/>
      <c r="H137" s="81" t="s">
        <v>1341</v>
      </c>
      <c r="I137" s="29"/>
      <c r="J137" s="62"/>
      <c r="K137" s="1060">
        <f>IT58</f>
        <v>0</v>
      </c>
      <c r="L137" s="1061">
        <f>IU58</f>
        <v>40</v>
      </c>
      <c r="M137" s="1061">
        <f>IV58</f>
        <v>120</v>
      </c>
      <c r="N137" s="1061">
        <f>IW58</f>
        <v>0</v>
      </c>
      <c r="O137" s="1062">
        <f>IX58</f>
        <v>0</v>
      </c>
      <c r="P137" s="733">
        <f t="shared" si="677"/>
        <v>160</v>
      </c>
      <c r="S137" s="3613"/>
      <c r="T137" s="3614"/>
      <c r="U137" s="3614"/>
      <c r="V137" s="3614"/>
      <c r="W137" s="3615"/>
      <c r="X137" s="358"/>
      <c r="AA137" s="358"/>
      <c r="AB137" s="361"/>
      <c r="AC137" s="358"/>
      <c r="AF137" s="358"/>
      <c r="AG137" s="361"/>
      <c r="AH137" s="358"/>
      <c r="AK137" s="358"/>
      <c r="AL137" s="361"/>
      <c r="AM137" s="358"/>
      <c r="AP137" s="358"/>
      <c r="AQ137" s="361"/>
      <c r="AR137" s="362"/>
      <c r="AS137" s="362"/>
      <c r="AT137" s="362"/>
      <c r="AU137" s="362"/>
      <c r="AV137" s="362"/>
      <c r="AW137" s="362"/>
      <c r="BB137" s="362"/>
      <c r="LF137" s="356"/>
      <c r="LK137" s="356"/>
      <c r="LP137" s="356"/>
      <c r="LU137" s="356"/>
      <c r="LV137" s="356"/>
      <c r="LW137" s="356"/>
      <c r="LX137" s="356"/>
      <c r="LY137" s="356"/>
      <c r="LZ137" s="356"/>
      <c r="MA137" s="356"/>
      <c r="MB137" s="356"/>
      <c r="MC137" s="356"/>
      <c r="MD137" s="356"/>
      <c r="ME137" s="356"/>
      <c r="MF137" s="356"/>
      <c r="MG137" s="356"/>
      <c r="MH137" s="356"/>
      <c r="MI137" s="356"/>
      <c r="MJ137" s="356"/>
      <c r="MK137" s="356"/>
      <c r="ML137" s="356"/>
      <c r="MM137" s="356"/>
      <c r="MN137" s="356"/>
      <c r="MO137" s="356"/>
      <c r="MP137" s="356"/>
      <c r="MX137" s="360"/>
      <c r="NM137" s="356"/>
      <c r="OZ137" s="2504">
        <v>133</v>
      </c>
    </row>
    <row r="138" spans="1:416" ht="12.9" customHeight="1">
      <c r="A138" s="1058"/>
      <c r="B138" s="1058"/>
      <c r="C138" s="682"/>
      <c r="D138" s="1"/>
      <c r="E138" s="3635"/>
      <c r="F138" s="3635"/>
      <c r="G138" s="62"/>
      <c r="H138" s="81" t="s">
        <v>290</v>
      </c>
      <c r="I138" s="29"/>
      <c r="J138" s="62"/>
      <c r="K138" s="1066">
        <f>IY58</f>
        <v>0</v>
      </c>
      <c r="L138" s="1067">
        <f>IZ58</f>
        <v>0</v>
      </c>
      <c r="M138" s="1067">
        <f>JA58</f>
        <v>0</v>
      </c>
      <c r="N138" s="1067">
        <f>JB58</f>
        <v>0</v>
      </c>
      <c r="O138" s="1068">
        <f>JC58</f>
        <v>0</v>
      </c>
      <c r="P138" s="730">
        <f t="shared" si="677"/>
        <v>0</v>
      </c>
      <c r="S138" s="3613"/>
      <c r="T138" s="3614"/>
      <c r="U138" s="3614"/>
      <c r="V138" s="3614"/>
      <c r="W138" s="3615"/>
      <c r="X138" s="358"/>
      <c r="AA138" s="358"/>
      <c r="AB138" s="361"/>
      <c r="AC138" s="358"/>
      <c r="AF138" s="358"/>
      <c r="AG138" s="361"/>
      <c r="AH138" s="358"/>
      <c r="AK138" s="358"/>
      <c r="AL138" s="361"/>
      <c r="AM138" s="358"/>
      <c r="AP138" s="358"/>
      <c r="AQ138" s="361"/>
      <c r="AR138" s="362"/>
      <c r="AS138" s="362"/>
      <c r="AT138" s="362"/>
      <c r="AU138" s="362"/>
      <c r="AV138" s="362"/>
      <c r="AW138" s="362"/>
      <c r="AX138" s="790"/>
      <c r="AY138" s="358"/>
      <c r="BB138" s="362"/>
      <c r="BC138" s="790"/>
      <c r="BD138" s="358"/>
      <c r="MX138" s="360"/>
      <c r="NM138" s="356"/>
      <c r="OZ138" s="2504">
        <v>134</v>
      </c>
    </row>
    <row r="139" spans="1:416" ht="14.25" customHeight="1">
      <c r="A139" s="1058"/>
      <c r="B139" s="1058"/>
      <c r="C139" s="682"/>
      <c r="D139" s="1"/>
      <c r="E139" s="81"/>
      <c r="F139" s="1"/>
      <c r="G139" s="62"/>
      <c r="H139" s="141" t="s">
        <v>29</v>
      </c>
      <c r="I139" s="644" t="s">
        <v>4804</v>
      </c>
      <c r="J139" s="2066">
        <f>IF(P76=0,0,P139/P76)</f>
        <v>1</v>
      </c>
      <c r="K139" s="1029">
        <f>SUM(K137:K138)+JD58</f>
        <v>0</v>
      </c>
      <c r="L139" s="1029">
        <f>SUM(L137:L138)+JE58</f>
        <v>40</v>
      </c>
      <c r="M139" s="1029">
        <f>SUM(M137:M138)+JF58</f>
        <v>120</v>
      </c>
      <c r="N139" s="1029">
        <f>SUM(N137:N138)+JG58</f>
        <v>0</v>
      </c>
      <c r="O139" s="1029">
        <f>SUM(O137:O138)+JH58</f>
        <v>0</v>
      </c>
      <c r="P139" s="1029">
        <f t="shared" si="677"/>
        <v>160</v>
      </c>
      <c r="S139" s="3613"/>
      <c r="T139" s="3614"/>
      <c r="U139" s="3614"/>
      <c r="V139" s="3614"/>
      <c r="W139" s="3615"/>
      <c r="X139" s="1639"/>
      <c r="AA139" s="358"/>
      <c r="AB139" s="361"/>
      <c r="AC139" s="1639"/>
      <c r="AF139" s="358"/>
      <c r="AG139" s="361"/>
      <c r="AH139" s="1639"/>
      <c r="AK139" s="358"/>
      <c r="AL139" s="361"/>
      <c r="AM139" s="1639"/>
      <c r="AP139" s="358"/>
      <c r="AQ139" s="361"/>
      <c r="AR139" s="362"/>
      <c r="AS139" s="362"/>
      <c r="AT139" s="362"/>
      <c r="AU139" s="362"/>
      <c r="AV139" s="362"/>
      <c r="AW139" s="362"/>
      <c r="AX139" s="361"/>
      <c r="AY139" s="358"/>
      <c r="BB139" s="362"/>
      <c r="BC139" s="361"/>
      <c r="BD139" s="358"/>
      <c r="MX139" s="360"/>
      <c r="NM139" s="356"/>
      <c r="OZ139" s="2504">
        <v>135</v>
      </c>
    </row>
    <row r="140" spans="1:416" ht="14.25" customHeight="1">
      <c r="A140" s="1058"/>
      <c r="B140" s="1058"/>
      <c r="C140" s="682"/>
      <c r="D140" s="1"/>
      <c r="E140" s="81" t="s">
        <v>4800</v>
      </c>
      <c r="F140" s="1"/>
      <c r="G140" s="147"/>
      <c r="H140" s="87"/>
      <c r="I140" s="62"/>
      <c r="J140" s="62"/>
      <c r="K140" s="466"/>
      <c r="L140" s="466"/>
      <c r="M140" s="466"/>
      <c r="N140" s="466"/>
      <c r="O140" s="466"/>
      <c r="P140" s="462">
        <f t="shared" si="677"/>
        <v>0</v>
      </c>
      <c r="S140" s="3613"/>
      <c r="T140" s="3614"/>
      <c r="U140" s="3614"/>
      <c r="V140" s="3614"/>
      <c r="W140" s="3615"/>
      <c r="X140" s="358"/>
      <c r="AA140" s="358"/>
      <c r="AB140" s="361"/>
      <c r="AC140" s="358"/>
      <c r="AF140" s="358"/>
      <c r="AG140" s="361"/>
      <c r="AH140" s="358"/>
      <c r="AK140" s="358"/>
      <c r="AL140" s="361"/>
      <c r="AM140" s="358"/>
      <c r="AP140" s="358"/>
      <c r="AQ140" s="361"/>
      <c r="AR140" s="362"/>
      <c r="AS140" s="362"/>
      <c r="AT140" s="362"/>
      <c r="AU140" s="362"/>
      <c r="AV140" s="362"/>
      <c r="AW140" s="362"/>
      <c r="AX140" s="790"/>
      <c r="AY140" s="358"/>
      <c r="BB140" s="362"/>
      <c r="BC140" s="790"/>
      <c r="BD140" s="358"/>
      <c r="MX140" s="360"/>
      <c r="NM140" s="356"/>
      <c r="OZ140" s="2504">
        <v>136</v>
      </c>
    </row>
    <row r="141" spans="1:416" ht="14.25" customHeight="1">
      <c r="A141" s="3636" t="str">
        <f>IF(AND('Part III-A-Uses of Funds'!$T$180="Yes",'Part VIII Scoring Criteria'!$O$340&gt;0,P141&lt;1),"SHOW HISTORIC UNITS HERE &gt;&gt;&gt;&gt;","")</f>
        <v/>
      </c>
      <c r="B141" s="3636"/>
      <c r="C141" s="3636"/>
      <c r="D141" s="3636"/>
      <c r="E141" s="382" t="s">
        <v>2936</v>
      </c>
      <c r="F141" s="1"/>
      <c r="G141" s="147"/>
      <c r="H141" s="87"/>
      <c r="I141" s="62"/>
      <c r="J141" s="62"/>
      <c r="K141" s="467"/>
      <c r="L141" s="467"/>
      <c r="M141" s="467"/>
      <c r="N141" s="467"/>
      <c r="O141" s="467"/>
      <c r="P141" s="463">
        <f t="shared" si="677"/>
        <v>0</v>
      </c>
      <c r="S141" s="3613"/>
      <c r="T141" s="3614"/>
      <c r="U141" s="3614"/>
      <c r="V141" s="3614"/>
      <c r="W141" s="3615"/>
      <c r="X141" s="358"/>
      <c r="AA141" s="358"/>
      <c r="AB141" s="361"/>
      <c r="AC141" s="358"/>
      <c r="AF141" s="358"/>
      <c r="AG141" s="361"/>
      <c r="AH141" s="358"/>
      <c r="AK141" s="358"/>
      <c r="AL141" s="361"/>
      <c r="AM141" s="358"/>
      <c r="AP141" s="358"/>
      <c r="AQ141" s="361"/>
      <c r="AR141" s="362"/>
      <c r="AS141" s="362"/>
      <c r="AT141" s="362"/>
      <c r="AU141" s="362"/>
      <c r="AV141" s="362"/>
      <c r="AW141" s="362"/>
      <c r="AX141" s="790"/>
      <c r="AY141" s="358"/>
      <c r="BB141" s="362"/>
      <c r="BC141" s="790"/>
      <c r="BD141" s="358"/>
      <c r="MX141" s="360"/>
      <c r="NM141" s="356"/>
      <c r="OZ141" s="2504">
        <v>137</v>
      </c>
    </row>
    <row r="142" spans="1:416" ht="9" customHeight="1">
      <c r="A142" s="816"/>
      <c r="B142" s="816"/>
      <c r="C142" s="816"/>
      <c r="D142" s="816"/>
      <c r="E142" s="382"/>
      <c r="F142" s="1"/>
      <c r="G142" s="147"/>
      <c r="H142" s="87"/>
      <c r="I142" s="62"/>
      <c r="J142" s="62"/>
      <c r="K142" s="29"/>
      <c r="L142" s="29"/>
      <c r="M142" s="29"/>
      <c r="N142" s="29"/>
      <c r="O142" s="29"/>
      <c r="P142" s="29"/>
      <c r="S142" s="3613"/>
      <c r="T142" s="3614"/>
      <c r="U142" s="3614"/>
      <c r="V142" s="3614"/>
      <c r="W142" s="3615"/>
      <c r="X142" s="358"/>
      <c r="AA142" s="358"/>
      <c r="AB142" s="361"/>
      <c r="AC142" s="358"/>
      <c r="AF142" s="358"/>
      <c r="AG142" s="361"/>
      <c r="AH142" s="358"/>
      <c r="AK142" s="358"/>
      <c r="AL142" s="361"/>
      <c r="AM142" s="358"/>
      <c r="AP142" s="358"/>
      <c r="AQ142" s="361"/>
      <c r="AR142" s="362"/>
      <c r="AS142" s="362"/>
      <c r="AT142" s="362"/>
      <c r="AU142" s="362"/>
      <c r="AV142" s="362"/>
      <c r="AW142" s="362"/>
      <c r="AX142" s="790"/>
      <c r="AY142" s="358"/>
      <c r="BB142" s="362"/>
      <c r="BC142" s="790"/>
      <c r="BD142" s="358"/>
      <c r="MX142" s="360"/>
      <c r="NM142" s="356"/>
      <c r="OZ142" s="2506">
        <v>138</v>
      </c>
    </row>
    <row r="143" spans="1:416" ht="13.5" customHeight="1">
      <c r="A143" s="816"/>
      <c r="B143" s="816"/>
      <c r="C143" s="816"/>
      <c r="D143" s="816"/>
      <c r="E143" s="81" t="s">
        <v>2924</v>
      </c>
      <c r="F143" s="1"/>
      <c r="G143" s="147"/>
      <c r="H143" s="87"/>
      <c r="I143" s="62"/>
      <c r="J143" s="62"/>
      <c r="K143" s="1078">
        <f>K152+K156+K160+K162+K164+K166</f>
        <v>0</v>
      </c>
      <c r="L143" s="1079">
        <f>L152+L156+L160+L162+L164+L166</f>
        <v>0</v>
      </c>
      <c r="M143" s="1079">
        <f>M152+M156+M160+M162+M164+M166</f>
        <v>0</v>
      </c>
      <c r="N143" s="1079">
        <f>N152+N156+N160+N162+N164+N166</f>
        <v>0</v>
      </c>
      <c r="O143" s="1080">
        <f>O152+O156+O160+O162+O164+O166</f>
        <v>0</v>
      </c>
      <c r="P143" s="472">
        <f>SUM(K143:O143)</f>
        <v>0</v>
      </c>
      <c r="S143" s="3580"/>
      <c r="T143" s="3581"/>
      <c r="U143" s="3581"/>
      <c r="V143" s="3581"/>
      <c r="W143" s="3582"/>
      <c r="X143" s="358"/>
      <c r="AA143" s="358"/>
      <c r="AB143" s="361"/>
      <c r="AC143" s="358"/>
      <c r="AF143" s="358"/>
      <c r="AG143" s="361"/>
      <c r="AH143" s="358"/>
      <c r="AK143" s="358"/>
      <c r="AL143" s="361"/>
      <c r="AM143" s="358"/>
      <c r="AP143" s="358"/>
      <c r="AQ143" s="361"/>
      <c r="AR143" s="362"/>
      <c r="AS143" s="362"/>
      <c r="AT143" s="362"/>
      <c r="AU143" s="362"/>
      <c r="AV143" s="362"/>
      <c r="AW143" s="362"/>
      <c r="AX143" s="790"/>
      <c r="AY143" s="358"/>
      <c r="BB143" s="362"/>
      <c r="BC143" s="790"/>
      <c r="BD143" s="358"/>
      <c r="MX143" s="360"/>
      <c r="NM143" s="356"/>
      <c r="OZ143" s="2504">
        <v>139</v>
      </c>
    </row>
    <row r="144" spans="1:416" ht="14.25" customHeight="1">
      <c r="D144" s="1"/>
      <c r="E144" s="81"/>
      <c r="F144" s="1"/>
      <c r="G144" s="147"/>
      <c r="H144" s="87"/>
      <c r="I144" s="62"/>
      <c r="J144" s="62"/>
      <c r="K144" s="464"/>
      <c r="L144" s="464"/>
      <c r="M144" s="464"/>
      <c r="N144" s="464"/>
      <c r="O144" s="464"/>
      <c r="P144" s="464"/>
      <c r="U144" s="327"/>
      <c r="X144" s="358"/>
      <c r="AA144" s="358"/>
      <c r="AB144" s="361"/>
      <c r="AC144" s="358"/>
      <c r="AF144" s="358"/>
      <c r="AG144" s="361"/>
      <c r="AH144" s="358"/>
      <c r="AK144" s="358"/>
      <c r="AL144" s="361"/>
      <c r="AM144" s="358"/>
      <c r="AP144" s="358"/>
      <c r="AQ144" s="361"/>
      <c r="AR144" s="358"/>
      <c r="AS144" s="358"/>
      <c r="AT144" s="358"/>
      <c r="AU144" s="358"/>
      <c r="AV144" s="358"/>
      <c r="AW144" s="358"/>
      <c r="AY144" s="358"/>
      <c r="BB144" s="358"/>
      <c r="BD144" s="358"/>
      <c r="MX144" s="360"/>
      <c r="NM144" s="356"/>
      <c r="OZ144" s="2503">
        <v>140</v>
      </c>
    </row>
    <row r="145" spans="1:528" ht="13.5" customHeight="1">
      <c r="C145" s="3630" t="s">
        <v>4798</v>
      </c>
      <c r="D145" s="3630"/>
      <c r="E145" s="81" t="s">
        <v>4746</v>
      </c>
      <c r="F145" s="1"/>
      <c r="G145" s="147"/>
      <c r="H145" s="87"/>
      <c r="I145" s="62"/>
      <c r="J145" s="62"/>
      <c r="K145" s="2396"/>
      <c r="L145" s="72" t="s">
        <v>4801</v>
      </c>
      <c r="M145" s="147"/>
      <c r="N145" s="87"/>
      <c r="O145" s="62"/>
      <c r="P145" s="62"/>
      <c r="S145" s="223"/>
      <c r="U145" s="327"/>
      <c r="X145" s="358"/>
      <c r="AA145" s="358"/>
      <c r="AB145" s="361"/>
      <c r="AC145" s="358"/>
      <c r="AF145" s="358"/>
      <c r="AG145" s="361"/>
      <c r="AH145" s="358"/>
      <c r="AK145" s="358"/>
      <c r="AL145" s="361"/>
      <c r="AM145" s="358"/>
      <c r="AP145" s="358"/>
      <c r="AQ145" s="361"/>
      <c r="AR145" s="358"/>
      <c r="AS145" s="358"/>
      <c r="AT145" s="358"/>
      <c r="AU145" s="358"/>
      <c r="AV145" s="358"/>
      <c r="AW145" s="358"/>
      <c r="AY145" s="358"/>
      <c r="BB145" s="358"/>
      <c r="BD145" s="358"/>
      <c r="MX145" s="360"/>
      <c r="NM145" s="356"/>
      <c r="OZ145" s="2504">
        <v>141</v>
      </c>
    </row>
    <row r="146" spans="1:528" ht="13.5" customHeight="1">
      <c r="C146" s="3630"/>
      <c r="D146" s="3630"/>
      <c r="E146" s="81"/>
      <c r="K146" s="2397"/>
      <c r="L146" s="3630" t="s">
        <v>4802</v>
      </c>
      <c r="M146" s="3630"/>
      <c r="N146" s="3630"/>
      <c r="O146" s="3630"/>
      <c r="P146" s="3630"/>
      <c r="S146" s="223"/>
      <c r="U146" s="327"/>
      <c r="X146" s="358"/>
      <c r="AA146" s="358"/>
      <c r="AB146" s="361"/>
      <c r="AC146" s="358"/>
      <c r="AF146" s="358"/>
      <c r="AG146" s="361"/>
      <c r="AH146" s="358"/>
      <c r="AK146" s="358"/>
      <c r="AL146" s="361"/>
      <c r="AM146" s="358"/>
      <c r="AP146" s="358"/>
      <c r="AQ146" s="361"/>
      <c r="AR146" s="358"/>
      <c r="AS146" s="358"/>
      <c r="AT146" s="358"/>
      <c r="AU146" s="358"/>
      <c r="AV146" s="358"/>
      <c r="AW146" s="358"/>
      <c r="AY146" s="358"/>
      <c r="BB146" s="358"/>
      <c r="BD146" s="358"/>
      <c r="MX146" s="360"/>
      <c r="NM146" s="356"/>
      <c r="OZ146" s="2504">
        <v>142</v>
      </c>
    </row>
    <row r="147" spans="1:528" ht="14.25" customHeight="1">
      <c r="C147" s="3630"/>
      <c r="D147" s="3630"/>
      <c r="E147" s="81"/>
      <c r="K147" s="464"/>
      <c r="L147" s="3630"/>
      <c r="M147" s="3630"/>
      <c r="N147" s="3630"/>
      <c r="O147" s="3630"/>
      <c r="P147" s="3630"/>
      <c r="S147" s="223"/>
      <c r="U147" s="327"/>
      <c r="X147" s="358"/>
      <c r="AA147" s="358"/>
      <c r="AB147" s="361"/>
      <c r="AC147" s="358"/>
      <c r="AF147" s="358"/>
      <c r="AG147" s="361"/>
      <c r="AH147" s="358"/>
      <c r="AK147" s="358"/>
      <c r="AL147" s="361"/>
      <c r="AM147" s="358"/>
      <c r="AP147" s="358"/>
      <c r="AQ147" s="361"/>
      <c r="AR147" s="358"/>
      <c r="AS147" s="358"/>
      <c r="AT147" s="358"/>
      <c r="AU147" s="358"/>
      <c r="AV147" s="358"/>
      <c r="AW147" s="358"/>
      <c r="AY147" s="358"/>
      <c r="BB147" s="358"/>
      <c r="BD147" s="358"/>
      <c r="MX147" s="360"/>
      <c r="NM147" s="356"/>
      <c r="OZ147" s="2503">
        <v>143</v>
      </c>
    </row>
    <row r="148" spans="1:528" ht="3" customHeight="1" thickBot="1">
      <c r="C148" s="2391"/>
      <c r="D148" s="2391"/>
      <c r="E148" s="81"/>
      <c r="K148" s="464"/>
      <c r="L148" s="2391"/>
      <c r="M148" s="2391"/>
      <c r="N148" s="2391"/>
      <c r="O148" s="2391"/>
      <c r="P148" s="2391"/>
      <c r="S148" s="223"/>
      <c r="U148" s="327"/>
      <c r="X148" s="358"/>
      <c r="AA148" s="358"/>
      <c r="AB148" s="361"/>
      <c r="AC148" s="358"/>
      <c r="AF148" s="358"/>
      <c r="AG148" s="361"/>
      <c r="AH148" s="358"/>
      <c r="AK148" s="358"/>
      <c r="AL148" s="361"/>
      <c r="AM148" s="358"/>
      <c r="AP148" s="358"/>
      <c r="AQ148" s="361"/>
      <c r="AR148" s="358"/>
      <c r="AS148" s="358"/>
      <c r="AT148" s="358"/>
      <c r="AU148" s="358"/>
      <c r="AV148" s="358"/>
      <c r="AW148" s="358"/>
      <c r="AY148" s="358"/>
      <c r="BB148" s="358"/>
      <c r="BD148" s="358"/>
      <c r="MX148" s="360"/>
      <c r="NM148" s="356"/>
      <c r="OZ148" s="2504">
        <v>144</v>
      </c>
    </row>
    <row r="149" spans="1:528" ht="14.25" customHeight="1" thickBot="1">
      <c r="A149" s="10" t="s">
        <v>688</v>
      </c>
      <c r="B149" s="10" t="s">
        <v>3749</v>
      </c>
      <c r="H149" s="68"/>
      <c r="L149" s="3626" t="str">
        <f>$O$62</f>
        <v>Income Averaging</v>
      </c>
      <c r="M149" s="3627"/>
      <c r="N149" s="3627"/>
      <c r="O149" s="3628"/>
      <c r="P149" s="464"/>
      <c r="S149" s="223" t="str">
        <f>C150</f>
        <v xml:space="preserve">Building Type: (for Utility Allowance, Monitoring Fees, etc)
</v>
      </c>
      <c r="U149" s="327"/>
      <c r="X149" s="358"/>
      <c r="AA149" s="358"/>
      <c r="AB149" s="361"/>
      <c r="AC149" s="358"/>
      <c r="AF149" s="358"/>
      <c r="AG149" s="361"/>
      <c r="AH149" s="358"/>
      <c r="AK149" s="358"/>
      <c r="AL149" s="361"/>
      <c r="AM149" s="358"/>
      <c r="AP149" s="358"/>
      <c r="AQ149" s="361"/>
      <c r="AR149" s="358"/>
      <c r="AS149" s="358"/>
      <c r="AT149" s="358"/>
      <c r="AU149" s="358"/>
      <c r="AV149" s="358"/>
      <c r="AW149" s="358"/>
      <c r="AY149" s="358"/>
      <c r="BB149" s="358"/>
      <c r="BD149" s="358"/>
      <c r="MX149" s="360"/>
      <c r="NM149" s="356"/>
      <c r="OZ149" s="2504">
        <v>145</v>
      </c>
    </row>
    <row r="150" spans="1:528" ht="14.25" customHeight="1">
      <c r="C150" s="3629" t="s">
        <v>4383</v>
      </c>
      <c r="D150" s="3629"/>
      <c r="E150" s="891" t="s">
        <v>36</v>
      </c>
      <c r="F150" s="750"/>
      <c r="G150" s="892"/>
      <c r="H150" s="1369"/>
      <c r="I150" s="893"/>
      <c r="J150" s="894"/>
      <c r="K150" s="1081">
        <f t="shared" ref="K150:P150" si="678">SUM(K151:K158)</f>
        <v>0</v>
      </c>
      <c r="L150" s="1082">
        <f t="shared" si="678"/>
        <v>40</v>
      </c>
      <c r="M150" s="1082">
        <f t="shared" si="678"/>
        <v>120</v>
      </c>
      <c r="N150" s="1082">
        <f t="shared" si="678"/>
        <v>0</v>
      </c>
      <c r="O150" s="1083">
        <f t="shared" si="678"/>
        <v>0</v>
      </c>
      <c r="P150" s="1032">
        <f t="shared" si="678"/>
        <v>160</v>
      </c>
      <c r="S150" s="3632"/>
      <c r="T150" s="3633"/>
      <c r="U150" s="3633"/>
      <c r="V150" s="3633"/>
      <c r="W150" s="3634"/>
      <c r="X150" s="358"/>
      <c r="AA150" s="358"/>
      <c r="AB150" s="361"/>
      <c r="AC150" s="358"/>
      <c r="AF150" s="358"/>
      <c r="AG150" s="361"/>
      <c r="AH150" s="358"/>
      <c r="AK150" s="358"/>
      <c r="AL150" s="361"/>
      <c r="AM150" s="358"/>
      <c r="AP150" s="358"/>
      <c r="AQ150" s="361"/>
      <c r="AR150" s="362"/>
      <c r="AS150" s="362"/>
      <c r="AT150" s="362"/>
      <c r="AU150" s="362"/>
      <c r="AV150" s="362"/>
      <c r="AW150" s="362"/>
      <c r="BB150" s="362"/>
      <c r="LF150" s="356"/>
      <c r="LK150" s="356"/>
      <c r="LP150" s="356"/>
      <c r="LU150" s="356"/>
      <c r="LV150" s="356"/>
      <c r="LW150" s="356"/>
      <c r="LX150" s="356"/>
      <c r="LY150" s="356"/>
      <c r="LZ150" s="356"/>
      <c r="MA150" s="356"/>
      <c r="MB150" s="356"/>
      <c r="MC150" s="356"/>
      <c r="MD150" s="356"/>
      <c r="ME150" s="356"/>
      <c r="MF150" s="356"/>
      <c r="MG150" s="356"/>
      <c r="MH150" s="356"/>
      <c r="MI150" s="356"/>
      <c r="MJ150" s="356"/>
      <c r="MK150" s="356"/>
      <c r="ML150" s="356"/>
      <c r="MM150" s="356"/>
      <c r="MN150" s="356"/>
      <c r="MO150" s="356"/>
      <c r="MP150" s="356"/>
      <c r="MX150" s="360"/>
      <c r="NM150" s="356"/>
      <c r="OZ150" s="2504">
        <v>146</v>
      </c>
    </row>
    <row r="151" spans="1:528" ht="14.25" customHeight="1">
      <c r="C151" s="3630"/>
      <c r="D151" s="3630"/>
      <c r="E151" s="81"/>
      <c r="F151" s="1"/>
      <c r="G151" s="62"/>
      <c r="H151" s="1333" t="s">
        <v>4183</v>
      </c>
      <c r="I151" s="33"/>
      <c r="J151" s="895"/>
      <c r="K151" s="1063">
        <f>LB58</f>
        <v>0</v>
      </c>
      <c r="L151" s="1064">
        <f>LC58</f>
        <v>0</v>
      </c>
      <c r="M151" s="1064">
        <f>LD58</f>
        <v>0</v>
      </c>
      <c r="N151" s="1064">
        <f>LE58</f>
        <v>0</v>
      </c>
      <c r="O151" s="1065">
        <f>LF58</f>
        <v>0</v>
      </c>
      <c r="P151" s="729">
        <f t="shared" ref="P151:P166" si="679">SUM(K151:O151)</f>
        <v>0</v>
      </c>
      <c r="S151" s="3613"/>
      <c r="T151" s="3614"/>
      <c r="U151" s="3614"/>
      <c r="V151" s="3614"/>
      <c r="W151" s="3615"/>
      <c r="X151" s="358"/>
      <c r="AA151" s="358"/>
      <c r="AB151" s="361"/>
      <c r="AC151" s="358"/>
      <c r="AF151" s="358"/>
      <c r="AG151" s="361"/>
      <c r="AH151" s="358"/>
      <c r="AK151" s="358"/>
      <c r="AL151" s="361"/>
      <c r="AM151" s="358"/>
      <c r="AP151" s="358"/>
      <c r="AQ151" s="361"/>
      <c r="AR151" s="362"/>
      <c r="AS151" s="362"/>
      <c r="AT151" s="362"/>
      <c r="AU151" s="362"/>
      <c r="AV151" s="362"/>
      <c r="AW151" s="362"/>
      <c r="BB151" s="362"/>
      <c r="LF151" s="356"/>
      <c r="LK151" s="356"/>
      <c r="LP151" s="356"/>
      <c r="LU151" s="356"/>
      <c r="LV151" s="356"/>
      <c r="LW151" s="356"/>
      <c r="LX151" s="356"/>
      <c r="LY151" s="356"/>
      <c r="LZ151" s="356"/>
      <c r="MA151" s="356"/>
      <c r="MB151" s="356"/>
      <c r="MC151" s="356"/>
      <c r="MD151" s="356"/>
      <c r="ME151" s="356"/>
      <c r="MF151" s="356"/>
      <c r="MG151" s="356"/>
      <c r="MH151" s="356"/>
      <c r="MI151" s="356"/>
      <c r="MJ151" s="356"/>
      <c r="MK151" s="356"/>
      <c r="ML151" s="356"/>
      <c r="MM151" s="356"/>
      <c r="MN151" s="356"/>
      <c r="MO151" s="356"/>
      <c r="MP151" s="356"/>
      <c r="MX151" s="360"/>
      <c r="NM151" s="356"/>
      <c r="OZ151" s="2504">
        <v>147</v>
      </c>
    </row>
    <row r="152" spans="1:528" ht="14.25" customHeight="1">
      <c r="C152" s="3630"/>
      <c r="D152" s="3630"/>
      <c r="E152" s="81"/>
      <c r="F152" s="1"/>
      <c r="G152" s="62"/>
      <c r="H152" s="1370" t="s">
        <v>2924</v>
      </c>
      <c r="I152" s="73"/>
      <c r="J152" s="895"/>
      <c r="K152" s="1593">
        <f>LL58</f>
        <v>0</v>
      </c>
      <c r="L152" s="1594">
        <f>LM58</f>
        <v>0</v>
      </c>
      <c r="M152" s="1594">
        <f>LN58</f>
        <v>0</v>
      </c>
      <c r="N152" s="1594">
        <f>LO58</f>
        <v>0</v>
      </c>
      <c r="O152" s="1595">
        <f>LP58</f>
        <v>0</v>
      </c>
      <c r="P152" s="1605">
        <f t="shared" si="679"/>
        <v>0</v>
      </c>
      <c r="S152" s="3613"/>
      <c r="T152" s="3614"/>
      <c r="U152" s="3614"/>
      <c r="V152" s="3614"/>
      <c r="W152" s="3615"/>
      <c r="X152" s="358"/>
      <c r="AA152" s="358"/>
      <c r="AB152" s="361"/>
      <c r="AC152" s="358"/>
      <c r="AF152" s="358"/>
      <c r="AG152" s="361"/>
      <c r="AH152" s="358"/>
      <c r="AK152" s="358"/>
      <c r="AL152" s="361"/>
      <c r="AM152" s="358"/>
      <c r="AP152" s="358"/>
      <c r="AQ152" s="361"/>
      <c r="AR152" s="362"/>
      <c r="AS152" s="362"/>
      <c r="AT152" s="362"/>
      <c r="AU152" s="362"/>
      <c r="AV152" s="362"/>
      <c r="AW152" s="362"/>
      <c r="BB152" s="362"/>
      <c r="LF152" s="356"/>
      <c r="LK152" s="356"/>
      <c r="LP152" s="356"/>
      <c r="LU152" s="356"/>
      <c r="LV152" s="356"/>
      <c r="LW152" s="356"/>
      <c r="LX152" s="356"/>
      <c r="LY152" s="356"/>
      <c r="LZ152" s="356"/>
      <c r="MA152" s="356"/>
      <c r="MB152" s="356"/>
      <c r="MC152" s="356"/>
      <c r="MD152" s="356"/>
      <c r="ME152" s="356"/>
      <c r="MF152" s="356"/>
      <c r="MG152" s="356"/>
      <c r="MH152" s="356"/>
      <c r="MI152" s="356"/>
      <c r="MJ152" s="356"/>
      <c r="MK152" s="356"/>
      <c r="ML152" s="356"/>
      <c r="MM152" s="356"/>
      <c r="MN152" s="356"/>
      <c r="MO152" s="356"/>
      <c r="MP152" s="356"/>
      <c r="MX152" s="360"/>
      <c r="NM152" s="356"/>
      <c r="OZ152" s="2504">
        <v>148</v>
      </c>
    </row>
    <row r="153" spans="1:528" ht="14.25" customHeight="1">
      <c r="C153" s="3630"/>
      <c r="D153" s="3630"/>
      <c r="E153" s="81"/>
      <c r="F153" s="1"/>
      <c r="G153" s="62"/>
      <c r="H153" s="1333" t="s">
        <v>4370</v>
      </c>
      <c r="I153" s="33"/>
      <c r="J153" s="895"/>
      <c r="K153" s="1063">
        <f>LG58</f>
        <v>0</v>
      </c>
      <c r="L153" s="1064">
        <f>LH58</f>
        <v>40</v>
      </c>
      <c r="M153" s="1064">
        <f>LI58</f>
        <v>120</v>
      </c>
      <c r="N153" s="1064">
        <f>LJ58</f>
        <v>0</v>
      </c>
      <c r="O153" s="1065">
        <f>LK58</f>
        <v>0</v>
      </c>
      <c r="P153" s="729">
        <f t="shared" si="679"/>
        <v>160</v>
      </c>
      <c r="S153" s="3613"/>
      <c r="T153" s="3614"/>
      <c r="U153" s="3614"/>
      <c r="V153" s="3614"/>
      <c r="W153" s="3615"/>
      <c r="X153" s="358"/>
      <c r="AA153" s="358"/>
      <c r="AB153" s="361"/>
      <c r="AC153" s="358"/>
      <c r="AF153" s="358"/>
      <c r="AG153" s="361"/>
      <c r="AH153" s="358"/>
      <c r="AK153" s="358"/>
      <c r="AL153" s="361"/>
      <c r="AM153" s="358"/>
      <c r="AP153" s="358"/>
      <c r="AQ153" s="361"/>
      <c r="AR153" s="362"/>
      <c r="AS153" s="362"/>
      <c r="AT153" s="362"/>
      <c r="AU153" s="362"/>
      <c r="AV153" s="362"/>
      <c r="AW153" s="362"/>
      <c r="BB153" s="362"/>
      <c r="LF153" s="356"/>
      <c r="LK153" s="356"/>
      <c r="LP153" s="356"/>
      <c r="LU153" s="356"/>
      <c r="LV153" s="356"/>
      <c r="LW153" s="356"/>
      <c r="LX153" s="356"/>
      <c r="LY153" s="356"/>
      <c r="LZ153" s="356"/>
      <c r="MA153" s="356"/>
      <c r="MB153" s="356"/>
      <c r="MC153" s="356"/>
      <c r="MD153" s="356"/>
      <c r="ME153" s="356"/>
      <c r="MF153" s="356"/>
      <c r="MG153" s="356"/>
      <c r="MH153" s="356"/>
      <c r="MI153" s="356"/>
      <c r="MJ153" s="356"/>
      <c r="MK153" s="356"/>
      <c r="ML153" s="356"/>
      <c r="MM153" s="356"/>
      <c r="MN153" s="356"/>
      <c r="MO153" s="356"/>
      <c r="MP153" s="356"/>
      <c r="MX153" s="360"/>
      <c r="NM153" s="356"/>
      <c r="OZ153" s="2506">
        <v>149</v>
      </c>
    </row>
    <row r="154" spans="1:528" ht="14.25" customHeight="1">
      <c r="C154" s="3630"/>
      <c r="D154" s="3630"/>
      <c r="E154" s="81"/>
      <c r="F154" s="1"/>
      <c r="G154" s="62"/>
      <c r="H154" s="1370" t="s">
        <v>2924</v>
      </c>
      <c r="I154" s="73"/>
      <c r="J154" s="895"/>
      <c r="K154" s="1593">
        <f>LQ58</f>
        <v>0</v>
      </c>
      <c r="L154" s="1594">
        <f>LR58</f>
        <v>0</v>
      </c>
      <c r="M154" s="1594">
        <f>LS58</f>
        <v>0</v>
      </c>
      <c r="N154" s="1594">
        <f>LT58</f>
        <v>0</v>
      </c>
      <c r="O154" s="1595">
        <f>LU58</f>
        <v>0</v>
      </c>
      <c r="P154" s="1605">
        <f t="shared" si="679"/>
        <v>0</v>
      </c>
      <c r="S154" s="3613"/>
      <c r="T154" s="3614"/>
      <c r="U154" s="3614"/>
      <c r="V154" s="3614"/>
      <c r="W154" s="3615"/>
      <c r="X154" s="358"/>
      <c r="AA154" s="358"/>
      <c r="AB154" s="361"/>
      <c r="AC154" s="358"/>
      <c r="AF154" s="358"/>
      <c r="AG154" s="361"/>
      <c r="AH154" s="358"/>
      <c r="AK154" s="358"/>
      <c r="AL154" s="361"/>
      <c r="AM154" s="358"/>
      <c r="AP154" s="358"/>
      <c r="AQ154" s="361"/>
      <c r="AR154" s="362"/>
      <c r="AS154" s="362"/>
      <c r="AT154" s="362"/>
      <c r="AU154" s="362"/>
      <c r="AV154" s="362"/>
      <c r="AW154" s="362"/>
      <c r="BB154" s="362"/>
      <c r="LF154" s="356"/>
      <c r="LK154" s="356"/>
      <c r="LP154" s="356"/>
      <c r="LU154" s="356"/>
      <c r="LV154" s="356"/>
      <c r="LW154" s="356"/>
      <c r="LX154" s="356"/>
      <c r="LY154" s="356"/>
      <c r="LZ154" s="356"/>
      <c r="MA154" s="356"/>
      <c r="MB154" s="356"/>
      <c r="MC154" s="356"/>
      <c r="MD154" s="356"/>
      <c r="ME154" s="356"/>
      <c r="MF154" s="356"/>
      <c r="MG154" s="356"/>
      <c r="MH154" s="356"/>
      <c r="MI154" s="356"/>
      <c r="MJ154" s="356"/>
      <c r="MK154" s="356"/>
      <c r="ML154" s="356"/>
      <c r="MM154" s="356"/>
      <c r="MN154" s="356"/>
      <c r="MO154" s="356"/>
      <c r="MP154" s="356"/>
      <c r="MX154" s="360"/>
      <c r="NM154" s="356"/>
      <c r="OZ154" s="2504">
        <v>150</v>
      </c>
    </row>
    <row r="155" spans="1:528" ht="14.25" customHeight="1">
      <c r="C155" s="3630"/>
      <c r="D155" s="3630"/>
      <c r="E155" s="81"/>
      <c r="F155" s="1"/>
      <c r="G155" s="62"/>
      <c r="H155" s="1333" t="s">
        <v>4185</v>
      </c>
      <c r="I155" s="33"/>
      <c r="J155" s="62"/>
      <c r="K155" s="1087">
        <f>LV58</f>
        <v>0</v>
      </c>
      <c r="L155" s="1088">
        <f>LW58</f>
        <v>0</v>
      </c>
      <c r="M155" s="1088">
        <f>LX58</f>
        <v>0</v>
      </c>
      <c r="N155" s="1088">
        <f>LY58</f>
        <v>0</v>
      </c>
      <c r="O155" s="1089">
        <f>LZ58</f>
        <v>0</v>
      </c>
      <c r="P155" s="468">
        <f t="shared" si="679"/>
        <v>0</v>
      </c>
      <c r="S155" s="3613"/>
      <c r="T155" s="3614"/>
      <c r="U155" s="3614"/>
      <c r="V155" s="3614"/>
      <c r="W155" s="3615"/>
      <c r="X155" s="358"/>
      <c r="AA155" s="358"/>
      <c r="AB155" s="361"/>
      <c r="AC155" s="358"/>
      <c r="AF155" s="358"/>
      <c r="AG155" s="361"/>
      <c r="AH155" s="358"/>
      <c r="AK155" s="358"/>
      <c r="AL155" s="361"/>
      <c r="AM155" s="358"/>
      <c r="AP155" s="358"/>
      <c r="AQ155" s="361"/>
      <c r="AR155" s="362"/>
      <c r="AS155" s="362"/>
      <c r="AT155" s="362"/>
      <c r="AU155" s="362"/>
      <c r="AV155" s="362"/>
      <c r="AW155" s="362"/>
      <c r="BB155" s="362"/>
      <c r="LF155" s="356"/>
      <c r="LK155" s="356"/>
      <c r="LP155" s="356"/>
      <c r="LU155" s="356"/>
      <c r="LV155" s="356"/>
      <c r="LW155" s="356"/>
      <c r="LX155" s="356"/>
      <c r="LY155" s="356"/>
      <c r="LZ155" s="356"/>
      <c r="MA155" s="356"/>
      <c r="MB155" s="356"/>
      <c r="MC155" s="356"/>
      <c r="MD155" s="356"/>
      <c r="ME155" s="356"/>
      <c r="MF155" s="356"/>
      <c r="MG155" s="356"/>
      <c r="MH155" s="356"/>
      <c r="MI155" s="356"/>
      <c r="MJ155" s="356"/>
      <c r="MK155" s="356"/>
      <c r="ML155" s="356"/>
      <c r="MM155" s="356"/>
      <c r="MN155" s="356"/>
      <c r="MO155" s="356"/>
      <c r="MP155" s="356"/>
      <c r="MX155" s="360"/>
      <c r="NM155" s="356"/>
      <c r="NN155" s="356"/>
      <c r="OZ155" s="2503">
        <v>151</v>
      </c>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c r="RZ155" s="62"/>
      <c r="SA155" s="62"/>
      <c r="SB155" s="62"/>
      <c r="SC155" s="62"/>
      <c r="SD155" s="62"/>
      <c r="SE155" s="62"/>
      <c r="SF155" s="62"/>
      <c r="SG155" s="62"/>
      <c r="SH155" s="62"/>
      <c r="SI155" s="62"/>
      <c r="SJ155" s="62"/>
      <c r="SK155" s="62"/>
      <c r="SL155" s="62"/>
      <c r="SM155" s="62"/>
      <c r="SN155" s="62"/>
      <c r="SO155" s="62"/>
      <c r="SP155" s="62"/>
      <c r="SQ155" s="62"/>
      <c r="SR155" s="62"/>
      <c r="SS155" s="62"/>
      <c r="ST155" s="62"/>
      <c r="SU155" s="62"/>
      <c r="SV155" s="62"/>
      <c r="SW155" s="62"/>
      <c r="SX155" s="62"/>
      <c r="SY155" s="62"/>
      <c r="SZ155" s="62"/>
      <c r="TA155" s="62"/>
      <c r="TB155" s="62"/>
      <c r="TC155" s="62"/>
      <c r="TD155" s="62"/>
      <c r="TE155" s="62"/>
      <c r="TF155" s="62"/>
      <c r="TG155" s="62"/>
      <c r="TH155" s="62"/>
    </row>
    <row r="156" spans="1:528" ht="14.25" customHeight="1">
      <c r="C156" s="3630"/>
      <c r="D156" s="3630"/>
      <c r="E156" s="81"/>
      <c r="F156" s="1"/>
      <c r="G156" s="62"/>
      <c r="H156" s="1370" t="s">
        <v>2924</v>
      </c>
      <c r="I156" s="73"/>
      <c r="J156" s="62"/>
      <c r="K156" s="1601">
        <f>MF58</f>
        <v>0</v>
      </c>
      <c r="L156" s="1602">
        <f>MG58</f>
        <v>0</v>
      </c>
      <c r="M156" s="1602">
        <f>MH58</f>
        <v>0</v>
      </c>
      <c r="N156" s="1602">
        <f>MI58</f>
        <v>0</v>
      </c>
      <c r="O156" s="1603">
        <f>MJ58</f>
        <v>0</v>
      </c>
      <c r="P156" s="1604">
        <f t="shared" si="679"/>
        <v>0</v>
      </c>
      <c r="S156" s="3613"/>
      <c r="T156" s="3614"/>
      <c r="U156" s="3614"/>
      <c r="V156" s="3614"/>
      <c r="W156" s="3615"/>
      <c r="X156" s="358"/>
      <c r="AA156" s="358"/>
      <c r="AB156" s="361"/>
      <c r="AC156" s="358"/>
      <c r="AF156" s="358"/>
      <c r="AG156" s="361"/>
      <c r="AH156" s="358"/>
      <c r="AK156" s="358"/>
      <c r="AL156" s="361"/>
      <c r="AM156" s="358"/>
      <c r="AP156" s="358"/>
      <c r="AQ156" s="361"/>
      <c r="AR156" s="362"/>
      <c r="AS156" s="362"/>
      <c r="AT156" s="362"/>
      <c r="AU156" s="362"/>
      <c r="AV156" s="362"/>
      <c r="AW156" s="362"/>
      <c r="BB156" s="362"/>
      <c r="LF156" s="356"/>
      <c r="LK156" s="356"/>
      <c r="LP156" s="356"/>
      <c r="LU156" s="356"/>
      <c r="LV156" s="356"/>
      <c r="LW156" s="356"/>
      <c r="LX156" s="356"/>
      <c r="LY156" s="356"/>
      <c r="LZ156" s="356"/>
      <c r="MA156" s="356"/>
      <c r="MB156" s="356"/>
      <c r="MC156" s="356"/>
      <c r="MD156" s="356"/>
      <c r="ME156" s="356"/>
      <c r="MF156" s="356"/>
      <c r="MG156" s="356"/>
      <c r="MH156" s="356"/>
      <c r="MI156" s="356"/>
      <c r="MJ156" s="356"/>
      <c r="MK156" s="356"/>
      <c r="ML156" s="356"/>
      <c r="MM156" s="356"/>
      <c r="MN156" s="356"/>
      <c r="MO156" s="356"/>
      <c r="MP156" s="356"/>
      <c r="MX156" s="360"/>
      <c r="NM156" s="356"/>
      <c r="NN156" s="356"/>
      <c r="OZ156" s="2504">
        <v>152</v>
      </c>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c r="RZ156" s="62"/>
      <c r="SA156" s="62"/>
      <c r="SB156" s="62"/>
      <c r="SC156" s="62"/>
      <c r="SD156" s="62"/>
      <c r="SE156" s="62"/>
      <c r="SF156" s="62"/>
      <c r="SG156" s="62"/>
      <c r="SH156" s="62"/>
      <c r="SI156" s="62"/>
      <c r="SJ156" s="62"/>
      <c r="SK156" s="62"/>
      <c r="SL156" s="62"/>
      <c r="SM156" s="62"/>
      <c r="SN156" s="62"/>
      <c r="SO156" s="62"/>
      <c r="SP156" s="62"/>
      <c r="SQ156" s="62"/>
      <c r="SR156" s="62"/>
      <c r="SS156" s="62"/>
      <c r="ST156" s="62"/>
      <c r="SU156" s="62"/>
      <c r="SV156" s="62"/>
      <c r="SW156" s="62"/>
      <c r="SX156" s="62"/>
      <c r="SY156" s="62"/>
      <c r="SZ156" s="62"/>
      <c r="TA156" s="62"/>
      <c r="TB156" s="62"/>
      <c r="TC156" s="62"/>
      <c r="TD156" s="62"/>
      <c r="TE156" s="62"/>
      <c r="TF156" s="62"/>
      <c r="TG156" s="62"/>
      <c r="TH156" s="62"/>
    </row>
    <row r="157" spans="1:528" ht="14.25" customHeight="1">
      <c r="C157" s="3630"/>
      <c r="D157" s="3630"/>
      <c r="E157" s="81"/>
      <c r="F157" s="1"/>
      <c r="G157" s="62"/>
      <c r="H157" s="1333" t="s">
        <v>4377</v>
      </c>
      <c r="I157" s="33"/>
      <c r="J157" s="62"/>
      <c r="K157" s="1087">
        <f>MA58</f>
        <v>0</v>
      </c>
      <c r="L157" s="1088">
        <f>MB58</f>
        <v>0</v>
      </c>
      <c r="M157" s="1088">
        <f>MC58</f>
        <v>0</v>
      </c>
      <c r="N157" s="1088">
        <f>MD58</f>
        <v>0</v>
      </c>
      <c r="O157" s="1089">
        <f>ME58</f>
        <v>0</v>
      </c>
      <c r="P157" s="468">
        <f t="shared" si="679"/>
        <v>0</v>
      </c>
      <c r="S157" s="3613"/>
      <c r="T157" s="3614"/>
      <c r="U157" s="3614"/>
      <c r="V157" s="3614"/>
      <c r="W157" s="3615"/>
      <c r="X157" s="358"/>
      <c r="AA157" s="358"/>
      <c r="AB157" s="361"/>
      <c r="AC157" s="358"/>
      <c r="AF157" s="358"/>
      <c r="AG157" s="361"/>
      <c r="AH157" s="358"/>
      <c r="AK157" s="358"/>
      <c r="AL157" s="361"/>
      <c r="AM157" s="358"/>
      <c r="AP157" s="358"/>
      <c r="AQ157" s="361"/>
      <c r="AR157" s="362"/>
      <c r="AS157" s="362"/>
      <c r="AT157" s="362"/>
      <c r="AU157" s="362"/>
      <c r="AV157" s="362"/>
      <c r="AW157" s="362"/>
      <c r="BB157" s="362"/>
      <c r="LF157" s="356"/>
      <c r="LK157" s="356"/>
      <c r="LP157" s="356"/>
      <c r="LU157" s="356"/>
      <c r="LV157" s="356"/>
      <c r="LW157" s="356"/>
      <c r="LX157" s="356"/>
      <c r="LY157" s="356"/>
      <c r="LZ157" s="356"/>
      <c r="MA157" s="356"/>
      <c r="MB157" s="356"/>
      <c r="MC157" s="356"/>
      <c r="MD157" s="356"/>
      <c r="ME157" s="356"/>
      <c r="MF157" s="356"/>
      <c r="MG157" s="356"/>
      <c r="MH157" s="356"/>
      <c r="MI157" s="356"/>
      <c r="MJ157" s="356"/>
      <c r="MK157" s="356"/>
      <c r="ML157" s="356"/>
      <c r="MM157" s="356"/>
      <c r="MN157" s="356"/>
      <c r="MO157" s="356"/>
      <c r="MP157" s="356"/>
      <c r="MX157" s="360"/>
      <c r="NM157" s="356"/>
      <c r="NN157" s="356"/>
      <c r="OZ157" s="2504">
        <v>153</v>
      </c>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c r="RZ157" s="62"/>
      <c r="SA157" s="62"/>
      <c r="SB157" s="62"/>
      <c r="SC157" s="62"/>
      <c r="SD157" s="62"/>
      <c r="SE157" s="62"/>
      <c r="SF157" s="62"/>
      <c r="SG157" s="62"/>
      <c r="SH157" s="62"/>
      <c r="SI157" s="62"/>
      <c r="SJ157" s="62"/>
      <c r="SK157" s="62"/>
      <c r="SL157" s="62"/>
      <c r="SM157" s="62"/>
      <c r="SN157" s="62"/>
      <c r="SO157" s="62"/>
      <c r="SP157" s="62"/>
      <c r="SQ157" s="62"/>
      <c r="SR157" s="62"/>
      <c r="SS157" s="62"/>
      <c r="ST157" s="62"/>
      <c r="SU157" s="62"/>
      <c r="SV157" s="62"/>
      <c r="SW157" s="62"/>
      <c r="SX157" s="62"/>
      <c r="SY157" s="62"/>
      <c r="SZ157" s="62"/>
      <c r="TA157" s="62"/>
      <c r="TB157" s="62"/>
      <c r="TC157" s="62"/>
      <c r="TD157" s="62"/>
      <c r="TE157" s="62"/>
      <c r="TF157" s="62"/>
      <c r="TG157" s="62"/>
      <c r="TH157" s="62"/>
    </row>
    <row r="158" spans="1:528" ht="14.25" customHeight="1">
      <c r="C158" s="3630"/>
      <c r="D158" s="3630"/>
      <c r="E158" s="81"/>
      <c r="F158" s="1"/>
      <c r="G158" s="62"/>
      <c r="H158" s="1370" t="s">
        <v>2924</v>
      </c>
      <c r="I158" s="73"/>
      <c r="J158" s="62"/>
      <c r="K158" s="1601">
        <f>MK58</f>
        <v>0</v>
      </c>
      <c r="L158" s="1602">
        <f>ML58</f>
        <v>0</v>
      </c>
      <c r="M158" s="1602">
        <f>MM58</f>
        <v>0</v>
      </c>
      <c r="N158" s="1602">
        <f>MN58</f>
        <v>0</v>
      </c>
      <c r="O158" s="1603">
        <f>MO58</f>
        <v>0</v>
      </c>
      <c r="P158" s="1604">
        <f t="shared" si="679"/>
        <v>0</v>
      </c>
      <c r="S158" s="3613"/>
      <c r="T158" s="3614"/>
      <c r="U158" s="3614"/>
      <c r="V158" s="3614"/>
      <c r="W158" s="3615"/>
      <c r="X158" s="358"/>
      <c r="AA158" s="358"/>
      <c r="AB158" s="361"/>
      <c r="AC158" s="358"/>
      <c r="AF158" s="358"/>
      <c r="AG158" s="361"/>
      <c r="AH158" s="358"/>
      <c r="AK158" s="358"/>
      <c r="AL158" s="361"/>
      <c r="AM158" s="358"/>
      <c r="AP158" s="358"/>
      <c r="AQ158" s="361"/>
      <c r="AR158" s="362"/>
      <c r="AS158" s="362"/>
      <c r="AT158" s="362"/>
      <c r="AU158" s="362"/>
      <c r="AV158" s="362"/>
      <c r="AW158" s="362"/>
      <c r="BB158" s="362"/>
      <c r="LF158" s="356"/>
      <c r="LK158" s="356"/>
      <c r="LP158" s="356"/>
      <c r="LU158" s="356"/>
      <c r="LV158" s="356"/>
      <c r="LW158" s="356"/>
      <c r="LX158" s="356"/>
      <c r="LY158" s="356"/>
      <c r="LZ158" s="356"/>
      <c r="MA158" s="356"/>
      <c r="MB158" s="356"/>
      <c r="MC158" s="356"/>
      <c r="MD158" s="356"/>
      <c r="ME158" s="356"/>
      <c r="MF158" s="356"/>
      <c r="MG158" s="356"/>
      <c r="MH158" s="356"/>
      <c r="MI158" s="356"/>
      <c r="MJ158" s="356"/>
      <c r="MK158" s="356"/>
      <c r="ML158" s="356"/>
      <c r="MM158" s="356"/>
      <c r="MN158" s="356"/>
      <c r="MO158" s="356"/>
      <c r="MP158" s="356"/>
      <c r="MX158" s="360"/>
      <c r="NM158" s="356"/>
      <c r="NN158" s="356"/>
      <c r="OZ158" s="2503">
        <v>154</v>
      </c>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c r="RZ158" s="62"/>
      <c r="SA158" s="62"/>
      <c r="SB158" s="62"/>
      <c r="SC158" s="62"/>
      <c r="SD158" s="62"/>
      <c r="SE158" s="62"/>
      <c r="SF158" s="62"/>
      <c r="SG158" s="62"/>
      <c r="SH158" s="62"/>
      <c r="SI158" s="62"/>
      <c r="SJ158" s="62"/>
      <c r="SK158" s="62"/>
      <c r="SL158" s="62"/>
      <c r="SM158" s="62"/>
      <c r="SN158" s="62"/>
      <c r="SO158" s="62"/>
      <c r="SP158" s="62"/>
      <c r="SQ158" s="62"/>
      <c r="SR158" s="62"/>
      <c r="SS158" s="62"/>
      <c r="ST158" s="62"/>
      <c r="SU158" s="62"/>
      <c r="SV158" s="62"/>
      <c r="SW158" s="62"/>
      <c r="SX158" s="62"/>
      <c r="SY158" s="62"/>
      <c r="SZ158" s="62"/>
      <c r="TA158" s="62"/>
      <c r="TB158" s="62"/>
      <c r="TC158" s="62"/>
      <c r="TD158" s="62"/>
      <c r="TE158" s="62"/>
      <c r="TF158" s="62"/>
      <c r="TG158" s="62"/>
      <c r="TH158" s="62"/>
    </row>
    <row r="159" spans="1:528" ht="14.25" customHeight="1">
      <c r="C159" s="2391"/>
      <c r="D159" s="2391"/>
      <c r="E159" s="81" t="s">
        <v>4372</v>
      </c>
      <c r="F159" s="1"/>
      <c r="G159" s="62"/>
      <c r="H159" s="1333"/>
      <c r="I159" s="33"/>
      <c r="J159" s="62"/>
      <c r="K159" s="1060">
        <f>JN58</f>
        <v>0</v>
      </c>
      <c r="L159" s="1061">
        <f>JO58</f>
        <v>0</v>
      </c>
      <c r="M159" s="1061">
        <f>JP58</f>
        <v>0</v>
      </c>
      <c r="N159" s="1061">
        <f>JQ58</f>
        <v>0</v>
      </c>
      <c r="O159" s="1062">
        <f>JR58</f>
        <v>0</v>
      </c>
      <c r="P159" s="1589">
        <f t="shared" si="679"/>
        <v>0</v>
      </c>
      <c r="S159" s="3613"/>
      <c r="T159" s="3614"/>
      <c r="U159" s="3614"/>
      <c r="V159" s="3614"/>
      <c r="W159" s="3615"/>
      <c r="X159" s="358"/>
      <c r="AA159" s="358"/>
      <c r="AB159" s="361"/>
      <c r="AC159" s="358"/>
      <c r="AF159" s="358"/>
      <c r="AG159" s="361"/>
      <c r="AH159" s="358"/>
      <c r="AK159" s="358"/>
      <c r="AL159" s="361"/>
      <c r="AM159" s="358"/>
      <c r="AP159" s="358"/>
      <c r="AQ159" s="361"/>
      <c r="AR159" s="362"/>
      <c r="AS159" s="362"/>
      <c r="AT159" s="362"/>
      <c r="AU159" s="362"/>
      <c r="AV159" s="362"/>
      <c r="AW159" s="362"/>
      <c r="AX159" s="790"/>
      <c r="AY159" s="358"/>
      <c r="BB159" s="362"/>
      <c r="BC159" s="790"/>
      <c r="BD159" s="358"/>
      <c r="MX159" s="360"/>
      <c r="NM159" s="356"/>
      <c r="NN159" s="356"/>
      <c r="OZ159" s="2504">
        <v>155</v>
      </c>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c r="RZ159" s="62"/>
      <c r="SA159" s="62"/>
      <c r="SB159" s="62"/>
      <c r="SC159" s="62"/>
      <c r="SD159" s="62"/>
      <c r="SE159" s="62"/>
      <c r="SF159" s="62"/>
      <c r="SG159" s="62"/>
      <c r="SH159" s="62"/>
      <c r="SI159" s="62"/>
      <c r="SJ159" s="62"/>
      <c r="SK159" s="62"/>
      <c r="SL159" s="62"/>
      <c r="SM159" s="62"/>
      <c r="SN159" s="62"/>
      <c r="SO159" s="62"/>
      <c r="SP159" s="62"/>
      <c r="SQ159" s="62"/>
      <c r="SR159" s="62"/>
      <c r="SS159" s="62"/>
      <c r="ST159" s="62"/>
      <c r="SU159" s="62"/>
      <c r="SV159" s="62"/>
      <c r="SW159" s="62"/>
      <c r="SX159" s="62"/>
      <c r="SY159" s="62"/>
      <c r="SZ159" s="62"/>
      <c r="TA159" s="62"/>
      <c r="TB159" s="62"/>
      <c r="TC159" s="62"/>
      <c r="TD159" s="62"/>
      <c r="TE159" s="62"/>
      <c r="TF159" s="62"/>
      <c r="TG159" s="62"/>
      <c r="TH159" s="62"/>
    </row>
    <row r="160" spans="1:528" ht="14.25" customHeight="1">
      <c r="C160" s="2391"/>
      <c r="D160" s="2391"/>
      <c r="E160" s="81"/>
      <c r="F160" s="1"/>
      <c r="G160" s="62"/>
      <c r="H160" s="1370" t="s">
        <v>2924</v>
      </c>
      <c r="I160" s="73"/>
      <c r="J160" s="62"/>
      <c r="K160" s="1593">
        <f>JS58</f>
        <v>0</v>
      </c>
      <c r="L160" s="1594">
        <f>JT58</f>
        <v>0</v>
      </c>
      <c r="M160" s="1594">
        <f>JU58</f>
        <v>0</v>
      </c>
      <c r="N160" s="1594">
        <f>JV58</f>
        <v>0</v>
      </c>
      <c r="O160" s="1595">
        <f>JW58</f>
        <v>0</v>
      </c>
      <c r="P160" s="1596">
        <f t="shared" si="679"/>
        <v>0</v>
      </c>
      <c r="S160" s="3613"/>
      <c r="T160" s="3614"/>
      <c r="U160" s="3614"/>
      <c r="V160" s="3614"/>
      <c r="W160" s="3615"/>
      <c r="X160" s="358"/>
      <c r="AA160" s="358"/>
      <c r="AB160" s="361"/>
      <c r="AC160" s="358"/>
      <c r="AF160" s="358"/>
      <c r="AG160" s="361"/>
      <c r="AH160" s="358"/>
      <c r="AK160" s="358"/>
      <c r="AL160" s="361"/>
      <c r="AM160" s="358"/>
      <c r="AP160" s="358"/>
      <c r="AQ160" s="361"/>
      <c r="AR160" s="362"/>
      <c r="AS160" s="362"/>
      <c r="AT160" s="362"/>
      <c r="AU160" s="362"/>
      <c r="AV160" s="362"/>
      <c r="AW160" s="362"/>
      <c r="AX160" s="790"/>
      <c r="AY160" s="358"/>
      <c r="BB160" s="362"/>
      <c r="BC160" s="790"/>
      <c r="BD160" s="358"/>
      <c r="MX160" s="360"/>
      <c r="NM160" s="356"/>
      <c r="NN160" s="356"/>
      <c r="OZ160" s="2504">
        <v>156</v>
      </c>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c r="RZ160" s="62"/>
      <c r="SA160" s="62"/>
      <c r="SB160" s="62"/>
      <c r="SC160" s="62"/>
      <c r="SD160" s="62"/>
      <c r="SE160" s="62"/>
      <c r="SF160" s="62"/>
      <c r="SG160" s="62"/>
      <c r="SH160" s="62"/>
      <c r="SI160" s="62"/>
      <c r="SJ160" s="62"/>
      <c r="SK160" s="62"/>
      <c r="SL160" s="62"/>
      <c r="SM160" s="62"/>
      <c r="SN160" s="62"/>
      <c r="SO160" s="62"/>
      <c r="SP160" s="62"/>
      <c r="SQ160" s="62"/>
      <c r="SR160" s="62"/>
      <c r="SS160" s="62"/>
      <c r="ST160" s="62"/>
      <c r="SU160" s="62"/>
      <c r="SV160" s="62"/>
      <c r="SW160" s="62"/>
      <c r="SX160" s="62"/>
      <c r="SY160" s="62"/>
      <c r="SZ160" s="62"/>
      <c r="TA160" s="62"/>
      <c r="TB160" s="62"/>
      <c r="TC160" s="62"/>
      <c r="TD160" s="62"/>
      <c r="TE160" s="62"/>
      <c r="TF160" s="62"/>
      <c r="TG160" s="62"/>
      <c r="TH160" s="62"/>
    </row>
    <row r="161" spans="1:528" ht="14.25" customHeight="1">
      <c r="C161" s="2391"/>
      <c r="D161" s="2391"/>
      <c r="E161" s="81" t="s">
        <v>4373</v>
      </c>
      <c r="F161" s="1"/>
      <c r="G161" s="62"/>
      <c r="H161" s="1333"/>
      <c r="I161" s="33"/>
      <c r="J161" s="62"/>
      <c r="K161" s="1087">
        <f>KR58</f>
        <v>0</v>
      </c>
      <c r="L161" s="1088">
        <f>KS58</f>
        <v>0</v>
      </c>
      <c r="M161" s="1088">
        <f>KT58</f>
        <v>0</v>
      </c>
      <c r="N161" s="1088">
        <f>KU58</f>
        <v>0</v>
      </c>
      <c r="O161" s="1089">
        <f>KV58</f>
        <v>0</v>
      </c>
      <c r="P161" s="1590">
        <f t="shared" si="679"/>
        <v>0</v>
      </c>
      <c r="S161" s="3613"/>
      <c r="T161" s="3614"/>
      <c r="U161" s="3614"/>
      <c r="V161" s="3614"/>
      <c r="W161" s="3615"/>
      <c r="X161" s="358"/>
      <c r="AA161" s="358"/>
      <c r="AB161" s="361"/>
      <c r="AC161" s="358"/>
      <c r="AF161" s="358"/>
      <c r="AG161" s="361"/>
      <c r="AH161" s="358"/>
      <c r="AK161" s="358"/>
      <c r="AL161" s="361"/>
      <c r="AM161" s="358"/>
      <c r="AP161" s="358"/>
      <c r="AQ161" s="361"/>
      <c r="AR161" s="362"/>
      <c r="AS161" s="362"/>
      <c r="AT161" s="362"/>
      <c r="AU161" s="362"/>
      <c r="AV161" s="362"/>
      <c r="AW161" s="362"/>
      <c r="BB161" s="362"/>
      <c r="LF161" s="356"/>
      <c r="LK161" s="356"/>
      <c r="LP161" s="356"/>
      <c r="LU161" s="356"/>
      <c r="LV161" s="356"/>
      <c r="LW161" s="356"/>
      <c r="LX161" s="356"/>
      <c r="LY161" s="356"/>
      <c r="LZ161" s="356"/>
      <c r="MA161" s="356"/>
      <c r="MB161" s="356"/>
      <c r="MC161" s="356"/>
      <c r="MD161" s="356"/>
      <c r="ME161" s="356"/>
      <c r="MF161" s="356"/>
      <c r="MG161" s="356"/>
      <c r="MH161" s="356"/>
      <c r="MI161" s="356"/>
      <c r="MJ161" s="356"/>
      <c r="MK161" s="356"/>
      <c r="ML161" s="356"/>
      <c r="MM161" s="356"/>
      <c r="MN161" s="356"/>
      <c r="MO161" s="356"/>
      <c r="MP161" s="356"/>
      <c r="MX161" s="360"/>
      <c r="NM161" s="356"/>
      <c r="NN161" s="356"/>
      <c r="OZ161" s="2504">
        <v>157</v>
      </c>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c r="RZ161" s="62"/>
      <c r="SA161" s="62"/>
      <c r="SB161" s="62"/>
      <c r="SC161" s="62"/>
      <c r="SD161" s="62"/>
      <c r="SE161" s="62"/>
      <c r="SF161" s="62"/>
      <c r="SG161" s="62"/>
      <c r="SH161" s="62"/>
      <c r="SI161" s="62"/>
      <c r="SJ161" s="62"/>
      <c r="SK161" s="62"/>
      <c r="SL161" s="62"/>
      <c r="SM161" s="62"/>
      <c r="SN161" s="62"/>
      <c r="SO161" s="62"/>
      <c r="SP161" s="62"/>
      <c r="SQ161" s="62"/>
      <c r="SR161" s="62"/>
      <c r="SS161" s="62"/>
      <c r="ST161" s="62"/>
      <c r="SU161" s="62"/>
      <c r="SV161" s="62"/>
      <c r="SW161" s="62"/>
      <c r="SX161" s="62"/>
      <c r="SY161" s="62"/>
      <c r="SZ161" s="62"/>
      <c r="TA161" s="62"/>
      <c r="TB161" s="62"/>
      <c r="TC161" s="62"/>
      <c r="TD161" s="62"/>
      <c r="TE161" s="62"/>
      <c r="TF161" s="62"/>
      <c r="TG161" s="62"/>
      <c r="TH161" s="62"/>
    </row>
    <row r="162" spans="1:528" ht="14.25" customHeight="1">
      <c r="C162" s="2391"/>
      <c r="D162" s="2391"/>
      <c r="E162" s="81"/>
      <c r="F162" s="1"/>
      <c r="G162" s="62"/>
      <c r="H162" s="1370" t="s">
        <v>2924</v>
      </c>
      <c r="I162" s="73"/>
      <c r="J162" s="62"/>
      <c r="K162" s="1593">
        <f>KW58</f>
        <v>0</v>
      </c>
      <c r="L162" s="1594">
        <f>KX58</f>
        <v>0</v>
      </c>
      <c r="M162" s="1594">
        <f>KY58</f>
        <v>0</v>
      </c>
      <c r="N162" s="1594">
        <f>KZ58</f>
        <v>0</v>
      </c>
      <c r="O162" s="1595">
        <f>LA58</f>
        <v>0</v>
      </c>
      <c r="P162" s="1596">
        <f t="shared" si="679"/>
        <v>0</v>
      </c>
      <c r="S162" s="3613"/>
      <c r="T162" s="3614"/>
      <c r="U162" s="3614"/>
      <c r="V162" s="3614"/>
      <c r="W162" s="3615"/>
      <c r="X162" s="358"/>
      <c r="AA162" s="358"/>
      <c r="AB162" s="361"/>
      <c r="AC162" s="358"/>
      <c r="AF162" s="358"/>
      <c r="AG162" s="361"/>
      <c r="AH162" s="358"/>
      <c r="AK162" s="358"/>
      <c r="AL162" s="361"/>
      <c r="AM162" s="358"/>
      <c r="AP162" s="358"/>
      <c r="AQ162" s="361"/>
      <c r="AR162" s="362"/>
      <c r="AS162" s="362"/>
      <c r="AT162" s="362"/>
      <c r="AU162" s="362"/>
      <c r="AV162" s="362"/>
      <c r="AW162" s="362"/>
      <c r="BB162" s="362"/>
      <c r="LF162" s="356"/>
      <c r="LK162" s="356"/>
      <c r="LP162" s="356"/>
      <c r="LU162" s="356"/>
      <c r="LV162" s="356"/>
      <c r="LW162" s="356"/>
      <c r="LX162" s="356"/>
      <c r="LY162" s="356"/>
      <c r="LZ162" s="356"/>
      <c r="MA162" s="356"/>
      <c r="MB162" s="356"/>
      <c r="MC162" s="356"/>
      <c r="MD162" s="356"/>
      <c r="ME162" s="356"/>
      <c r="MF162" s="356"/>
      <c r="MG162" s="356"/>
      <c r="MH162" s="356"/>
      <c r="MI162" s="356"/>
      <c r="MJ162" s="356"/>
      <c r="MK162" s="356"/>
      <c r="ML162" s="356"/>
      <c r="MM162" s="356"/>
      <c r="MN162" s="356"/>
      <c r="MO162" s="356"/>
      <c r="MP162" s="356"/>
      <c r="MX162" s="360"/>
      <c r="NM162" s="356"/>
      <c r="NN162" s="356"/>
      <c r="OZ162" s="2504">
        <v>158</v>
      </c>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c r="RZ162" s="62"/>
      <c r="SA162" s="62"/>
      <c r="SB162" s="62"/>
      <c r="SC162" s="62"/>
      <c r="SD162" s="62"/>
      <c r="SE162" s="62"/>
      <c r="SF162" s="62"/>
      <c r="SG162" s="62"/>
      <c r="SH162" s="62"/>
      <c r="SI162" s="62"/>
      <c r="SJ162" s="62"/>
      <c r="SK162" s="62"/>
      <c r="SL162" s="62"/>
      <c r="SM162" s="62"/>
      <c r="SN162" s="62"/>
      <c r="SO162" s="62"/>
      <c r="SP162" s="62"/>
      <c r="SQ162" s="62"/>
      <c r="SR162" s="62"/>
      <c r="SS162" s="62"/>
      <c r="ST162" s="62"/>
      <c r="SU162" s="62"/>
      <c r="SV162" s="62"/>
      <c r="SW162" s="62"/>
      <c r="SX162" s="62"/>
      <c r="SY162" s="62"/>
      <c r="SZ162" s="62"/>
      <c r="TA162" s="62"/>
      <c r="TB162" s="62"/>
      <c r="TC162" s="62"/>
      <c r="TD162" s="62"/>
      <c r="TE162" s="62"/>
      <c r="TF162" s="62"/>
      <c r="TG162" s="62"/>
      <c r="TH162" s="62"/>
    </row>
    <row r="163" spans="1:528" ht="14.25" customHeight="1">
      <c r="C163" s="2391"/>
      <c r="D163" s="2391"/>
      <c r="E163" s="81" t="s">
        <v>4179</v>
      </c>
      <c r="F163" s="1"/>
      <c r="G163" s="62"/>
      <c r="H163" s="1333"/>
      <c r="I163" s="33"/>
      <c r="J163" s="62"/>
      <c r="K163" s="1087">
        <f>KH58</f>
        <v>0</v>
      </c>
      <c r="L163" s="1088">
        <f>KI58</f>
        <v>0</v>
      </c>
      <c r="M163" s="1088">
        <f>KJ58</f>
        <v>0</v>
      </c>
      <c r="N163" s="1088">
        <f>KK58</f>
        <v>0</v>
      </c>
      <c r="O163" s="1089">
        <f>KL58</f>
        <v>0</v>
      </c>
      <c r="P163" s="1590">
        <f t="shared" si="679"/>
        <v>0</v>
      </c>
      <c r="S163" s="3613"/>
      <c r="T163" s="3614"/>
      <c r="U163" s="3614"/>
      <c r="V163" s="3614"/>
      <c r="W163" s="3615"/>
      <c r="X163" s="358"/>
      <c r="AA163" s="358"/>
      <c r="AB163" s="361"/>
      <c r="AC163" s="358"/>
      <c r="AF163" s="358"/>
      <c r="AG163" s="361"/>
      <c r="AH163" s="358"/>
      <c r="AK163" s="358"/>
      <c r="AL163" s="361"/>
      <c r="AM163" s="358"/>
      <c r="AP163" s="358"/>
      <c r="AQ163" s="361"/>
      <c r="AR163" s="362"/>
      <c r="AS163" s="362"/>
      <c r="AT163" s="362"/>
      <c r="AU163" s="362"/>
      <c r="AV163" s="362"/>
      <c r="AW163" s="362"/>
      <c r="AX163" s="790"/>
      <c r="AY163" s="358"/>
      <c r="BB163" s="362"/>
      <c r="BC163" s="790"/>
      <c r="BD163" s="358"/>
      <c r="MX163" s="360"/>
      <c r="NM163" s="356"/>
      <c r="NN163" s="356"/>
      <c r="OZ163" s="2504">
        <v>159</v>
      </c>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c r="RZ163" s="62"/>
      <c r="SA163" s="62"/>
      <c r="SB163" s="62"/>
      <c r="SC163" s="62"/>
      <c r="SD163" s="62"/>
      <c r="SE163" s="62"/>
      <c r="SF163" s="62"/>
      <c r="SG163" s="62"/>
      <c r="SH163" s="62"/>
      <c r="SI163" s="62"/>
      <c r="SJ163" s="62"/>
      <c r="SK163" s="62"/>
      <c r="SL163" s="62"/>
      <c r="SM163" s="62"/>
      <c r="SN163" s="62"/>
      <c r="SO163" s="62"/>
      <c r="SP163" s="62"/>
      <c r="SQ163" s="62"/>
      <c r="SR163" s="62"/>
      <c r="SS163" s="62"/>
      <c r="ST163" s="62"/>
      <c r="SU163" s="62"/>
      <c r="SV163" s="62"/>
      <c r="SW163" s="62"/>
      <c r="SX163" s="62"/>
      <c r="SY163" s="62"/>
      <c r="SZ163" s="62"/>
      <c r="TA163" s="62"/>
      <c r="TB163" s="62"/>
      <c r="TC163" s="62"/>
      <c r="TD163" s="62"/>
      <c r="TE163" s="62"/>
      <c r="TF163" s="62"/>
      <c r="TG163" s="62"/>
      <c r="TH163" s="62"/>
    </row>
    <row r="164" spans="1:528" ht="14.25" customHeight="1">
      <c r="C164" s="2391"/>
      <c r="D164" s="2391"/>
      <c r="E164" s="81"/>
      <c r="F164" s="1"/>
      <c r="G164" s="62"/>
      <c r="H164" s="1370" t="s">
        <v>2924</v>
      </c>
      <c r="I164" s="73"/>
      <c r="J164" s="62"/>
      <c r="K164" s="1601">
        <f>KM58</f>
        <v>0</v>
      </c>
      <c r="L164" s="1602">
        <f>KN58</f>
        <v>0</v>
      </c>
      <c r="M164" s="1602">
        <f>KO58</f>
        <v>0</v>
      </c>
      <c r="N164" s="1602">
        <f>KP58</f>
        <v>0</v>
      </c>
      <c r="O164" s="1603">
        <f>KQ58</f>
        <v>0</v>
      </c>
      <c r="P164" s="1596">
        <f t="shared" si="679"/>
        <v>0</v>
      </c>
      <c r="S164" s="3613"/>
      <c r="T164" s="3614"/>
      <c r="U164" s="3614"/>
      <c r="V164" s="3614"/>
      <c r="W164" s="3615"/>
      <c r="X164" s="358"/>
      <c r="AA164" s="358"/>
      <c r="AB164" s="361"/>
      <c r="AC164" s="358"/>
      <c r="AF164" s="358"/>
      <c r="AG164" s="361"/>
      <c r="AH164" s="358"/>
      <c r="AK164" s="358"/>
      <c r="AL164" s="361"/>
      <c r="AM164" s="358"/>
      <c r="AP164" s="358"/>
      <c r="AQ164" s="361"/>
      <c r="AR164" s="362"/>
      <c r="AS164" s="362"/>
      <c r="AT164" s="362"/>
      <c r="AU164" s="362"/>
      <c r="AV164" s="362"/>
      <c r="AW164" s="362"/>
      <c r="AX164" s="790"/>
      <c r="AY164" s="358"/>
      <c r="BB164" s="362"/>
      <c r="BC164" s="790"/>
      <c r="BD164" s="358"/>
      <c r="MX164" s="360"/>
      <c r="NM164" s="356"/>
      <c r="NN164" s="356"/>
      <c r="OZ164" s="2503">
        <v>160</v>
      </c>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c r="RZ164" s="62"/>
      <c r="SA164" s="62"/>
      <c r="SB164" s="62"/>
      <c r="SC164" s="62"/>
      <c r="SD164" s="62"/>
      <c r="SE164" s="62"/>
      <c r="SF164" s="62"/>
      <c r="SG164" s="62"/>
      <c r="SH164" s="62"/>
      <c r="SI164" s="62"/>
      <c r="SJ164" s="62"/>
      <c r="SK164" s="62"/>
      <c r="SL164" s="62"/>
      <c r="SM164" s="62"/>
      <c r="SN164" s="62"/>
      <c r="SO164" s="62"/>
      <c r="SP164" s="62"/>
      <c r="SQ164" s="62"/>
      <c r="SR164" s="62"/>
      <c r="SS164" s="62"/>
      <c r="ST164" s="62"/>
      <c r="SU164" s="62"/>
      <c r="SV164" s="62"/>
      <c r="SW164" s="62"/>
      <c r="SX164" s="62"/>
      <c r="SY164" s="62"/>
      <c r="SZ164" s="62"/>
      <c r="TA164" s="62"/>
      <c r="TB164" s="62"/>
      <c r="TC164" s="62"/>
      <c r="TD164" s="62"/>
      <c r="TE164" s="62"/>
      <c r="TF164" s="62"/>
      <c r="TG164" s="62"/>
      <c r="TH164" s="62"/>
    </row>
    <row r="165" spans="1:528" ht="14.25" customHeight="1">
      <c r="C165" s="2391"/>
      <c r="D165" s="2391"/>
      <c r="E165" s="68" t="s">
        <v>524</v>
      </c>
      <c r="F165" s="1"/>
      <c r="G165" s="62"/>
      <c r="H165" s="1333"/>
      <c r="I165" s="33"/>
      <c r="J165" s="62"/>
      <c r="K165" s="1087">
        <f>JX58</f>
        <v>0</v>
      </c>
      <c r="L165" s="1088">
        <f>JY58</f>
        <v>0</v>
      </c>
      <c r="M165" s="1088">
        <f>JZ58</f>
        <v>0</v>
      </c>
      <c r="N165" s="1088">
        <f>KA58</f>
        <v>0</v>
      </c>
      <c r="O165" s="1089">
        <f>KB58</f>
        <v>0</v>
      </c>
      <c r="P165" s="1590">
        <f t="shared" si="679"/>
        <v>0</v>
      </c>
      <c r="S165" s="3613"/>
      <c r="T165" s="3614"/>
      <c r="U165" s="3614"/>
      <c r="V165" s="3614"/>
      <c r="W165" s="3615"/>
      <c r="X165" s="358"/>
      <c r="AA165" s="358"/>
      <c r="AB165" s="361"/>
      <c r="AC165" s="358"/>
      <c r="AF165" s="358"/>
      <c r="AG165" s="361"/>
      <c r="AH165" s="358"/>
      <c r="AK165" s="358"/>
      <c r="AL165" s="361"/>
      <c r="AM165" s="358"/>
      <c r="AP165" s="358"/>
      <c r="AQ165" s="361"/>
      <c r="AR165" s="362"/>
      <c r="AS165" s="362"/>
      <c r="AT165" s="362"/>
      <c r="AU165" s="362"/>
      <c r="AV165" s="362"/>
      <c r="AW165" s="362"/>
      <c r="BB165" s="362"/>
      <c r="LF165" s="356"/>
      <c r="LK165" s="356"/>
      <c r="LP165" s="356"/>
      <c r="LU165" s="356"/>
      <c r="LV165" s="356"/>
      <c r="LW165" s="356"/>
      <c r="LX165" s="356"/>
      <c r="LY165" s="356"/>
      <c r="LZ165" s="356"/>
      <c r="MA165" s="356"/>
      <c r="MB165" s="356"/>
      <c r="MC165" s="356"/>
      <c r="MD165" s="356"/>
      <c r="ME165" s="356"/>
      <c r="MF165" s="356"/>
      <c r="MG165" s="356"/>
      <c r="MH165" s="356"/>
      <c r="MI165" s="356"/>
      <c r="MJ165" s="356"/>
      <c r="MK165" s="356"/>
      <c r="ML165" s="356"/>
      <c r="MM165" s="356"/>
      <c r="MN165" s="356"/>
      <c r="MO165" s="356"/>
      <c r="MP165" s="356"/>
      <c r="MX165" s="360"/>
      <c r="NM165" s="356"/>
      <c r="NN165" s="356"/>
      <c r="OZ165" s="2504">
        <v>161</v>
      </c>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c r="RZ165" s="62"/>
      <c r="SA165" s="62"/>
      <c r="SB165" s="62"/>
      <c r="SC165" s="62"/>
      <c r="SD165" s="62"/>
      <c r="SE165" s="62"/>
      <c r="SF165" s="62"/>
      <c r="SG165" s="62"/>
      <c r="SH165" s="62"/>
      <c r="SI165" s="62"/>
      <c r="SJ165" s="62"/>
      <c r="SK165" s="62"/>
      <c r="SL165" s="62"/>
      <c r="SM165" s="62"/>
      <c r="SN165" s="62"/>
      <c r="SO165" s="62"/>
      <c r="SP165" s="62"/>
      <c r="SQ165" s="62"/>
      <c r="SR165" s="62"/>
      <c r="SS165" s="62"/>
      <c r="ST165" s="62"/>
      <c r="SU165" s="62"/>
      <c r="SV165" s="62"/>
      <c r="SW165" s="62"/>
      <c r="SX165" s="62"/>
      <c r="SY165" s="62"/>
      <c r="SZ165" s="62"/>
      <c r="TA165" s="62"/>
      <c r="TB165" s="62"/>
      <c r="TC165" s="62"/>
      <c r="TD165" s="62"/>
      <c r="TE165" s="62"/>
      <c r="TF165" s="62"/>
      <c r="TG165" s="62"/>
      <c r="TH165" s="62"/>
    </row>
    <row r="166" spans="1:528" ht="14.25" customHeight="1">
      <c r="C166" s="1588"/>
      <c r="D166" s="1588"/>
      <c r="E166" s="68"/>
      <c r="F166" s="1"/>
      <c r="G166" s="62"/>
      <c r="H166" s="1370" t="s">
        <v>2924</v>
      </c>
      <c r="I166" s="73"/>
      <c r="J166" s="62"/>
      <c r="K166" s="1597">
        <f>KC58</f>
        <v>0</v>
      </c>
      <c r="L166" s="1598">
        <f>KD58</f>
        <v>0</v>
      </c>
      <c r="M166" s="1598">
        <f>KE58</f>
        <v>0</v>
      </c>
      <c r="N166" s="1598">
        <f>KF58</f>
        <v>0</v>
      </c>
      <c r="O166" s="1599">
        <f>KG58</f>
        <v>0</v>
      </c>
      <c r="P166" s="1600">
        <f t="shared" si="679"/>
        <v>0</v>
      </c>
      <c r="S166" s="3580"/>
      <c r="T166" s="3581"/>
      <c r="U166" s="3581"/>
      <c r="V166" s="3581"/>
      <c r="W166" s="3582"/>
      <c r="X166" s="358"/>
      <c r="AA166" s="358"/>
      <c r="AB166" s="361"/>
      <c r="AC166" s="358"/>
      <c r="AF166" s="358"/>
      <c r="AG166" s="361"/>
      <c r="AH166" s="358"/>
      <c r="AK166" s="358"/>
      <c r="AL166" s="361"/>
      <c r="AM166" s="358"/>
      <c r="AP166" s="358"/>
      <c r="AQ166" s="361"/>
      <c r="AR166" s="362"/>
      <c r="AS166" s="362"/>
      <c r="AT166" s="362"/>
      <c r="AU166" s="362"/>
      <c r="AV166" s="362"/>
      <c r="AW166" s="362"/>
      <c r="BB166" s="362"/>
      <c r="LF166" s="356"/>
      <c r="LK166" s="356"/>
      <c r="LP166" s="356"/>
      <c r="LU166" s="356"/>
      <c r="LV166" s="356"/>
      <c r="LW166" s="356"/>
      <c r="LX166" s="356"/>
      <c r="LY166" s="356"/>
      <c r="LZ166" s="356"/>
      <c r="MA166" s="356"/>
      <c r="MB166" s="356"/>
      <c r="MC166" s="356"/>
      <c r="MD166" s="356"/>
      <c r="ME166" s="356"/>
      <c r="MF166" s="356"/>
      <c r="MG166" s="356"/>
      <c r="MH166" s="356"/>
      <c r="MI166" s="356"/>
      <c r="MJ166" s="356"/>
      <c r="MK166" s="356"/>
      <c r="ML166" s="356"/>
      <c r="MM166" s="356"/>
      <c r="MN166" s="356"/>
      <c r="MO166" s="356"/>
      <c r="MP166" s="356"/>
      <c r="MX166" s="360"/>
      <c r="NM166" s="356"/>
      <c r="NN166" s="356"/>
      <c r="OZ166" s="2504">
        <v>162</v>
      </c>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c r="RZ166" s="62"/>
      <c r="SA166" s="62"/>
      <c r="SB166" s="62"/>
      <c r="SC166" s="62"/>
      <c r="SD166" s="62"/>
      <c r="SE166" s="62"/>
      <c r="SF166" s="62"/>
      <c r="SG166" s="62"/>
      <c r="SH166" s="62"/>
      <c r="SI166" s="62"/>
      <c r="SJ166" s="62"/>
      <c r="SK166" s="62"/>
      <c r="SL166" s="62"/>
      <c r="SM166" s="62"/>
      <c r="SN166" s="62"/>
      <c r="SO166" s="62"/>
      <c r="SP166" s="62"/>
      <c r="SQ166" s="62"/>
      <c r="SR166" s="62"/>
      <c r="SS166" s="62"/>
      <c r="ST166" s="62"/>
      <c r="SU166" s="62"/>
      <c r="SV166" s="62"/>
      <c r="SW166" s="62"/>
      <c r="SX166" s="62"/>
      <c r="SY166" s="62"/>
      <c r="SZ166" s="62"/>
      <c r="TA166" s="62"/>
      <c r="TB166" s="62"/>
      <c r="TC166" s="62"/>
      <c r="TD166" s="62"/>
      <c r="TE166" s="62"/>
      <c r="TF166" s="62"/>
      <c r="TG166" s="62"/>
      <c r="TH166" s="62"/>
    </row>
    <row r="167" spans="1:528" ht="12.75" customHeight="1">
      <c r="P167" s="62"/>
      <c r="S167" s="3286"/>
      <c r="T167" s="3286"/>
      <c r="U167" s="3286"/>
      <c r="V167" s="3286"/>
      <c r="AY167" s="358"/>
      <c r="BD167" s="358"/>
      <c r="MX167" s="360"/>
      <c r="NM167" s="356"/>
      <c r="NN167" s="356"/>
      <c r="OZ167" s="2504">
        <v>163</v>
      </c>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c r="RZ167" s="62"/>
      <c r="SA167" s="62"/>
      <c r="SB167" s="62"/>
      <c r="SC167" s="62"/>
      <c r="SD167" s="62"/>
      <c r="SE167" s="62"/>
      <c r="SF167" s="62"/>
      <c r="SG167" s="62"/>
      <c r="SH167" s="62"/>
      <c r="SI167" s="62"/>
      <c r="SJ167" s="62"/>
      <c r="SK167" s="62"/>
      <c r="SL167" s="62"/>
      <c r="SM167" s="62"/>
      <c r="SN167" s="62"/>
      <c r="SO167" s="62"/>
      <c r="SP167" s="62"/>
      <c r="SQ167" s="62"/>
      <c r="SR167" s="62"/>
      <c r="SS167" s="62"/>
      <c r="ST167" s="62"/>
      <c r="SU167" s="62"/>
      <c r="SV167" s="62"/>
      <c r="SW167" s="62"/>
      <c r="SX167" s="62"/>
      <c r="SY167" s="62"/>
      <c r="SZ167" s="62"/>
      <c r="TA167" s="62"/>
      <c r="TB167" s="62"/>
      <c r="TC167" s="62"/>
      <c r="TD167" s="62"/>
      <c r="TE167" s="62"/>
      <c r="TF167" s="62"/>
      <c r="TG167" s="62"/>
      <c r="TH167" s="62"/>
    </row>
    <row r="168" spans="1:528" ht="9" customHeight="1">
      <c r="A168" s="10"/>
      <c r="B168" s="10"/>
      <c r="H168" s="68"/>
      <c r="P168" s="62"/>
      <c r="Q168" s="653"/>
      <c r="S168" s="144" t="str">
        <f>C169</f>
        <v>Building Type:
(for Cost Limit purposes only - see Application Instructions for further detail)</v>
      </c>
      <c r="T168" s="95"/>
      <c r="U168" s="367"/>
      <c r="AY168" s="358"/>
      <c r="BD168" s="358"/>
      <c r="MX168" s="360"/>
      <c r="NM168" s="356"/>
      <c r="NN168" s="356"/>
      <c r="OZ168" s="2504">
        <v>164</v>
      </c>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c r="RZ168" s="62"/>
      <c r="SA168" s="62"/>
      <c r="SB168" s="62"/>
      <c r="SC168" s="62"/>
      <c r="SD168" s="62"/>
      <c r="SE168" s="62"/>
      <c r="SF168" s="62"/>
      <c r="SG168" s="62"/>
      <c r="SH168" s="62"/>
      <c r="SI168" s="62"/>
      <c r="SJ168" s="62"/>
      <c r="SK168" s="62"/>
      <c r="SL168" s="62"/>
      <c r="SM168" s="62"/>
      <c r="SN168" s="62"/>
      <c r="SO168" s="62"/>
      <c r="SP168" s="62"/>
      <c r="SQ168" s="62"/>
      <c r="SR168" s="62"/>
      <c r="SS168" s="62"/>
      <c r="ST168" s="62"/>
      <c r="SU168" s="62"/>
      <c r="SV168" s="62"/>
      <c r="SW168" s="62"/>
      <c r="SX168" s="62"/>
      <c r="SY168" s="62"/>
      <c r="SZ168" s="62"/>
      <c r="TA168" s="62"/>
      <c r="TB168" s="62"/>
      <c r="TC168" s="62"/>
      <c r="TD168" s="62"/>
      <c r="TE168" s="62"/>
      <c r="TF168" s="62"/>
      <c r="TG168" s="62"/>
      <c r="TH168" s="62"/>
    </row>
    <row r="169" spans="1:528" ht="14.25" customHeight="1">
      <c r="C169" s="3629" t="s">
        <v>4384</v>
      </c>
      <c r="D169" s="3629"/>
      <c r="E169" s="891" t="s">
        <v>2919</v>
      </c>
      <c r="F169" s="892"/>
      <c r="G169" s="893"/>
      <c r="H169" s="1371"/>
      <c r="I169" s="896"/>
      <c r="J169" s="894"/>
      <c r="K169" s="1090">
        <f t="shared" ref="K169:O170" si="680">K159+K163+K165</f>
        <v>0</v>
      </c>
      <c r="L169" s="1091">
        <f t="shared" si="680"/>
        <v>0</v>
      </c>
      <c r="M169" s="1091">
        <f t="shared" si="680"/>
        <v>0</v>
      </c>
      <c r="N169" s="1091">
        <f t="shared" si="680"/>
        <v>0</v>
      </c>
      <c r="O169" s="1092">
        <f t="shared" si="680"/>
        <v>0</v>
      </c>
      <c r="P169" s="1589">
        <f t="shared" ref="P169:P176" si="681">SUM(K169:O169)</f>
        <v>0</v>
      </c>
      <c r="S169" s="3632"/>
      <c r="T169" s="3633"/>
      <c r="U169" s="3633"/>
      <c r="V169" s="3633"/>
      <c r="W169" s="3634"/>
      <c r="X169" s="358"/>
      <c r="AA169" s="358"/>
      <c r="AB169" s="361"/>
      <c r="AC169" s="358"/>
      <c r="AF169" s="358"/>
      <c r="AG169" s="361"/>
      <c r="AH169" s="358"/>
      <c r="AK169" s="358"/>
      <c r="AL169" s="361"/>
      <c r="AM169" s="358"/>
      <c r="AP169" s="358"/>
      <c r="AQ169" s="361"/>
      <c r="AR169" s="362"/>
      <c r="AS169" s="362"/>
      <c r="AT169" s="362"/>
      <c r="AU169" s="362"/>
      <c r="AV169" s="362"/>
      <c r="AW169" s="362"/>
      <c r="BB169" s="362"/>
      <c r="LF169" s="356"/>
      <c r="LK169" s="356"/>
      <c r="LP169" s="356"/>
      <c r="LU169" s="356"/>
      <c r="LV169" s="356"/>
      <c r="LW169" s="356"/>
      <c r="LX169" s="356"/>
      <c r="LY169" s="356"/>
      <c r="LZ169" s="356"/>
      <c r="MA169" s="356"/>
      <c r="MB169" s="356"/>
      <c r="MC169" s="356"/>
      <c r="MD169" s="356"/>
      <c r="ME169" s="356"/>
      <c r="MF169" s="356"/>
      <c r="MG169" s="356"/>
      <c r="MH169" s="356"/>
      <c r="MI169" s="356"/>
      <c r="MJ169" s="356"/>
      <c r="MK169" s="356"/>
      <c r="ML169" s="356"/>
      <c r="MM169" s="356"/>
      <c r="MN169" s="356"/>
      <c r="MO169" s="356"/>
      <c r="MP169" s="356"/>
      <c r="MX169" s="360"/>
      <c r="NM169" s="356"/>
      <c r="NN169" s="356"/>
      <c r="OZ169" s="2504">
        <v>165</v>
      </c>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c r="RZ169" s="62"/>
      <c r="SA169" s="62"/>
      <c r="SB169" s="62"/>
      <c r="SC169" s="62"/>
      <c r="SD169" s="62"/>
      <c r="SE169" s="62"/>
      <c r="SF169" s="62"/>
      <c r="SG169" s="62"/>
      <c r="SH169" s="62"/>
      <c r="SI169" s="62"/>
      <c r="SJ169" s="62"/>
      <c r="SK169" s="62"/>
      <c r="SL169" s="62"/>
      <c r="SM169" s="62"/>
      <c r="SN169" s="62"/>
      <c r="SO169" s="62"/>
      <c r="SP169" s="62"/>
      <c r="SQ169" s="62"/>
      <c r="SR169" s="62"/>
      <c r="SS169" s="62"/>
      <c r="ST169" s="62"/>
      <c r="SU169" s="62"/>
      <c r="SV169" s="62"/>
      <c r="SW169" s="62"/>
      <c r="SX169" s="62"/>
      <c r="SY169" s="62"/>
      <c r="SZ169" s="62"/>
      <c r="TA169" s="62"/>
      <c r="TB169" s="62"/>
      <c r="TC169" s="62"/>
      <c r="TD169" s="62"/>
      <c r="TE169" s="62"/>
      <c r="TF169" s="62"/>
      <c r="TG169" s="62"/>
      <c r="TH169" s="62"/>
    </row>
    <row r="170" spans="1:528" ht="14.25" customHeight="1">
      <c r="C170" s="3630"/>
      <c r="D170" s="3630"/>
      <c r="E170" s="81"/>
      <c r="F170" s="147"/>
      <c r="G170" s="62"/>
      <c r="H170" s="1370" t="s">
        <v>2924</v>
      </c>
      <c r="I170" s="73"/>
      <c r="J170" s="895"/>
      <c r="K170" s="1593">
        <f t="shared" si="680"/>
        <v>0</v>
      </c>
      <c r="L170" s="1594">
        <f t="shared" si="680"/>
        <v>0</v>
      </c>
      <c r="M170" s="1594">
        <f t="shared" si="680"/>
        <v>0</v>
      </c>
      <c r="N170" s="1594">
        <f t="shared" si="680"/>
        <v>0</v>
      </c>
      <c r="O170" s="1595">
        <f t="shared" si="680"/>
        <v>0</v>
      </c>
      <c r="P170" s="1596">
        <f t="shared" si="681"/>
        <v>0</v>
      </c>
      <c r="S170" s="3613"/>
      <c r="T170" s="3614"/>
      <c r="U170" s="3614"/>
      <c r="V170" s="3614"/>
      <c r="W170" s="3615"/>
      <c r="X170" s="358"/>
      <c r="AA170" s="358"/>
      <c r="AB170" s="361"/>
      <c r="AC170" s="358"/>
      <c r="AF170" s="358"/>
      <c r="AG170" s="361"/>
      <c r="AH170" s="358"/>
      <c r="AK170" s="358"/>
      <c r="AL170" s="361"/>
      <c r="AM170" s="358"/>
      <c r="AP170" s="358"/>
      <c r="AQ170" s="361"/>
      <c r="AR170" s="362"/>
      <c r="AS170" s="362"/>
      <c r="AT170" s="362"/>
      <c r="AU170" s="362"/>
      <c r="AV170" s="362"/>
      <c r="AW170" s="362"/>
      <c r="BB170" s="362"/>
      <c r="LF170" s="356"/>
      <c r="LK170" s="356"/>
      <c r="LP170" s="356"/>
      <c r="LU170" s="356"/>
      <c r="LV170" s="356"/>
      <c r="LW170" s="356"/>
      <c r="LX170" s="356"/>
      <c r="LY170" s="356"/>
      <c r="LZ170" s="356"/>
      <c r="MA170" s="356"/>
      <c r="MB170" s="356"/>
      <c r="MC170" s="356"/>
      <c r="MD170" s="356"/>
      <c r="ME170" s="356"/>
      <c r="MF170" s="356"/>
      <c r="MG170" s="356"/>
      <c r="MH170" s="356"/>
      <c r="MI170" s="356"/>
      <c r="MJ170" s="356"/>
      <c r="MK170" s="356"/>
      <c r="ML170" s="356"/>
      <c r="MM170" s="356"/>
      <c r="MN170" s="356"/>
      <c r="MO170" s="356"/>
      <c r="MP170" s="356"/>
      <c r="MX170" s="360"/>
      <c r="NM170" s="356"/>
      <c r="NN170" s="356"/>
      <c r="OZ170" s="2506">
        <v>166</v>
      </c>
      <c r="PR170" s="62"/>
      <c r="PS170" s="62"/>
      <c r="PT170" s="62"/>
      <c r="PU170" s="62"/>
      <c r="PV170" s="62"/>
      <c r="PW170" s="62"/>
      <c r="PX170" s="62"/>
      <c r="PY170" s="62"/>
      <c r="PZ170" s="62"/>
      <c r="QA170" s="62"/>
      <c r="QB170" s="62"/>
      <c r="QC170" s="62"/>
      <c r="QD170" s="62"/>
      <c r="QE170" s="62"/>
      <c r="QF170" s="62"/>
      <c r="QG170" s="62"/>
      <c r="QH170" s="62"/>
      <c r="QI170" s="62"/>
      <c r="QJ170" s="62"/>
      <c r="QK170" s="62"/>
      <c r="QL170" s="62"/>
      <c r="QM170" s="62"/>
      <c r="QN170" s="62"/>
      <c r="QO170" s="62"/>
      <c r="QP170" s="62"/>
      <c r="QQ170" s="62"/>
      <c r="QR170" s="62"/>
      <c r="QS170" s="62"/>
      <c r="QT170" s="62"/>
      <c r="QU170" s="62"/>
      <c r="QV170" s="62"/>
      <c r="QW170" s="62"/>
      <c r="QX170" s="62"/>
      <c r="QY170" s="62"/>
      <c r="QZ170" s="62"/>
      <c r="RA170" s="62"/>
      <c r="RB170" s="62"/>
      <c r="RC170" s="62"/>
      <c r="RD170" s="62"/>
      <c r="RE170" s="62"/>
      <c r="RF170" s="62"/>
      <c r="RG170" s="62"/>
      <c r="RH170" s="62"/>
      <c r="RI170" s="62"/>
      <c r="RJ170" s="62"/>
      <c r="RK170" s="62"/>
      <c r="RL170" s="62"/>
      <c r="RM170" s="62"/>
      <c r="RN170" s="62"/>
      <c r="RO170" s="62"/>
      <c r="RP170" s="62"/>
      <c r="RQ170" s="62"/>
      <c r="RR170" s="62"/>
      <c r="RS170" s="62"/>
      <c r="RT170" s="62"/>
      <c r="RU170" s="62"/>
      <c r="RV170" s="62"/>
      <c r="RW170" s="62"/>
      <c r="RX170" s="62"/>
      <c r="RY170" s="62"/>
      <c r="RZ170" s="62"/>
      <c r="SA170" s="62"/>
      <c r="SB170" s="62"/>
      <c r="SC170" s="62"/>
      <c r="SD170" s="62"/>
      <c r="SE170" s="62"/>
      <c r="SF170" s="62"/>
      <c r="SG170" s="62"/>
      <c r="SH170" s="62"/>
      <c r="SI170" s="62"/>
      <c r="SJ170" s="62"/>
      <c r="SK170" s="62"/>
      <c r="SL170" s="62"/>
      <c r="SM170" s="62"/>
      <c r="SN170" s="62"/>
      <c r="SO170" s="62"/>
      <c r="SP170" s="62"/>
      <c r="SQ170" s="62"/>
      <c r="SR170" s="62"/>
      <c r="SS170" s="62"/>
      <c r="ST170" s="62"/>
      <c r="SU170" s="62"/>
      <c r="SV170" s="62"/>
      <c r="SW170" s="62"/>
      <c r="SX170" s="62"/>
      <c r="SY170" s="62"/>
      <c r="SZ170" s="62"/>
      <c r="TA170" s="62"/>
      <c r="TB170" s="62"/>
      <c r="TC170" s="62"/>
      <c r="TD170" s="62"/>
      <c r="TE170" s="62"/>
      <c r="TF170" s="62"/>
      <c r="TG170" s="62"/>
      <c r="TH170" s="62"/>
    </row>
    <row r="171" spans="1:528" ht="14.25" customHeight="1">
      <c r="C171" s="3630"/>
      <c r="D171" s="3630"/>
      <c r="E171" s="81" t="s">
        <v>2920</v>
      </c>
      <c r="F171" s="147"/>
      <c r="G171" s="62"/>
      <c r="H171" s="223"/>
      <c r="I171" s="147"/>
      <c r="J171" s="895"/>
      <c r="K171" s="1096">
        <f t="shared" ref="K171:O172" si="682">K161</f>
        <v>0</v>
      </c>
      <c r="L171" s="1097">
        <f t="shared" si="682"/>
        <v>0</v>
      </c>
      <c r="M171" s="1097">
        <f t="shared" si="682"/>
        <v>0</v>
      </c>
      <c r="N171" s="1097">
        <f t="shared" si="682"/>
        <v>0</v>
      </c>
      <c r="O171" s="1098">
        <f t="shared" si="682"/>
        <v>0</v>
      </c>
      <c r="P171" s="1590">
        <f t="shared" si="681"/>
        <v>0</v>
      </c>
      <c r="S171" s="3613"/>
      <c r="T171" s="3614"/>
      <c r="U171" s="3614"/>
      <c r="V171" s="3614"/>
      <c r="W171" s="3615"/>
      <c r="X171" s="358"/>
      <c r="AA171" s="358"/>
      <c r="AB171" s="361"/>
      <c r="AC171" s="358"/>
      <c r="AF171" s="358"/>
      <c r="AG171" s="361"/>
      <c r="AH171" s="358"/>
      <c r="AK171" s="358"/>
      <c r="AL171" s="361"/>
      <c r="AM171" s="358"/>
      <c r="AP171" s="358"/>
      <c r="AQ171" s="361"/>
      <c r="AR171" s="362"/>
      <c r="AS171" s="362"/>
      <c r="AT171" s="362"/>
      <c r="AU171" s="362"/>
      <c r="AV171" s="362"/>
      <c r="AW171" s="362"/>
      <c r="BB171" s="362"/>
      <c r="LF171" s="356"/>
      <c r="LK171" s="356"/>
      <c r="LP171" s="356"/>
      <c r="LU171" s="356"/>
      <c r="LV171" s="356"/>
      <c r="LW171" s="356"/>
      <c r="LX171" s="356"/>
      <c r="LY171" s="356"/>
      <c r="LZ171" s="356"/>
      <c r="MA171" s="356"/>
      <c r="MB171" s="356"/>
      <c r="MC171" s="356"/>
      <c r="MD171" s="356"/>
      <c r="ME171" s="356"/>
      <c r="MF171" s="356"/>
      <c r="MG171" s="356"/>
      <c r="MH171" s="356"/>
      <c r="MI171" s="356"/>
      <c r="MJ171" s="356"/>
      <c r="MK171" s="356"/>
      <c r="ML171" s="356"/>
      <c r="MM171" s="356"/>
      <c r="MN171" s="356"/>
      <c r="MO171" s="356"/>
      <c r="MP171" s="356"/>
      <c r="MX171" s="360"/>
      <c r="NM171" s="356"/>
      <c r="NN171" s="356"/>
      <c r="OZ171" s="2504">
        <v>167</v>
      </c>
      <c r="PR171" s="62"/>
      <c r="PS171" s="62"/>
      <c r="PT171" s="62"/>
      <c r="PU171" s="62"/>
      <c r="PV171" s="62"/>
      <c r="PW171" s="62"/>
      <c r="PX171" s="62"/>
      <c r="PY171" s="62"/>
      <c r="PZ171" s="62"/>
      <c r="QA171" s="62"/>
      <c r="QB171" s="62"/>
      <c r="QC171" s="62"/>
      <c r="QD171" s="62"/>
      <c r="QE171" s="62"/>
      <c r="QF171" s="62"/>
      <c r="QG171" s="62"/>
      <c r="QH171" s="62"/>
      <c r="QI171" s="62"/>
      <c r="QJ171" s="62"/>
      <c r="QK171" s="62"/>
      <c r="QL171" s="62"/>
      <c r="QM171" s="62"/>
      <c r="QN171" s="62"/>
      <c r="QO171" s="62"/>
      <c r="QP171" s="62"/>
      <c r="QQ171" s="62"/>
      <c r="QR171" s="62"/>
      <c r="QS171" s="62"/>
      <c r="QT171" s="62"/>
      <c r="QU171" s="62"/>
      <c r="QV171" s="62"/>
      <c r="QW171" s="62"/>
      <c r="QX171" s="62"/>
      <c r="QY171" s="62"/>
      <c r="QZ171" s="62"/>
      <c r="RA171" s="62"/>
      <c r="RB171" s="62"/>
      <c r="RC171" s="62"/>
      <c r="RD171" s="62"/>
      <c r="RE171" s="62"/>
      <c r="RF171" s="62"/>
      <c r="RG171" s="62"/>
      <c r="RH171" s="62"/>
      <c r="RI171" s="62"/>
      <c r="RJ171" s="62"/>
      <c r="RK171" s="62"/>
      <c r="RL171" s="62"/>
      <c r="RM171" s="62"/>
      <c r="RN171" s="62"/>
      <c r="RO171" s="62"/>
      <c r="RP171" s="62"/>
      <c r="RQ171" s="62"/>
      <c r="RR171" s="62"/>
      <c r="RS171" s="62"/>
      <c r="RT171" s="62"/>
      <c r="RU171" s="62"/>
      <c r="RV171" s="62"/>
      <c r="RW171" s="62"/>
      <c r="RX171" s="62"/>
      <c r="RY171" s="62"/>
      <c r="RZ171" s="62"/>
      <c r="SA171" s="62"/>
      <c r="SB171" s="62"/>
      <c r="SC171" s="62"/>
      <c r="SD171" s="62"/>
      <c r="SE171" s="62"/>
      <c r="SF171" s="62"/>
      <c r="SG171" s="62"/>
      <c r="SH171" s="62"/>
      <c r="SI171" s="62"/>
      <c r="SJ171" s="62"/>
      <c r="SK171" s="62"/>
      <c r="SL171" s="62"/>
      <c r="SM171" s="62"/>
      <c r="SN171" s="62"/>
      <c r="SO171" s="62"/>
      <c r="SP171" s="62"/>
      <c r="SQ171" s="62"/>
      <c r="SR171" s="62"/>
      <c r="SS171" s="62"/>
      <c r="ST171" s="62"/>
      <c r="SU171" s="62"/>
      <c r="SV171" s="62"/>
      <c r="SW171" s="62"/>
      <c r="SX171" s="62"/>
      <c r="SY171" s="62"/>
      <c r="SZ171" s="62"/>
      <c r="TA171" s="62"/>
      <c r="TB171" s="62"/>
      <c r="TC171" s="62"/>
      <c r="TD171" s="62"/>
      <c r="TE171" s="62"/>
      <c r="TF171" s="62"/>
      <c r="TG171" s="62"/>
      <c r="TH171" s="62"/>
    </row>
    <row r="172" spans="1:528" ht="14.25" customHeight="1">
      <c r="C172" s="3630"/>
      <c r="D172" s="3630"/>
      <c r="E172" s="81"/>
      <c r="F172" s="147"/>
      <c r="G172" s="62"/>
      <c r="H172" s="1370" t="s">
        <v>2924</v>
      </c>
      <c r="I172" s="73"/>
      <c r="J172" s="895"/>
      <c r="K172" s="1593">
        <f t="shared" si="682"/>
        <v>0</v>
      </c>
      <c r="L172" s="1594">
        <f t="shared" si="682"/>
        <v>0</v>
      </c>
      <c r="M172" s="1594">
        <f t="shared" si="682"/>
        <v>0</v>
      </c>
      <c r="N172" s="1594">
        <f t="shared" si="682"/>
        <v>0</v>
      </c>
      <c r="O172" s="1595">
        <f t="shared" si="682"/>
        <v>0</v>
      </c>
      <c r="P172" s="1596">
        <f t="shared" si="681"/>
        <v>0</v>
      </c>
      <c r="S172" s="3613"/>
      <c r="T172" s="3614"/>
      <c r="U172" s="3614"/>
      <c r="V172" s="3614"/>
      <c r="W172" s="3615"/>
      <c r="X172" s="358"/>
      <c r="AA172" s="358"/>
      <c r="AB172" s="361"/>
      <c r="AC172" s="358"/>
      <c r="AF172" s="358"/>
      <c r="AG172" s="361"/>
      <c r="AH172" s="358"/>
      <c r="AK172" s="358"/>
      <c r="AL172" s="361"/>
      <c r="AM172" s="358"/>
      <c r="AP172" s="358"/>
      <c r="AQ172" s="361"/>
      <c r="AR172" s="362"/>
      <c r="AS172" s="362"/>
      <c r="AT172" s="362"/>
      <c r="AU172" s="362"/>
      <c r="AV172" s="362"/>
      <c r="AW172" s="362"/>
      <c r="BB172" s="362"/>
      <c r="LF172" s="356"/>
      <c r="LK172" s="356"/>
      <c r="LP172" s="356"/>
      <c r="LU172" s="356"/>
      <c r="LV172" s="356"/>
      <c r="LW172" s="356"/>
      <c r="LX172" s="356"/>
      <c r="LY172" s="356"/>
      <c r="LZ172" s="356"/>
      <c r="MA172" s="356"/>
      <c r="MB172" s="356"/>
      <c r="MC172" s="356"/>
      <c r="MD172" s="356"/>
      <c r="ME172" s="356"/>
      <c r="MF172" s="356"/>
      <c r="MG172" s="356"/>
      <c r="MH172" s="356"/>
      <c r="MI172" s="356"/>
      <c r="MJ172" s="356"/>
      <c r="MK172" s="356"/>
      <c r="ML172" s="356"/>
      <c r="MM172" s="356"/>
      <c r="MN172" s="356"/>
      <c r="MO172" s="356"/>
      <c r="MP172" s="356"/>
      <c r="MX172" s="360"/>
      <c r="NM172" s="356"/>
      <c r="NN172" s="356"/>
      <c r="OZ172" s="2503">
        <v>168</v>
      </c>
      <c r="PR172" s="62"/>
      <c r="PS172" s="62"/>
      <c r="PT172" s="62"/>
      <c r="PU172" s="62"/>
      <c r="PV172" s="62"/>
      <c r="PW172" s="62"/>
      <c r="PX172" s="62"/>
      <c r="PY172" s="62"/>
      <c r="PZ172" s="62"/>
      <c r="QA172" s="62"/>
      <c r="QB172" s="62"/>
      <c r="QC172" s="62"/>
      <c r="QD172" s="62"/>
      <c r="QE172" s="62"/>
      <c r="QF172" s="62"/>
      <c r="QG172" s="62"/>
      <c r="QH172" s="62"/>
      <c r="QI172" s="62"/>
      <c r="QJ172" s="62"/>
      <c r="QK172" s="62"/>
      <c r="QL172" s="62"/>
      <c r="QM172" s="62"/>
      <c r="QN172" s="62"/>
      <c r="QO172" s="62"/>
      <c r="QP172" s="62"/>
      <c r="QQ172" s="62"/>
      <c r="QR172" s="62"/>
      <c r="QS172" s="62"/>
      <c r="QT172" s="62"/>
      <c r="QU172" s="62"/>
      <c r="QV172" s="62"/>
      <c r="QW172" s="62"/>
      <c r="QX172" s="62"/>
      <c r="QY172" s="62"/>
      <c r="QZ172" s="62"/>
      <c r="RA172" s="62"/>
      <c r="RB172" s="62"/>
      <c r="RC172" s="62"/>
      <c r="RD172" s="62"/>
      <c r="RE172" s="62"/>
      <c r="RF172" s="62"/>
      <c r="RG172" s="62"/>
      <c r="RH172" s="62"/>
      <c r="RI172" s="62"/>
      <c r="RJ172" s="62"/>
      <c r="RK172" s="62"/>
      <c r="RL172" s="62"/>
      <c r="RM172" s="62"/>
      <c r="RN172" s="62"/>
      <c r="RO172" s="62"/>
      <c r="RP172" s="62"/>
      <c r="RQ172" s="62"/>
      <c r="RR172" s="62"/>
      <c r="RS172" s="62"/>
      <c r="RT172" s="62"/>
      <c r="RU172" s="62"/>
      <c r="RV172" s="62"/>
      <c r="RW172" s="62"/>
      <c r="RX172" s="62"/>
      <c r="RY172" s="62"/>
      <c r="RZ172" s="62"/>
      <c r="SA172" s="62"/>
      <c r="SB172" s="62"/>
      <c r="SC172" s="62"/>
      <c r="SD172" s="62"/>
      <c r="SE172" s="62"/>
      <c r="SF172" s="62"/>
      <c r="SG172" s="62"/>
      <c r="SH172" s="62"/>
      <c r="SI172" s="62"/>
      <c r="SJ172" s="62"/>
      <c r="SK172" s="62"/>
      <c r="SL172" s="62"/>
      <c r="SM172" s="62"/>
      <c r="SN172" s="62"/>
      <c r="SO172" s="62"/>
      <c r="SP172" s="62"/>
      <c r="SQ172" s="62"/>
      <c r="SR172" s="62"/>
      <c r="SS172" s="62"/>
      <c r="ST172" s="62"/>
      <c r="SU172" s="62"/>
      <c r="SV172" s="62"/>
      <c r="SW172" s="62"/>
      <c r="SX172" s="62"/>
      <c r="SY172" s="62"/>
      <c r="SZ172" s="62"/>
      <c r="TA172" s="62"/>
      <c r="TB172" s="62"/>
      <c r="TC172" s="62"/>
      <c r="TD172" s="62"/>
      <c r="TE172" s="62"/>
      <c r="TF172" s="62"/>
      <c r="TG172" s="62"/>
      <c r="TH172" s="62"/>
    </row>
    <row r="173" spans="1:528" ht="14.25" customHeight="1">
      <c r="C173" s="3630"/>
      <c r="D173" s="3630"/>
      <c r="E173" s="81" t="s">
        <v>2921</v>
      </c>
      <c r="F173" s="147"/>
      <c r="G173" s="62"/>
      <c r="H173" s="1333"/>
      <c r="I173" s="33"/>
      <c r="J173" s="895"/>
      <c r="K173" s="1096">
        <f t="shared" ref="K173:O176" si="683">K151+K155</f>
        <v>0</v>
      </c>
      <c r="L173" s="1097">
        <f t="shared" si="683"/>
        <v>0</v>
      </c>
      <c r="M173" s="1097">
        <f t="shared" si="683"/>
        <v>0</v>
      </c>
      <c r="N173" s="1097">
        <f t="shared" si="683"/>
        <v>0</v>
      </c>
      <c r="O173" s="1098">
        <f t="shared" si="683"/>
        <v>0</v>
      </c>
      <c r="P173" s="1590">
        <f t="shared" si="681"/>
        <v>0</v>
      </c>
      <c r="S173" s="3613"/>
      <c r="T173" s="3614"/>
      <c r="U173" s="3614"/>
      <c r="V173" s="3614"/>
      <c r="W173" s="3615"/>
      <c r="X173" s="358"/>
      <c r="AA173" s="358"/>
      <c r="AB173" s="361"/>
      <c r="AC173" s="358"/>
      <c r="AF173" s="358"/>
      <c r="AG173" s="361"/>
      <c r="AH173" s="358"/>
      <c r="AK173" s="358"/>
      <c r="AL173" s="361"/>
      <c r="AM173" s="358"/>
      <c r="AP173" s="358"/>
      <c r="AQ173" s="361"/>
      <c r="AR173" s="362"/>
      <c r="AS173" s="362"/>
      <c r="AT173" s="362"/>
      <c r="AU173" s="362"/>
      <c r="AV173" s="362"/>
      <c r="AW173" s="362"/>
      <c r="BB173" s="362"/>
      <c r="LF173" s="356"/>
      <c r="LK173" s="356"/>
      <c r="LP173" s="356"/>
      <c r="LU173" s="356"/>
      <c r="LV173" s="356"/>
      <c r="LW173" s="356"/>
      <c r="LX173" s="356"/>
      <c r="LY173" s="356"/>
      <c r="LZ173" s="356"/>
      <c r="MA173" s="356"/>
      <c r="MB173" s="356"/>
      <c r="MC173" s="356"/>
      <c r="MD173" s="356"/>
      <c r="ME173" s="356"/>
      <c r="MF173" s="356"/>
      <c r="MG173" s="356"/>
      <c r="MH173" s="356"/>
      <c r="MI173" s="356"/>
      <c r="MJ173" s="356"/>
      <c r="MK173" s="356"/>
      <c r="ML173" s="356"/>
      <c r="MM173" s="356"/>
      <c r="MN173" s="356"/>
      <c r="MO173" s="356"/>
      <c r="MP173" s="356"/>
      <c r="MX173" s="360"/>
      <c r="NM173" s="356"/>
      <c r="NN173" s="356"/>
      <c r="OZ173" s="2504">
        <v>169</v>
      </c>
      <c r="PR173" s="62"/>
      <c r="PS173" s="62"/>
      <c r="PT173" s="62"/>
      <c r="PU173" s="62"/>
      <c r="PV173" s="62"/>
      <c r="PW173" s="62"/>
      <c r="PX173" s="62"/>
      <c r="PY173" s="62"/>
      <c r="PZ173" s="62"/>
      <c r="QA173" s="62"/>
      <c r="QB173" s="62"/>
      <c r="QC173" s="62"/>
      <c r="QD173" s="62"/>
      <c r="QE173" s="62"/>
      <c r="QF173" s="62"/>
      <c r="QG173" s="62"/>
      <c r="QH173" s="62"/>
      <c r="QI173" s="62"/>
      <c r="QJ173" s="62"/>
      <c r="QK173" s="62"/>
      <c r="QL173" s="62"/>
      <c r="QM173" s="62"/>
      <c r="QN173" s="62"/>
      <c r="QO173" s="62"/>
      <c r="QP173" s="62"/>
      <c r="QQ173" s="62"/>
      <c r="QR173" s="62"/>
      <c r="QS173" s="62"/>
      <c r="QT173" s="62"/>
      <c r="QU173" s="62"/>
      <c r="QV173" s="62"/>
      <c r="QW173" s="62"/>
      <c r="QX173" s="62"/>
      <c r="QY173" s="62"/>
      <c r="QZ173" s="62"/>
      <c r="RA173" s="62"/>
      <c r="RB173" s="62"/>
      <c r="RC173" s="62"/>
      <c r="RD173" s="62"/>
      <c r="RE173" s="62"/>
      <c r="RF173" s="62"/>
      <c r="RG173" s="62"/>
      <c r="RH173" s="62"/>
      <c r="RI173" s="62"/>
      <c r="RJ173" s="62"/>
      <c r="RK173" s="62"/>
      <c r="RL173" s="62"/>
      <c r="RM173" s="62"/>
      <c r="RN173" s="62"/>
      <c r="RO173" s="62"/>
      <c r="RP173" s="62"/>
      <c r="RQ173" s="62"/>
      <c r="RR173" s="62"/>
      <c r="RS173" s="62"/>
      <c r="RT173" s="62"/>
      <c r="RU173" s="62"/>
      <c r="RV173" s="62"/>
      <c r="RW173" s="62"/>
      <c r="RX173" s="62"/>
      <c r="RY173" s="62"/>
      <c r="RZ173" s="62"/>
      <c r="SA173" s="62"/>
      <c r="SB173" s="62"/>
      <c r="SC173" s="62"/>
      <c r="SD173" s="62"/>
      <c r="SE173" s="62"/>
      <c r="SF173" s="62"/>
      <c r="SG173" s="62"/>
      <c r="SH173" s="62"/>
      <c r="SI173" s="62"/>
      <c r="SJ173" s="62"/>
      <c r="SK173" s="62"/>
      <c r="SL173" s="62"/>
      <c r="SM173" s="62"/>
      <c r="SN173" s="62"/>
      <c r="SO173" s="62"/>
      <c r="SP173" s="62"/>
      <c r="SQ173" s="62"/>
      <c r="SR173" s="62"/>
      <c r="SS173" s="62"/>
      <c r="ST173" s="62"/>
      <c r="SU173" s="62"/>
      <c r="SV173" s="62"/>
      <c r="SW173" s="62"/>
      <c r="SX173" s="62"/>
      <c r="SY173" s="62"/>
      <c r="SZ173" s="62"/>
      <c r="TA173" s="62"/>
      <c r="TB173" s="62"/>
      <c r="TC173" s="62"/>
      <c r="TD173" s="62"/>
      <c r="TE173" s="62"/>
      <c r="TF173" s="62"/>
      <c r="TG173" s="62"/>
      <c r="TH173" s="62"/>
    </row>
    <row r="174" spans="1:528" ht="14.25" customHeight="1">
      <c r="C174" s="3630"/>
      <c r="D174" s="3630"/>
      <c r="E174" s="81"/>
      <c r="F174" s="147"/>
      <c r="G174" s="62"/>
      <c r="H174" s="1370" t="s">
        <v>2924</v>
      </c>
      <c r="I174" s="73"/>
      <c r="J174" s="895"/>
      <c r="K174" s="1593">
        <f t="shared" si="683"/>
        <v>0</v>
      </c>
      <c r="L174" s="1594">
        <f t="shared" si="683"/>
        <v>0</v>
      </c>
      <c r="M174" s="1594">
        <f t="shared" si="683"/>
        <v>0</v>
      </c>
      <c r="N174" s="1594">
        <f t="shared" si="683"/>
        <v>0</v>
      </c>
      <c r="O174" s="1595">
        <f t="shared" si="683"/>
        <v>0</v>
      </c>
      <c r="P174" s="1596">
        <f t="shared" si="681"/>
        <v>0</v>
      </c>
      <c r="S174" s="3613"/>
      <c r="T174" s="3614"/>
      <c r="U174" s="3614"/>
      <c r="V174" s="3614"/>
      <c r="W174" s="3615"/>
      <c r="X174" s="358"/>
      <c r="AA174" s="358"/>
      <c r="AB174" s="361"/>
      <c r="AC174" s="358"/>
      <c r="AF174" s="358"/>
      <c r="AG174" s="361"/>
      <c r="AH174" s="358"/>
      <c r="AK174" s="358"/>
      <c r="AL174" s="361"/>
      <c r="AM174" s="358"/>
      <c r="AP174" s="358"/>
      <c r="AQ174" s="361"/>
      <c r="AR174" s="362"/>
      <c r="AS174" s="362"/>
      <c r="AT174" s="362"/>
      <c r="AU174" s="362"/>
      <c r="AV174" s="362"/>
      <c r="AW174" s="362"/>
      <c r="BB174" s="362"/>
      <c r="LF174" s="356"/>
      <c r="LK174" s="356"/>
      <c r="LP174" s="356"/>
      <c r="LU174" s="356"/>
      <c r="LV174" s="356"/>
      <c r="LW174" s="356"/>
      <c r="LX174" s="356"/>
      <c r="LY174" s="356"/>
      <c r="LZ174" s="356"/>
      <c r="MA174" s="356"/>
      <c r="MB174" s="356"/>
      <c r="MC174" s="356"/>
      <c r="MD174" s="356"/>
      <c r="ME174" s="356"/>
      <c r="MF174" s="356"/>
      <c r="MG174" s="356"/>
      <c r="MH174" s="356"/>
      <c r="MI174" s="356"/>
      <c r="MJ174" s="356"/>
      <c r="MK174" s="356"/>
      <c r="ML174" s="356"/>
      <c r="MM174" s="356"/>
      <c r="MN174" s="356"/>
      <c r="MO174" s="356"/>
      <c r="MP174" s="356"/>
      <c r="MX174" s="360"/>
      <c r="NM174" s="356"/>
      <c r="NN174" s="356"/>
      <c r="OZ174" s="2504">
        <v>170</v>
      </c>
      <c r="PR174" s="62"/>
      <c r="PS174" s="62"/>
      <c r="PT174" s="62"/>
      <c r="PU174" s="62"/>
      <c r="PV174" s="62"/>
      <c r="PW174" s="62"/>
      <c r="PX174" s="62"/>
      <c r="PY174" s="62"/>
      <c r="PZ174" s="62"/>
      <c r="QA174" s="62"/>
      <c r="QB174" s="62"/>
      <c r="QC174" s="62"/>
      <c r="QD174" s="62"/>
      <c r="QE174" s="62"/>
      <c r="QF174" s="62"/>
      <c r="QG174" s="62"/>
      <c r="QH174" s="62"/>
      <c r="QI174" s="62"/>
      <c r="QJ174" s="62"/>
      <c r="QK174" s="62"/>
      <c r="QL174" s="62"/>
      <c r="QM174" s="62"/>
      <c r="QN174" s="62"/>
      <c r="QO174" s="62"/>
      <c r="QP174" s="62"/>
      <c r="QQ174" s="62"/>
      <c r="QR174" s="62"/>
      <c r="QS174" s="62"/>
      <c r="QT174" s="62"/>
      <c r="QU174" s="62"/>
      <c r="QV174" s="62"/>
      <c r="QW174" s="62"/>
      <c r="QX174" s="62"/>
      <c r="QY174" s="62"/>
      <c r="QZ174" s="62"/>
      <c r="RA174" s="62"/>
      <c r="RB174" s="62"/>
      <c r="RC174" s="62"/>
      <c r="RD174" s="62"/>
      <c r="RE174" s="62"/>
      <c r="RF174" s="62"/>
      <c r="RG174" s="62"/>
      <c r="RH174" s="62"/>
      <c r="RI174" s="62"/>
      <c r="RJ174" s="62"/>
      <c r="RK174" s="62"/>
      <c r="RL174" s="62"/>
      <c r="RM174" s="62"/>
      <c r="RN174" s="62"/>
      <c r="RO174" s="62"/>
      <c r="RP174" s="62"/>
      <c r="RQ174" s="62"/>
      <c r="RR174" s="62"/>
      <c r="RS174" s="62"/>
      <c r="RT174" s="62"/>
      <c r="RU174" s="62"/>
      <c r="RV174" s="62"/>
      <c r="RW174" s="62"/>
      <c r="RX174" s="62"/>
      <c r="RY174" s="62"/>
      <c r="RZ174" s="62"/>
      <c r="SA174" s="62"/>
      <c r="SB174" s="62"/>
      <c r="SC174" s="62"/>
      <c r="SD174" s="62"/>
      <c r="SE174" s="62"/>
      <c r="SF174" s="62"/>
      <c r="SG174" s="62"/>
      <c r="SH174" s="62"/>
      <c r="SI174" s="62"/>
      <c r="SJ174" s="62"/>
      <c r="SK174" s="62"/>
      <c r="SL174" s="62"/>
      <c r="SM174" s="62"/>
      <c r="SN174" s="62"/>
      <c r="SO174" s="62"/>
      <c r="SP174" s="62"/>
      <c r="SQ174" s="62"/>
      <c r="SR174" s="62"/>
      <c r="SS174" s="62"/>
      <c r="ST174" s="62"/>
      <c r="SU174" s="62"/>
      <c r="SV174" s="62"/>
      <c r="SW174" s="62"/>
      <c r="SX174" s="62"/>
      <c r="SY174" s="62"/>
      <c r="SZ174" s="62"/>
      <c r="TA174" s="62"/>
      <c r="TB174" s="62"/>
      <c r="TC174" s="62"/>
      <c r="TD174" s="62"/>
      <c r="TE174" s="62"/>
      <c r="TF174" s="62"/>
      <c r="TG174" s="62"/>
      <c r="TH174" s="62"/>
    </row>
    <row r="175" spans="1:528" ht="14.25" customHeight="1">
      <c r="C175" s="3630"/>
      <c r="D175" s="3630"/>
      <c r="E175" s="81" t="s">
        <v>2922</v>
      </c>
      <c r="F175" s="147"/>
      <c r="G175" s="62"/>
      <c r="H175" s="1333"/>
      <c r="I175" s="33"/>
      <c r="J175" s="895"/>
      <c r="K175" s="1096">
        <f t="shared" si="683"/>
        <v>0</v>
      </c>
      <c r="L175" s="1097">
        <f t="shared" si="683"/>
        <v>40</v>
      </c>
      <c r="M175" s="1097">
        <f t="shared" si="683"/>
        <v>120</v>
      </c>
      <c r="N175" s="1097">
        <f t="shared" si="683"/>
        <v>0</v>
      </c>
      <c r="O175" s="1098">
        <f t="shared" si="683"/>
        <v>0</v>
      </c>
      <c r="P175" s="1590">
        <f t="shared" si="681"/>
        <v>160</v>
      </c>
      <c r="S175" s="3613"/>
      <c r="T175" s="3614"/>
      <c r="U175" s="3614"/>
      <c r="V175" s="3614"/>
      <c r="W175" s="3615"/>
      <c r="X175" s="358"/>
      <c r="AA175" s="358"/>
      <c r="AB175" s="361"/>
      <c r="AC175" s="358"/>
      <c r="AF175" s="358"/>
      <c r="AG175" s="361"/>
      <c r="AH175" s="358"/>
      <c r="AK175" s="358"/>
      <c r="AL175" s="361"/>
      <c r="AM175" s="358"/>
      <c r="AP175" s="358"/>
      <c r="AQ175" s="361"/>
      <c r="AR175" s="362"/>
      <c r="AS175" s="362"/>
      <c r="AT175" s="362"/>
      <c r="AU175" s="362"/>
      <c r="AV175" s="362"/>
      <c r="AW175" s="362"/>
      <c r="BB175" s="362"/>
      <c r="LF175" s="356"/>
      <c r="LK175" s="356"/>
      <c r="LP175" s="356"/>
      <c r="LU175" s="356"/>
      <c r="LV175" s="356"/>
      <c r="LW175" s="356"/>
      <c r="LX175" s="356"/>
      <c r="LY175" s="356"/>
      <c r="LZ175" s="356"/>
      <c r="MA175" s="356"/>
      <c r="MB175" s="356"/>
      <c r="MC175" s="356"/>
      <c r="MD175" s="356"/>
      <c r="ME175" s="356"/>
      <c r="MF175" s="356"/>
      <c r="MG175" s="356"/>
      <c r="MH175" s="356"/>
      <c r="MI175" s="356"/>
      <c r="MJ175" s="356"/>
      <c r="MK175" s="356"/>
      <c r="ML175" s="356"/>
      <c r="MM175" s="356"/>
      <c r="MN175" s="356"/>
      <c r="MO175" s="356"/>
      <c r="MP175" s="356"/>
      <c r="MX175" s="360"/>
      <c r="NM175" s="356"/>
      <c r="NN175" s="356"/>
      <c r="OZ175" s="2503">
        <v>171</v>
      </c>
      <c r="PR175" s="62"/>
      <c r="PS175" s="62"/>
      <c r="PT175" s="62"/>
      <c r="PU175" s="62"/>
      <c r="PV175" s="62"/>
      <c r="PW175" s="62"/>
      <c r="PX175" s="62"/>
      <c r="PY175" s="62"/>
      <c r="PZ175" s="62"/>
      <c r="QA175" s="62"/>
      <c r="QB175" s="62"/>
      <c r="QC175" s="62"/>
      <c r="QD175" s="62"/>
      <c r="QE175" s="62"/>
      <c r="QF175" s="62"/>
      <c r="QG175" s="62"/>
      <c r="QH175" s="62"/>
      <c r="QI175" s="62"/>
      <c r="QJ175" s="62"/>
      <c r="QK175" s="62"/>
      <c r="QL175" s="62"/>
      <c r="QM175" s="62"/>
      <c r="QN175" s="62"/>
      <c r="QO175" s="62"/>
      <c r="QP175" s="62"/>
      <c r="QQ175" s="62"/>
      <c r="QR175" s="62"/>
      <c r="QS175" s="62"/>
      <c r="QT175" s="62"/>
      <c r="QU175" s="62"/>
      <c r="QV175" s="62"/>
      <c r="QW175" s="62"/>
      <c r="QX175" s="62"/>
      <c r="QY175" s="62"/>
      <c r="QZ175" s="62"/>
      <c r="RA175" s="62"/>
      <c r="RB175" s="62"/>
      <c r="RC175" s="62"/>
      <c r="RD175" s="62"/>
      <c r="RE175" s="62"/>
      <c r="RF175" s="62"/>
      <c r="RG175" s="62"/>
      <c r="RH175" s="62"/>
      <c r="RI175" s="62"/>
      <c r="RJ175" s="62"/>
      <c r="RK175" s="62"/>
      <c r="RL175" s="62"/>
      <c r="RM175" s="62"/>
      <c r="RN175" s="62"/>
      <c r="RO175" s="62"/>
      <c r="RP175" s="62"/>
      <c r="RQ175" s="62"/>
      <c r="RR175" s="62"/>
      <c r="RS175" s="62"/>
      <c r="RT175" s="62"/>
      <c r="RU175" s="62"/>
      <c r="RV175" s="62"/>
      <c r="RW175" s="62"/>
      <c r="RX175" s="62"/>
      <c r="RY175" s="62"/>
      <c r="RZ175" s="62"/>
      <c r="SA175" s="62"/>
      <c r="SB175" s="62"/>
      <c r="SC175" s="62"/>
      <c r="SD175" s="62"/>
      <c r="SE175" s="62"/>
      <c r="SF175" s="62"/>
      <c r="SG175" s="62"/>
      <c r="SH175" s="62"/>
      <c r="SI175" s="62"/>
      <c r="SJ175" s="62"/>
      <c r="SK175" s="62"/>
      <c r="SL175" s="62"/>
      <c r="SM175" s="62"/>
      <c r="SN175" s="62"/>
      <c r="SO175" s="62"/>
      <c r="SP175" s="62"/>
      <c r="SQ175" s="62"/>
      <c r="SR175" s="62"/>
      <c r="SS175" s="62"/>
      <c r="ST175" s="62"/>
      <c r="SU175" s="62"/>
      <c r="SV175" s="62"/>
      <c r="SW175" s="62"/>
      <c r="SX175" s="62"/>
      <c r="SY175" s="62"/>
      <c r="SZ175" s="62"/>
      <c r="TA175" s="62"/>
      <c r="TB175" s="62"/>
      <c r="TC175" s="62"/>
      <c r="TD175" s="62"/>
      <c r="TE175" s="62"/>
      <c r="TF175" s="62"/>
      <c r="TG175" s="62"/>
      <c r="TH175" s="62"/>
    </row>
    <row r="176" spans="1:528" ht="14.25" customHeight="1">
      <c r="C176" s="1"/>
      <c r="D176" s="1"/>
      <c r="E176" s="236"/>
      <c r="F176" s="147"/>
      <c r="G176" s="62"/>
      <c r="H176" s="1370" t="s">
        <v>2924</v>
      </c>
      <c r="I176" s="73"/>
      <c r="J176" s="62"/>
      <c r="K176" s="1597">
        <f t="shared" si="683"/>
        <v>0</v>
      </c>
      <c r="L176" s="1598">
        <f t="shared" si="683"/>
        <v>0</v>
      </c>
      <c r="M176" s="1598">
        <f t="shared" si="683"/>
        <v>0</v>
      </c>
      <c r="N176" s="1598">
        <f t="shared" si="683"/>
        <v>0</v>
      </c>
      <c r="O176" s="1599">
        <f t="shared" si="683"/>
        <v>0</v>
      </c>
      <c r="P176" s="1600">
        <f t="shared" si="681"/>
        <v>0</v>
      </c>
      <c r="Q176" s="3631" t="s">
        <v>3765</v>
      </c>
      <c r="S176" s="3580"/>
      <c r="T176" s="3581"/>
      <c r="U176" s="3581"/>
      <c r="V176" s="3581"/>
      <c r="W176" s="3582"/>
      <c r="X176" s="358"/>
      <c r="AA176" s="358"/>
      <c r="AB176" s="361"/>
      <c r="AC176" s="358"/>
      <c r="AF176" s="358"/>
      <c r="AG176" s="361"/>
      <c r="AH176" s="358"/>
      <c r="AK176" s="358"/>
      <c r="AL176" s="361"/>
      <c r="AM176" s="358"/>
      <c r="AP176" s="358"/>
      <c r="AQ176" s="361"/>
      <c r="AR176" s="362"/>
      <c r="AS176" s="362"/>
      <c r="AT176" s="362"/>
      <c r="AU176" s="362"/>
      <c r="AV176" s="362"/>
      <c r="AW176" s="362"/>
      <c r="BB176" s="362"/>
      <c r="LF176" s="356"/>
      <c r="LK176" s="356"/>
      <c r="LP176" s="356"/>
      <c r="LU176" s="356"/>
      <c r="LV176" s="356"/>
      <c r="LW176" s="356"/>
      <c r="LX176" s="356"/>
      <c r="LY176" s="356"/>
      <c r="LZ176" s="356"/>
      <c r="MA176" s="356"/>
      <c r="MB176" s="356"/>
      <c r="MC176" s="356"/>
      <c r="MD176" s="356"/>
      <c r="ME176" s="356"/>
      <c r="MF176" s="356"/>
      <c r="MG176" s="356"/>
      <c r="MH176" s="356"/>
      <c r="MI176" s="356"/>
      <c r="MJ176" s="356"/>
      <c r="MK176" s="356"/>
      <c r="ML176" s="356"/>
      <c r="MM176" s="356"/>
      <c r="MN176" s="356"/>
      <c r="MO176" s="356"/>
      <c r="MP176" s="356"/>
      <c r="MX176" s="360"/>
      <c r="NM176" s="356"/>
      <c r="NN176" s="356"/>
      <c r="OZ176" s="2504">
        <v>172</v>
      </c>
      <c r="PR176" s="62"/>
      <c r="PS176" s="62"/>
      <c r="PT176" s="62"/>
      <c r="PU176" s="62"/>
      <c r="PV176" s="62"/>
      <c r="PW176" s="62"/>
      <c r="PX176" s="62"/>
      <c r="PY176" s="62"/>
      <c r="PZ176" s="62"/>
      <c r="QA176" s="62"/>
      <c r="QB176" s="62"/>
      <c r="QC176" s="62"/>
      <c r="QD176" s="62"/>
      <c r="QE176" s="62"/>
      <c r="QF176" s="62"/>
      <c r="QG176" s="62"/>
      <c r="QH176" s="62"/>
      <c r="QI176" s="62"/>
      <c r="QJ176" s="62"/>
      <c r="QK176" s="62"/>
      <c r="QL176" s="62"/>
      <c r="QM176" s="62"/>
      <c r="QN176" s="62"/>
      <c r="QO176" s="62"/>
      <c r="QP176" s="62"/>
      <c r="QQ176" s="62"/>
      <c r="QR176" s="62"/>
      <c r="QS176" s="62"/>
      <c r="QT176" s="62"/>
      <c r="QU176" s="62"/>
      <c r="QV176" s="62"/>
      <c r="QW176" s="62"/>
      <c r="QX176" s="62"/>
      <c r="QY176" s="62"/>
      <c r="QZ176" s="62"/>
      <c r="RA176" s="62"/>
      <c r="RB176" s="62"/>
      <c r="RC176" s="62"/>
      <c r="RD176" s="62"/>
      <c r="RE176" s="62"/>
      <c r="RF176" s="62"/>
      <c r="RG176" s="62"/>
      <c r="RH176" s="62"/>
      <c r="RI176" s="62"/>
      <c r="RJ176" s="62"/>
      <c r="RK176" s="62"/>
      <c r="RL176" s="62"/>
      <c r="RM176" s="62"/>
      <c r="RN176" s="62"/>
      <c r="RO176" s="62"/>
      <c r="RP176" s="62"/>
      <c r="RQ176" s="62"/>
      <c r="RR176" s="62"/>
      <c r="RS176" s="62"/>
      <c r="RT176" s="62"/>
      <c r="RU176" s="62"/>
      <c r="RV176" s="62"/>
      <c r="RW176" s="62"/>
      <c r="RX176" s="62"/>
      <c r="RY176" s="62"/>
      <c r="RZ176" s="62"/>
      <c r="SA176" s="62"/>
      <c r="SB176" s="62"/>
      <c r="SC176" s="62"/>
      <c r="SD176" s="62"/>
      <c r="SE176" s="62"/>
      <c r="SF176" s="62"/>
      <c r="SG176" s="62"/>
      <c r="SH176" s="62"/>
      <c r="SI176" s="62"/>
      <c r="SJ176" s="62"/>
      <c r="SK176" s="62"/>
      <c r="SL176" s="62"/>
      <c r="SM176" s="62"/>
      <c r="SN176" s="62"/>
      <c r="SO176" s="62"/>
      <c r="SP176" s="62"/>
      <c r="SQ176" s="62"/>
      <c r="SR176" s="62"/>
      <c r="SS176" s="62"/>
      <c r="ST176" s="62"/>
      <c r="SU176" s="62"/>
      <c r="SV176" s="62"/>
      <c r="SW176" s="62"/>
      <c r="SX176" s="62"/>
      <c r="SY176" s="62"/>
      <c r="SZ176" s="62"/>
      <c r="TA176" s="62"/>
      <c r="TB176" s="62"/>
      <c r="TC176" s="62"/>
      <c r="TD176" s="62"/>
      <c r="TE176" s="62"/>
      <c r="TF176" s="62"/>
      <c r="TG176" s="62"/>
      <c r="TH176" s="62"/>
    </row>
    <row r="177" spans="1:528" ht="12" customHeight="1">
      <c r="A177" s="1058"/>
      <c r="B177" s="1058"/>
      <c r="D177" s="471"/>
      <c r="E177" s="81"/>
      <c r="F177" s="1"/>
      <c r="G177" s="62"/>
      <c r="H177" s="29"/>
      <c r="I177" s="29"/>
      <c r="J177" s="62"/>
      <c r="K177" s="464"/>
      <c r="L177" s="464"/>
      <c r="M177" s="464"/>
      <c r="N177" s="464"/>
      <c r="O177" s="464"/>
      <c r="P177" s="464"/>
      <c r="Q177" s="3631"/>
      <c r="S177" s="145"/>
      <c r="U177" s="327"/>
      <c r="X177" s="358"/>
      <c r="AA177" s="358"/>
      <c r="AB177" s="361"/>
      <c r="AC177" s="358"/>
      <c r="AF177" s="358"/>
      <c r="AG177" s="361"/>
      <c r="AH177" s="358"/>
      <c r="AK177" s="358"/>
      <c r="AL177" s="361"/>
      <c r="AM177" s="358"/>
      <c r="AP177" s="358"/>
      <c r="AQ177" s="361"/>
      <c r="AR177" s="358"/>
      <c r="AS177" s="358"/>
      <c r="AT177" s="358"/>
      <c r="AU177" s="358"/>
      <c r="AV177" s="358"/>
      <c r="AW177" s="358"/>
      <c r="AY177" s="358"/>
      <c r="BB177" s="358"/>
      <c r="BD177" s="358"/>
      <c r="MX177" s="360"/>
      <c r="NM177" s="356"/>
      <c r="NN177" s="356"/>
      <c r="OZ177" s="2504">
        <v>173</v>
      </c>
      <c r="PR177" s="62"/>
      <c r="PS177" s="62"/>
      <c r="PT177" s="62"/>
      <c r="PU177" s="62"/>
      <c r="PV177" s="62"/>
      <c r="PW177" s="62"/>
      <c r="PX177" s="62"/>
      <c r="PY177" s="62"/>
      <c r="PZ177" s="62"/>
      <c r="QA177" s="62"/>
      <c r="QB177" s="62"/>
      <c r="QC177" s="62"/>
      <c r="QD177" s="62"/>
      <c r="QE177" s="62"/>
      <c r="QF177" s="62"/>
      <c r="QG177" s="62"/>
      <c r="QH177" s="62"/>
      <c r="QI177" s="62"/>
      <c r="QJ177" s="62"/>
      <c r="QK177" s="62"/>
      <c r="QL177" s="62"/>
      <c r="QM177" s="62"/>
      <c r="QN177" s="62"/>
      <c r="QO177" s="62"/>
      <c r="QP177" s="62"/>
      <c r="QQ177" s="62"/>
      <c r="QR177" s="62"/>
      <c r="QS177" s="62"/>
      <c r="QT177" s="62"/>
      <c r="QU177" s="62"/>
      <c r="QV177" s="62"/>
      <c r="QW177" s="62"/>
      <c r="QX177" s="62"/>
      <c r="QY177" s="62"/>
      <c r="QZ177" s="62"/>
      <c r="RA177" s="62"/>
      <c r="RB177" s="62"/>
      <c r="RC177" s="62"/>
      <c r="RD177" s="62"/>
      <c r="RE177" s="62"/>
      <c r="RF177" s="62"/>
      <c r="RG177" s="62"/>
      <c r="RH177" s="62"/>
      <c r="RI177" s="62"/>
      <c r="RJ177" s="62"/>
      <c r="RK177" s="62"/>
      <c r="RL177" s="62"/>
      <c r="RM177" s="62"/>
      <c r="RN177" s="62"/>
      <c r="RO177" s="62"/>
      <c r="RP177" s="62"/>
      <c r="RQ177" s="62"/>
      <c r="RR177" s="62"/>
      <c r="RS177" s="62"/>
      <c r="RT177" s="62"/>
      <c r="RU177" s="62"/>
      <c r="RV177" s="62"/>
      <c r="RW177" s="62"/>
      <c r="RX177" s="62"/>
      <c r="RY177" s="62"/>
      <c r="RZ177" s="62"/>
      <c r="SA177" s="62"/>
      <c r="SB177" s="62"/>
      <c r="SC177" s="62"/>
      <c r="SD177" s="62"/>
      <c r="SE177" s="62"/>
      <c r="SF177" s="62"/>
      <c r="SG177" s="62"/>
      <c r="SH177" s="62"/>
      <c r="SI177" s="62"/>
      <c r="SJ177" s="62"/>
      <c r="SK177" s="62"/>
      <c r="SL177" s="62"/>
      <c r="SM177" s="62"/>
      <c r="SN177" s="62"/>
      <c r="SO177" s="62"/>
      <c r="SP177" s="62"/>
      <c r="SQ177" s="62"/>
      <c r="SR177" s="62"/>
      <c r="SS177" s="62"/>
      <c r="ST177" s="62"/>
      <c r="SU177" s="62"/>
      <c r="SV177" s="62"/>
      <c r="SW177" s="62"/>
      <c r="SX177" s="62"/>
      <c r="SY177" s="62"/>
      <c r="SZ177" s="62"/>
      <c r="TA177" s="62"/>
      <c r="TB177" s="62"/>
      <c r="TC177" s="62"/>
      <c r="TD177" s="62"/>
      <c r="TE177" s="62"/>
      <c r="TF177" s="62"/>
      <c r="TG177" s="62"/>
      <c r="TH177" s="62"/>
    </row>
    <row r="178" spans="1:528" ht="12" customHeight="1">
      <c r="A178" s="10"/>
      <c r="B178" s="10" t="s">
        <v>4386</v>
      </c>
      <c r="C178" s="1"/>
      <c r="D178" s="1"/>
      <c r="E178" s="1"/>
      <c r="F178" s="1"/>
      <c r="G178" s="62"/>
      <c r="H178" s="33"/>
      <c r="I178" s="33"/>
      <c r="J178" s="62"/>
      <c r="K178" s="470"/>
      <c r="L178" s="470"/>
      <c r="M178" s="470"/>
      <c r="N178" s="470"/>
      <c r="O178" s="470"/>
      <c r="P178" s="470"/>
      <c r="Q178" s="3631"/>
      <c r="S178" s="3264" t="str">
        <f>B178</f>
        <v>UNIT SQUARE FOOTAGE</v>
      </c>
      <c r="T178" s="3264"/>
      <c r="U178" s="3264"/>
      <c r="X178" s="358"/>
      <c r="AA178" s="358"/>
      <c r="AB178" s="361"/>
      <c r="AC178" s="358"/>
      <c r="AF178" s="358"/>
      <c r="AG178" s="361"/>
      <c r="AH178" s="358"/>
      <c r="AK178" s="358"/>
      <c r="AL178" s="361"/>
      <c r="AM178" s="358"/>
      <c r="AP178" s="358"/>
      <c r="AQ178" s="361"/>
      <c r="AR178" s="358"/>
      <c r="AS178" s="358"/>
      <c r="AT178" s="358"/>
      <c r="AU178" s="358"/>
      <c r="AV178" s="358"/>
      <c r="AW178" s="358"/>
      <c r="AY178" s="358"/>
      <c r="BB178" s="358"/>
      <c r="BD178" s="358"/>
      <c r="MX178" s="360"/>
      <c r="NM178" s="356"/>
      <c r="NN178" s="356"/>
      <c r="OZ178" s="2504">
        <v>174</v>
      </c>
      <c r="PR178" s="62"/>
      <c r="PS178" s="62"/>
      <c r="PT178" s="62"/>
      <c r="PU178" s="62"/>
      <c r="PV178" s="62"/>
      <c r="PW178" s="62"/>
      <c r="PX178" s="62"/>
      <c r="PY178" s="62"/>
      <c r="PZ178" s="62"/>
      <c r="QA178" s="62"/>
      <c r="QB178" s="62"/>
      <c r="QC178" s="62"/>
      <c r="QD178" s="62"/>
      <c r="QE178" s="62"/>
      <c r="QF178" s="62"/>
      <c r="QG178" s="62"/>
      <c r="QH178" s="62"/>
      <c r="QI178" s="62"/>
      <c r="QJ178" s="62"/>
      <c r="QK178" s="62"/>
      <c r="QL178" s="62"/>
      <c r="QM178" s="62"/>
      <c r="QN178" s="62"/>
      <c r="QO178" s="62"/>
      <c r="QP178" s="62"/>
      <c r="QQ178" s="62"/>
      <c r="QR178" s="62"/>
      <c r="QS178" s="62"/>
      <c r="QT178" s="62"/>
      <c r="QU178" s="62"/>
      <c r="QV178" s="62"/>
      <c r="QW178" s="62"/>
      <c r="QX178" s="62"/>
      <c r="QY178" s="62"/>
      <c r="QZ178" s="62"/>
      <c r="RA178" s="62"/>
      <c r="RB178" s="62"/>
      <c r="RC178" s="62"/>
      <c r="RD178" s="62"/>
      <c r="RE178" s="62"/>
      <c r="RF178" s="62"/>
      <c r="RG178" s="62"/>
      <c r="RH178" s="62"/>
      <c r="RI178" s="62"/>
      <c r="RJ178" s="62"/>
      <c r="RK178" s="62"/>
      <c r="RL178" s="62"/>
      <c r="RM178" s="62"/>
      <c r="RN178" s="62"/>
      <c r="RO178" s="62"/>
      <c r="RP178" s="62"/>
      <c r="RQ178" s="62"/>
      <c r="RR178" s="62"/>
      <c r="RS178" s="62"/>
      <c r="RT178" s="62"/>
      <c r="RU178" s="62"/>
      <c r="RV178" s="62"/>
      <c r="RW178" s="62"/>
      <c r="RX178" s="62"/>
      <c r="RY178" s="62"/>
      <c r="RZ178" s="62"/>
      <c r="SA178" s="62"/>
      <c r="SB178" s="62"/>
      <c r="SC178" s="62"/>
      <c r="SD178" s="62"/>
      <c r="SE178" s="62"/>
      <c r="SF178" s="62"/>
      <c r="SG178" s="62"/>
      <c r="SH178" s="62"/>
      <c r="SI178" s="62"/>
      <c r="SJ178" s="62"/>
      <c r="SK178" s="62"/>
      <c r="SL178" s="62"/>
      <c r="SM178" s="62"/>
      <c r="SN178" s="62"/>
      <c r="SO178" s="62"/>
      <c r="SP178" s="62"/>
      <c r="SQ178" s="62"/>
      <c r="SR178" s="62"/>
      <c r="SS178" s="62"/>
      <c r="ST178" s="62"/>
      <c r="SU178" s="62"/>
      <c r="SV178" s="62"/>
      <c r="SW178" s="62"/>
      <c r="SX178" s="62"/>
      <c r="SY178" s="62"/>
      <c r="SZ178" s="62"/>
      <c r="TA178" s="62"/>
      <c r="TB178" s="62"/>
      <c r="TC178" s="62"/>
      <c r="TD178" s="62"/>
      <c r="TE178" s="62"/>
      <c r="TF178" s="62"/>
      <c r="TG178" s="62"/>
      <c r="TH178" s="62"/>
    </row>
    <row r="179" spans="1:528" ht="14.25" customHeight="1">
      <c r="C179" s="1" t="s">
        <v>1976</v>
      </c>
      <c r="D179" s="1"/>
      <c r="E179" s="1"/>
      <c r="F179" s="1"/>
      <c r="G179" s="62"/>
      <c r="H179" s="68" t="s">
        <v>3554</v>
      </c>
      <c r="I179" s="44"/>
      <c r="J179" s="62"/>
      <c r="K179" s="1069">
        <f>FR58</f>
        <v>0</v>
      </c>
      <c r="L179" s="1070">
        <f>FS58</f>
        <v>5608</v>
      </c>
      <c r="M179" s="1070">
        <f>FT58</f>
        <v>23304</v>
      </c>
      <c r="N179" s="1070">
        <f>FU58</f>
        <v>0</v>
      </c>
      <c r="O179" s="1071">
        <f>FV58</f>
        <v>0</v>
      </c>
      <c r="P179" s="1023">
        <f t="shared" ref="P179:P185" si="684">SUM(K179:O179)</f>
        <v>28912</v>
      </c>
      <c r="Q179" s="1219">
        <f t="shared" ref="Q179:Q185" si="685">IF(OR(P65=0,P65=""),"",P179/P65)</f>
        <v>903.5</v>
      </c>
      <c r="S179" s="3632"/>
      <c r="T179" s="3633"/>
      <c r="U179" s="3633"/>
      <c r="V179" s="3633"/>
      <c r="W179" s="3634"/>
      <c r="X179" s="358"/>
      <c r="AA179" s="358"/>
      <c r="AB179" s="361"/>
      <c r="AC179" s="358"/>
      <c r="AF179" s="358"/>
      <c r="AG179" s="361"/>
      <c r="AH179" s="358"/>
      <c r="AK179" s="358"/>
      <c r="AL179" s="361"/>
      <c r="AM179" s="358"/>
      <c r="AP179" s="358"/>
      <c r="AQ179" s="361"/>
      <c r="AR179" s="362"/>
      <c r="AS179" s="362"/>
      <c r="AT179" s="362"/>
      <c r="AU179" s="362"/>
      <c r="AV179" s="362"/>
      <c r="AW179" s="362"/>
      <c r="AY179" s="358"/>
      <c r="BB179" s="362"/>
      <c r="BD179" s="358"/>
      <c r="MX179" s="360"/>
      <c r="NM179" s="356"/>
      <c r="NN179" s="356"/>
      <c r="OZ179" s="2504">
        <v>175</v>
      </c>
      <c r="PR179" s="62"/>
      <c r="PS179" s="62"/>
      <c r="PT179" s="62"/>
      <c r="PU179" s="62"/>
      <c r="PV179" s="62"/>
      <c r="PW179" s="62"/>
      <c r="PX179" s="62"/>
      <c r="PY179" s="62"/>
      <c r="PZ179" s="62"/>
      <c r="QA179" s="62"/>
      <c r="QB179" s="62"/>
      <c r="QC179" s="62"/>
      <c r="QD179" s="62"/>
      <c r="QE179" s="62"/>
      <c r="QF179" s="62"/>
      <c r="QG179" s="62"/>
      <c r="QH179" s="62"/>
      <c r="QI179" s="62"/>
      <c r="QJ179" s="62"/>
      <c r="QK179" s="62"/>
      <c r="QL179" s="62"/>
      <c r="QM179" s="62"/>
      <c r="QN179" s="62"/>
      <c r="QO179" s="62"/>
      <c r="QP179" s="62"/>
      <c r="QQ179" s="62"/>
      <c r="QR179" s="62"/>
      <c r="QS179" s="62"/>
      <c r="QT179" s="62"/>
      <c r="QU179" s="62"/>
      <c r="QV179" s="62"/>
      <c r="QW179" s="62"/>
      <c r="QX179" s="62"/>
      <c r="QY179" s="62"/>
      <c r="QZ179" s="62"/>
      <c r="RA179" s="62"/>
      <c r="RB179" s="62"/>
      <c r="RC179" s="62"/>
      <c r="RD179" s="62"/>
      <c r="RE179" s="62"/>
      <c r="RF179" s="62"/>
      <c r="RG179" s="62"/>
      <c r="RH179" s="62"/>
      <c r="RI179" s="62"/>
      <c r="RJ179" s="62"/>
      <c r="RK179" s="62"/>
      <c r="RL179" s="62"/>
      <c r="RM179" s="62"/>
      <c r="RN179" s="62"/>
      <c r="RO179" s="62"/>
      <c r="RP179" s="62"/>
      <c r="RQ179" s="62"/>
      <c r="RR179" s="62"/>
      <c r="RS179" s="62"/>
      <c r="RT179" s="62"/>
      <c r="RU179" s="62"/>
      <c r="RV179" s="62"/>
      <c r="RW179" s="62"/>
      <c r="RX179" s="62"/>
      <c r="RY179" s="62"/>
      <c r="RZ179" s="62"/>
      <c r="SA179" s="62"/>
      <c r="SB179" s="62"/>
      <c r="SC179" s="62"/>
      <c r="SD179" s="62"/>
      <c r="SE179" s="62"/>
      <c r="SF179" s="62"/>
      <c r="SG179" s="62"/>
      <c r="SH179" s="62"/>
      <c r="SI179" s="62"/>
      <c r="SJ179" s="62"/>
      <c r="SK179" s="62"/>
      <c r="SL179" s="62"/>
      <c r="SM179" s="62"/>
      <c r="SN179" s="62"/>
      <c r="SO179" s="62"/>
      <c r="SP179" s="62"/>
      <c r="SQ179" s="62"/>
      <c r="SR179" s="62"/>
      <c r="SS179" s="62"/>
      <c r="ST179" s="62"/>
      <c r="SU179" s="62"/>
      <c r="SV179" s="62"/>
      <c r="SW179" s="62"/>
      <c r="SX179" s="62"/>
      <c r="SY179" s="62"/>
      <c r="SZ179" s="62"/>
      <c r="TA179" s="62"/>
      <c r="TB179" s="62"/>
      <c r="TC179" s="62"/>
      <c r="TD179" s="62"/>
      <c r="TE179" s="62"/>
      <c r="TF179" s="62"/>
      <c r="TG179" s="62"/>
      <c r="TH179" s="62"/>
    </row>
    <row r="180" spans="1:528" ht="14.25" customHeight="1">
      <c r="C180" s="1"/>
      <c r="D180" s="1"/>
      <c r="E180" s="1"/>
      <c r="F180" s="1"/>
      <c r="G180" s="62"/>
      <c r="H180" s="1333" t="s">
        <v>3555</v>
      </c>
      <c r="I180" s="33"/>
      <c r="J180" s="62"/>
      <c r="K180" s="1099">
        <f>FW58</f>
        <v>0</v>
      </c>
      <c r="L180" s="1100">
        <f>FX58</f>
        <v>0</v>
      </c>
      <c r="M180" s="1100">
        <f>FY58</f>
        <v>0</v>
      </c>
      <c r="N180" s="1100">
        <f>FZ58</f>
        <v>0</v>
      </c>
      <c r="O180" s="1101">
        <f>GA58</f>
        <v>0</v>
      </c>
      <c r="P180" s="1024">
        <f t="shared" si="684"/>
        <v>0</v>
      </c>
      <c r="Q180" s="1219" t="str">
        <f t="shared" si="685"/>
        <v/>
      </c>
      <c r="S180" s="3613"/>
      <c r="T180" s="3614"/>
      <c r="U180" s="3614"/>
      <c r="V180" s="3614"/>
      <c r="W180" s="3615"/>
      <c r="X180" s="358"/>
      <c r="AA180" s="358"/>
      <c r="AB180" s="361"/>
      <c r="AC180" s="358"/>
      <c r="AF180" s="358"/>
      <c r="AG180" s="361"/>
      <c r="AH180" s="358"/>
      <c r="AK180" s="358"/>
      <c r="AL180" s="361"/>
      <c r="AM180" s="358"/>
      <c r="AP180" s="358"/>
      <c r="AQ180" s="361"/>
      <c r="AR180" s="362"/>
      <c r="AS180" s="362"/>
      <c r="AT180" s="362"/>
      <c r="AU180" s="362"/>
      <c r="AV180" s="362"/>
      <c r="AW180" s="362"/>
      <c r="AY180" s="358"/>
      <c r="BB180" s="362"/>
      <c r="BD180" s="358"/>
      <c r="MX180" s="360"/>
      <c r="NM180" s="356"/>
      <c r="NN180" s="356"/>
      <c r="OZ180" s="2504">
        <v>176</v>
      </c>
      <c r="PR180" s="62"/>
      <c r="PS180" s="62"/>
      <c r="PT180" s="62"/>
      <c r="PU180" s="62"/>
      <c r="PV180" s="62"/>
      <c r="PW180" s="62"/>
      <c r="PX180" s="62"/>
      <c r="PY180" s="62"/>
      <c r="PZ180" s="62"/>
      <c r="QA180" s="62"/>
      <c r="QB180" s="62"/>
      <c r="QC180" s="62"/>
      <c r="QD180" s="62"/>
      <c r="QE180" s="62"/>
      <c r="QF180" s="62"/>
      <c r="QG180" s="62"/>
      <c r="QH180" s="62"/>
      <c r="QI180" s="62"/>
      <c r="QJ180" s="62"/>
      <c r="QK180" s="62"/>
      <c r="QL180" s="62"/>
      <c r="QM180" s="62"/>
      <c r="QN180" s="62"/>
      <c r="QO180" s="62"/>
      <c r="QP180" s="62"/>
      <c r="QQ180" s="62"/>
      <c r="QR180" s="62"/>
      <c r="QS180" s="62"/>
      <c r="QT180" s="62"/>
      <c r="QU180" s="62"/>
      <c r="QV180" s="62"/>
      <c r="QW180" s="62"/>
      <c r="QX180" s="62"/>
      <c r="QY180" s="62"/>
      <c r="QZ180" s="62"/>
      <c r="RA180" s="62"/>
      <c r="RB180" s="62"/>
      <c r="RC180" s="62"/>
      <c r="RD180" s="62"/>
      <c r="RE180" s="62"/>
      <c r="RF180" s="62"/>
      <c r="RG180" s="62"/>
      <c r="RH180" s="62"/>
      <c r="RI180" s="62"/>
      <c r="RJ180" s="62"/>
      <c r="RK180" s="62"/>
      <c r="RL180" s="62"/>
      <c r="RM180" s="62"/>
      <c r="RN180" s="62"/>
      <c r="RO180" s="62"/>
      <c r="RP180" s="62"/>
      <c r="RQ180" s="62"/>
      <c r="RR180" s="62"/>
      <c r="RS180" s="62"/>
      <c r="RT180" s="62"/>
      <c r="RU180" s="62"/>
      <c r="RV180" s="62"/>
      <c r="RW180" s="62"/>
      <c r="RX180" s="62"/>
      <c r="RY180" s="62"/>
      <c r="RZ180" s="62"/>
      <c r="SA180" s="62"/>
      <c r="SB180" s="62"/>
      <c r="SC180" s="62"/>
      <c r="SD180" s="62"/>
      <c r="SE180" s="62"/>
      <c r="SF180" s="62"/>
      <c r="SG180" s="62"/>
      <c r="SH180" s="62"/>
      <c r="SI180" s="62"/>
      <c r="SJ180" s="62"/>
      <c r="SK180" s="62"/>
      <c r="SL180" s="62"/>
      <c r="SM180" s="62"/>
      <c r="SN180" s="62"/>
      <c r="SO180" s="62"/>
      <c r="SP180" s="62"/>
      <c r="SQ180" s="62"/>
      <c r="SR180" s="62"/>
      <c r="SS180" s="62"/>
      <c r="ST180" s="62"/>
      <c r="SU180" s="62"/>
      <c r="SV180" s="62"/>
      <c r="SW180" s="62"/>
      <c r="SX180" s="62"/>
      <c r="SY180" s="62"/>
      <c r="SZ180" s="62"/>
      <c r="TA180" s="62"/>
      <c r="TB180" s="62"/>
      <c r="TC180" s="62"/>
      <c r="TD180" s="62"/>
      <c r="TE180" s="62"/>
      <c r="TF180" s="62"/>
      <c r="TG180" s="62"/>
      <c r="TH180" s="62"/>
    </row>
    <row r="181" spans="1:528" ht="14.25" customHeight="1">
      <c r="C181" s="1"/>
      <c r="D181" s="1"/>
      <c r="E181" s="1"/>
      <c r="F181" s="1"/>
      <c r="G181" s="62"/>
      <c r="H181" s="1333" t="s">
        <v>1080</v>
      </c>
      <c r="I181" s="33"/>
      <c r="J181" s="62"/>
      <c r="K181" s="1099">
        <f>GB58</f>
        <v>0</v>
      </c>
      <c r="L181" s="1100">
        <f>GC58</f>
        <v>16824</v>
      </c>
      <c r="M181" s="1100">
        <f>GD58</f>
        <v>69912</v>
      </c>
      <c r="N181" s="1100">
        <f>GE58</f>
        <v>0</v>
      </c>
      <c r="O181" s="1101">
        <f>GF58</f>
        <v>0</v>
      </c>
      <c r="P181" s="1024">
        <f t="shared" si="684"/>
        <v>86736</v>
      </c>
      <c r="Q181" s="1219">
        <f t="shared" si="685"/>
        <v>903.5</v>
      </c>
      <c r="S181" s="3613"/>
      <c r="T181" s="3614"/>
      <c r="U181" s="3614"/>
      <c r="V181" s="3614"/>
      <c r="W181" s="3615"/>
      <c r="X181" s="358"/>
      <c r="AA181" s="358"/>
      <c r="AB181" s="361"/>
      <c r="AC181" s="358"/>
      <c r="AF181" s="358"/>
      <c r="AG181" s="361"/>
      <c r="AH181" s="358"/>
      <c r="AK181" s="358"/>
      <c r="AL181" s="361"/>
      <c r="AM181" s="358"/>
      <c r="AP181" s="358"/>
      <c r="AQ181" s="361"/>
      <c r="AR181" s="362"/>
      <c r="AS181" s="362"/>
      <c r="AT181" s="362"/>
      <c r="AU181" s="362"/>
      <c r="AV181" s="362"/>
      <c r="AW181" s="362"/>
      <c r="AY181" s="358"/>
      <c r="BB181" s="362"/>
      <c r="BD181" s="358"/>
      <c r="MX181" s="360"/>
      <c r="NM181" s="356"/>
      <c r="NN181" s="356"/>
      <c r="OZ181" s="2506">
        <v>177</v>
      </c>
      <c r="PR181" s="62"/>
      <c r="PS181" s="62"/>
      <c r="PT181" s="62"/>
      <c r="PU181" s="62"/>
      <c r="PV181" s="62"/>
      <c r="PW181" s="62"/>
      <c r="PX181" s="62"/>
      <c r="PY181" s="62"/>
      <c r="PZ181" s="62"/>
      <c r="QA181" s="62"/>
      <c r="QB181" s="62"/>
      <c r="QC181" s="62"/>
      <c r="QD181" s="62"/>
      <c r="QE181" s="62"/>
      <c r="QF181" s="62"/>
      <c r="QG181" s="62"/>
      <c r="QH181" s="62"/>
      <c r="QI181" s="62"/>
      <c r="QJ181" s="62"/>
      <c r="QK181" s="62"/>
      <c r="QL181" s="62"/>
      <c r="QM181" s="62"/>
      <c r="QN181" s="62"/>
      <c r="QO181" s="62"/>
      <c r="QP181" s="62"/>
      <c r="QQ181" s="62"/>
      <c r="QR181" s="62"/>
      <c r="QS181" s="62"/>
      <c r="QT181" s="62"/>
      <c r="QU181" s="62"/>
      <c r="QV181" s="62"/>
      <c r="QW181" s="62"/>
      <c r="QX181" s="62"/>
      <c r="QY181" s="62"/>
      <c r="QZ181" s="62"/>
      <c r="RA181" s="62"/>
      <c r="RB181" s="62"/>
      <c r="RC181" s="62"/>
      <c r="RD181" s="62"/>
      <c r="RE181" s="62"/>
      <c r="RF181" s="62"/>
      <c r="RG181" s="62"/>
      <c r="RH181" s="62"/>
      <c r="RI181" s="62"/>
      <c r="RJ181" s="62"/>
      <c r="RK181" s="62"/>
      <c r="RL181" s="62"/>
      <c r="RM181" s="62"/>
      <c r="RN181" s="62"/>
      <c r="RO181" s="62"/>
      <c r="RP181" s="62"/>
      <c r="RQ181" s="62"/>
      <c r="RR181" s="62"/>
      <c r="RS181" s="62"/>
      <c r="RT181" s="62"/>
      <c r="RU181" s="62"/>
      <c r="RV181" s="62"/>
      <c r="RW181" s="62"/>
      <c r="RX181" s="62"/>
      <c r="RY181" s="62"/>
      <c r="RZ181" s="62"/>
      <c r="SA181" s="62"/>
      <c r="SB181" s="62"/>
      <c r="SC181" s="62"/>
      <c r="SD181" s="62"/>
      <c r="SE181" s="62"/>
      <c r="SF181" s="62"/>
      <c r="SG181" s="62"/>
      <c r="SH181" s="62"/>
      <c r="SI181" s="62"/>
      <c r="SJ181" s="62"/>
      <c r="SK181" s="62"/>
      <c r="SL181" s="62"/>
      <c r="SM181" s="62"/>
      <c r="SN181" s="62"/>
      <c r="SO181" s="62"/>
      <c r="SP181" s="62"/>
      <c r="SQ181" s="62"/>
      <c r="SR181" s="62"/>
      <c r="SS181" s="62"/>
      <c r="ST181" s="62"/>
      <c r="SU181" s="62"/>
      <c r="SV181" s="62"/>
      <c r="SW181" s="62"/>
      <c r="SX181" s="62"/>
      <c r="SY181" s="62"/>
      <c r="SZ181" s="62"/>
      <c r="TA181" s="62"/>
      <c r="TB181" s="62"/>
      <c r="TC181" s="62"/>
      <c r="TD181" s="62"/>
      <c r="TE181" s="62"/>
      <c r="TF181" s="62"/>
      <c r="TG181" s="62"/>
      <c r="TH181" s="62"/>
    </row>
    <row r="182" spans="1:528" ht="14.25" customHeight="1">
      <c r="C182" s="1"/>
      <c r="D182" s="1"/>
      <c r="E182" s="1"/>
      <c r="F182" s="1"/>
      <c r="G182" s="62"/>
      <c r="H182" s="1333" t="s">
        <v>112</v>
      </c>
      <c r="I182" s="33"/>
      <c r="J182" s="895"/>
      <c r="K182" s="1157">
        <f>GG58</f>
        <v>0</v>
      </c>
      <c r="L182" s="1158">
        <f>GH58</f>
        <v>2804</v>
      </c>
      <c r="M182" s="1158">
        <f>GI58</f>
        <v>11652</v>
      </c>
      <c r="N182" s="1158">
        <f>GJ58</f>
        <v>0</v>
      </c>
      <c r="O182" s="1159">
        <f>GK58</f>
        <v>0</v>
      </c>
      <c r="P182" s="1160">
        <f t="shared" si="684"/>
        <v>14456</v>
      </c>
      <c r="Q182" s="1219">
        <f t="shared" si="685"/>
        <v>903.5</v>
      </c>
      <c r="S182" s="3613"/>
      <c r="T182" s="3614"/>
      <c r="U182" s="3614"/>
      <c r="V182" s="3614"/>
      <c r="W182" s="3615"/>
      <c r="X182" s="358"/>
      <c r="AA182" s="358"/>
      <c r="AB182" s="361"/>
      <c r="AC182" s="358"/>
      <c r="AF182" s="358"/>
      <c r="AG182" s="361"/>
      <c r="AH182" s="358"/>
      <c r="AK182" s="358"/>
      <c r="AL182" s="361"/>
      <c r="AM182" s="358"/>
      <c r="AP182" s="358"/>
      <c r="AQ182" s="361"/>
      <c r="AR182" s="362"/>
      <c r="AS182" s="362"/>
      <c r="AT182" s="362"/>
      <c r="AU182" s="362"/>
      <c r="AV182" s="362"/>
      <c r="AW182" s="362"/>
      <c r="AY182" s="358"/>
      <c r="BB182" s="362"/>
      <c r="BD182" s="358"/>
      <c r="MX182" s="360"/>
      <c r="NM182" s="356"/>
      <c r="NN182" s="356"/>
      <c r="OZ182" s="2504">
        <v>178</v>
      </c>
      <c r="PR182" s="62"/>
      <c r="PS182" s="62"/>
      <c r="PT182" s="62"/>
      <c r="PU182" s="62"/>
      <c r="PV182" s="62"/>
      <c r="PW182" s="62"/>
      <c r="PX182" s="62"/>
      <c r="PY182" s="62"/>
      <c r="PZ182" s="62"/>
      <c r="QA182" s="62"/>
      <c r="QB182" s="62"/>
      <c r="QC182" s="62"/>
      <c r="QD182" s="62"/>
      <c r="QE182" s="62"/>
      <c r="QF182" s="62"/>
      <c r="QG182" s="62"/>
      <c r="QH182" s="62"/>
      <c r="QI182" s="62"/>
      <c r="QJ182" s="62"/>
      <c r="QK182" s="62"/>
      <c r="QL182" s="62"/>
      <c r="QM182" s="62"/>
      <c r="QN182" s="62"/>
      <c r="QO182" s="62"/>
      <c r="QP182" s="62"/>
      <c r="QQ182" s="62"/>
      <c r="QR182" s="62"/>
      <c r="QS182" s="62"/>
      <c r="QT182" s="62"/>
      <c r="QU182" s="62"/>
      <c r="QV182" s="62"/>
      <c r="QW182" s="62"/>
      <c r="QX182" s="62"/>
      <c r="QY182" s="62"/>
      <c r="QZ182" s="62"/>
      <c r="RA182" s="62"/>
      <c r="RB182" s="62"/>
      <c r="RC182" s="62"/>
      <c r="RD182" s="62"/>
      <c r="RE182" s="62"/>
      <c r="RF182" s="62"/>
      <c r="RG182" s="62"/>
      <c r="RH182" s="62"/>
      <c r="RI182" s="62"/>
      <c r="RJ182" s="62"/>
      <c r="RK182" s="62"/>
      <c r="RL182" s="62"/>
      <c r="RM182" s="62"/>
      <c r="RN182" s="62"/>
      <c r="RO182" s="62"/>
      <c r="RP182" s="62"/>
      <c r="RQ182" s="62"/>
      <c r="RR182" s="62"/>
      <c r="RS182" s="62"/>
      <c r="RT182" s="62"/>
      <c r="RU182" s="62"/>
      <c r="RV182" s="62"/>
      <c r="RW182" s="62"/>
      <c r="RX182" s="62"/>
      <c r="RY182" s="62"/>
      <c r="RZ182" s="62"/>
      <c r="SA182" s="62"/>
      <c r="SB182" s="62"/>
      <c r="SC182" s="62"/>
      <c r="SD182" s="62"/>
      <c r="SE182" s="62"/>
      <c r="SF182" s="62"/>
      <c r="SG182" s="62"/>
      <c r="SH182" s="62"/>
      <c r="SI182" s="62"/>
      <c r="SJ182" s="62"/>
      <c r="SK182" s="62"/>
      <c r="SL182" s="62"/>
      <c r="SM182" s="62"/>
      <c r="SN182" s="62"/>
      <c r="SO182" s="62"/>
      <c r="SP182" s="62"/>
      <c r="SQ182" s="62"/>
      <c r="SR182" s="62"/>
      <c r="SS182" s="62"/>
      <c r="ST182" s="62"/>
      <c r="SU182" s="62"/>
      <c r="SV182" s="62"/>
      <c r="SW182" s="62"/>
      <c r="SX182" s="62"/>
      <c r="SY182" s="62"/>
      <c r="SZ182" s="62"/>
      <c r="TA182" s="62"/>
      <c r="TB182" s="62"/>
      <c r="TC182" s="62"/>
      <c r="TD182" s="62"/>
      <c r="TE182" s="62"/>
      <c r="TF182" s="62"/>
      <c r="TG182" s="62"/>
      <c r="TH182" s="62"/>
    </row>
    <row r="183" spans="1:528" ht="14.25" customHeight="1">
      <c r="C183" s="1"/>
      <c r="D183" s="1"/>
      <c r="E183" s="1"/>
      <c r="F183" s="1"/>
      <c r="G183" s="62"/>
      <c r="H183" s="1333" t="s">
        <v>3556</v>
      </c>
      <c r="I183" s="33"/>
      <c r="J183" s="895"/>
      <c r="K183" s="1099">
        <f>GL58</f>
        <v>0</v>
      </c>
      <c r="L183" s="1100">
        <f>GM58</f>
        <v>0</v>
      </c>
      <c r="M183" s="1100">
        <f>GN58</f>
        <v>0</v>
      </c>
      <c r="N183" s="1100">
        <f>GO58</f>
        <v>0</v>
      </c>
      <c r="O183" s="1101">
        <f>GP58</f>
        <v>0</v>
      </c>
      <c r="P183" s="1024">
        <f t="shared" si="684"/>
        <v>0</v>
      </c>
      <c r="Q183" s="1219" t="str">
        <f t="shared" si="685"/>
        <v/>
      </c>
      <c r="S183" s="3613"/>
      <c r="T183" s="3614"/>
      <c r="U183" s="3614"/>
      <c r="V183" s="3614"/>
      <c r="W183" s="3615"/>
      <c r="X183" s="358"/>
      <c r="AA183" s="358"/>
      <c r="AB183" s="361"/>
      <c r="AC183" s="358"/>
      <c r="AF183" s="358"/>
      <c r="AG183" s="361"/>
      <c r="AH183" s="358"/>
      <c r="AK183" s="358"/>
      <c r="AL183" s="361"/>
      <c r="AM183" s="358"/>
      <c r="AP183" s="358"/>
      <c r="AQ183" s="361"/>
      <c r="AR183" s="362"/>
      <c r="AS183" s="362"/>
      <c r="AT183" s="362"/>
      <c r="AU183" s="362"/>
      <c r="AV183" s="362"/>
      <c r="AW183" s="362"/>
      <c r="AY183" s="358"/>
      <c r="BB183" s="362"/>
      <c r="BD183" s="358"/>
      <c r="MX183" s="360"/>
      <c r="NM183" s="356"/>
      <c r="NN183" s="356"/>
      <c r="OZ183" s="2503">
        <v>179</v>
      </c>
      <c r="PR183" s="62"/>
      <c r="PS183" s="62"/>
      <c r="PT183" s="62"/>
      <c r="PU183" s="62"/>
      <c r="PV183" s="62"/>
      <c r="PW183" s="62"/>
      <c r="PX183" s="62"/>
      <c r="PY183" s="62"/>
      <c r="PZ183" s="62"/>
      <c r="QA183" s="62"/>
      <c r="QB183" s="62"/>
      <c r="QC183" s="62"/>
      <c r="QD183" s="62"/>
      <c r="QE183" s="62"/>
      <c r="QF183" s="62"/>
      <c r="QG183" s="62"/>
      <c r="QH183" s="62"/>
      <c r="QI183" s="62"/>
      <c r="QJ183" s="62"/>
      <c r="QK183" s="62"/>
      <c r="QL183" s="62"/>
      <c r="QM183" s="62"/>
      <c r="QN183" s="62"/>
      <c r="QO183" s="62"/>
      <c r="QP183" s="62"/>
      <c r="QQ183" s="62"/>
      <c r="QR183" s="62"/>
      <c r="QS183" s="62"/>
      <c r="QT183" s="62"/>
      <c r="QU183" s="62"/>
      <c r="QV183" s="62"/>
      <c r="QW183" s="62"/>
      <c r="QX183" s="62"/>
      <c r="QY183" s="62"/>
      <c r="QZ183" s="62"/>
      <c r="RA183" s="62"/>
      <c r="RB183" s="62"/>
      <c r="RC183" s="62"/>
      <c r="RD183" s="62"/>
      <c r="RE183" s="62"/>
      <c r="RF183" s="62"/>
      <c r="RG183" s="62"/>
      <c r="RH183" s="62"/>
      <c r="RI183" s="62"/>
      <c r="RJ183" s="62"/>
      <c r="RK183" s="62"/>
      <c r="RL183" s="62"/>
      <c r="RM183" s="62"/>
      <c r="RN183" s="62"/>
      <c r="RO183" s="62"/>
      <c r="RP183" s="62"/>
      <c r="RQ183" s="62"/>
      <c r="RR183" s="62"/>
      <c r="RS183" s="62"/>
      <c r="RT183" s="62"/>
      <c r="RU183" s="62"/>
      <c r="RV183" s="62"/>
      <c r="RW183" s="62"/>
      <c r="RX183" s="62"/>
      <c r="RY183" s="62"/>
      <c r="RZ183" s="62"/>
      <c r="SA183" s="62"/>
      <c r="SB183" s="62"/>
      <c r="SC183" s="62"/>
      <c r="SD183" s="62"/>
      <c r="SE183" s="62"/>
      <c r="SF183" s="62"/>
      <c r="SG183" s="62"/>
      <c r="SH183" s="62"/>
      <c r="SI183" s="62"/>
      <c r="SJ183" s="62"/>
      <c r="SK183" s="62"/>
      <c r="SL183" s="62"/>
      <c r="SM183" s="62"/>
      <c r="SN183" s="62"/>
      <c r="SO183" s="62"/>
      <c r="SP183" s="62"/>
      <c r="SQ183" s="62"/>
      <c r="SR183" s="62"/>
      <c r="SS183" s="62"/>
      <c r="ST183" s="62"/>
      <c r="SU183" s="62"/>
      <c r="SV183" s="62"/>
      <c r="SW183" s="62"/>
      <c r="SX183" s="62"/>
      <c r="SY183" s="62"/>
      <c r="SZ183" s="62"/>
      <c r="TA183" s="62"/>
      <c r="TB183" s="62"/>
      <c r="TC183" s="62"/>
      <c r="TD183" s="62"/>
      <c r="TE183" s="62"/>
      <c r="TF183" s="62"/>
      <c r="TG183" s="62"/>
      <c r="TH183" s="62"/>
    </row>
    <row r="184" spans="1:528" ht="14.25" customHeight="1">
      <c r="C184" s="1"/>
      <c r="D184" s="1"/>
      <c r="E184" s="1"/>
      <c r="F184" s="1"/>
      <c r="G184" s="62"/>
      <c r="H184" s="1333" t="s">
        <v>3557</v>
      </c>
      <c r="I184" s="33"/>
      <c r="J184" s="62"/>
      <c r="K184" s="1099">
        <f>GQ58</f>
        <v>0</v>
      </c>
      <c r="L184" s="1100">
        <f>GR58</f>
        <v>2804</v>
      </c>
      <c r="M184" s="1100">
        <f>GS58</f>
        <v>11652</v>
      </c>
      <c r="N184" s="1100">
        <f>GT58</f>
        <v>0</v>
      </c>
      <c r="O184" s="1101">
        <f>GU58</f>
        <v>0</v>
      </c>
      <c r="P184" s="1024">
        <f t="shared" si="684"/>
        <v>14456</v>
      </c>
      <c r="Q184" s="1219">
        <f t="shared" si="685"/>
        <v>903.5</v>
      </c>
      <c r="S184" s="3613"/>
      <c r="T184" s="3614"/>
      <c r="U184" s="3614"/>
      <c r="V184" s="3614"/>
      <c r="W184" s="3615"/>
      <c r="X184" s="358"/>
      <c r="AA184" s="358"/>
      <c r="AB184" s="361"/>
      <c r="AC184" s="358"/>
      <c r="AF184" s="358"/>
      <c r="AG184" s="361"/>
      <c r="AH184" s="358"/>
      <c r="AK184" s="358"/>
      <c r="AL184" s="361"/>
      <c r="AM184" s="358"/>
      <c r="AP184" s="358"/>
      <c r="AQ184" s="361"/>
      <c r="AR184" s="362"/>
      <c r="AS184" s="362"/>
      <c r="AT184" s="362"/>
      <c r="AU184" s="362"/>
      <c r="AV184" s="362"/>
      <c r="AW184" s="362"/>
      <c r="AY184" s="358"/>
      <c r="BB184" s="362"/>
      <c r="BD184" s="358"/>
      <c r="MX184" s="360"/>
      <c r="NM184" s="356"/>
      <c r="NN184" s="356"/>
      <c r="OZ184" s="2504">
        <v>180</v>
      </c>
      <c r="PR184" s="62"/>
      <c r="PS184" s="62"/>
      <c r="PT184" s="62"/>
      <c r="PU184" s="62"/>
      <c r="PV184" s="62"/>
      <c r="PW184" s="62"/>
      <c r="PX184" s="62"/>
      <c r="PY184" s="62"/>
      <c r="PZ184" s="62"/>
      <c r="QA184" s="62"/>
      <c r="QB184" s="62"/>
      <c r="QC184" s="62"/>
      <c r="QD184" s="62"/>
      <c r="QE184" s="62"/>
      <c r="QF184" s="62"/>
      <c r="QG184" s="62"/>
      <c r="QH184" s="62"/>
      <c r="QI184" s="62"/>
      <c r="QJ184" s="62"/>
      <c r="QK184" s="62"/>
      <c r="QL184" s="62"/>
      <c r="QM184" s="62"/>
      <c r="QN184" s="62"/>
      <c r="QO184" s="62"/>
      <c r="QP184" s="62"/>
      <c r="QQ184" s="62"/>
      <c r="QR184" s="62"/>
      <c r="QS184" s="62"/>
      <c r="QT184" s="62"/>
      <c r="QU184" s="62"/>
      <c r="QV184" s="62"/>
      <c r="QW184" s="62"/>
      <c r="QX184" s="62"/>
      <c r="QY184" s="62"/>
      <c r="QZ184" s="62"/>
      <c r="RA184" s="62"/>
      <c r="RB184" s="62"/>
      <c r="RC184" s="62"/>
      <c r="RD184" s="62"/>
      <c r="RE184" s="62"/>
      <c r="RF184" s="62"/>
      <c r="RG184" s="62"/>
      <c r="RH184" s="62"/>
      <c r="RI184" s="62"/>
      <c r="RJ184" s="62"/>
      <c r="RK184" s="62"/>
      <c r="RL184" s="62"/>
      <c r="RM184" s="62"/>
      <c r="RN184" s="62"/>
      <c r="RO184" s="62"/>
      <c r="RP184" s="62"/>
      <c r="RQ184" s="62"/>
      <c r="RR184" s="62"/>
      <c r="RS184" s="62"/>
      <c r="RT184" s="62"/>
      <c r="RU184" s="62"/>
      <c r="RV184" s="62"/>
      <c r="RW184" s="62"/>
      <c r="RX184" s="62"/>
      <c r="RY184" s="62"/>
      <c r="RZ184" s="62"/>
      <c r="SA184" s="62"/>
      <c r="SB184" s="62"/>
      <c r="SC184" s="62"/>
      <c r="SD184" s="62"/>
      <c r="SE184" s="62"/>
      <c r="SF184" s="62"/>
      <c r="SG184" s="62"/>
      <c r="SH184" s="62"/>
      <c r="SI184" s="62"/>
      <c r="SJ184" s="62"/>
      <c r="SK184" s="62"/>
      <c r="SL184" s="62"/>
      <c r="SM184" s="62"/>
      <c r="SN184" s="62"/>
      <c r="SO184" s="62"/>
      <c r="SP184" s="62"/>
      <c r="SQ184" s="62"/>
      <c r="SR184" s="62"/>
      <c r="SS184" s="62"/>
      <c r="ST184" s="62"/>
      <c r="SU184" s="62"/>
      <c r="SV184" s="62"/>
      <c r="SW184" s="62"/>
      <c r="SX184" s="62"/>
      <c r="SY184" s="62"/>
      <c r="SZ184" s="62"/>
      <c r="TA184" s="62"/>
      <c r="TB184" s="62"/>
      <c r="TC184" s="62"/>
      <c r="TD184" s="62"/>
      <c r="TE184" s="62"/>
      <c r="TF184" s="62"/>
      <c r="TG184" s="62"/>
      <c r="TH184" s="62"/>
    </row>
    <row r="185" spans="1:528" ht="14.25" customHeight="1">
      <c r="C185" s="4"/>
      <c r="D185" s="1"/>
      <c r="E185" s="1"/>
      <c r="F185" s="1"/>
      <c r="G185" s="62"/>
      <c r="H185" s="68" t="s">
        <v>3558</v>
      </c>
      <c r="I185" s="44"/>
      <c r="J185" s="62"/>
      <c r="K185" s="1075">
        <f>GV58</f>
        <v>0</v>
      </c>
      <c r="L185" s="1076">
        <f>GW58</f>
        <v>0</v>
      </c>
      <c r="M185" s="1076">
        <f>GX58</f>
        <v>0</v>
      </c>
      <c r="N185" s="1076">
        <f>GY58</f>
        <v>0</v>
      </c>
      <c r="O185" s="1077">
        <f>GZ58</f>
        <v>0</v>
      </c>
      <c r="P185" s="1025">
        <f t="shared" si="684"/>
        <v>0</v>
      </c>
      <c r="Q185" s="1219" t="str">
        <f t="shared" si="685"/>
        <v/>
      </c>
      <c r="S185" s="3613"/>
      <c r="T185" s="3614"/>
      <c r="U185" s="3614"/>
      <c r="V185" s="3614"/>
      <c r="W185" s="3615"/>
      <c r="X185" s="1639"/>
      <c r="AA185" s="358"/>
      <c r="AB185" s="361"/>
      <c r="AC185" s="1639"/>
      <c r="AF185" s="358"/>
      <c r="AG185" s="361"/>
      <c r="AH185" s="1639"/>
      <c r="AK185" s="358"/>
      <c r="AL185" s="361"/>
      <c r="AM185" s="1639"/>
      <c r="AP185" s="358"/>
      <c r="AQ185" s="361"/>
      <c r="AR185" s="362"/>
      <c r="AS185" s="362"/>
      <c r="AT185" s="362"/>
      <c r="AU185" s="362"/>
      <c r="AV185" s="362"/>
      <c r="AW185" s="362"/>
      <c r="AX185" s="358"/>
      <c r="AY185" s="358"/>
      <c r="BB185" s="362"/>
      <c r="BC185" s="358"/>
      <c r="BD185" s="358"/>
      <c r="MX185" s="360"/>
      <c r="NM185" s="356"/>
      <c r="NN185" s="356"/>
      <c r="OZ185" s="2504">
        <v>181</v>
      </c>
      <c r="PR185" s="62"/>
      <c r="PS185" s="62"/>
      <c r="PT185" s="62"/>
      <c r="PU185" s="62"/>
      <c r="PV185" s="62"/>
      <c r="PW185" s="62"/>
      <c r="PX185" s="62"/>
      <c r="PY185" s="62"/>
      <c r="PZ185" s="62"/>
      <c r="QA185" s="62"/>
      <c r="QB185" s="62"/>
      <c r="QC185" s="62"/>
      <c r="QD185" s="62"/>
      <c r="QE185" s="62"/>
      <c r="QF185" s="62"/>
      <c r="QG185" s="62"/>
      <c r="QH185" s="62"/>
      <c r="QI185" s="62"/>
      <c r="QJ185" s="62"/>
      <c r="QK185" s="62"/>
      <c r="QL185" s="62"/>
      <c r="QM185" s="62"/>
      <c r="QN185" s="62"/>
      <c r="QO185" s="62"/>
      <c r="QP185" s="62"/>
      <c r="QQ185" s="62"/>
      <c r="QR185" s="62"/>
      <c r="QS185" s="62"/>
      <c r="QT185" s="62"/>
      <c r="QU185" s="62"/>
      <c r="QV185" s="62"/>
      <c r="QW185" s="62"/>
      <c r="QX185" s="62"/>
      <c r="QY185" s="62"/>
      <c r="QZ185" s="62"/>
      <c r="RA185" s="62"/>
      <c r="RB185" s="62"/>
      <c r="RC185" s="62"/>
      <c r="RD185" s="62"/>
      <c r="RE185" s="62"/>
      <c r="RF185" s="62"/>
      <c r="RG185" s="62"/>
      <c r="RH185" s="62"/>
      <c r="RI185" s="62"/>
      <c r="RJ185" s="62"/>
      <c r="RK185" s="62"/>
      <c r="RL185" s="62"/>
      <c r="RM185" s="62"/>
      <c r="RN185" s="62"/>
      <c r="RO185" s="62"/>
      <c r="RP185" s="62"/>
      <c r="RQ185" s="62"/>
      <c r="RR185" s="62"/>
      <c r="RS185" s="62"/>
      <c r="RT185" s="62"/>
      <c r="RU185" s="62"/>
      <c r="RV185" s="62"/>
      <c r="RW185" s="62"/>
      <c r="RX185" s="62"/>
      <c r="RY185" s="62"/>
      <c r="RZ185" s="62"/>
      <c r="SA185" s="62"/>
      <c r="SB185" s="62"/>
      <c r="SC185" s="62"/>
      <c r="SD185" s="62"/>
      <c r="SE185" s="62"/>
      <c r="SF185" s="62"/>
      <c r="SG185" s="62"/>
      <c r="SH185" s="62"/>
      <c r="SI185" s="62"/>
      <c r="SJ185" s="62"/>
      <c r="SK185" s="62"/>
      <c r="SL185" s="62"/>
      <c r="SM185" s="62"/>
      <c r="SN185" s="62"/>
      <c r="SO185" s="62"/>
      <c r="SP185" s="62"/>
      <c r="SQ185" s="62"/>
      <c r="SR185" s="62"/>
      <c r="SS185" s="62"/>
      <c r="ST185" s="62"/>
      <c r="SU185" s="62"/>
      <c r="SV185" s="62"/>
      <c r="SW185" s="62"/>
      <c r="SX185" s="62"/>
      <c r="SY185" s="62"/>
      <c r="SZ185" s="62"/>
      <c r="TA185" s="62"/>
      <c r="TB185" s="62"/>
      <c r="TC185" s="62"/>
      <c r="TD185" s="62"/>
      <c r="TE185" s="62"/>
      <c r="TF185" s="62"/>
      <c r="TG185" s="62"/>
      <c r="TH185" s="62"/>
    </row>
    <row r="186" spans="1:528" ht="14.25" customHeight="1">
      <c r="C186" s="4"/>
      <c r="D186" s="1"/>
      <c r="E186" s="1"/>
      <c r="F186" s="1"/>
      <c r="G186" s="62"/>
      <c r="H186" s="1370" t="s">
        <v>3639</v>
      </c>
      <c r="I186" s="73"/>
      <c r="J186" s="1034"/>
      <c r="K186" s="1592">
        <f>SUM(K179:K185)</f>
        <v>0</v>
      </c>
      <c r="L186" s="1592">
        <f>SUM(L179:L185)</f>
        <v>28040</v>
      </c>
      <c r="M186" s="1592">
        <f>SUM(M179:M185)</f>
        <v>116520</v>
      </c>
      <c r="N186" s="1592">
        <f>SUM(N179:N185)</f>
        <v>0</v>
      </c>
      <c r="O186" s="1592">
        <f>SUM(O179:O185)</f>
        <v>0</v>
      </c>
      <c r="P186" s="1592">
        <f>SUM(K186:O186)</f>
        <v>144560</v>
      </c>
      <c r="S186" s="3613"/>
      <c r="T186" s="3614"/>
      <c r="U186" s="3614"/>
      <c r="V186" s="3614"/>
      <c r="W186" s="3615"/>
      <c r="X186" s="1639"/>
      <c r="AA186" s="358"/>
      <c r="AB186" s="361"/>
      <c r="AC186" s="1639"/>
      <c r="AF186" s="358"/>
      <c r="AG186" s="361"/>
      <c r="AH186" s="1639"/>
      <c r="AK186" s="358"/>
      <c r="AL186" s="361"/>
      <c r="AM186" s="1639"/>
      <c r="AP186" s="358"/>
      <c r="AQ186" s="361"/>
      <c r="AR186" s="362"/>
      <c r="AS186" s="362"/>
      <c r="AT186" s="362"/>
      <c r="AU186" s="362"/>
      <c r="AV186" s="362"/>
      <c r="AW186" s="362"/>
      <c r="AX186" s="358"/>
      <c r="AY186" s="358"/>
      <c r="BB186" s="362"/>
      <c r="BC186" s="358"/>
      <c r="BD186" s="358"/>
      <c r="MX186" s="360"/>
      <c r="NM186" s="356"/>
      <c r="NN186" s="356"/>
      <c r="OZ186" s="2503">
        <v>182</v>
      </c>
      <c r="PR186" s="62"/>
      <c r="PS186" s="62"/>
      <c r="PT186" s="62"/>
      <c r="PU186" s="62"/>
      <c r="PV186" s="62"/>
      <c r="PW186" s="62"/>
      <c r="PX186" s="62"/>
      <c r="PY186" s="62"/>
      <c r="PZ186" s="62"/>
      <c r="QA186" s="62"/>
      <c r="QB186" s="62"/>
      <c r="QC186" s="62"/>
      <c r="QD186" s="62"/>
      <c r="QE186" s="62"/>
      <c r="QF186" s="62"/>
      <c r="QG186" s="62"/>
      <c r="QH186" s="62"/>
      <c r="QI186" s="62"/>
      <c r="QJ186" s="62"/>
      <c r="QK186" s="62"/>
      <c r="QL186" s="62"/>
      <c r="QM186" s="62"/>
      <c r="QN186" s="62"/>
      <c r="QO186" s="62"/>
      <c r="QP186" s="62"/>
      <c r="QQ186" s="62"/>
      <c r="QR186" s="62"/>
      <c r="QS186" s="62"/>
      <c r="QT186" s="62"/>
      <c r="QU186" s="62"/>
      <c r="QV186" s="62"/>
      <c r="QW186" s="62"/>
      <c r="QX186" s="62"/>
      <c r="QY186" s="62"/>
      <c r="QZ186" s="62"/>
      <c r="RA186" s="62"/>
      <c r="RB186" s="62"/>
      <c r="RC186" s="62"/>
      <c r="RD186" s="62"/>
      <c r="RE186" s="62"/>
      <c r="RF186" s="62"/>
      <c r="RG186" s="62"/>
      <c r="RH186" s="62"/>
      <c r="RI186" s="62"/>
      <c r="RJ186" s="62"/>
      <c r="RK186" s="62"/>
      <c r="RL186" s="62"/>
      <c r="RM186" s="62"/>
      <c r="RN186" s="62"/>
      <c r="RO186" s="62"/>
      <c r="RP186" s="62"/>
      <c r="RQ186" s="62"/>
      <c r="RR186" s="62"/>
      <c r="RS186" s="62"/>
      <c r="RT186" s="62"/>
      <c r="RU186" s="62"/>
      <c r="RV186" s="62"/>
      <c r="RW186" s="62"/>
      <c r="RX186" s="62"/>
      <c r="RY186" s="62"/>
      <c r="RZ186" s="62"/>
      <c r="SA186" s="62"/>
      <c r="SB186" s="62"/>
      <c r="SC186" s="62"/>
      <c r="SD186" s="62"/>
      <c r="SE186" s="62"/>
      <c r="SF186" s="62"/>
      <c r="SG186" s="62"/>
      <c r="SH186" s="62"/>
      <c r="SI186" s="62"/>
      <c r="SJ186" s="62"/>
      <c r="SK186" s="62"/>
      <c r="SL186" s="62"/>
      <c r="SM186" s="62"/>
      <c r="SN186" s="62"/>
      <c r="SO186" s="62"/>
      <c r="SP186" s="62"/>
      <c r="SQ186" s="62"/>
      <c r="SR186" s="62"/>
      <c r="SS186" s="62"/>
      <c r="ST186" s="62"/>
      <c r="SU186" s="62"/>
      <c r="SV186" s="62"/>
      <c r="SW186" s="62"/>
      <c r="SX186" s="62"/>
      <c r="SY186" s="62"/>
      <c r="SZ186" s="62"/>
      <c r="TA186" s="62"/>
      <c r="TB186" s="62"/>
      <c r="TC186" s="62"/>
      <c r="TD186" s="62"/>
      <c r="TE186" s="62"/>
      <c r="TF186" s="62"/>
      <c r="TG186" s="62"/>
      <c r="TH186" s="62"/>
    </row>
    <row r="187" spans="1:528" ht="14.25" customHeight="1">
      <c r="C187" s="1" t="s">
        <v>290</v>
      </c>
      <c r="D187" s="1"/>
      <c r="E187" s="1"/>
      <c r="F187" s="1"/>
      <c r="G187" s="1"/>
      <c r="H187" s="62"/>
      <c r="I187" s="62"/>
      <c r="J187" s="62"/>
      <c r="K187" s="1102">
        <f>HA58</f>
        <v>0</v>
      </c>
      <c r="L187" s="1103">
        <f>HB58</f>
        <v>0</v>
      </c>
      <c r="M187" s="1103">
        <f>HC58</f>
        <v>0</v>
      </c>
      <c r="N187" s="1103">
        <f>HD58</f>
        <v>0</v>
      </c>
      <c r="O187" s="1104">
        <f>HE58</f>
        <v>0</v>
      </c>
      <c r="P187" s="1031">
        <f>SUM(K187:O187)</f>
        <v>0</v>
      </c>
      <c r="Q187" s="1168" t="str">
        <f>IF(OR(P73=0,P73=""),"",P187/P73)</f>
        <v/>
      </c>
      <c r="S187" s="3613"/>
      <c r="T187" s="3614"/>
      <c r="U187" s="3614"/>
      <c r="V187" s="3614"/>
      <c r="W187" s="3615"/>
      <c r="X187" s="358"/>
      <c r="AA187" s="358"/>
      <c r="AB187" s="358"/>
      <c r="AC187" s="358"/>
      <c r="AF187" s="358"/>
      <c r="AG187" s="358"/>
      <c r="AH187" s="358"/>
      <c r="AK187" s="358"/>
      <c r="AL187" s="358"/>
      <c r="AM187" s="358"/>
      <c r="AP187" s="358"/>
      <c r="AQ187" s="358"/>
      <c r="AR187" s="362"/>
      <c r="AS187" s="362"/>
      <c r="AT187" s="362"/>
      <c r="AU187" s="362"/>
      <c r="AV187" s="362"/>
      <c r="AW187" s="362"/>
      <c r="AY187" s="358"/>
      <c r="BB187" s="362"/>
      <c r="BD187" s="358"/>
      <c r="MX187" s="360"/>
      <c r="NM187" s="356"/>
      <c r="NN187" s="356"/>
      <c r="OZ187" s="2504">
        <v>183</v>
      </c>
      <c r="PR187" s="62"/>
      <c r="PS187" s="62"/>
      <c r="PT187" s="62"/>
      <c r="PU187" s="62"/>
      <c r="PV187" s="62"/>
      <c r="PW187" s="62"/>
      <c r="PX187" s="62"/>
      <c r="PY187" s="62"/>
      <c r="PZ187" s="62"/>
      <c r="QA187" s="62"/>
      <c r="QB187" s="62"/>
      <c r="QC187" s="62"/>
      <c r="QD187" s="62"/>
      <c r="QE187" s="62"/>
      <c r="QF187" s="62"/>
      <c r="QG187" s="62"/>
      <c r="QH187" s="62"/>
      <c r="QI187" s="62"/>
      <c r="QJ187" s="62"/>
      <c r="QK187" s="62"/>
      <c r="QL187" s="62"/>
      <c r="QM187" s="62"/>
      <c r="QN187" s="62"/>
      <c r="QO187" s="62"/>
      <c r="QP187" s="62"/>
      <c r="QQ187" s="62"/>
      <c r="QR187" s="62"/>
      <c r="QS187" s="62"/>
      <c r="QT187" s="62"/>
      <c r="QU187" s="62"/>
      <c r="QV187" s="62"/>
      <c r="QW187" s="62"/>
      <c r="QX187" s="62"/>
      <c r="QY187" s="62"/>
      <c r="QZ187" s="62"/>
      <c r="RA187" s="62"/>
      <c r="RB187" s="62"/>
      <c r="RC187" s="62"/>
      <c r="RD187" s="62"/>
      <c r="RE187" s="62"/>
      <c r="RF187" s="62"/>
      <c r="RG187" s="62"/>
      <c r="RH187" s="62"/>
      <c r="RI187" s="62"/>
      <c r="RJ187" s="62"/>
      <c r="RK187" s="62"/>
      <c r="RL187" s="62"/>
      <c r="RM187" s="62"/>
      <c r="RN187" s="62"/>
      <c r="RO187" s="62"/>
      <c r="RP187" s="62"/>
      <c r="RQ187" s="62"/>
      <c r="RR187" s="62"/>
      <c r="RS187" s="62"/>
      <c r="RT187" s="62"/>
      <c r="RU187" s="62"/>
      <c r="RV187" s="62"/>
      <c r="RW187" s="62"/>
      <c r="RX187" s="62"/>
      <c r="RY187" s="62"/>
      <c r="RZ187" s="62"/>
      <c r="SA187" s="62"/>
      <c r="SB187" s="62"/>
      <c r="SC187" s="62"/>
      <c r="SD187" s="62"/>
      <c r="SE187" s="62"/>
      <c r="SF187" s="62"/>
      <c r="SG187" s="62"/>
      <c r="SH187" s="62"/>
      <c r="SI187" s="62"/>
      <c r="SJ187" s="62"/>
      <c r="SK187" s="62"/>
      <c r="SL187" s="62"/>
      <c r="SM187" s="62"/>
      <c r="SN187" s="62"/>
      <c r="SO187" s="62"/>
      <c r="SP187" s="62"/>
      <c r="SQ187" s="62"/>
      <c r="SR187" s="62"/>
      <c r="SS187" s="62"/>
      <c r="ST187" s="62"/>
      <c r="SU187" s="62"/>
      <c r="SV187" s="62"/>
      <c r="SW187" s="62"/>
      <c r="SX187" s="62"/>
      <c r="SY187" s="62"/>
      <c r="SZ187" s="62"/>
      <c r="TA187" s="62"/>
      <c r="TB187" s="62"/>
      <c r="TC187" s="62"/>
      <c r="TD187" s="62"/>
      <c r="TE187" s="62"/>
      <c r="TF187" s="62"/>
      <c r="TG187" s="62"/>
      <c r="TH187" s="62"/>
    </row>
    <row r="188" spans="1:528" ht="14.25" customHeight="1">
      <c r="C188" s="83" t="s">
        <v>1069</v>
      </c>
      <c r="D188" s="1033"/>
      <c r="E188" s="1033"/>
      <c r="F188" s="1033"/>
      <c r="G188" s="1033"/>
      <c r="H188" s="1034"/>
      <c r="I188" s="1034"/>
      <c r="J188" s="1034"/>
      <c r="K188" s="1591">
        <f>SUM(K186:K187)</f>
        <v>0</v>
      </c>
      <c r="L188" s="1591">
        <f>SUM(L186:L187)</f>
        <v>28040</v>
      </c>
      <c r="M188" s="1591">
        <f>SUM(M186:M187)</f>
        <v>116520</v>
      </c>
      <c r="N188" s="1591">
        <f>SUM(N186:N187)</f>
        <v>0</v>
      </c>
      <c r="O188" s="1591">
        <f>SUM(O186:O187)</f>
        <v>0</v>
      </c>
      <c r="P188" s="1591">
        <f>SUM(K188:O188)</f>
        <v>144560</v>
      </c>
      <c r="S188" s="3613"/>
      <c r="T188" s="3614"/>
      <c r="U188" s="3614"/>
      <c r="V188" s="3614"/>
      <c r="W188" s="3615"/>
      <c r="X188" s="358"/>
      <c r="AA188" s="358"/>
      <c r="AB188" s="358"/>
      <c r="AC188" s="358"/>
      <c r="AF188" s="358"/>
      <c r="AG188" s="358"/>
      <c r="AH188" s="358"/>
      <c r="AK188" s="358"/>
      <c r="AL188" s="358"/>
      <c r="AM188" s="358"/>
      <c r="AP188" s="358"/>
      <c r="AQ188" s="358"/>
      <c r="AR188" s="362"/>
      <c r="AS188" s="362"/>
      <c r="AT188" s="362"/>
      <c r="AU188" s="362"/>
      <c r="AV188" s="362"/>
      <c r="AW188" s="362"/>
      <c r="AY188" s="358"/>
      <c r="BB188" s="362"/>
      <c r="BD188" s="358"/>
      <c r="MX188" s="360"/>
      <c r="NM188" s="356"/>
      <c r="OZ188" s="2504">
        <v>184</v>
      </c>
    </row>
    <row r="189" spans="1:528" ht="14.25" customHeight="1">
      <c r="C189" s="1" t="s">
        <v>2302</v>
      </c>
      <c r="D189" s="1"/>
      <c r="E189" s="1"/>
      <c r="F189" s="1"/>
      <c r="G189" s="1"/>
      <c r="H189" s="62"/>
      <c r="I189" s="62"/>
      <c r="J189" s="62"/>
      <c r="K189" s="1102">
        <f>HK58</f>
        <v>0</v>
      </c>
      <c r="L189" s="1103">
        <f>HL58</f>
        <v>0</v>
      </c>
      <c r="M189" s="1103">
        <f>HM58</f>
        <v>0</v>
      </c>
      <c r="N189" s="1103">
        <f>HN58</f>
        <v>0</v>
      </c>
      <c r="O189" s="1104">
        <f>HO58</f>
        <v>0</v>
      </c>
      <c r="P189" s="1031">
        <f>SUM(K189:O189)</f>
        <v>0</v>
      </c>
      <c r="Q189" s="1168" t="str">
        <f>IF(OR(P75=0,P75=""),"",P189/P75)</f>
        <v/>
      </c>
      <c r="S189" s="3613"/>
      <c r="T189" s="3614"/>
      <c r="U189" s="3614"/>
      <c r="V189" s="3614"/>
      <c r="W189" s="3615"/>
      <c r="X189" s="358"/>
      <c r="AA189" s="358"/>
      <c r="AB189" s="358"/>
      <c r="AC189" s="358"/>
      <c r="AF189" s="358"/>
      <c r="AG189" s="358"/>
      <c r="AH189" s="358"/>
      <c r="AK189" s="358"/>
      <c r="AL189" s="358"/>
      <c r="AM189" s="358"/>
      <c r="AP189" s="358"/>
      <c r="AQ189" s="358"/>
      <c r="AR189" s="362"/>
      <c r="AS189" s="362"/>
      <c r="AT189" s="362"/>
      <c r="AU189" s="362"/>
      <c r="AV189" s="362"/>
      <c r="AW189" s="362"/>
      <c r="AY189" s="358"/>
      <c r="BB189" s="362"/>
      <c r="BD189" s="358"/>
      <c r="MX189" s="360"/>
      <c r="NM189" s="356"/>
      <c r="OZ189" s="2504">
        <v>185</v>
      </c>
    </row>
    <row r="190" spans="1:528" ht="14.25" customHeight="1">
      <c r="C190" s="4" t="s">
        <v>953</v>
      </c>
      <c r="D190" s="1"/>
      <c r="E190" s="1"/>
      <c r="F190" s="1"/>
      <c r="G190" s="1"/>
      <c r="H190" s="62"/>
      <c r="I190" s="62"/>
      <c r="J190" s="62"/>
      <c r="K190" s="1030">
        <f>SUM(K188:K189)</f>
        <v>0</v>
      </c>
      <c r="L190" s="1030">
        <f>SUM(L188:L189)</f>
        <v>28040</v>
      </c>
      <c r="M190" s="1030">
        <f>SUM(M188:M189)</f>
        <v>116520</v>
      </c>
      <c r="N190" s="1030">
        <f>SUM(N188:N189)</f>
        <v>0</v>
      </c>
      <c r="O190" s="1030">
        <f>SUM(O188:O189)</f>
        <v>0</v>
      </c>
      <c r="P190" s="1030">
        <f>SUM(K190:O190)</f>
        <v>144560</v>
      </c>
      <c r="S190" s="3580"/>
      <c r="T190" s="3581"/>
      <c r="U190" s="3581"/>
      <c r="V190" s="3581"/>
      <c r="W190" s="3582"/>
      <c r="X190" s="358"/>
      <c r="AA190" s="358"/>
      <c r="AB190" s="358"/>
      <c r="AC190" s="358"/>
      <c r="AF190" s="358"/>
      <c r="AG190" s="358"/>
      <c r="AH190" s="358"/>
      <c r="AK190" s="358"/>
      <c r="AL190" s="358"/>
      <c r="AM190" s="358"/>
      <c r="AP190" s="358"/>
      <c r="AQ190" s="358"/>
      <c r="AR190" s="362"/>
      <c r="AS190" s="362"/>
      <c r="AT190" s="362"/>
      <c r="AU190" s="362"/>
      <c r="AV190" s="362"/>
      <c r="AW190" s="362"/>
      <c r="AY190" s="358"/>
      <c r="BB190" s="362"/>
      <c r="BD190" s="358"/>
      <c r="MX190" s="360"/>
      <c r="NM190" s="356"/>
      <c r="OZ190" s="2503">
        <v>186</v>
      </c>
    </row>
    <row r="191" spans="1:528" s="69" customFormat="1" ht="6" customHeight="1">
      <c r="A191" s="1"/>
      <c r="B191" s="1"/>
      <c r="C191" s="1"/>
      <c r="D191" s="1"/>
      <c r="E191" s="1"/>
      <c r="F191" s="1"/>
      <c r="G191" s="1"/>
      <c r="J191" s="1"/>
      <c r="K191" s="1"/>
      <c r="L191" s="1"/>
      <c r="M191" s="1"/>
      <c r="N191" s="1"/>
      <c r="O191" s="1"/>
      <c r="P191" s="1"/>
      <c r="X191" s="358"/>
      <c r="Y191" s="358"/>
      <c r="Z191" s="358"/>
      <c r="AA191" s="358"/>
      <c r="AB191" s="358"/>
      <c r="AC191" s="358"/>
      <c r="AD191" s="358"/>
      <c r="AE191" s="358"/>
      <c r="AF191" s="358"/>
      <c r="AG191" s="358"/>
      <c r="AH191" s="358"/>
      <c r="AI191" s="358"/>
      <c r="AJ191" s="358"/>
      <c r="AK191" s="358"/>
      <c r="AL191" s="358"/>
      <c r="AM191" s="358"/>
      <c r="AN191" s="358"/>
      <c r="AO191" s="358"/>
      <c r="AP191" s="358"/>
      <c r="AQ191" s="358"/>
      <c r="AR191" s="358"/>
      <c r="AS191" s="358"/>
      <c r="AT191" s="358"/>
      <c r="AU191" s="358"/>
      <c r="AV191" s="358"/>
      <c r="AW191" s="358"/>
      <c r="AX191" s="358"/>
      <c r="AY191" s="358"/>
      <c r="AZ191" s="358"/>
      <c r="BA191" s="358"/>
      <c r="BB191" s="358"/>
      <c r="BC191" s="358"/>
      <c r="BD191" s="358"/>
      <c r="BE191" s="358"/>
      <c r="BF191" s="358"/>
      <c r="BG191" s="358"/>
      <c r="BH191" s="358"/>
      <c r="BI191" s="358"/>
      <c r="BJ191" s="358"/>
      <c r="BK191" s="358"/>
      <c r="BL191" s="358"/>
      <c r="BM191" s="358"/>
      <c r="BN191" s="358"/>
      <c r="BO191" s="358"/>
      <c r="BP191" s="358"/>
      <c r="BQ191" s="358"/>
      <c r="BR191" s="358"/>
      <c r="BS191" s="358"/>
      <c r="BT191" s="358"/>
      <c r="BU191" s="358"/>
      <c r="BV191" s="358"/>
      <c r="BW191" s="358"/>
      <c r="BX191" s="358"/>
      <c r="BY191" s="358"/>
      <c r="BZ191" s="358"/>
      <c r="CA191" s="358"/>
      <c r="CB191" s="358"/>
      <c r="CC191" s="358"/>
      <c r="CD191" s="358"/>
      <c r="CE191" s="358"/>
      <c r="CF191" s="358"/>
      <c r="CG191" s="358"/>
      <c r="CH191" s="358"/>
      <c r="CI191" s="358"/>
      <c r="CJ191" s="358"/>
      <c r="CK191" s="358"/>
      <c r="CL191" s="358"/>
      <c r="CM191" s="358"/>
      <c r="CN191" s="358"/>
      <c r="CO191" s="358"/>
      <c r="CP191" s="358"/>
      <c r="CQ191" s="358"/>
      <c r="CR191" s="358"/>
      <c r="CS191" s="358"/>
      <c r="CT191" s="358"/>
      <c r="CU191" s="358"/>
      <c r="CV191" s="358"/>
      <c r="CW191" s="358"/>
      <c r="CX191" s="358"/>
      <c r="CY191" s="358"/>
      <c r="CZ191" s="358"/>
      <c r="DA191" s="358"/>
      <c r="DB191" s="358"/>
      <c r="DC191" s="358"/>
      <c r="DD191" s="358"/>
      <c r="DE191" s="358"/>
      <c r="DF191" s="358"/>
      <c r="DG191" s="358"/>
      <c r="DH191" s="358"/>
      <c r="DI191" s="358"/>
      <c r="DJ191" s="358"/>
      <c r="DK191" s="358"/>
      <c r="DL191" s="358"/>
      <c r="DM191" s="358"/>
      <c r="DN191" s="358"/>
      <c r="DO191" s="358"/>
      <c r="DP191" s="358"/>
      <c r="DQ191" s="358"/>
      <c r="DR191" s="358"/>
      <c r="DS191" s="358"/>
      <c r="DT191" s="358"/>
      <c r="DU191" s="358"/>
      <c r="DV191" s="358"/>
      <c r="DW191" s="358"/>
      <c r="DX191" s="358"/>
      <c r="DY191" s="358"/>
      <c r="DZ191" s="358"/>
      <c r="EA191" s="358"/>
      <c r="EB191" s="358"/>
      <c r="EC191" s="358"/>
      <c r="ED191" s="358"/>
      <c r="EE191" s="358"/>
      <c r="EF191" s="358"/>
      <c r="EG191" s="358"/>
      <c r="EH191" s="358"/>
      <c r="EI191" s="358"/>
      <c r="EJ191" s="358"/>
      <c r="EK191" s="358"/>
      <c r="EL191" s="358"/>
      <c r="EM191" s="358"/>
      <c r="EN191" s="358"/>
      <c r="EO191" s="358"/>
      <c r="EP191" s="358"/>
      <c r="EQ191" s="358"/>
      <c r="ER191" s="358"/>
      <c r="ES191" s="358"/>
      <c r="ET191" s="358"/>
      <c r="EU191" s="358"/>
      <c r="EV191" s="358"/>
      <c r="EW191" s="358"/>
      <c r="EX191" s="358"/>
      <c r="EY191" s="358"/>
      <c r="EZ191" s="358"/>
      <c r="FA191" s="358"/>
      <c r="FB191" s="358"/>
      <c r="FC191" s="358"/>
      <c r="FD191" s="358"/>
      <c r="FE191" s="358"/>
      <c r="FF191" s="358"/>
      <c r="FG191" s="358"/>
      <c r="FH191" s="358"/>
      <c r="FI191" s="358"/>
      <c r="FJ191" s="358"/>
      <c r="FK191" s="358"/>
      <c r="FL191" s="358"/>
      <c r="FM191" s="358"/>
      <c r="FN191" s="358"/>
      <c r="FO191" s="358"/>
      <c r="FP191" s="358"/>
      <c r="FQ191" s="358"/>
      <c r="FR191" s="358"/>
      <c r="FS191" s="358"/>
      <c r="FT191" s="358"/>
      <c r="FU191" s="358"/>
      <c r="FV191" s="358"/>
      <c r="FW191" s="358"/>
      <c r="FX191" s="358"/>
      <c r="FY191" s="358"/>
      <c r="FZ191" s="358"/>
      <c r="GA191" s="358"/>
      <c r="GB191" s="358"/>
      <c r="GC191" s="358"/>
      <c r="GD191" s="358"/>
      <c r="GE191" s="358"/>
      <c r="GF191" s="358"/>
      <c r="GG191" s="358"/>
      <c r="GH191" s="358"/>
      <c r="GI191" s="358"/>
      <c r="GJ191" s="358"/>
      <c r="GK191" s="358"/>
      <c r="GL191" s="358"/>
      <c r="GM191" s="358"/>
      <c r="GN191" s="358"/>
      <c r="GO191" s="358"/>
      <c r="GP191" s="358"/>
      <c r="GQ191" s="358"/>
      <c r="GR191" s="358"/>
      <c r="GS191" s="358"/>
      <c r="GT191" s="358"/>
      <c r="GU191" s="358"/>
      <c r="GV191" s="358"/>
      <c r="GW191" s="358"/>
      <c r="GX191" s="358"/>
      <c r="GY191" s="358"/>
      <c r="GZ191" s="358"/>
      <c r="HA191" s="358"/>
      <c r="HB191" s="358"/>
      <c r="HC191" s="358"/>
      <c r="HD191" s="358"/>
      <c r="HE191" s="358"/>
      <c r="HF191" s="358"/>
      <c r="HG191" s="358"/>
      <c r="HH191" s="358"/>
      <c r="HI191" s="358"/>
      <c r="HJ191" s="358"/>
      <c r="HK191" s="358"/>
      <c r="HL191" s="358"/>
      <c r="HM191" s="358"/>
      <c r="HN191" s="358"/>
      <c r="HO191" s="358"/>
      <c r="HP191" s="358"/>
      <c r="HQ191" s="358"/>
      <c r="HR191" s="358"/>
      <c r="HS191" s="358"/>
      <c r="HT191" s="358"/>
      <c r="HU191" s="358"/>
      <c r="HV191" s="358"/>
      <c r="HW191" s="358"/>
      <c r="HX191" s="358"/>
      <c r="HY191" s="358"/>
      <c r="HZ191" s="358"/>
      <c r="IA191" s="358"/>
      <c r="IB191" s="358"/>
      <c r="IC191" s="358"/>
      <c r="ID191" s="358"/>
      <c r="IE191" s="358"/>
      <c r="IF191" s="358"/>
      <c r="IG191" s="358"/>
      <c r="IH191" s="358"/>
      <c r="II191" s="358"/>
      <c r="IJ191" s="358"/>
      <c r="IK191" s="358"/>
      <c r="IL191" s="358"/>
      <c r="IM191" s="358"/>
      <c r="IN191" s="358"/>
      <c r="IO191" s="358"/>
      <c r="IP191" s="358"/>
      <c r="IQ191" s="358"/>
      <c r="IR191" s="358"/>
      <c r="IS191" s="358"/>
      <c r="IT191" s="358"/>
      <c r="IU191" s="358"/>
      <c r="IV191" s="358"/>
      <c r="IW191" s="358"/>
      <c r="IX191" s="358"/>
      <c r="IY191" s="358"/>
      <c r="IZ191" s="358"/>
      <c r="JA191" s="358"/>
      <c r="JB191" s="358"/>
      <c r="JC191" s="358"/>
      <c r="JD191" s="358"/>
      <c r="JE191" s="358"/>
      <c r="JF191" s="358"/>
      <c r="JG191" s="358"/>
      <c r="JH191" s="358"/>
      <c r="JI191" s="358"/>
      <c r="JJ191" s="358"/>
      <c r="JK191" s="358"/>
      <c r="JL191" s="358"/>
      <c r="JM191" s="358"/>
      <c r="JN191" s="358"/>
      <c r="JO191" s="358"/>
      <c r="JP191" s="358"/>
      <c r="JQ191" s="358"/>
      <c r="JR191" s="358"/>
      <c r="JS191" s="358"/>
      <c r="JT191" s="358"/>
      <c r="JU191" s="358"/>
      <c r="JV191" s="358"/>
      <c r="JW191" s="358"/>
      <c r="JX191" s="358"/>
      <c r="JY191" s="358"/>
      <c r="JZ191" s="358"/>
      <c r="KA191" s="358"/>
      <c r="KB191" s="358"/>
      <c r="KC191" s="358"/>
      <c r="KD191" s="358"/>
      <c r="KE191" s="358"/>
      <c r="KF191" s="358"/>
      <c r="KG191" s="358"/>
      <c r="KH191" s="358"/>
      <c r="KI191" s="358"/>
      <c r="KJ191" s="358"/>
      <c r="KK191" s="358"/>
      <c r="KL191" s="358"/>
      <c r="KM191" s="358"/>
      <c r="KN191" s="358"/>
      <c r="KO191" s="358"/>
      <c r="KP191" s="358"/>
      <c r="KQ191" s="358"/>
      <c r="KR191" s="358"/>
      <c r="KS191" s="358"/>
      <c r="KT191" s="358"/>
      <c r="KU191" s="358"/>
      <c r="KV191" s="358"/>
      <c r="KW191" s="358"/>
      <c r="KX191" s="358"/>
      <c r="KY191" s="358"/>
      <c r="KZ191" s="358"/>
      <c r="LA191" s="358"/>
      <c r="LB191" s="358"/>
      <c r="LC191" s="358"/>
      <c r="LD191" s="358"/>
      <c r="LE191" s="358"/>
      <c r="LF191" s="1784"/>
      <c r="LG191" s="358"/>
      <c r="LH191" s="358"/>
      <c r="LI191" s="358"/>
      <c r="LJ191" s="358"/>
      <c r="LK191" s="1784"/>
      <c r="LL191" s="358"/>
      <c r="LM191" s="358"/>
      <c r="LN191" s="358"/>
      <c r="LO191" s="358"/>
      <c r="LP191" s="1784"/>
      <c r="LQ191" s="358"/>
      <c r="LR191" s="358"/>
      <c r="LS191" s="358"/>
      <c r="LT191" s="358"/>
      <c r="LU191" s="1784"/>
      <c r="LV191" s="1784"/>
      <c r="LW191" s="1784"/>
      <c r="LX191" s="1784"/>
      <c r="LY191" s="1784"/>
      <c r="LZ191" s="1784"/>
      <c r="MA191" s="1784"/>
      <c r="MB191" s="1784"/>
      <c r="MC191" s="1784"/>
      <c r="MD191" s="1784"/>
      <c r="ME191" s="1784"/>
      <c r="MF191" s="1784"/>
      <c r="MG191" s="1784"/>
      <c r="MH191" s="1784"/>
      <c r="MI191" s="1784"/>
      <c r="MJ191" s="1784"/>
      <c r="MK191" s="1784"/>
      <c r="ML191" s="1784"/>
      <c r="MM191" s="1784"/>
      <c r="MN191" s="1784"/>
      <c r="MO191" s="1784"/>
      <c r="MP191" s="1784"/>
      <c r="MQ191" s="358"/>
      <c r="MR191" s="358"/>
      <c r="MS191" s="358"/>
      <c r="MT191" s="358"/>
      <c r="MU191" s="358"/>
      <c r="MV191" s="358"/>
      <c r="MW191" s="1639"/>
      <c r="MX191" s="358"/>
      <c r="MY191" s="358"/>
      <c r="MZ191" s="358"/>
      <c r="NA191" s="358"/>
      <c r="NB191" s="358"/>
      <c r="NC191" s="358"/>
      <c r="ND191" s="358"/>
      <c r="NE191" s="358"/>
      <c r="NF191" s="358"/>
      <c r="NG191" s="358"/>
      <c r="NH191" s="358"/>
      <c r="NI191" s="358"/>
      <c r="NJ191" s="358"/>
      <c r="NK191" s="358"/>
      <c r="NL191" s="358"/>
      <c r="NM191" s="1639"/>
      <c r="NN191" s="1639"/>
      <c r="NO191" s="358"/>
      <c r="NP191" s="358"/>
      <c r="NQ191" s="358"/>
      <c r="NR191" s="358"/>
      <c r="NS191" s="358"/>
      <c r="NT191" s="358"/>
      <c r="NU191" s="358"/>
      <c r="NV191" s="358"/>
      <c r="NW191" s="358"/>
      <c r="NX191" s="358"/>
      <c r="NY191" s="358"/>
      <c r="NZ191" s="358"/>
      <c r="OA191" s="358"/>
      <c r="OB191" s="358"/>
      <c r="OC191" s="358"/>
      <c r="OD191" s="358"/>
      <c r="OE191" s="358"/>
      <c r="OF191" s="358"/>
      <c r="OG191" s="358"/>
      <c r="OH191" s="358"/>
      <c r="OI191" s="358"/>
      <c r="OJ191" s="358"/>
      <c r="OK191" s="358"/>
      <c r="OL191" s="358"/>
      <c r="OM191" s="358"/>
      <c r="ON191" s="358"/>
      <c r="OO191" s="358"/>
      <c r="OP191" s="358"/>
      <c r="OQ191" s="358"/>
      <c r="OR191" s="358"/>
      <c r="OS191" s="358"/>
      <c r="OT191" s="358"/>
      <c r="OU191" s="358"/>
      <c r="OV191" s="72"/>
      <c r="OW191" s="72"/>
      <c r="OX191" s="72"/>
      <c r="OY191" s="2499"/>
      <c r="OZ191" s="2504">
        <v>187</v>
      </c>
      <c r="PA191" s="72"/>
      <c r="PB191" s="72"/>
      <c r="PC191" s="72"/>
      <c r="PD191" s="72"/>
      <c r="PE191" s="72"/>
      <c r="PF191" s="72"/>
      <c r="PG191" s="72"/>
      <c r="PH191" s="72"/>
      <c r="PI191" s="72"/>
      <c r="PJ191" s="72"/>
      <c r="PK191" s="72"/>
      <c r="PL191" s="72"/>
      <c r="PM191" s="72"/>
      <c r="PN191" s="72"/>
      <c r="PO191" s="72"/>
      <c r="PP191" s="72"/>
      <c r="PQ191" s="72"/>
      <c r="PR191" s="72"/>
      <c r="PS191" s="72"/>
      <c r="PT191" s="72"/>
      <c r="PU191" s="72"/>
      <c r="PV191" s="72"/>
      <c r="PW191" s="72"/>
      <c r="PX191" s="72"/>
      <c r="PY191" s="72"/>
      <c r="PZ191" s="72"/>
      <c r="QA191" s="72"/>
      <c r="QB191" s="72"/>
      <c r="QC191" s="72"/>
      <c r="QD191" s="72"/>
      <c r="QE191" s="72"/>
      <c r="QF191" s="72"/>
      <c r="QG191" s="72"/>
      <c r="QH191" s="72"/>
      <c r="QI191" s="72"/>
      <c r="QJ191" s="72"/>
      <c r="QK191" s="72"/>
      <c r="QL191" s="72"/>
      <c r="QM191" s="72"/>
      <c r="QN191" s="72"/>
      <c r="QO191" s="72"/>
      <c r="QP191" s="72"/>
      <c r="QQ191" s="72"/>
      <c r="QR191" s="72"/>
      <c r="QS191" s="72"/>
      <c r="QT191" s="72"/>
      <c r="QU191" s="72"/>
      <c r="QV191" s="72"/>
      <c r="QW191" s="72"/>
      <c r="QX191" s="72"/>
      <c r="QY191" s="72"/>
      <c r="QZ191" s="72"/>
      <c r="RA191" s="72"/>
      <c r="RB191" s="72"/>
      <c r="RC191" s="72"/>
      <c r="RD191" s="72"/>
      <c r="RE191" s="72"/>
      <c r="RF191" s="72"/>
      <c r="RG191" s="72"/>
      <c r="RH191" s="72"/>
      <c r="RI191" s="72"/>
      <c r="RJ191" s="72"/>
      <c r="RK191" s="72"/>
      <c r="RL191" s="72"/>
      <c r="RM191" s="72"/>
      <c r="RN191" s="72"/>
      <c r="RO191" s="72"/>
      <c r="RP191" s="72"/>
      <c r="RQ191" s="72"/>
      <c r="RR191" s="72"/>
      <c r="RS191" s="72"/>
      <c r="RT191" s="72"/>
      <c r="RU191" s="72"/>
      <c r="RV191" s="72"/>
      <c r="RW191" s="72"/>
      <c r="RX191" s="72"/>
      <c r="RY191" s="72"/>
      <c r="RZ191" s="72"/>
      <c r="SA191" s="72"/>
      <c r="SB191" s="72"/>
      <c r="SC191" s="72"/>
      <c r="SD191" s="72"/>
      <c r="SE191" s="72"/>
      <c r="SF191" s="72"/>
      <c r="SG191" s="72"/>
      <c r="SH191" s="72"/>
      <c r="SI191" s="72"/>
      <c r="SJ191" s="72"/>
      <c r="SK191" s="72"/>
      <c r="SL191" s="72"/>
      <c r="SM191" s="72"/>
      <c r="SN191" s="72"/>
      <c r="SO191" s="72"/>
      <c r="SP191" s="72"/>
      <c r="SQ191" s="72"/>
      <c r="SR191" s="72"/>
      <c r="SS191" s="72"/>
      <c r="ST191" s="72"/>
      <c r="SU191" s="72"/>
      <c r="SV191" s="72"/>
      <c r="SW191" s="72"/>
      <c r="SX191" s="72"/>
      <c r="SY191" s="72"/>
      <c r="SZ191" s="72"/>
      <c r="TA191" s="72"/>
      <c r="TB191" s="72"/>
      <c r="TC191" s="72"/>
      <c r="TD191" s="72"/>
      <c r="TE191" s="72"/>
      <c r="TF191" s="72"/>
      <c r="TG191" s="72"/>
      <c r="TH191" s="72"/>
    </row>
    <row r="192" spans="1:528" s="69" customFormat="1" ht="14.25" customHeight="1">
      <c r="A192" s="1"/>
      <c r="B192" s="1"/>
      <c r="D192" s="72" t="s">
        <v>3762</v>
      </c>
      <c r="E192" s="1"/>
      <c r="F192" s="1"/>
      <c r="G192" s="1"/>
      <c r="H192" s="1"/>
      <c r="I192" s="1"/>
      <c r="J192" s="1"/>
      <c r="K192" s="1218" t="str">
        <f>IF(OR(K76="",K76=0),"",K190/K76)</f>
        <v/>
      </c>
      <c r="L192" s="1218">
        <f>IF(OR(L76="",L76=0),"",L190/L76)</f>
        <v>701</v>
      </c>
      <c r="M192" s="1218">
        <f>IF(OR(M76="",M76=0),"",M190/M76)</f>
        <v>971</v>
      </c>
      <c r="N192" s="1218" t="str">
        <f>IF(OR(N76="",N76=0),"",N190/N76)</f>
        <v/>
      </c>
      <c r="O192" s="1218" t="str">
        <f>IF(OR(O76="",O76=0),"",O190/O76)</f>
        <v/>
      </c>
      <c r="P192" s="657"/>
      <c r="X192" s="358"/>
      <c r="Y192" s="358"/>
      <c r="Z192" s="358"/>
      <c r="AA192" s="358"/>
      <c r="AB192" s="358"/>
      <c r="AC192" s="358"/>
      <c r="AD192" s="358"/>
      <c r="AE192" s="358"/>
      <c r="AF192" s="358"/>
      <c r="AG192" s="358"/>
      <c r="AH192" s="358"/>
      <c r="AI192" s="358"/>
      <c r="AJ192" s="358"/>
      <c r="AK192" s="358"/>
      <c r="AL192" s="358"/>
      <c r="AM192" s="358"/>
      <c r="AN192" s="358"/>
      <c r="AO192" s="358"/>
      <c r="AP192" s="358"/>
      <c r="AQ192" s="358"/>
      <c r="AR192" s="358"/>
      <c r="AS192" s="358"/>
      <c r="AT192" s="358"/>
      <c r="AU192" s="358"/>
      <c r="AV192" s="358"/>
      <c r="AW192" s="358"/>
      <c r="AX192" s="358"/>
      <c r="AY192" s="358"/>
      <c r="AZ192" s="358"/>
      <c r="BA192" s="358"/>
      <c r="BB192" s="358"/>
      <c r="BC192" s="358"/>
      <c r="BD192" s="358"/>
      <c r="BE192" s="358"/>
      <c r="BF192" s="358"/>
      <c r="BG192" s="358"/>
      <c r="BH192" s="358"/>
      <c r="BI192" s="358"/>
      <c r="BJ192" s="358"/>
      <c r="BK192" s="358"/>
      <c r="BL192" s="358"/>
      <c r="BM192" s="358"/>
      <c r="BN192" s="358"/>
      <c r="BO192" s="358"/>
      <c r="BP192" s="358"/>
      <c r="BQ192" s="358"/>
      <c r="BR192" s="358"/>
      <c r="BS192" s="358"/>
      <c r="BT192" s="358"/>
      <c r="BU192" s="358"/>
      <c r="BV192" s="358"/>
      <c r="BW192" s="358"/>
      <c r="BX192" s="358"/>
      <c r="BY192" s="358"/>
      <c r="BZ192" s="358"/>
      <c r="CA192" s="358"/>
      <c r="CB192" s="358"/>
      <c r="CC192" s="358"/>
      <c r="CD192" s="358"/>
      <c r="CE192" s="358"/>
      <c r="CF192" s="358"/>
      <c r="CG192" s="358"/>
      <c r="CH192" s="358"/>
      <c r="CI192" s="358"/>
      <c r="CJ192" s="358"/>
      <c r="CK192" s="358"/>
      <c r="CL192" s="358"/>
      <c r="CM192" s="358"/>
      <c r="CN192" s="358"/>
      <c r="CO192" s="358"/>
      <c r="CP192" s="358"/>
      <c r="CQ192" s="358"/>
      <c r="CR192" s="358"/>
      <c r="CS192" s="358"/>
      <c r="CT192" s="358"/>
      <c r="CU192" s="358"/>
      <c r="CV192" s="358"/>
      <c r="CW192" s="358"/>
      <c r="CX192" s="358"/>
      <c r="CY192" s="358"/>
      <c r="CZ192" s="358"/>
      <c r="DA192" s="358"/>
      <c r="DB192" s="358"/>
      <c r="DC192" s="358"/>
      <c r="DD192" s="358"/>
      <c r="DE192" s="358"/>
      <c r="DF192" s="358"/>
      <c r="DG192" s="358"/>
      <c r="DH192" s="358"/>
      <c r="DI192" s="358"/>
      <c r="DJ192" s="358"/>
      <c r="DK192" s="358"/>
      <c r="DL192" s="358"/>
      <c r="DM192" s="358"/>
      <c r="DN192" s="358"/>
      <c r="DO192" s="358"/>
      <c r="DP192" s="358"/>
      <c r="DQ192" s="358"/>
      <c r="DR192" s="358"/>
      <c r="DS192" s="358"/>
      <c r="DT192" s="358"/>
      <c r="DU192" s="358"/>
      <c r="DV192" s="358"/>
      <c r="DW192" s="358"/>
      <c r="DX192" s="358"/>
      <c r="DY192" s="358"/>
      <c r="DZ192" s="358"/>
      <c r="EA192" s="358"/>
      <c r="EB192" s="358"/>
      <c r="EC192" s="358"/>
      <c r="ED192" s="358"/>
      <c r="EE192" s="358"/>
      <c r="EF192" s="358"/>
      <c r="EG192" s="358"/>
      <c r="EH192" s="358"/>
      <c r="EI192" s="358"/>
      <c r="EJ192" s="358"/>
      <c r="EK192" s="358"/>
      <c r="EL192" s="358"/>
      <c r="EM192" s="358"/>
      <c r="EN192" s="358"/>
      <c r="EO192" s="358"/>
      <c r="EP192" s="358"/>
      <c r="EQ192" s="358"/>
      <c r="ER192" s="358"/>
      <c r="ES192" s="358"/>
      <c r="ET192" s="358"/>
      <c r="EU192" s="358"/>
      <c r="EV192" s="358"/>
      <c r="EW192" s="358"/>
      <c r="EX192" s="358"/>
      <c r="EY192" s="358"/>
      <c r="EZ192" s="358"/>
      <c r="FA192" s="358"/>
      <c r="FB192" s="358"/>
      <c r="FC192" s="358"/>
      <c r="FD192" s="358"/>
      <c r="FE192" s="358"/>
      <c r="FF192" s="358"/>
      <c r="FG192" s="358"/>
      <c r="FH192" s="358"/>
      <c r="FI192" s="358"/>
      <c r="FJ192" s="358"/>
      <c r="FK192" s="358"/>
      <c r="FL192" s="358"/>
      <c r="FM192" s="358"/>
      <c r="FN192" s="358"/>
      <c r="FO192" s="358"/>
      <c r="FP192" s="358"/>
      <c r="FQ192" s="358"/>
      <c r="FR192" s="358"/>
      <c r="FS192" s="358"/>
      <c r="FT192" s="358"/>
      <c r="FU192" s="358"/>
      <c r="FV192" s="358"/>
      <c r="FW192" s="358"/>
      <c r="FX192" s="358"/>
      <c r="FY192" s="358"/>
      <c r="FZ192" s="358"/>
      <c r="GA192" s="358"/>
      <c r="GB192" s="358"/>
      <c r="GC192" s="358"/>
      <c r="GD192" s="358"/>
      <c r="GE192" s="358"/>
      <c r="GF192" s="358"/>
      <c r="GG192" s="358"/>
      <c r="GH192" s="358"/>
      <c r="GI192" s="358"/>
      <c r="GJ192" s="358"/>
      <c r="GK192" s="358"/>
      <c r="GL192" s="358"/>
      <c r="GM192" s="358"/>
      <c r="GN192" s="358"/>
      <c r="GO192" s="358"/>
      <c r="GP192" s="358"/>
      <c r="GQ192" s="358"/>
      <c r="GR192" s="358"/>
      <c r="GS192" s="358"/>
      <c r="GT192" s="358"/>
      <c r="GU192" s="358"/>
      <c r="GV192" s="358"/>
      <c r="GW192" s="358"/>
      <c r="GX192" s="358"/>
      <c r="GY192" s="358"/>
      <c r="GZ192" s="358"/>
      <c r="HA192" s="358"/>
      <c r="HB192" s="358"/>
      <c r="HC192" s="358"/>
      <c r="HD192" s="358"/>
      <c r="HE192" s="358"/>
      <c r="HF192" s="358"/>
      <c r="HG192" s="358"/>
      <c r="HH192" s="358"/>
      <c r="HI192" s="358"/>
      <c r="HJ192" s="358"/>
      <c r="HK192" s="358"/>
      <c r="HL192" s="358"/>
      <c r="HM192" s="358"/>
      <c r="HN192" s="358"/>
      <c r="HO192" s="358"/>
      <c r="HP192" s="358"/>
      <c r="HQ192" s="358"/>
      <c r="HR192" s="358"/>
      <c r="HS192" s="358"/>
      <c r="HT192" s="358"/>
      <c r="HU192" s="358"/>
      <c r="HV192" s="358"/>
      <c r="HW192" s="358"/>
      <c r="HX192" s="358"/>
      <c r="HY192" s="358"/>
      <c r="HZ192" s="358"/>
      <c r="IA192" s="358"/>
      <c r="IB192" s="358"/>
      <c r="IC192" s="358"/>
      <c r="ID192" s="358"/>
      <c r="IE192" s="358"/>
      <c r="IF192" s="358"/>
      <c r="IG192" s="358"/>
      <c r="IH192" s="358"/>
      <c r="II192" s="358"/>
      <c r="IJ192" s="358"/>
      <c r="IK192" s="358"/>
      <c r="IL192" s="358"/>
      <c r="IM192" s="358"/>
      <c r="IN192" s="358"/>
      <c r="IO192" s="358"/>
      <c r="IP192" s="358"/>
      <c r="IQ192" s="358"/>
      <c r="IR192" s="358"/>
      <c r="IS192" s="358"/>
      <c r="IT192" s="358"/>
      <c r="IU192" s="358"/>
      <c r="IV192" s="358"/>
      <c r="IW192" s="358"/>
      <c r="IX192" s="358"/>
      <c r="IY192" s="358"/>
      <c r="IZ192" s="358"/>
      <c r="JA192" s="358"/>
      <c r="JB192" s="358"/>
      <c r="JC192" s="358"/>
      <c r="JD192" s="358"/>
      <c r="JE192" s="358"/>
      <c r="JF192" s="358"/>
      <c r="JG192" s="358"/>
      <c r="JH192" s="358"/>
      <c r="JI192" s="358"/>
      <c r="JJ192" s="358"/>
      <c r="JK192" s="358"/>
      <c r="JL192" s="358"/>
      <c r="JM192" s="358"/>
      <c r="JN192" s="358"/>
      <c r="JO192" s="358"/>
      <c r="JP192" s="358"/>
      <c r="JQ192" s="358"/>
      <c r="JR192" s="358"/>
      <c r="JS192" s="358"/>
      <c r="JT192" s="358"/>
      <c r="JU192" s="358"/>
      <c r="JV192" s="358"/>
      <c r="JW192" s="358"/>
      <c r="JX192" s="358"/>
      <c r="JY192" s="358"/>
      <c r="JZ192" s="358"/>
      <c r="KA192" s="358"/>
      <c r="KB192" s="358"/>
      <c r="KC192" s="358"/>
      <c r="KD192" s="358"/>
      <c r="KE192" s="358"/>
      <c r="KF192" s="358"/>
      <c r="KG192" s="358"/>
      <c r="KH192" s="358"/>
      <c r="KI192" s="358"/>
      <c r="KJ192" s="358"/>
      <c r="KK192" s="358"/>
      <c r="KL192" s="358"/>
      <c r="KM192" s="358"/>
      <c r="KN192" s="358"/>
      <c r="KO192" s="358"/>
      <c r="KP192" s="358"/>
      <c r="KQ192" s="358"/>
      <c r="KR192" s="358"/>
      <c r="KS192" s="358"/>
      <c r="KT192" s="358"/>
      <c r="KU192" s="358"/>
      <c r="KV192" s="358"/>
      <c r="KW192" s="358"/>
      <c r="KX192" s="358"/>
      <c r="KY192" s="358"/>
      <c r="KZ192" s="358"/>
      <c r="LA192" s="358"/>
      <c r="LB192" s="358"/>
      <c r="LC192" s="358"/>
      <c r="LD192" s="358"/>
      <c r="LE192" s="358"/>
      <c r="LF192" s="1784"/>
      <c r="LG192" s="358"/>
      <c r="LH192" s="358"/>
      <c r="LI192" s="358"/>
      <c r="LJ192" s="358"/>
      <c r="LK192" s="1784"/>
      <c r="LL192" s="358"/>
      <c r="LM192" s="358"/>
      <c r="LN192" s="358"/>
      <c r="LO192" s="358"/>
      <c r="LP192" s="1784"/>
      <c r="LQ192" s="358"/>
      <c r="LR192" s="358"/>
      <c r="LS192" s="358"/>
      <c r="LT192" s="358"/>
      <c r="LU192" s="1784"/>
      <c r="LV192" s="1784"/>
      <c r="LW192" s="1784"/>
      <c r="LX192" s="1784"/>
      <c r="LY192" s="1784"/>
      <c r="LZ192" s="1784"/>
      <c r="MA192" s="1784"/>
      <c r="MB192" s="1784"/>
      <c r="MC192" s="1784"/>
      <c r="MD192" s="1784"/>
      <c r="ME192" s="1784"/>
      <c r="MF192" s="1784"/>
      <c r="MG192" s="1784"/>
      <c r="MH192" s="1784"/>
      <c r="MI192" s="1784"/>
      <c r="MJ192" s="1784"/>
      <c r="MK192" s="1784"/>
      <c r="ML192" s="1784"/>
      <c r="MM192" s="1784"/>
      <c r="MN192" s="1784"/>
      <c r="MO192" s="1784"/>
      <c r="MP192" s="1784"/>
      <c r="MQ192" s="358"/>
      <c r="MR192" s="358"/>
      <c r="MS192" s="358"/>
      <c r="MT192" s="358"/>
      <c r="MU192" s="358"/>
      <c r="MV192" s="358"/>
      <c r="MW192" s="1639"/>
      <c r="MX192" s="358"/>
      <c r="MY192" s="358"/>
      <c r="MZ192" s="358"/>
      <c r="NA192" s="358"/>
      <c r="NB192" s="358"/>
      <c r="NC192" s="358"/>
      <c r="ND192" s="358"/>
      <c r="NE192" s="358"/>
      <c r="NF192" s="358"/>
      <c r="NG192" s="358"/>
      <c r="NH192" s="358"/>
      <c r="NI192" s="358"/>
      <c r="NJ192" s="358"/>
      <c r="NK192" s="358"/>
      <c r="NL192" s="358"/>
      <c r="NM192" s="1639"/>
      <c r="NN192" s="1639"/>
      <c r="NO192" s="358"/>
      <c r="NP192" s="358"/>
      <c r="NQ192" s="358"/>
      <c r="NR192" s="358"/>
      <c r="NS192" s="358"/>
      <c r="NT192" s="358"/>
      <c r="NU192" s="358"/>
      <c r="NV192" s="358"/>
      <c r="NW192" s="358"/>
      <c r="NX192" s="358"/>
      <c r="NY192" s="358"/>
      <c r="NZ192" s="358"/>
      <c r="OA192" s="358"/>
      <c r="OB192" s="358"/>
      <c r="OC192" s="358"/>
      <c r="OD192" s="358"/>
      <c r="OE192" s="358"/>
      <c r="OF192" s="358"/>
      <c r="OG192" s="358"/>
      <c r="OH192" s="358"/>
      <c r="OI192" s="358"/>
      <c r="OJ192" s="358"/>
      <c r="OK192" s="358"/>
      <c r="OL192" s="358"/>
      <c r="OM192" s="358"/>
      <c r="ON192" s="358"/>
      <c r="OO192" s="358"/>
      <c r="OP192" s="358"/>
      <c r="OQ192" s="358"/>
      <c r="OR192" s="358"/>
      <c r="OS192" s="358"/>
      <c r="OT192" s="358"/>
      <c r="OU192" s="358"/>
      <c r="OV192" s="72"/>
      <c r="OW192" s="72"/>
      <c r="OX192" s="72"/>
      <c r="OY192" s="2499"/>
      <c r="OZ192" s="2504">
        <v>188</v>
      </c>
      <c r="PA192" s="72"/>
      <c r="PB192" s="72"/>
      <c r="PC192" s="72"/>
      <c r="PD192" s="72"/>
      <c r="PE192" s="72"/>
      <c r="PF192" s="72"/>
      <c r="PG192" s="72"/>
      <c r="PH192" s="72"/>
      <c r="PI192" s="72"/>
      <c r="PJ192" s="72"/>
      <c r="PK192" s="72"/>
      <c r="PL192" s="72"/>
      <c r="PM192" s="72"/>
      <c r="PN192" s="72"/>
      <c r="PO192" s="72"/>
      <c r="PP192" s="72"/>
      <c r="PQ192" s="72"/>
      <c r="PR192" s="72"/>
      <c r="PS192" s="72"/>
      <c r="PT192" s="72"/>
      <c r="PU192" s="72"/>
      <c r="PV192" s="72"/>
      <c r="PW192" s="72"/>
      <c r="PX192" s="72"/>
      <c r="PY192" s="72"/>
      <c r="PZ192" s="72"/>
      <c r="QA192" s="72"/>
      <c r="QB192" s="72"/>
      <c r="QC192" s="72"/>
      <c r="QD192" s="72"/>
      <c r="QE192" s="72"/>
      <c r="QF192" s="72"/>
      <c r="QG192" s="72"/>
      <c r="QH192" s="72"/>
      <c r="QI192" s="72"/>
      <c r="QJ192" s="72"/>
      <c r="QK192" s="72"/>
      <c r="QL192" s="72"/>
      <c r="QM192" s="72"/>
      <c r="QN192" s="72"/>
      <c r="QO192" s="72"/>
      <c r="QP192" s="72"/>
      <c r="QQ192" s="72"/>
      <c r="QR192" s="72"/>
      <c r="QS192" s="72"/>
      <c r="QT192" s="72"/>
      <c r="QU192" s="72"/>
      <c r="QV192" s="72"/>
      <c r="QW192" s="72"/>
      <c r="QX192" s="72"/>
      <c r="QY192" s="72"/>
      <c r="QZ192" s="72"/>
      <c r="RA192" s="72"/>
      <c r="RB192" s="72"/>
      <c r="RC192" s="72"/>
      <c r="RD192" s="72"/>
      <c r="RE192" s="72"/>
      <c r="RF192" s="72"/>
      <c r="RG192" s="72"/>
      <c r="RH192" s="72"/>
      <c r="RI192" s="72"/>
      <c r="RJ192" s="72"/>
      <c r="RK192" s="72"/>
      <c r="RL192" s="72"/>
      <c r="RM192" s="72"/>
      <c r="RN192" s="72"/>
      <c r="RO192" s="72"/>
      <c r="RP192" s="72"/>
      <c r="RQ192" s="72"/>
      <c r="RR192" s="72"/>
      <c r="RS192" s="72"/>
      <c r="RT192" s="72"/>
      <c r="RU192" s="72"/>
      <c r="RV192" s="72"/>
      <c r="RW192" s="72"/>
      <c r="RX192" s="72"/>
      <c r="RY192" s="72"/>
      <c r="RZ192" s="72"/>
      <c r="SA192" s="72"/>
      <c r="SB192" s="72"/>
      <c r="SC192" s="72"/>
      <c r="SD192" s="72"/>
      <c r="SE192" s="72"/>
      <c r="SF192" s="72"/>
      <c r="SG192" s="72"/>
      <c r="SH192" s="72"/>
      <c r="SI192" s="72"/>
      <c r="SJ192" s="72"/>
      <c r="SK192" s="72"/>
      <c r="SL192" s="72"/>
      <c r="SM192" s="72"/>
      <c r="SN192" s="72"/>
      <c r="SO192" s="72"/>
      <c r="SP192" s="72"/>
      <c r="SQ192" s="72"/>
      <c r="SR192" s="72"/>
      <c r="SS192" s="72"/>
      <c r="ST192" s="72"/>
      <c r="SU192" s="72"/>
      <c r="SV192" s="72"/>
      <c r="SW192" s="72"/>
      <c r="SX192" s="72"/>
      <c r="SY192" s="72"/>
      <c r="SZ192" s="72"/>
      <c r="TA192" s="72"/>
      <c r="TB192" s="72"/>
      <c r="TC192" s="72"/>
      <c r="TD192" s="72"/>
      <c r="TE192" s="72"/>
      <c r="TF192" s="72"/>
      <c r="TG192" s="72"/>
      <c r="TH192" s="72"/>
    </row>
    <row r="193" spans="1:528" s="69" customFormat="1" ht="9" customHeight="1">
      <c r="A193" s="1"/>
      <c r="B193" s="1"/>
      <c r="C193" s="1"/>
      <c r="D193" s="1"/>
      <c r="E193" s="1"/>
      <c r="F193" s="1"/>
      <c r="G193" s="1"/>
      <c r="H193" s="1"/>
      <c r="I193" s="1"/>
      <c r="J193" s="1"/>
      <c r="K193" s="1"/>
      <c r="L193" s="1"/>
      <c r="M193" s="1"/>
      <c r="N193" s="1"/>
      <c r="O193" s="1"/>
      <c r="P193" s="1"/>
      <c r="X193" s="358"/>
      <c r="Y193" s="358"/>
      <c r="Z193" s="358"/>
      <c r="AA193" s="358"/>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358"/>
      <c r="AY193" s="358"/>
      <c r="AZ193" s="358"/>
      <c r="BA193" s="358"/>
      <c r="BB193" s="358"/>
      <c r="BC193" s="358"/>
      <c r="BD193" s="358"/>
      <c r="BE193" s="358"/>
      <c r="BF193" s="358"/>
      <c r="BG193" s="358"/>
      <c r="BH193" s="358"/>
      <c r="BI193" s="358"/>
      <c r="BJ193" s="358"/>
      <c r="BK193" s="358"/>
      <c r="BL193" s="358"/>
      <c r="BM193" s="358"/>
      <c r="BN193" s="358"/>
      <c r="BO193" s="358"/>
      <c r="BP193" s="358"/>
      <c r="BQ193" s="358"/>
      <c r="BR193" s="358"/>
      <c r="BS193" s="358"/>
      <c r="BT193" s="358"/>
      <c r="BU193" s="358"/>
      <c r="BV193" s="358"/>
      <c r="BW193" s="358"/>
      <c r="BX193" s="358"/>
      <c r="BY193" s="358"/>
      <c r="BZ193" s="358"/>
      <c r="CA193" s="358"/>
      <c r="CB193" s="358"/>
      <c r="CC193" s="358"/>
      <c r="CD193" s="358"/>
      <c r="CE193" s="358"/>
      <c r="CF193" s="358"/>
      <c r="CG193" s="358"/>
      <c r="CH193" s="358"/>
      <c r="CI193" s="358"/>
      <c r="CJ193" s="358"/>
      <c r="CK193" s="358"/>
      <c r="CL193" s="358"/>
      <c r="CM193" s="358"/>
      <c r="CN193" s="358"/>
      <c r="CO193" s="358"/>
      <c r="CP193" s="358"/>
      <c r="CQ193" s="358"/>
      <c r="CR193" s="358"/>
      <c r="CS193" s="358"/>
      <c r="CT193" s="358"/>
      <c r="CU193" s="358"/>
      <c r="CV193" s="358"/>
      <c r="CW193" s="358"/>
      <c r="CX193" s="358"/>
      <c r="CY193" s="358"/>
      <c r="CZ193" s="358"/>
      <c r="DA193" s="358"/>
      <c r="DB193" s="358"/>
      <c r="DC193" s="358"/>
      <c r="DD193" s="358"/>
      <c r="DE193" s="358"/>
      <c r="DF193" s="358"/>
      <c r="DG193" s="358"/>
      <c r="DH193" s="358"/>
      <c r="DI193" s="358"/>
      <c r="DJ193" s="358"/>
      <c r="DK193" s="358"/>
      <c r="DL193" s="358"/>
      <c r="DM193" s="358"/>
      <c r="DN193" s="358"/>
      <c r="DO193" s="358"/>
      <c r="DP193" s="358"/>
      <c r="DQ193" s="358"/>
      <c r="DR193" s="358"/>
      <c r="DS193" s="358"/>
      <c r="DT193" s="358"/>
      <c r="DU193" s="358"/>
      <c r="DV193" s="358"/>
      <c r="DW193" s="358"/>
      <c r="DX193" s="358"/>
      <c r="DY193" s="358"/>
      <c r="DZ193" s="358"/>
      <c r="EA193" s="358"/>
      <c r="EB193" s="358"/>
      <c r="EC193" s="358"/>
      <c r="ED193" s="358"/>
      <c r="EE193" s="358"/>
      <c r="EF193" s="358"/>
      <c r="EG193" s="358"/>
      <c r="EH193" s="358"/>
      <c r="EI193" s="358"/>
      <c r="EJ193" s="358"/>
      <c r="EK193" s="358"/>
      <c r="EL193" s="358"/>
      <c r="EM193" s="358"/>
      <c r="EN193" s="358"/>
      <c r="EO193" s="358"/>
      <c r="EP193" s="358"/>
      <c r="EQ193" s="358"/>
      <c r="ER193" s="358"/>
      <c r="ES193" s="358"/>
      <c r="ET193" s="358"/>
      <c r="EU193" s="358"/>
      <c r="EV193" s="358"/>
      <c r="EW193" s="358"/>
      <c r="EX193" s="358"/>
      <c r="EY193" s="358"/>
      <c r="EZ193" s="358"/>
      <c r="FA193" s="358"/>
      <c r="FB193" s="358"/>
      <c r="FC193" s="358"/>
      <c r="FD193" s="358"/>
      <c r="FE193" s="358"/>
      <c r="FF193" s="358"/>
      <c r="FG193" s="358"/>
      <c r="FH193" s="358"/>
      <c r="FI193" s="358"/>
      <c r="FJ193" s="358"/>
      <c r="FK193" s="358"/>
      <c r="FL193" s="358"/>
      <c r="FM193" s="358"/>
      <c r="FN193" s="358"/>
      <c r="FO193" s="358"/>
      <c r="FP193" s="358"/>
      <c r="FQ193" s="358"/>
      <c r="FR193" s="358"/>
      <c r="FS193" s="358"/>
      <c r="FT193" s="358"/>
      <c r="FU193" s="358"/>
      <c r="FV193" s="358"/>
      <c r="FW193" s="358"/>
      <c r="FX193" s="358"/>
      <c r="FY193" s="358"/>
      <c r="FZ193" s="358"/>
      <c r="GA193" s="358"/>
      <c r="GB193" s="358"/>
      <c r="GC193" s="358"/>
      <c r="GD193" s="358"/>
      <c r="GE193" s="358"/>
      <c r="GF193" s="358"/>
      <c r="GG193" s="358"/>
      <c r="GH193" s="358"/>
      <c r="GI193" s="358"/>
      <c r="GJ193" s="358"/>
      <c r="GK193" s="358"/>
      <c r="GL193" s="358"/>
      <c r="GM193" s="358"/>
      <c r="GN193" s="358"/>
      <c r="GO193" s="358"/>
      <c r="GP193" s="358"/>
      <c r="GQ193" s="358"/>
      <c r="GR193" s="358"/>
      <c r="GS193" s="358"/>
      <c r="GT193" s="358"/>
      <c r="GU193" s="358"/>
      <c r="GV193" s="358"/>
      <c r="GW193" s="358"/>
      <c r="GX193" s="358"/>
      <c r="GY193" s="358"/>
      <c r="GZ193" s="358"/>
      <c r="HA193" s="358"/>
      <c r="HB193" s="358"/>
      <c r="HC193" s="358"/>
      <c r="HD193" s="358"/>
      <c r="HE193" s="358"/>
      <c r="HF193" s="358"/>
      <c r="HG193" s="358"/>
      <c r="HH193" s="358"/>
      <c r="HI193" s="358"/>
      <c r="HJ193" s="358"/>
      <c r="HK193" s="358"/>
      <c r="HL193" s="358"/>
      <c r="HM193" s="358"/>
      <c r="HN193" s="358"/>
      <c r="HO193" s="358"/>
      <c r="HP193" s="358"/>
      <c r="HQ193" s="358"/>
      <c r="HR193" s="358"/>
      <c r="HS193" s="358"/>
      <c r="HT193" s="358"/>
      <c r="HU193" s="358"/>
      <c r="HV193" s="358"/>
      <c r="HW193" s="358"/>
      <c r="HX193" s="358"/>
      <c r="HY193" s="358"/>
      <c r="HZ193" s="358"/>
      <c r="IA193" s="358"/>
      <c r="IB193" s="358"/>
      <c r="IC193" s="358"/>
      <c r="ID193" s="358"/>
      <c r="IE193" s="358"/>
      <c r="IF193" s="358"/>
      <c r="IG193" s="358"/>
      <c r="IH193" s="358"/>
      <c r="II193" s="358"/>
      <c r="IJ193" s="358"/>
      <c r="IK193" s="358"/>
      <c r="IL193" s="358"/>
      <c r="IM193" s="358"/>
      <c r="IN193" s="358"/>
      <c r="IO193" s="358"/>
      <c r="IP193" s="358"/>
      <c r="IQ193" s="358"/>
      <c r="IR193" s="358"/>
      <c r="IS193" s="358"/>
      <c r="IT193" s="358"/>
      <c r="IU193" s="358"/>
      <c r="IV193" s="358"/>
      <c r="IW193" s="358"/>
      <c r="IX193" s="358"/>
      <c r="IY193" s="358"/>
      <c r="IZ193" s="358"/>
      <c r="JA193" s="358"/>
      <c r="JB193" s="358"/>
      <c r="JC193" s="358"/>
      <c r="JD193" s="358"/>
      <c r="JE193" s="358"/>
      <c r="JF193" s="358"/>
      <c r="JG193" s="358"/>
      <c r="JH193" s="358"/>
      <c r="JI193" s="358"/>
      <c r="JJ193" s="358"/>
      <c r="JK193" s="358"/>
      <c r="JL193" s="358"/>
      <c r="JM193" s="358"/>
      <c r="JN193" s="358"/>
      <c r="JO193" s="358"/>
      <c r="JP193" s="358"/>
      <c r="JQ193" s="358"/>
      <c r="JR193" s="358"/>
      <c r="JS193" s="358"/>
      <c r="JT193" s="358"/>
      <c r="JU193" s="358"/>
      <c r="JV193" s="358"/>
      <c r="JW193" s="358"/>
      <c r="JX193" s="358"/>
      <c r="JY193" s="358"/>
      <c r="JZ193" s="358"/>
      <c r="KA193" s="358"/>
      <c r="KB193" s="358"/>
      <c r="KC193" s="358"/>
      <c r="KD193" s="358"/>
      <c r="KE193" s="358"/>
      <c r="KF193" s="358"/>
      <c r="KG193" s="358"/>
      <c r="KH193" s="358"/>
      <c r="KI193" s="358"/>
      <c r="KJ193" s="358"/>
      <c r="KK193" s="358"/>
      <c r="KL193" s="358"/>
      <c r="KM193" s="358"/>
      <c r="KN193" s="358"/>
      <c r="KO193" s="358"/>
      <c r="KP193" s="358"/>
      <c r="KQ193" s="358"/>
      <c r="KR193" s="358"/>
      <c r="KS193" s="358"/>
      <c r="KT193" s="358"/>
      <c r="KU193" s="358"/>
      <c r="KV193" s="358"/>
      <c r="KW193" s="358"/>
      <c r="KX193" s="358"/>
      <c r="KY193" s="358"/>
      <c r="KZ193" s="358"/>
      <c r="LA193" s="358"/>
      <c r="LB193" s="358"/>
      <c r="LC193" s="358"/>
      <c r="LD193" s="358"/>
      <c r="LE193" s="358"/>
      <c r="LF193" s="1784"/>
      <c r="LG193" s="358"/>
      <c r="LH193" s="358"/>
      <c r="LI193" s="358"/>
      <c r="LJ193" s="358"/>
      <c r="LK193" s="1784"/>
      <c r="LL193" s="358"/>
      <c r="LM193" s="358"/>
      <c r="LN193" s="358"/>
      <c r="LO193" s="358"/>
      <c r="LP193" s="1784"/>
      <c r="LQ193" s="358"/>
      <c r="LR193" s="358"/>
      <c r="LS193" s="358"/>
      <c r="LT193" s="358"/>
      <c r="LU193" s="1784"/>
      <c r="LV193" s="1784"/>
      <c r="LW193" s="1784"/>
      <c r="LX193" s="1784"/>
      <c r="LY193" s="1784"/>
      <c r="LZ193" s="1784"/>
      <c r="MA193" s="1784"/>
      <c r="MB193" s="1784"/>
      <c r="MC193" s="1784"/>
      <c r="MD193" s="1784"/>
      <c r="ME193" s="1784"/>
      <c r="MF193" s="1784"/>
      <c r="MG193" s="1784"/>
      <c r="MH193" s="1784"/>
      <c r="MI193" s="1784"/>
      <c r="MJ193" s="1784"/>
      <c r="MK193" s="1784"/>
      <c r="ML193" s="1784"/>
      <c r="MM193" s="1784"/>
      <c r="MN193" s="1784"/>
      <c r="MO193" s="1784"/>
      <c r="MP193" s="1784"/>
      <c r="MQ193" s="358"/>
      <c r="MR193" s="358"/>
      <c r="MS193" s="358"/>
      <c r="MT193" s="358"/>
      <c r="MU193" s="358"/>
      <c r="MV193" s="358"/>
      <c r="MW193" s="1639"/>
      <c r="MX193" s="358"/>
      <c r="MY193" s="358"/>
      <c r="MZ193" s="358"/>
      <c r="NA193" s="358"/>
      <c r="NB193" s="358"/>
      <c r="NC193" s="358"/>
      <c r="ND193" s="358"/>
      <c r="NE193" s="358"/>
      <c r="NF193" s="358"/>
      <c r="NG193" s="358"/>
      <c r="NH193" s="358"/>
      <c r="NI193" s="358"/>
      <c r="NJ193" s="358"/>
      <c r="NK193" s="358"/>
      <c r="NL193" s="358"/>
      <c r="NM193" s="1639"/>
      <c r="NN193" s="1639"/>
      <c r="NO193" s="358"/>
      <c r="NP193" s="358"/>
      <c r="NQ193" s="358"/>
      <c r="NR193" s="358"/>
      <c r="NS193" s="358"/>
      <c r="NT193" s="358"/>
      <c r="NU193" s="358"/>
      <c r="NV193" s="358"/>
      <c r="NW193" s="358"/>
      <c r="NX193" s="358"/>
      <c r="NY193" s="358"/>
      <c r="NZ193" s="358"/>
      <c r="OA193" s="358"/>
      <c r="OB193" s="358"/>
      <c r="OC193" s="358"/>
      <c r="OD193" s="358"/>
      <c r="OE193" s="358"/>
      <c r="OF193" s="358"/>
      <c r="OG193" s="358"/>
      <c r="OH193" s="358"/>
      <c r="OI193" s="358"/>
      <c r="OJ193" s="358"/>
      <c r="OK193" s="358"/>
      <c r="OL193" s="358"/>
      <c r="OM193" s="358"/>
      <c r="ON193" s="358"/>
      <c r="OO193" s="358"/>
      <c r="OP193" s="358"/>
      <c r="OQ193" s="358"/>
      <c r="OR193" s="358"/>
      <c r="OS193" s="358"/>
      <c r="OT193" s="358"/>
      <c r="OU193" s="358"/>
      <c r="OV193" s="72"/>
      <c r="OW193" s="72"/>
      <c r="OX193" s="72"/>
      <c r="OY193" s="2499"/>
      <c r="OZ193" s="2504">
        <v>189</v>
      </c>
      <c r="PA193" s="72"/>
      <c r="PB193" s="72"/>
      <c r="PC193" s="72"/>
      <c r="PD193" s="72"/>
      <c r="PE193" s="72"/>
      <c r="PF193" s="72"/>
      <c r="PG193" s="72"/>
      <c r="PH193" s="72"/>
      <c r="PI193" s="72"/>
      <c r="PJ193" s="72"/>
      <c r="PK193" s="72"/>
      <c r="PL193" s="72"/>
      <c r="PM193" s="72"/>
      <c r="PN193" s="72"/>
      <c r="PO193" s="72"/>
      <c r="PP193" s="72"/>
      <c r="PQ193" s="72"/>
      <c r="PR193" s="72"/>
      <c r="PS193" s="72"/>
      <c r="PT193" s="72"/>
      <c r="PU193" s="72"/>
      <c r="PV193" s="72"/>
      <c r="PW193" s="72"/>
      <c r="PX193" s="72"/>
      <c r="PY193" s="72"/>
      <c r="PZ193" s="72"/>
      <c r="QA193" s="72"/>
      <c r="QB193" s="72"/>
      <c r="QC193" s="72"/>
      <c r="QD193" s="72"/>
      <c r="QE193" s="72"/>
      <c r="QF193" s="72"/>
      <c r="QG193" s="72"/>
      <c r="QH193" s="72"/>
      <c r="QI193" s="72"/>
      <c r="QJ193" s="72"/>
      <c r="QK193" s="72"/>
      <c r="QL193" s="72"/>
      <c r="QM193" s="72"/>
      <c r="QN193" s="72"/>
      <c r="QO193" s="72"/>
      <c r="QP193" s="72"/>
      <c r="QQ193" s="72"/>
      <c r="QR193" s="72"/>
      <c r="QS193" s="72"/>
      <c r="QT193" s="72"/>
      <c r="QU193" s="72"/>
      <c r="QV193" s="72"/>
      <c r="QW193" s="72"/>
      <c r="QX193" s="72"/>
      <c r="QY193" s="72"/>
      <c r="QZ193" s="72"/>
      <c r="RA193" s="72"/>
      <c r="RB193" s="72"/>
      <c r="RC193" s="72"/>
      <c r="RD193" s="72"/>
      <c r="RE193" s="72"/>
      <c r="RF193" s="72"/>
      <c r="RG193" s="72"/>
      <c r="RH193" s="72"/>
      <c r="RI193" s="72"/>
      <c r="RJ193" s="72"/>
      <c r="RK193" s="72"/>
      <c r="RL193" s="72"/>
      <c r="RM193" s="72"/>
      <c r="RN193" s="72"/>
      <c r="RO193" s="72"/>
      <c r="RP193" s="72"/>
      <c r="RQ193" s="72"/>
      <c r="RR193" s="72"/>
      <c r="RS193" s="72"/>
      <c r="RT193" s="72"/>
      <c r="RU193" s="72"/>
      <c r="RV193" s="72"/>
      <c r="RW193" s="72"/>
      <c r="RX193" s="72"/>
      <c r="RY193" s="72"/>
      <c r="RZ193" s="72"/>
      <c r="SA193" s="72"/>
      <c r="SB193" s="72"/>
      <c r="SC193" s="72"/>
      <c r="SD193" s="72"/>
      <c r="SE193" s="72"/>
      <c r="SF193" s="72"/>
      <c r="SG193" s="72"/>
      <c r="SH193" s="72"/>
      <c r="SI193" s="72"/>
      <c r="SJ193" s="72"/>
      <c r="SK193" s="72"/>
      <c r="SL193" s="72"/>
      <c r="SM193" s="72"/>
      <c r="SN193" s="72"/>
      <c r="SO193" s="72"/>
      <c r="SP193" s="72"/>
      <c r="SQ193" s="72"/>
      <c r="SR193" s="72"/>
      <c r="SS193" s="72"/>
      <c r="ST193" s="72"/>
      <c r="SU193" s="72"/>
      <c r="SV193" s="72"/>
      <c r="SW193" s="72"/>
      <c r="SX193" s="72"/>
      <c r="SY193" s="72"/>
      <c r="SZ193" s="72"/>
      <c r="TA193" s="72"/>
      <c r="TB193" s="72"/>
      <c r="TC193" s="72"/>
      <c r="TD193" s="72"/>
      <c r="TE193" s="72"/>
      <c r="TF193" s="72"/>
      <c r="TG193" s="72"/>
      <c r="TH193" s="72"/>
    </row>
    <row r="194" spans="1:528" s="69" customFormat="1" ht="14.1" customHeight="1">
      <c r="A194" s="10" t="s">
        <v>690</v>
      </c>
      <c r="B194" s="10" t="s">
        <v>4534</v>
      </c>
      <c r="C194" s="1"/>
      <c r="D194" s="1"/>
      <c r="E194" s="1"/>
      <c r="F194" s="1"/>
      <c r="G194" s="1"/>
      <c r="H194" s="1"/>
      <c r="I194" s="1"/>
      <c r="J194" s="1"/>
      <c r="K194" s="1"/>
      <c r="L194" s="1"/>
      <c r="M194" s="1"/>
      <c r="N194" s="1"/>
      <c r="O194" s="1"/>
      <c r="P194" s="1"/>
      <c r="X194" s="358"/>
      <c r="Y194" s="358"/>
      <c r="Z194" s="358"/>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358"/>
      <c r="AY194" s="358"/>
      <c r="AZ194" s="358"/>
      <c r="BA194" s="358"/>
      <c r="BB194" s="358"/>
      <c r="BC194" s="358"/>
      <c r="BD194" s="358"/>
      <c r="BE194" s="358"/>
      <c r="BF194" s="358"/>
      <c r="BG194" s="358"/>
      <c r="BH194" s="358"/>
      <c r="BI194" s="358"/>
      <c r="BJ194" s="358"/>
      <c r="BK194" s="358"/>
      <c r="BL194" s="358"/>
      <c r="BM194" s="358"/>
      <c r="BN194" s="358"/>
      <c r="BO194" s="358"/>
      <c r="BP194" s="358"/>
      <c r="BQ194" s="358"/>
      <c r="BR194" s="358"/>
      <c r="BS194" s="358"/>
      <c r="BT194" s="358"/>
      <c r="BU194" s="358"/>
      <c r="BV194" s="358"/>
      <c r="BW194" s="358"/>
      <c r="BX194" s="358"/>
      <c r="BY194" s="358"/>
      <c r="BZ194" s="358"/>
      <c r="CA194" s="358"/>
      <c r="CB194" s="358"/>
      <c r="CC194" s="358"/>
      <c r="CD194" s="358"/>
      <c r="CE194" s="358"/>
      <c r="CF194" s="358"/>
      <c r="CG194" s="358"/>
      <c r="CH194" s="358"/>
      <c r="CI194" s="358"/>
      <c r="CJ194" s="358"/>
      <c r="CK194" s="358"/>
      <c r="CL194" s="358"/>
      <c r="CM194" s="358"/>
      <c r="CN194" s="358"/>
      <c r="CO194" s="358"/>
      <c r="CP194" s="358"/>
      <c r="CQ194" s="358"/>
      <c r="CR194" s="358"/>
      <c r="CS194" s="358"/>
      <c r="CT194" s="358"/>
      <c r="CU194" s="358"/>
      <c r="CV194" s="358"/>
      <c r="CW194" s="358"/>
      <c r="CX194" s="358"/>
      <c r="CY194" s="358"/>
      <c r="CZ194" s="358"/>
      <c r="DA194" s="358"/>
      <c r="DB194" s="358"/>
      <c r="DC194" s="358"/>
      <c r="DD194" s="358"/>
      <c r="DE194" s="358"/>
      <c r="DF194" s="358"/>
      <c r="DG194" s="358"/>
      <c r="DH194" s="358"/>
      <c r="DI194" s="358"/>
      <c r="DJ194" s="358"/>
      <c r="DK194" s="358"/>
      <c r="DL194" s="358"/>
      <c r="DM194" s="358"/>
      <c r="DN194" s="358"/>
      <c r="DO194" s="358"/>
      <c r="DP194" s="358"/>
      <c r="DQ194" s="358"/>
      <c r="DR194" s="358"/>
      <c r="DS194" s="358"/>
      <c r="DT194" s="358"/>
      <c r="DU194" s="358"/>
      <c r="DV194" s="358"/>
      <c r="DW194" s="358"/>
      <c r="DX194" s="358"/>
      <c r="DY194" s="358"/>
      <c r="DZ194" s="358"/>
      <c r="EA194" s="358"/>
      <c r="EB194" s="358"/>
      <c r="EC194" s="358"/>
      <c r="ED194" s="358"/>
      <c r="EE194" s="358"/>
      <c r="EF194" s="358"/>
      <c r="EG194" s="358"/>
      <c r="EH194" s="358"/>
      <c r="EI194" s="358"/>
      <c r="EJ194" s="358"/>
      <c r="EK194" s="358"/>
      <c r="EL194" s="358"/>
      <c r="EM194" s="358"/>
      <c r="EN194" s="358"/>
      <c r="EO194" s="358"/>
      <c r="EP194" s="358"/>
      <c r="EQ194" s="358"/>
      <c r="ER194" s="358"/>
      <c r="ES194" s="358"/>
      <c r="ET194" s="358"/>
      <c r="EU194" s="358"/>
      <c r="EV194" s="358"/>
      <c r="EW194" s="358"/>
      <c r="EX194" s="358"/>
      <c r="EY194" s="358"/>
      <c r="EZ194" s="358"/>
      <c r="FA194" s="358"/>
      <c r="FB194" s="358"/>
      <c r="FC194" s="358"/>
      <c r="FD194" s="358"/>
      <c r="FE194" s="358"/>
      <c r="FF194" s="358"/>
      <c r="FG194" s="358"/>
      <c r="FH194" s="358"/>
      <c r="FI194" s="358"/>
      <c r="FJ194" s="358"/>
      <c r="FK194" s="358"/>
      <c r="FL194" s="358"/>
      <c r="FM194" s="358"/>
      <c r="FN194" s="358"/>
      <c r="FO194" s="358"/>
      <c r="FP194" s="358"/>
      <c r="FQ194" s="358"/>
      <c r="FR194" s="358"/>
      <c r="FS194" s="358"/>
      <c r="FT194" s="358"/>
      <c r="FU194" s="358"/>
      <c r="FV194" s="358"/>
      <c r="FW194" s="358"/>
      <c r="FX194" s="358"/>
      <c r="FY194" s="358"/>
      <c r="FZ194" s="358"/>
      <c r="GA194" s="358"/>
      <c r="GB194" s="358"/>
      <c r="GC194" s="358"/>
      <c r="GD194" s="358"/>
      <c r="GE194" s="358"/>
      <c r="GF194" s="358"/>
      <c r="GG194" s="358"/>
      <c r="GH194" s="358"/>
      <c r="GI194" s="358"/>
      <c r="GJ194" s="358"/>
      <c r="GK194" s="358"/>
      <c r="GL194" s="358"/>
      <c r="GM194" s="358"/>
      <c r="GN194" s="358"/>
      <c r="GO194" s="358"/>
      <c r="GP194" s="358"/>
      <c r="GQ194" s="358"/>
      <c r="GR194" s="358"/>
      <c r="GS194" s="358"/>
      <c r="GT194" s="358"/>
      <c r="GU194" s="358"/>
      <c r="GV194" s="358"/>
      <c r="GW194" s="358"/>
      <c r="GX194" s="358"/>
      <c r="GY194" s="358"/>
      <c r="GZ194" s="358"/>
      <c r="HA194" s="358"/>
      <c r="HB194" s="358"/>
      <c r="HC194" s="358"/>
      <c r="HD194" s="358"/>
      <c r="HE194" s="358"/>
      <c r="HF194" s="358"/>
      <c r="HG194" s="358"/>
      <c r="HH194" s="358"/>
      <c r="HI194" s="358"/>
      <c r="HJ194" s="358"/>
      <c r="HK194" s="358"/>
      <c r="HL194" s="358"/>
      <c r="HM194" s="358"/>
      <c r="HN194" s="358"/>
      <c r="HO194" s="358"/>
      <c r="HP194" s="358"/>
      <c r="HQ194" s="358"/>
      <c r="HR194" s="358"/>
      <c r="HS194" s="358"/>
      <c r="HT194" s="358"/>
      <c r="HU194" s="358"/>
      <c r="HV194" s="358"/>
      <c r="HW194" s="358"/>
      <c r="HX194" s="358"/>
      <c r="HY194" s="358"/>
      <c r="HZ194" s="358"/>
      <c r="IA194" s="358"/>
      <c r="IB194" s="358"/>
      <c r="IC194" s="358"/>
      <c r="ID194" s="358"/>
      <c r="IE194" s="358"/>
      <c r="IF194" s="358"/>
      <c r="IG194" s="358"/>
      <c r="IH194" s="358"/>
      <c r="II194" s="358"/>
      <c r="IJ194" s="358"/>
      <c r="IK194" s="358"/>
      <c r="IL194" s="358"/>
      <c r="IM194" s="358"/>
      <c r="IN194" s="358"/>
      <c r="IO194" s="358"/>
      <c r="IP194" s="358"/>
      <c r="IQ194" s="358"/>
      <c r="IR194" s="358"/>
      <c r="IS194" s="358"/>
      <c r="IT194" s="358"/>
      <c r="IU194" s="358"/>
      <c r="IV194" s="358"/>
      <c r="IW194" s="358"/>
      <c r="IX194" s="358"/>
      <c r="IY194" s="358"/>
      <c r="IZ194" s="358"/>
      <c r="JA194" s="358"/>
      <c r="JB194" s="358"/>
      <c r="JC194" s="358"/>
      <c r="JD194" s="358"/>
      <c r="JE194" s="358"/>
      <c r="JF194" s="358"/>
      <c r="JG194" s="358"/>
      <c r="JH194" s="358"/>
      <c r="JI194" s="358"/>
      <c r="JJ194" s="358"/>
      <c r="JK194" s="358"/>
      <c r="JL194" s="358"/>
      <c r="JM194" s="358"/>
      <c r="JN194" s="358"/>
      <c r="JO194" s="358"/>
      <c r="JP194" s="358"/>
      <c r="JQ194" s="358"/>
      <c r="JR194" s="358"/>
      <c r="JS194" s="358"/>
      <c r="JT194" s="358"/>
      <c r="JU194" s="358"/>
      <c r="JV194" s="358"/>
      <c r="JW194" s="358"/>
      <c r="JX194" s="358"/>
      <c r="JY194" s="358"/>
      <c r="JZ194" s="358"/>
      <c r="KA194" s="358"/>
      <c r="KB194" s="358"/>
      <c r="KC194" s="358"/>
      <c r="KD194" s="358"/>
      <c r="KE194" s="358"/>
      <c r="KF194" s="358"/>
      <c r="KG194" s="358"/>
      <c r="KH194" s="358"/>
      <c r="KI194" s="358"/>
      <c r="KJ194" s="358"/>
      <c r="KK194" s="358"/>
      <c r="KL194" s="358"/>
      <c r="KM194" s="358"/>
      <c r="KN194" s="358"/>
      <c r="KO194" s="358"/>
      <c r="KP194" s="358"/>
      <c r="KQ194" s="358"/>
      <c r="KR194" s="358"/>
      <c r="KS194" s="358"/>
      <c r="KT194" s="358"/>
      <c r="KU194" s="358"/>
      <c r="KV194" s="358"/>
      <c r="KW194" s="358"/>
      <c r="KX194" s="358"/>
      <c r="KY194" s="358"/>
      <c r="KZ194" s="358"/>
      <c r="LA194" s="358"/>
      <c r="LB194" s="358"/>
      <c r="LC194" s="358"/>
      <c r="LD194" s="358"/>
      <c r="LE194" s="358"/>
      <c r="LF194" s="1784"/>
      <c r="LG194" s="358"/>
      <c r="LH194" s="358"/>
      <c r="LI194" s="358"/>
      <c r="LJ194" s="358"/>
      <c r="LK194" s="1784"/>
      <c r="LL194" s="358"/>
      <c r="LM194" s="358"/>
      <c r="LN194" s="358"/>
      <c r="LO194" s="358"/>
      <c r="LP194" s="1784"/>
      <c r="LQ194" s="358"/>
      <c r="LR194" s="358"/>
      <c r="LS194" s="358"/>
      <c r="LT194" s="358"/>
      <c r="LU194" s="1784"/>
      <c r="LV194" s="1784"/>
      <c r="LW194" s="1784"/>
      <c r="LX194" s="1784"/>
      <c r="LY194" s="1784"/>
      <c r="LZ194" s="1784"/>
      <c r="MA194" s="1784"/>
      <c r="MB194" s="1784"/>
      <c r="MC194" s="1784"/>
      <c r="MD194" s="1784"/>
      <c r="ME194" s="1784"/>
      <c r="MF194" s="1784"/>
      <c r="MG194" s="1784"/>
      <c r="MH194" s="1784"/>
      <c r="MI194" s="1784"/>
      <c r="MJ194" s="1784"/>
      <c r="MK194" s="1784"/>
      <c r="ML194" s="1784"/>
      <c r="MM194" s="1784"/>
      <c r="MN194" s="1784"/>
      <c r="MO194" s="1784"/>
      <c r="MP194" s="1784"/>
      <c r="MQ194" s="358"/>
      <c r="MR194" s="358"/>
      <c r="MS194" s="358"/>
      <c r="MT194" s="358"/>
      <c r="MU194" s="358"/>
      <c r="MV194" s="358"/>
      <c r="MW194" s="1639"/>
      <c r="MX194" s="358"/>
      <c r="MY194" s="358"/>
      <c r="MZ194" s="358"/>
      <c r="NA194" s="358"/>
      <c r="NB194" s="358"/>
      <c r="NC194" s="358"/>
      <c r="ND194" s="358"/>
      <c r="NE194" s="358"/>
      <c r="NF194" s="358"/>
      <c r="NG194" s="358"/>
      <c r="NH194" s="358"/>
      <c r="NI194" s="358"/>
      <c r="NJ194" s="358"/>
      <c r="NK194" s="358"/>
      <c r="NL194" s="358"/>
      <c r="NM194" s="1639"/>
      <c r="NN194" s="1639"/>
      <c r="NO194" s="358"/>
      <c r="NP194" s="358"/>
      <c r="NQ194" s="358"/>
      <c r="NR194" s="358"/>
      <c r="NS194" s="358"/>
      <c r="NT194" s="358"/>
      <c r="NU194" s="358"/>
      <c r="NV194" s="358"/>
      <c r="NW194" s="358"/>
      <c r="NX194" s="358"/>
      <c r="NY194" s="358"/>
      <c r="NZ194" s="358"/>
      <c r="OA194" s="358"/>
      <c r="OB194" s="358"/>
      <c r="OC194" s="358"/>
      <c r="OD194" s="358"/>
      <c r="OE194" s="358"/>
      <c r="OF194" s="358"/>
      <c r="OG194" s="358"/>
      <c r="OH194" s="358"/>
      <c r="OI194" s="358"/>
      <c r="OJ194" s="358"/>
      <c r="OK194" s="358"/>
      <c r="OL194" s="358"/>
      <c r="OM194" s="358"/>
      <c r="ON194" s="358"/>
      <c r="OO194" s="358"/>
      <c r="OP194" s="358"/>
      <c r="OQ194" s="358"/>
      <c r="OR194" s="358"/>
      <c r="OS194" s="358"/>
      <c r="OT194" s="358"/>
      <c r="OU194" s="358"/>
      <c r="OV194" s="72"/>
      <c r="OW194" s="72"/>
      <c r="OX194" s="72"/>
      <c r="OY194" s="2499"/>
      <c r="OZ194" s="2504">
        <v>190</v>
      </c>
      <c r="PA194" s="72"/>
      <c r="PB194" s="72"/>
      <c r="PC194" s="72"/>
      <c r="PD194" s="72"/>
      <c r="PE194" s="72"/>
      <c r="PF194" s="72"/>
      <c r="PG194" s="72"/>
      <c r="PH194" s="72"/>
      <c r="PI194" s="72"/>
      <c r="PJ194" s="72"/>
      <c r="PK194" s="72"/>
      <c r="PL194" s="72"/>
      <c r="PM194" s="72"/>
      <c r="PN194" s="72"/>
      <c r="PO194" s="72"/>
      <c r="PP194" s="72"/>
      <c r="PQ194" s="72"/>
      <c r="PR194" s="72"/>
      <c r="PS194" s="72"/>
      <c r="PT194" s="72"/>
      <c r="PU194" s="72"/>
      <c r="PV194" s="72"/>
      <c r="PW194" s="72"/>
      <c r="PX194" s="72"/>
      <c r="PY194" s="72"/>
      <c r="PZ194" s="72"/>
      <c r="QA194" s="72"/>
      <c r="QB194" s="72"/>
      <c r="QC194" s="72"/>
      <c r="QD194" s="72"/>
      <c r="QE194" s="72"/>
      <c r="QF194" s="72"/>
      <c r="QG194" s="72"/>
      <c r="QH194" s="72"/>
      <c r="QI194" s="72"/>
      <c r="QJ194" s="72"/>
      <c r="QK194" s="72"/>
      <c r="QL194" s="72"/>
      <c r="QM194" s="72"/>
      <c r="QN194" s="72"/>
      <c r="QO194" s="72"/>
      <c r="QP194" s="72"/>
      <c r="QQ194" s="72"/>
      <c r="QR194" s="72"/>
      <c r="QS194" s="72"/>
      <c r="QT194" s="72"/>
      <c r="QU194" s="72"/>
      <c r="QV194" s="72"/>
      <c r="QW194" s="72"/>
      <c r="QX194" s="72"/>
      <c r="QY194" s="72"/>
      <c r="QZ194" s="72"/>
      <c r="RA194" s="72"/>
      <c r="RB194" s="72"/>
      <c r="RC194" s="72"/>
      <c r="RD194" s="72"/>
      <c r="RE194" s="72"/>
      <c r="RF194" s="72"/>
      <c r="RG194" s="72"/>
      <c r="RH194" s="72"/>
      <c r="RI194" s="72"/>
      <c r="RJ194" s="72"/>
      <c r="RK194" s="72"/>
      <c r="RL194" s="72"/>
      <c r="RM194" s="72"/>
      <c r="RN194" s="72"/>
      <c r="RO194" s="72"/>
      <c r="RP194" s="72"/>
      <c r="RQ194" s="72"/>
      <c r="RR194" s="72"/>
      <c r="RS194" s="72"/>
      <c r="RT194" s="72"/>
      <c r="RU194" s="72"/>
      <c r="RV194" s="72"/>
      <c r="RW194" s="72"/>
      <c r="RX194" s="72"/>
      <c r="RY194" s="72"/>
      <c r="RZ194" s="72"/>
      <c r="SA194" s="72"/>
      <c r="SB194" s="72"/>
      <c r="SC194" s="72"/>
      <c r="SD194" s="72"/>
      <c r="SE194" s="72"/>
      <c r="SF194" s="72"/>
      <c r="SG194" s="72"/>
      <c r="SH194" s="72"/>
      <c r="SI194" s="72"/>
      <c r="SJ194" s="72"/>
      <c r="SK194" s="72"/>
      <c r="SL194" s="72"/>
      <c r="SM194" s="72"/>
      <c r="SN194" s="72"/>
      <c r="SO194" s="72"/>
      <c r="SP194" s="72"/>
      <c r="SQ194" s="72"/>
      <c r="SR194" s="72"/>
      <c r="SS194" s="72"/>
      <c r="ST194" s="72"/>
      <c r="SU194" s="72"/>
      <c r="SV194" s="72"/>
      <c r="SW194" s="72"/>
      <c r="SX194" s="72"/>
      <c r="SY194" s="72"/>
      <c r="SZ194" s="72"/>
      <c r="TA194" s="72"/>
      <c r="TB194" s="72"/>
      <c r="TC194" s="72"/>
      <c r="TD194" s="72"/>
      <c r="TE194" s="72"/>
      <c r="TF194" s="72"/>
      <c r="TG194" s="72"/>
      <c r="TH194" s="72"/>
    </row>
    <row r="195" spans="1:528" s="144" customFormat="1" ht="13.5" customHeight="1">
      <c r="A195" s="374"/>
      <c r="C195" s="10" t="s">
        <v>5101</v>
      </c>
      <c r="I195" s="72" t="s">
        <v>5090</v>
      </c>
      <c r="K195" s="3297"/>
      <c r="L195" s="3298"/>
      <c r="X195" s="1711"/>
      <c r="Y195" s="1711"/>
      <c r="Z195" s="1524">
        <v>68</v>
      </c>
      <c r="AA195" s="1711"/>
      <c r="AB195" s="1711"/>
      <c r="AC195" s="1711"/>
      <c r="AD195" s="1711"/>
      <c r="AE195" s="1711"/>
      <c r="AF195" s="1711"/>
      <c r="AG195" s="1711"/>
      <c r="AH195" s="1711"/>
      <c r="AI195" s="1711"/>
      <c r="AJ195" s="1711"/>
      <c r="AK195" s="1711"/>
      <c r="AL195" s="1711"/>
      <c r="AM195" s="1711"/>
      <c r="AN195" s="1711"/>
      <c r="AO195" s="1711"/>
      <c r="AP195" s="1711"/>
      <c r="AQ195" s="1711"/>
      <c r="AR195" s="1711"/>
      <c r="AS195" s="1711"/>
      <c r="AT195" s="1711"/>
      <c r="AU195" s="1711"/>
      <c r="AV195" s="1711"/>
      <c r="AW195" s="1711"/>
      <c r="AX195" s="1711"/>
      <c r="AY195" s="1711"/>
      <c r="AZ195" s="1711"/>
      <c r="BA195" s="1711"/>
      <c r="BB195" s="1711"/>
      <c r="BC195" s="1711"/>
      <c r="BD195" s="1711"/>
      <c r="BE195" s="1711"/>
      <c r="BF195" s="1711"/>
      <c r="BG195" s="1711"/>
      <c r="BH195" s="1711"/>
      <c r="BI195" s="1711"/>
      <c r="BJ195" s="1711"/>
      <c r="BK195" s="1711"/>
      <c r="BL195" s="1711"/>
      <c r="BM195" s="1711"/>
      <c r="BN195" s="1711"/>
      <c r="BO195" s="1711"/>
      <c r="BP195" s="1711"/>
      <c r="BQ195" s="1711"/>
      <c r="BR195" s="1711"/>
      <c r="BS195" s="1711"/>
      <c r="BT195" s="1711"/>
      <c r="BU195" s="1711"/>
      <c r="BV195" s="1711"/>
      <c r="BW195" s="1711"/>
      <c r="BX195" s="1711"/>
      <c r="BY195" s="1711"/>
      <c r="BZ195" s="1711"/>
      <c r="CA195" s="1711"/>
      <c r="CB195" s="1711"/>
      <c r="CC195" s="1711"/>
      <c r="CD195" s="1711"/>
      <c r="CE195" s="1711"/>
      <c r="CF195" s="1711"/>
      <c r="CG195" s="1711"/>
      <c r="CH195" s="1711"/>
      <c r="CI195" s="1711"/>
      <c r="CJ195" s="1711"/>
      <c r="CK195" s="1711"/>
      <c r="CL195" s="1711"/>
      <c r="CM195" s="1711"/>
      <c r="CN195" s="1711"/>
      <c r="CO195" s="1711"/>
      <c r="CP195" s="1711"/>
      <c r="CQ195" s="1711"/>
      <c r="CR195" s="1711"/>
      <c r="CS195" s="1711"/>
      <c r="CT195" s="1711"/>
      <c r="CU195" s="1711"/>
      <c r="CV195" s="1711"/>
      <c r="CW195" s="1711"/>
      <c r="CX195" s="1711"/>
      <c r="CY195" s="1711"/>
      <c r="CZ195" s="1711"/>
      <c r="DA195" s="1711"/>
      <c r="DB195" s="1711"/>
      <c r="DC195" s="1711"/>
      <c r="DD195" s="1711"/>
      <c r="DE195" s="1711"/>
      <c r="DF195" s="1711"/>
      <c r="DG195" s="1711"/>
      <c r="DH195" s="1711"/>
      <c r="DI195" s="1711"/>
      <c r="DJ195" s="1711"/>
      <c r="DK195" s="1711"/>
      <c r="DL195" s="1711"/>
      <c r="DM195" s="1711"/>
      <c r="DN195" s="1711"/>
      <c r="DO195" s="1711"/>
      <c r="DP195" s="1711"/>
      <c r="DQ195" s="1711"/>
      <c r="DR195" s="1711"/>
      <c r="DS195" s="1711"/>
      <c r="DT195" s="1711"/>
      <c r="DU195" s="1711"/>
      <c r="DV195" s="1711"/>
      <c r="DW195" s="1711"/>
      <c r="DX195" s="1711"/>
      <c r="DY195" s="1711"/>
      <c r="DZ195" s="1711"/>
      <c r="EA195" s="1711"/>
      <c r="EB195" s="1711"/>
      <c r="EC195" s="1711"/>
      <c r="ED195" s="1711"/>
      <c r="EE195" s="1711"/>
      <c r="EF195" s="1711"/>
      <c r="EG195" s="1711"/>
      <c r="EH195" s="1711"/>
      <c r="EI195" s="1711"/>
      <c r="EJ195" s="1711"/>
      <c r="EK195" s="1711"/>
      <c r="EL195" s="1711"/>
      <c r="EM195" s="1711"/>
      <c r="EN195" s="1711"/>
      <c r="EO195" s="1711"/>
      <c r="EP195" s="1711"/>
      <c r="EQ195" s="1711"/>
      <c r="ER195" s="1711"/>
      <c r="ES195" s="1711"/>
      <c r="ET195" s="1711"/>
      <c r="EU195" s="1711"/>
      <c r="EV195" s="1711"/>
      <c r="EW195" s="1711"/>
      <c r="EX195" s="1711"/>
      <c r="EY195" s="1711"/>
      <c r="EZ195" s="1711"/>
      <c r="FA195" s="1711"/>
      <c r="FB195" s="1711"/>
      <c r="FC195" s="1711"/>
      <c r="FD195" s="1711"/>
      <c r="FE195" s="1711"/>
      <c r="FF195" s="1711"/>
      <c r="FG195" s="1711"/>
      <c r="FH195" s="1711"/>
      <c r="FI195" s="1711"/>
      <c r="FJ195" s="1711"/>
      <c r="FK195" s="1711"/>
      <c r="FL195" s="1711"/>
      <c r="FM195" s="1711"/>
      <c r="FN195" s="1711"/>
      <c r="FO195" s="1711"/>
      <c r="FP195" s="1711"/>
      <c r="FQ195" s="1711"/>
      <c r="FR195" s="1711"/>
      <c r="FS195" s="1711"/>
      <c r="FT195" s="1711"/>
      <c r="FU195" s="1711"/>
      <c r="FV195" s="1711"/>
      <c r="FW195" s="1711"/>
      <c r="FX195" s="1711"/>
      <c r="FY195" s="1711"/>
      <c r="FZ195" s="1711"/>
      <c r="GA195" s="1711"/>
      <c r="GB195" s="1711"/>
      <c r="GC195" s="1711"/>
      <c r="GD195" s="1711"/>
      <c r="GE195" s="1711"/>
      <c r="GF195" s="1711"/>
      <c r="GG195" s="1711"/>
      <c r="GH195" s="1711"/>
      <c r="GI195" s="1711"/>
      <c r="GJ195" s="1711"/>
      <c r="GK195" s="1711"/>
      <c r="GL195" s="1711"/>
      <c r="GM195" s="1711"/>
      <c r="GN195" s="1711"/>
      <c r="GO195" s="1711"/>
      <c r="GP195" s="1711"/>
      <c r="GQ195" s="1711"/>
      <c r="GR195" s="1711"/>
      <c r="GS195" s="1711"/>
      <c r="GT195" s="1711"/>
      <c r="GU195" s="1711"/>
      <c r="GV195" s="1711"/>
      <c r="GW195" s="1711"/>
      <c r="GX195" s="1711"/>
      <c r="GY195" s="1711"/>
      <c r="GZ195" s="1711"/>
      <c r="HA195" s="1711"/>
      <c r="HB195" s="1711"/>
      <c r="HC195" s="1711"/>
      <c r="HD195" s="1711"/>
      <c r="HE195" s="1711"/>
      <c r="HF195" s="1711"/>
      <c r="HG195" s="1711"/>
      <c r="HH195" s="1711"/>
      <c r="HI195" s="1711"/>
      <c r="HJ195" s="1711"/>
      <c r="HK195" s="1711"/>
      <c r="HL195" s="1711"/>
      <c r="HM195" s="1711"/>
      <c r="HN195" s="1711"/>
      <c r="HO195" s="1711"/>
      <c r="HP195" s="1711"/>
      <c r="HQ195" s="1711"/>
      <c r="HR195" s="1711"/>
      <c r="HS195" s="1711"/>
      <c r="HT195" s="1711"/>
      <c r="HU195" s="1711"/>
      <c r="HV195" s="1711"/>
      <c r="HW195" s="1711"/>
      <c r="HX195" s="1711"/>
      <c r="HY195" s="1711"/>
      <c r="HZ195" s="1711"/>
      <c r="IA195" s="1711"/>
      <c r="IB195" s="1711"/>
      <c r="IC195" s="1711"/>
      <c r="ID195" s="1711"/>
      <c r="IE195" s="1711"/>
      <c r="IF195" s="1711"/>
      <c r="IG195" s="1711"/>
      <c r="IH195" s="1711"/>
      <c r="II195" s="1711"/>
      <c r="IJ195" s="1711"/>
      <c r="IK195" s="1711"/>
      <c r="IL195" s="1711"/>
      <c r="IM195" s="1711"/>
      <c r="IN195" s="1711"/>
      <c r="IO195" s="1711"/>
      <c r="IP195" s="1711"/>
      <c r="IQ195" s="1711"/>
      <c r="IR195" s="1711"/>
      <c r="IS195" s="1711"/>
      <c r="IT195" s="1711"/>
      <c r="IU195" s="1711"/>
      <c r="IV195" s="1711"/>
      <c r="IW195" s="1711"/>
      <c r="IX195" s="1711"/>
      <c r="IY195" s="1711"/>
      <c r="IZ195" s="1711"/>
      <c r="JA195" s="1711"/>
      <c r="JB195" s="1711"/>
      <c r="JC195" s="1711"/>
      <c r="JD195" s="1711"/>
      <c r="JE195" s="1711"/>
      <c r="JF195" s="1711"/>
      <c r="JG195" s="1711"/>
      <c r="JH195" s="1711"/>
      <c r="JI195" s="1711"/>
      <c r="JJ195" s="1711"/>
      <c r="JK195" s="1711"/>
      <c r="JL195" s="1711"/>
      <c r="JM195" s="1711"/>
      <c r="JN195" s="1711"/>
      <c r="JO195" s="1711"/>
      <c r="JP195" s="1711"/>
      <c r="JQ195" s="1711"/>
      <c r="JR195" s="1711"/>
      <c r="JS195" s="1711"/>
      <c r="JT195" s="1711"/>
      <c r="JU195" s="1711"/>
      <c r="JV195" s="1711"/>
      <c r="JW195" s="1711"/>
      <c r="JX195" s="1711"/>
      <c r="JY195" s="1711"/>
      <c r="JZ195" s="1711"/>
      <c r="KA195" s="1711"/>
      <c r="KB195" s="1711"/>
      <c r="KC195" s="1711"/>
      <c r="KD195" s="1711"/>
      <c r="KE195" s="1711"/>
      <c r="KF195" s="1711"/>
      <c r="KG195" s="1711"/>
      <c r="KH195" s="1711"/>
      <c r="KI195" s="1711"/>
      <c r="KJ195" s="1711"/>
      <c r="KK195" s="1711"/>
      <c r="KL195" s="1711"/>
      <c r="KM195" s="1711"/>
      <c r="KN195" s="1711"/>
      <c r="KO195" s="1711"/>
      <c r="KP195" s="1711"/>
      <c r="KQ195" s="1711"/>
      <c r="KR195" s="1711"/>
      <c r="KS195" s="1711"/>
      <c r="KT195" s="1711"/>
      <c r="KU195" s="1711"/>
      <c r="KV195" s="1711"/>
      <c r="KW195" s="1711"/>
      <c r="KX195" s="1711"/>
      <c r="KY195" s="1711"/>
      <c r="KZ195" s="1711"/>
      <c r="LA195" s="1711"/>
      <c r="LB195" s="1711"/>
      <c r="LC195" s="1711"/>
      <c r="LD195" s="1711"/>
      <c r="LE195" s="1711"/>
      <c r="LF195" s="1711"/>
      <c r="LG195" s="1711"/>
      <c r="LH195" s="1711"/>
      <c r="LI195" s="1711"/>
      <c r="LJ195" s="1711"/>
      <c r="LK195" s="1711"/>
      <c r="LL195" s="1711"/>
      <c r="LM195" s="1711"/>
      <c r="LN195" s="1711"/>
      <c r="LO195" s="1711"/>
      <c r="LP195" s="1711"/>
      <c r="LQ195" s="1711"/>
      <c r="LR195" s="1711"/>
      <c r="LS195" s="1711"/>
      <c r="LT195" s="1711"/>
      <c r="LU195" s="1711"/>
      <c r="LV195" s="1711"/>
      <c r="LW195" s="1711"/>
      <c r="LX195" s="1711"/>
      <c r="LY195" s="1711"/>
      <c r="LZ195" s="1711"/>
      <c r="MA195" s="1711"/>
      <c r="MB195" s="1711"/>
      <c r="MC195" s="1711"/>
      <c r="MD195" s="1711"/>
      <c r="ME195" s="1711"/>
      <c r="MF195" s="1711"/>
      <c r="MG195" s="1711"/>
      <c r="MH195" s="1711"/>
      <c r="MI195" s="1711"/>
      <c r="MJ195" s="1711"/>
      <c r="MK195" s="1711"/>
      <c r="ML195" s="1711"/>
      <c r="MM195" s="1711"/>
      <c r="MN195" s="1711"/>
      <c r="MO195" s="1711"/>
      <c r="MP195" s="1711"/>
      <c r="MQ195" s="1711"/>
      <c r="MR195" s="1711"/>
      <c r="MS195" s="1711"/>
      <c r="MT195" s="1711"/>
      <c r="MU195" s="1711"/>
      <c r="MV195" s="1711"/>
      <c r="MW195" s="1711"/>
      <c r="MX195" s="1711"/>
      <c r="MY195" s="1711"/>
      <c r="MZ195" s="1711"/>
      <c r="NA195" s="1711"/>
      <c r="NB195" s="1711"/>
      <c r="NC195" s="1711"/>
      <c r="ND195" s="1711"/>
      <c r="NE195" s="1711"/>
      <c r="NF195" s="1711"/>
      <c r="NG195" s="1711"/>
      <c r="NH195" s="1711"/>
      <c r="NI195" s="1711"/>
      <c r="NJ195" s="1711"/>
      <c r="NK195" s="1711"/>
      <c r="NL195" s="1711"/>
      <c r="NM195" s="1711"/>
      <c r="NN195" s="1711"/>
      <c r="NO195" s="1711"/>
      <c r="NP195" s="1711"/>
      <c r="NQ195" s="1711"/>
      <c r="NR195" s="1711"/>
      <c r="NS195" s="1711"/>
      <c r="NT195" s="1711"/>
      <c r="NU195" s="1711"/>
      <c r="NV195" s="1711"/>
      <c r="NW195" s="1711"/>
      <c r="NX195" s="1711"/>
      <c r="NY195" s="1711"/>
      <c r="NZ195" s="1711"/>
      <c r="OA195" s="1711"/>
      <c r="OB195" s="1711"/>
      <c r="OC195" s="1711"/>
      <c r="OD195" s="1711"/>
      <c r="OE195" s="1711"/>
      <c r="OF195" s="1711"/>
      <c r="OG195" s="1711"/>
      <c r="OH195" s="1711"/>
      <c r="OI195" s="1711"/>
      <c r="OJ195" s="1711"/>
      <c r="OK195" s="1711"/>
      <c r="OL195" s="1711"/>
      <c r="OM195" s="1711"/>
      <c r="ON195" s="1711"/>
      <c r="OO195" s="1711"/>
      <c r="OP195" s="1711"/>
      <c r="OQ195" s="1711"/>
      <c r="OR195" s="1711"/>
      <c r="OS195" s="1711"/>
      <c r="OT195" s="1711"/>
      <c r="OU195" s="1711"/>
      <c r="OY195" s="2507"/>
      <c r="OZ195" s="2504">
        <v>191</v>
      </c>
    </row>
    <row r="196" spans="1:528" s="144" customFormat="1" ht="13.5" customHeight="1">
      <c r="A196" s="374"/>
      <c r="C196" s="10"/>
      <c r="I196" s="72" t="s">
        <v>5091</v>
      </c>
      <c r="K196" s="3677"/>
      <c r="L196" s="3678"/>
      <c r="X196" s="1711"/>
      <c r="Y196" s="1711"/>
      <c r="Z196" s="1524"/>
      <c r="AA196" s="1711"/>
      <c r="AB196" s="1711"/>
      <c r="AC196" s="1711"/>
      <c r="AD196" s="1711"/>
      <c r="AE196" s="1711"/>
      <c r="AF196" s="1711"/>
      <c r="AG196" s="1711"/>
      <c r="AH196" s="1711"/>
      <c r="AI196" s="1711"/>
      <c r="AJ196" s="1711"/>
      <c r="AK196" s="1711"/>
      <c r="AL196" s="1711"/>
      <c r="AM196" s="1711"/>
      <c r="AN196" s="1711"/>
      <c r="AO196" s="1711"/>
      <c r="AP196" s="1711"/>
      <c r="AQ196" s="1711"/>
      <c r="AR196" s="1711"/>
      <c r="AS196" s="1711"/>
      <c r="AT196" s="1711"/>
      <c r="AU196" s="1711"/>
      <c r="AV196" s="1711"/>
      <c r="AW196" s="1711"/>
      <c r="AX196" s="1711"/>
      <c r="AY196" s="1711"/>
      <c r="AZ196" s="1711"/>
      <c r="BA196" s="1711"/>
      <c r="BB196" s="1711"/>
      <c r="BC196" s="1711"/>
      <c r="BD196" s="1711"/>
      <c r="BE196" s="1711"/>
      <c r="BF196" s="1711"/>
      <c r="BG196" s="1711"/>
      <c r="BH196" s="1711"/>
      <c r="BI196" s="1711"/>
      <c r="BJ196" s="1711"/>
      <c r="BK196" s="1711"/>
      <c r="BL196" s="1711"/>
      <c r="BM196" s="1711"/>
      <c r="BN196" s="1711"/>
      <c r="BO196" s="1711"/>
      <c r="BP196" s="1711"/>
      <c r="BQ196" s="1711"/>
      <c r="BR196" s="1711"/>
      <c r="BS196" s="1711"/>
      <c r="BT196" s="1711"/>
      <c r="BU196" s="1711"/>
      <c r="BV196" s="1711"/>
      <c r="BW196" s="1711"/>
      <c r="BX196" s="1711"/>
      <c r="BY196" s="1711"/>
      <c r="BZ196" s="1711"/>
      <c r="CA196" s="1711"/>
      <c r="CB196" s="1711"/>
      <c r="CC196" s="1711"/>
      <c r="CD196" s="1711"/>
      <c r="CE196" s="1711"/>
      <c r="CF196" s="1711"/>
      <c r="CG196" s="1711"/>
      <c r="CH196" s="1711"/>
      <c r="CI196" s="1711"/>
      <c r="CJ196" s="1711"/>
      <c r="CK196" s="1711"/>
      <c r="CL196" s="1711"/>
      <c r="CM196" s="1711"/>
      <c r="CN196" s="1711"/>
      <c r="CO196" s="1711"/>
      <c r="CP196" s="1711"/>
      <c r="CQ196" s="1711"/>
      <c r="CR196" s="1711"/>
      <c r="CS196" s="1711"/>
      <c r="CT196" s="1711"/>
      <c r="CU196" s="1711"/>
      <c r="CV196" s="1711"/>
      <c r="CW196" s="1711"/>
      <c r="CX196" s="1711"/>
      <c r="CY196" s="1711"/>
      <c r="CZ196" s="1711"/>
      <c r="DA196" s="1711"/>
      <c r="DB196" s="1711"/>
      <c r="DC196" s="1711"/>
      <c r="DD196" s="1711"/>
      <c r="DE196" s="1711"/>
      <c r="DF196" s="1711"/>
      <c r="DG196" s="1711"/>
      <c r="DH196" s="1711"/>
      <c r="DI196" s="1711"/>
      <c r="DJ196" s="1711"/>
      <c r="DK196" s="1711"/>
      <c r="DL196" s="1711"/>
      <c r="DM196" s="1711"/>
      <c r="DN196" s="1711"/>
      <c r="DO196" s="1711"/>
      <c r="DP196" s="1711"/>
      <c r="DQ196" s="1711"/>
      <c r="DR196" s="1711"/>
      <c r="DS196" s="1711"/>
      <c r="DT196" s="1711"/>
      <c r="DU196" s="1711"/>
      <c r="DV196" s="1711"/>
      <c r="DW196" s="1711"/>
      <c r="DX196" s="1711"/>
      <c r="DY196" s="1711"/>
      <c r="DZ196" s="1711"/>
      <c r="EA196" s="1711"/>
      <c r="EB196" s="1711"/>
      <c r="EC196" s="1711"/>
      <c r="ED196" s="1711"/>
      <c r="EE196" s="1711"/>
      <c r="EF196" s="1711"/>
      <c r="EG196" s="1711"/>
      <c r="EH196" s="1711"/>
      <c r="EI196" s="1711"/>
      <c r="EJ196" s="1711"/>
      <c r="EK196" s="1711"/>
      <c r="EL196" s="1711"/>
      <c r="EM196" s="1711"/>
      <c r="EN196" s="1711"/>
      <c r="EO196" s="1711"/>
      <c r="EP196" s="1711"/>
      <c r="EQ196" s="1711"/>
      <c r="ER196" s="1711"/>
      <c r="ES196" s="1711"/>
      <c r="ET196" s="1711"/>
      <c r="EU196" s="1711"/>
      <c r="EV196" s="1711"/>
      <c r="EW196" s="1711"/>
      <c r="EX196" s="1711"/>
      <c r="EY196" s="1711"/>
      <c r="EZ196" s="1711"/>
      <c r="FA196" s="1711"/>
      <c r="FB196" s="1711"/>
      <c r="FC196" s="1711"/>
      <c r="FD196" s="1711"/>
      <c r="FE196" s="1711"/>
      <c r="FF196" s="1711"/>
      <c r="FG196" s="1711"/>
      <c r="FH196" s="1711"/>
      <c r="FI196" s="1711"/>
      <c r="FJ196" s="1711"/>
      <c r="FK196" s="1711"/>
      <c r="FL196" s="1711"/>
      <c r="FM196" s="1711"/>
      <c r="FN196" s="1711"/>
      <c r="FO196" s="1711"/>
      <c r="FP196" s="1711"/>
      <c r="FQ196" s="1711"/>
      <c r="FR196" s="1711"/>
      <c r="FS196" s="1711"/>
      <c r="FT196" s="1711"/>
      <c r="FU196" s="1711"/>
      <c r="FV196" s="1711"/>
      <c r="FW196" s="1711"/>
      <c r="FX196" s="1711"/>
      <c r="FY196" s="1711"/>
      <c r="FZ196" s="1711"/>
      <c r="GA196" s="1711"/>
      <c r="GB196" s="1711"/>
      <c r="GC196" s="1711"/>
      <c r="GD196" s="1711"/>
      <c r="GE196" s="1711"/>
      <c r="GF196" s="1711"/>
      <c r="GG196" s="1711"/>
      <c r="GH196" s="1711"/>
      <c r="GI196" s="1711"/>
      <c r="GJ196" s="1711"/>
      <c r="GK196" s="1711"/>
      <c r="GL196" s="1711"/>
      <c r="GM196" s="1711"/>
      <c r="GN196" s="1711"/>
      <c r="GO196" s="1711"/>
      <c r="GP196" s="1711"/>
      <c r="GQ196" s="1711"/>
      <c r="GR196" s="1711"/>
      <c r="GS196" s="1711"/>
      <c r="GT196" s="1711"/>
      <c r="GU196" s="1711"/>
      <c r="GV196" s="1711"/>
      <c r="GW196" s="1711"/>
      <c r="GX196" s="1711"/>
      <c r="GY196" s="1711"/>
      <c r="GZ196" s="1711"/>
      <c r="HA196" s="1711"/>
      <c r="HB196" s="1711"/>
      <c r="HC196" s="1711"/>
      <c r="HD196" s="1711"/>
      <c r="HE196" s="1711"/>
      <c r="HF196" s="1711"/>
      <c r="HG196" s="1711"/>
      <c r="HH196" s="1711"/>
      <c r="HI196" s="1711"/>
      <c r="HJ196" s="1711"/>
      <c r="HK196" s="1711"/>
      <c r="HL196" s="1711"/>
      <c r="HM196" s="1711"/>
      <c r="HN196" s="1711"/>
      <c r="HO196" s="1711"/>
      <c r="HP196" s="1711"/>
      <c r="HQ196" s="1711"/>
      <c r="HR196" s="1711"/>
      <c r="HS196" s="1711"/>
      <c r="HT196" s="1711"/>
      <c r="HU196" s="1711"/>
      <c r="HV196" s="1711"/>
      <c r="HW196" s="1711"/>
      <c r="HX196" s="1711"/>
      <c r="HY196" s="1711"/>
      <c r="HZ196" s="1711"/>
      <c r="IA196" s="1711"/>
      <c r="IB196" s="1711"/>
      <c r="IC196" s="1711"/>
      <c r="ID196" s="1711"/>
      <c r="IE196" s="1711"/>
      <c r="IF196" s="1711"/>
      <c r="IG196" s="1711"/>
      <c r="IH196" s="1711"/>
      <c r="II196" s="1711"/>
      <c r="IJ196" s="1711"/>
      <c r="IK196" s="1711"/>
      <c r="IL196" s="1711"/>
      <c r="IM196" s="1711"/>
      <c r="IN196" s="1711"/>
      <c r="IO196" s="1711"/>
      <c r="IP196" s="1711"/>
      <c r="IQ196" s="1711"/>
      <c r="IR196" s="1711"/>
      <c r="IS196" s="1711"/>
      <c r="IT196" s="1711"/>
      <c r="IU196" s="1711"/>
      <c r="IV196" s="1711"/>
      <c r="IW196" s="1711"/>
      <c r="IX196" s="1711"/>
      <c r="IY196" s="1711"/>
      <c r="IZ196" s="1711"/>
      <c r="JA196" s="1711"/>
      <c r="JB196" s="1711"/>
      <c r="JC196" s="1711"/>
      <c r="JD196" s="1711"/>
      <c r="JE196" s="1711"/>
      <c r="JF196" s="1711"/>
      <c r="JG196" s="1711"/>
      <c r="JH196" s="1711"/>
      <c r="JI196" s="1711"/>
      <c r="JJ196" s="1711"/>
      <c r="JK196" s="1711"/>
      <c r="JL196" s="1711"/>
      <c r="JM196" s="1711"/>
      <c r="JN196" s="1711"/>
      <c r="JO196" s="1711"/>
      <c r="JP196" s="1711"/>
      <c r="JQ196" s="1711"/>
      <c r="JR196" s="1711"/>
      <c r="JS196" s="1711"/>
      <c r="JT196" s="1711"/>
      <c r="JU196" s="1711"/>
      <c r="JV196" s="1711"/>
      <c r="JW196" s="1711"/>
      <c r="JX196" s="1711"/>
      <c r="JY196" s="1711"/>
      <c r="JZ196" s="1711"/>
      <c r="KA196" s="1711"/>
      <c r="KB196" s="1711"/>
      <c r="KC196" s="1711"/>
      <c r="KD196" s="1711"/>
      <c r="KE196" s="1711"/>
      <c r="KF196" s="1711"/>
      <c r="KG196" s="1711"/>
      <c r="KH196" s="1711"/>
      <c r="KI196" s="1711"/>
      <c r="KJ196" s="1711"/>
      <c r="KK196" s="1711"/>
      <c r="KL196" s="1711"/>
      <c r="KM196" s="1711"/>
      <c r="KN196" s="1711"/>
      <c r="KO196" s="1711"/>
      <c r="KP196" s="1711"/>
      <c r="KQ196" s="1711"/>
      <c r="KR196" s="1711"/>
      <c r="KS196" s="1711"/>
      <c r="KT196" s="1711"/>
      <c r="KU196" s="1711"/>
      <c r="KV196" s="1711"/>
      <c r="KW196" s="1711"/>
      <c r="KX196" s="1711"/>
      <c r="KY196" s="1711"/>
      <c r="KZ196" s="1711"/>
      <c r="LA196" s="1711"/>
      <c r="LB196" s="1711"/>
      <c r="LC196" s="1711"/>
      <c r="LD196" s="1711"/>
      <c r="LE196" s="1711"/>
      <c r="LF196" s="1711"/>
      <c r="LG196" s="1711"/>
      <c r="LH196" s="1711"/>
      <c r="LI196" s="1711"/>
      <c r="LJ196" s="1711"/>
      <c r="LK196" s="1711"/>
      <c r="LL196" s="1711"/>
      <c r="LM196" s="1711"/>
      <c r="LN196" s="1711"/>
      <c r="LO196" s="1711"/>
      <c r="LP196" s="1711"/>
      <c r="LQ196" s="1711"/>
      <c r="LR196" s="1711"/>
      <c r="LS196" s="1711"/>
      <c r="LT196" s="1711"/>
      <c r="LU196" s="1711"/>
      <c r="LV196" s="1711"/>
      <c r="LW196" s="1711"/>
      <c r="LX196" s="1711"/>
      <c r="LY196" s="1711"/>
      <c r="LZ196" s="1711"/>
      <c r="MA196" s="1711"/>
      <c r="MB196" s="1711"/>
      <c r="MC196" s="1711"/>
      <c r="MD196" s="1711"/>
      <c r="ME196" s="1711"/>
      <c r="MF196" s="1711"/>
      <c r="MG196" s="1711"/>
      <c r="MH196" s="1711"/>
      <c r="MI196" s="1711"/>
      <c r="MJ196" s="1711"/>
      <c r="MK196" s="1711"/>
      <c r="ML196" s="1711"/>
      <c r="MM196" s="1711"/>
      <c r="MN196" s="1711"/>
      <c r="MO196" s="1711"/>
      <c r="MP196" s="1711"/>
      <c r="MQ196" s="1711"/>
      <c r="MR196" s="1711"/>
      <c r="MS196" s="1711"/>
      <c r="MT196" s="1711"/>
      <c r="MU196" s="1711"/>
      <c r="MV196" s="1711"/>
      <c r="MW196" s="1711"/>
      <c r="MX196" s="1711"/>
      <c r="MY196" s="1711"/>
      <c r="MZ196" s="1711"/>
      <c r="NA196" s="1711"/>
      <c r="NB196" s="1711"/>
      <c r="NC196" s="1711"/>
      <c r="ND196" s="1711"/>
      <c r="NE196" s="1711"/>
      <c r="NF196" s="1711"/>
      <c r="NG196" s="1711"/>
      <c r="NH196" s="1711"/>
      <c r="NI196" s="1711"/>
      <c r="NJ196" s="1711"/>
      <c r="NK196" s="1711"/>
      <c r="NL196" s="1711"/>
      <c r="NM196" s="1711"/>
      <c r="NN196" s="1711"/>
      <c r="NO196" s="1711"/>
      <c r="NP196" s="1711"/>
      <c r="NQ196" s="1711"/>
      <c r="NR196" s="1711"/>
      <c r="NS196" s="1711"/>
      <c r="NT196" s="1711"/>
      <c r="NU196" s="1711"/>
      <c r="NV196" s="1711"/>
      <c r="NW196" s="1711"/>
      <c r="NX196" s="1711"/>
      <c r="NY196" s="1711"/>
      <c r="NZ196" s="1711"/>
      <c r="OA196" s="1711"/>
      <c r="OB196" s="1711"/>
      <c r="OC196" s="1711"/>
      <c r="OD196" s="1711"/>
      <c r="OE196" s="1711"/>
      <c r="OF196" s="1711"/>
      <c r="OG196" s="1711"/>
      <c r="OH196" s="1711"/>
      <c r="OI196" s="1711"/>
      <c r="OJ196" s="1711"/>
      <c r="OK196" s="1711"/>
      <c r="OL196" s="1711"/>
      <c r="OM196" s="1711"/>
      <c r="ON196" s="1711"/>
      <c r="OO196" s="1711"/>
      <c r="OP196" s="1711"/>
      <c r="OQ196" s="1711"/>
      <c r="OR196" s="1711"/>
      <c r="OS196" s="1711"/>
      <c r="OT196" s="1711"/>
      <c r="OU196" s="1711"/>
      <c r="OY196" s="2507"/>
      <c r="OZ196" s="2506">
        <v>192</v>
      </c>
    </row>
    <row r="197" spans="1:528" s="144" customFormat="1" ht="13.35" customHeight="1">
      <c r="A197" s="374"/>
      <c r="C197" s="10" t="s">
        <v>242</v>
      </c>
      <c r="K197" s="3675">
        <f>P190+K195+K196</f>
        <v>144560</v>
      </c>
      <c r="L197" s="3676"/>
      <c r="X197" s="1711"/>
      <c r="Y197" s="1711"/>
      <c r="Z197" s="1524">
        <v>69</v>
      </c>
      <c r="AA197" s="1711"/>
      <c r="AB197" s="1711"/>
      <c r="AC197" s="1711"/>
      <c r="AD197" s="1711"/>
      <c r="AE197" s="1711"/>
      <c r="AF197" s="1711"/>
      <c r="AG197" s="1711"/>
      <c r="AH197" s="1711"/>
      <c r="AI197" s="1711"/>
      <c r="AJ197" s="1711"/>
      <c r="AK197" s="1711"/>
      <c r="AL197" s="1711"/>
      <c r="AM197" s="1711"/>
      <c r="AN197" s="1711"/>
      <c r="AO197" s="1711"/>
      <c r="AP197" s="1711"/>
      <c r="AQ197" s="1711"/>
      <c r="AR197" s="1711"/>
      <c r="AS197" s="1711"/>
      <c r="AT197" s="1711"/>
      <c r="AU197" s="1711"/>
      <c r="AV197" s="1711"/>
      <c r="AW197" s="1711"/>
      <c r="AX197" s="1711"/>
      <c r="AY197" s="1711"/>
      <c r="AZ197" s="1711"/>
      <c r="BA197" s="1711"/>
      <c r="BB197" s="1711"/>
      <c r="BC197" s="1711"/>
      <c r="BD197" s="1711"/>
      <c r="BE197" s="1711"/>
      <c r="BF197" s="1711"/>
      <c r="BG197" s="1711"/>
      <c r="BH197" s="1711"/>
      <c r="BI197" s="1711"/>
      <c r="BJ197" s="1711"/>
      <c r="BK197" s="1711"/>
      <c r="BL197" s="1711"/>
      <c r="BM197" s="1711"/>
      <c r="BN197" s="1711"/>
      <c r="BO197" s="1711"/>
      <c r="BP197" s="1711"/>
      <c r="BQ197" s="1711"/>
      <c r="BR197" s="1711"/>
      <c r="BS197" s="1711"/>
      <c r="BT197" s="1711"/>
      <c r="BU197" s="1711"/>
      <c r="BV197" s="1711"/>
      <c r="BW197" s="1711"/>
      <c r="BX197" s="1711"/>
      <c r="BY197" s="1711"/>
      <c r="BZ197" s="1711"/>
      <c r="CA197" s="1711"/>
      <c r="CB197" s="1711"/>
      <c r="CC197" s="1711"/>
      <c r="CD197" s="1711"/>
      <c r="CE197" s="1711"/>
      <c r="CF197" s="1711"/>
      <c r="CG197" s="1711"/>
      <c r="CH197" s="1711"/>
      <c r="CI197" s="1711"/>
      <c r="CJ197" s="1711"/>
      <c r="CK197" s="1711"/>
      <c r="CL197" s="1711"/>
      <c r="CM197" s="1711"/>
      <c r="CN197" s="1711"/>
      <c r="CO197" s="1711"/>
      <c r="CP197" s="1711"/>
      <c r="CQ197" s="1711"/>
      <c r="CR197" s="1711"/>
      <c r="CS197" s="1711"/>
      <c r="CT197" s="1711"/>
      <c r="CU197" s="1711"/>
      <c r="CV197" s="1711"/>
      <c r="CW197" s="1711"/>
      <c r="CX197" s="1711"/>
      <c r="CY197" s="1711"/>
      <c r="CZ197" s="1711"/>
      <c r="DA197" s="1711"/>
      <c r="DB197" s="1711"/>
      <c r="DC197" s="1711"/>
      <c r="DD197" s="1711"/>
      <c r="DE197" s="1711"/>
      <c r="DF197" s="1711"/>
      <c r="DG197" s="1711"/>
      <c r="DH197" s="1711"/>
      <c r="DI197" s="1711"/>
      <c r="DJ197" s="1711"/>
      <c r="DK197" s="1711"/>
      <c r="DL197" s="1711"/>
      <c r="DM197" s="1711"/>
      <c r="DN197" s="1711"/>
      <c r="DO197" s="1711"/>
      <c r="DP197" s="1711"/>
      <c r="DQ197" s="1711"/>
      <c r="DR197" s="1711"/>
      <c r="DS197" s="1711"/>
      <c r="DT197" s="1711"/>
      <c r="DU197" s="1711"/>
      <c r="DV197" s="1711"/>
      <c r="DW197" s="1711"/>
      <c r="DX197" s="1711"/>
      <c r="DY197" s="1711"/>
      <c r="DZ197" s="1711"/>
      <c r="EA197" s="1711"/>
      <c r="EB197" s="1711"/>
      <c r="EC197" s="1711"/>
      <c r="ED197" s="1711"/>
      <c r="EE197" s="1711"/>
      <c r="EF197" s="1711"/>
      <c r="EG197" s="1711"/>
      <c r="EH197" s="1711"/>
      <c r="EI197" s="1711"/>
      <c r="EJ197" s="1711"/>
      <c r="EK197" s="1711"/>
      <c r="EL197" s="1711"/>
      <c r="EM197" s="1711"/>
      <c r="EN197" s="1711"/>
      <c r="EO197" s="1711"/>
      <c r="EP197" s="1711"/>
      <c r="EQ197" s="1711"/>
      <c r="ER197" s="1711"/>
      <c r="ES197" s="1711"/>
      <c r="ET197" s="1711"/>
      <c r="EU197" s="1711"/>
      <c r="EV197" s="1711"/>
      <c r="EW197" s="1711"/>
      <c r="EX197" s="1711"/>
      <c r="EY197" s="1711"/>
      <c r="EZ197" s="1711"/>
      <c r="FA197" s="1711"/>
      <c r="FB197" s="1711"/>
      <c r="FC197" s="1711"/>
      <c r="FD197" s="1711"/>
      <c r="FE197" s="1711"/>
      <c r="FF197" s="1711"/>
      <c r="FG197" s="1711"/>
      <c r="FH197" s="1711"/>
      <c r="FI197" s="1711"/>
      <c r="FJ197" s="1711"/>
      <c r="FK197" s="1711"/>
      <c r="FL197" s="1711"/>
      <c r="FM197" s="1711"/>
      <c r="FN197" s="1711"/>
      <c r="FO197" s="1711"/>
      <c r="FP197" s="1711"/>
      <c r="FQ197" s="1711"/>
      <c r="FR197" s="1711"/>
      <c r="FS197" s="1711"/>
      <c r="FT197" s="1711"/>
      <c r="FU197" s="1711"/>
      <c r="FV197" s="1711"/>
      <c r="FW197" s="1711"/>
      <c r="FX197" s="1711"/>
      <c r="FY197" s="1711"/>
      <c r="FZ197" s="1711"/>
      <c r="GA197" s="1711"/>
      <c r="GB197" s="1711"/>
      <c r="GC197" s="1711"/>
      <c r="GD197" s="1711"/>
      <c r="GE197" s="1711"/>
      <c r="GF197" s="1711"/>
      <c r="GG197" s="1711"/>
      <c r="GH197" s="1711"/>
      <c r="GI197" s="1711"/>
      <c r="GJ197" s="1711"/>
      <c r="GK197" s="1711"/>
      <c r="GL197" s="1711"/>
      <c r="GM197" s="1711"/>
      <c r="GN197" s="1711"/>
      <c r="GO197" s="1711"/>
      <c r="GP197" s="1711"/>
      <c r="GQ197" s="1711"/>
      <c r="GR197" s="1711"/>
      <c r="GS197" s="1711"/>
      <c r="GT197" s="1711"/>
      <c r="GU197" s="1711"/>
      <c r="GV197" s="1711"/>
      <c r="GW197" s="1711"/>
      <c r="GX197" s="1711"/>
      <c r="GY197" s="1711"/>
      <c r="GZ197" s="1711"/>
      <c r="HA197" s="1711"/>
      <c r="HB197" s="1711"/>
      <c r="HC197" s="1711"/>
      <c r="HD197" s="1711"/>
      <c r="HE197" s="1711"/>
      <c r="HF197" s="1711"/>
      <c r="HG197" s="1711"/>
      <c r="HH197" s="1711"/>
      <c r="HI197" s="1711"/>
      <c r="HJ197" s="1711"/>
      <c r="HK197" s="1711"/>
      <c r="HL197" s="1711"/>
      <c r="HM197" s="1711"/>
      <c r="HN197" s="1711"/>
      <c r="HO197" s="1711"/>
      <c r="HP197" s="1711"/>
      <c r="HQ197" s="1711"/>
      <c r="HR197" s="1711"/>
      <c r="HS197" s="1711"/>
      <c r="HT197" s="1711"/>
      <c r="HU197" s="1711"/>
      <c r="HV197" s="1711"/>
      <c r="HW197" s="1711"/>
      <c r="HX197" s="1711"/>
      <c r="HY197" s="1711"/>
      <c r="HZ197" s="1711"/>
      <c r="IA197" s="1711"/>
      <c r="IB197" s="1711"/>
      <c r="IC197" s="1711"/>
      <c r="ID197" s="1711"/>
      <c r="IE197" s="1711"/>
      <c r="IF197" s="1711"/>
      <c r="IG197" s="1711"/>
      <c r="IH197" s="1711"/>
      <c r="II197" s="1711"/>
      <c r="IJ197" s="1711"/>
      <c r="IK197" s="1711"/>
      <c r="IL197" s="1711"/>
      <c r="IM197" s="1711"/>
      <c r="IN197" s="1711"/>
      <c r="IO197" s="1711"/>
      <c r="IP197" s="1711"/>
      <c r="IQ197" s="1711"/>
      <c r="IR197" s="1711"/>
      <c r="IS197" s="1711"/>
      <c r="IT197" s="1711"/>
      <c r="IU197" s="1711"/>
      <c r="IV197" s="1711"/>
      <c r="IW197" s="1711"/>
      <c r="IX197" s="1711"/>
      <c r="IY197" s="1711"/>
      <c r="IZ197" s="1711"/>
      <c r="JA197" s="1711"/>
      <c r="JB197" s="1711"/>
      <c r="JC197" s="1711"/>
      <c r="JD197" s="1711"/>
      <c r="JE197" s="1711"/>
      <c r="JF197" s="1711"/>
      <c r="JG197" s="1711"/>
      <c r="JH197" s="1711"/>
      <c r="JI197" s="1711"/>
      <c r="JJ197" s="1711"/>
      <c r="JK197" s="1711"/>
      <c r="JL197" s="1711"/>
      <c r="JM197" s="1711"/>
      <c r="JN197" s="1711"/>
      <c r="JO197" s="1711"/>
      <c r="JP197" s="1711"/>
      <c r="JQ197" s="1711"/>
      <c r="JR197" s="1711"/>
      <c r="JS197" s="1711"/>
      <c r="JT197" s="1711"/>
      <c r="JU197" s="1711"/>
      <c r="JV197" s="1711"/>
      <c r="JW197" s="1711"/>
      <c r="JX197" s="1711"/>
      <c r="JY197" s="1711"/>
      <c r="JZ197" s="1711"/>
      <c r="KA197" s="1711"/>
      <c r="KB197" s="1711"/>
      <c r="KC197" s="1711"/>
      <c r="KD197" s="1711"/>
      <c r="KE197" s="1711"/>
      <c r="KF197" s="1711"/>
      <c r="KG197" s="1711"/>
      <c r="KH197" s="1711"/>
      <c r="KI197" s="1711"/>
      <c r="KJ197" s="1711"/>
      <c r="KK197" s="1711"/>
      <c r="KL197" s="1711"/>
      <c r="KM197" s="1711"/>
      <c r="KN197" s="1711"/>
      <c r="KO197" s="1711"/>
      <c r="KP197" s="1711"/>
      <c r="KQ197" s="1711"/>
      <c r="KR197" s="1711"/>
      <c r="KS197" s="1711"/>
      <c r="KT197" s="1711"/>
      <c r="KU197" s="1711"/>
      <c r="KV197" s="1711"/>
      <c r="KW197" s="1711"/>
      <c r="KX197" s="1711"/>
      <c r="KY197" s="1711"/>
      <c r="KZ197" s="1711"/>
      <c r="LA197" s="1711"/>
      <c r="LB197" s="1711"/>
      <c r="LC197" s="1711"/>
      <c r="LD197" s="1711"/>
      <c r="LE197" s="1711"/>
      <c r="LF197" s="1711"/>
      <c r="LG197" s="1711"/>
      <c r="LH197" s="1711"/>
      <c r="LI197" s="1711"/>
      <c r="LJ197" s="1711"/>
      <c r="LK197" s="1711"/>
      <c r="LL197" s="1711"/>
      <c r="LM197" s="1711"/>
      <c r="LN197" s="1711"/>
      <c r="LO197" s="1711"/>
      <c r="LP197" s="1711"/>
      <c r="LQ197" s="1711"/>
      <c r="LR197" s="1711"/>
      <c r="LS197" s="1711"/>
      <c r="LT197" s="1711"/>
      <c r="LU197" s="1711"/>
      <c r="LV197" s="1711"/>
      <c r="LW197" s="1711"/>
      <c r="LX197" s="1711"/>
      <c r="LY197" s="1711"/>
      <c r="LZ197" s="1711"/>
      <c r="MA197" s="1711"/>
      <c r="MB197" s="1711"/>
      <c r="MC197" s="1711"/>
      <c r="MD197" s="1711"/>
      <c r="ME197" s="1711"/>
      <c r="MF197" s="1711"/>
      <c r="MG197" s="1711"/>
      <c r="MH197" s="1711"/>
      <c r="MI197" s="1711"/>
      <c r="MJ197" s="1711"/>
      <c r="MK197" s="1711"/>
      <c r="ML197" s="1711"/>
      <c r="MM197" s="1711"/>
      <c r="MN197" s="1711"/>
      <c r="MO197" s="1711"/>
      <c r="MP197" s="1711"/>
      <c r="MQ197" s="1711"/>
      <c r="MR197" s="1711"/>
      <c r="MS197" s="1711"/>
      <c r="MT197" s="1711"/>
      <c r="MU197" s="1711"/>
      <c r="MV197" s="1711"/>
      <c r="MW197" s="1711"/>
      <c r="MX197" s="1711"/>
      <c r="MY197" s="1711"/>
      <c r="MZ197" s="1711"/>
      <c r="NA197" s="1711"/>
      <c r="NB197" s="1711"/>
      <c r="NC197" s="1711"/>
      <c r="ND197" s="1711"/>
      <c r="NE197" s="1711"/>
      <c r="NF197" s="1711"/>
      <c r="NG197" s="1711"/>
      <c r="NH197" s="1711"/>
      <c r="NI197" s="1711"/>
      <c r="NJ197" s="1711"/>
      <c r="NK197" s="1711"/>
      <c r="NL197" s="1711"/>
      <c r="NM197" s="1711"/>
      <c r="NN197" s="1711"/>
      <c r="NO197" s="1711"/>
      <c r="NP197" s="1711"/>
      <c r="NQ197" s="1711"/>
      <c r="NR197" s="1711"/>
      <c r="NS197" s="1711"/>
      <c r="NT197" s="1711"/>
      <c r="NU197" s="1711"/>
      <c r="NV197" s="1711"/>
      <c r="NW197" s="1711"/>
      <c r="NX197" s="1711"/>
      <c r="NY197" s="1711"/>
      <c r="NZ197" s="1711"/>
      <c r="OA197" s="1711"/>
      <c r="OB197" s="1711"/>
      <c r="OC197" s="1711"/>
      <c r="OD197" s="1711"/>
      <c r="OE197" s="1711"/>
      <c r="OF197" s="1711"/>
      <c r="OG197" s="1711"/>
      <c r="OH197" s="1711"/>
      <c r="OI197" s="1711"/>
      <c r="OJ197" s="1711"/>
      <c r="OK197" s="1711"/>
      <c r="OL197" s="1711"/>
      <c r="OM197" s="1711"/>
      <c r="ON197" s="1711"/>
      <c r="OO197" s="1711"/>
      <c r="OP197" s="1711"/>
      <c r="OQ197" s="1711"/>
      <c r="OR197" s="1711"/>
      <c r="OS197" s="1711"/>
      <c r="OT197" s="1711"/>
      <c r="OU197" s="1711"/>
      <c r="OY197" s="2507"/>
      <c r="OZ197" s="2504">
        <v>193</v>
      </c>
    </row>
    <row r="198" spans="1:528" s="69" customFormat="1" ht="3" customHeight="1">
      <c r="A198" s="25"/>
      <c r="B198" s="1"/>
      <c r="C198" s="1"/>
      <c r="D198" s="1"/>
      <c r="E198" s="1"/>
      <c r="F198" s="1"/>
      <c r="G198" s="1"/>
      <c r="H198" s="1"/>
      <c r="I198" s="1"/>
      <c r="J198" s="1"/>
      <c r="K198" s="1"/>
      <c r="L198" s="1"/>
      <c r="M198" s="1"/>
      <c r="N198" s="1"/>
      <c r="O198" s="1"/>
      <c r="P198" s="1"/>
      <c r="X198" s="358"/>
      <c r="Y198" s="358"/>
      <c r="Z198" s="358"/>
      <c r="AA198" s="358"/>
      <c r="AB198" s="358"/>
      <c r="AC198" s="358"/>
      <c r="AD198" s="358"/>
      <c r="AE198" s="358"/>
      <c r="AF198" s="358"/>
      <c r="AG198" s="358"/>
      <c r="AH198" s="358"/>
      <c r="AI198" s="358"/>
      <c r="AJ198" s="358"/>
      <c r="AK198" s="358"/>
      <c r="AL198" s="358"/>
      <c r="AM198" s="358"/>
      <c r="AN198" s="358"/>
      <c r="AO198" s="358"/>
      <c r="AP198" s="358"/>
      <c r="AQ198" s="358"/>
      <c r="AR198" s="358"/>
      <c r="AS198" s="358"/>
      <c r="AT198" s="358"/>
      <c r="AU198" s="358"/>
      <c r="AV198" s="358"/>
      <c r="AW198" s="358"/>
      <c r="AX198" s="358"/>
      <c r="AY198" s="358"/>
      <c r="AZ198" s="358"/>
      <c r="BA198" s="358"/>
      <c r="BB198" s="358"/>
      <c r="BC198" s="358"/>
      <c r="BD198" s="358"/>
      <c r="BE198" s="358"/>
      <c r="BF198" s="358"/>
      <c r="BG198" s="358"/>
      <c r="BH198" s="358"/>
      <c r="BI198" s="358"/>
      <c r="BJ198" s="358"/>
      <c r="BK198" s="358"/>
      <c r="BL198" s="358"/>
      <c r="BM198" s="358"/>
      <c r="BN198" s="358"/>
      <c r="BO198" s="358"/>
      <c r="BP198" s="358"/>
      <c r="BQ198" s="358"/>
      <c r="BR198" s="358"/>
      <c r="BS198" s="358"/>
      <c r="BT198" s="358"/>
      <c r="BU198" s="358"/>
      <c r="BV198" s="358"/>
      <c r="BW198" s="358"/>
      <c r="BX198" s="358"/>
      <c r="BY198" s="358"/>
      <c r="BZ198" s="358"/>
      <c r="CA198" s="358"/>
      <c r="CB198" s="358"/>
      <c r="CC198" s="358"/>
      <c r="CD198" s="358"/>
      <c r="CE198" s="358"/>
      <c r="CF198" s="358"/>
      <c r="CG198" s="358"/>
      <c r="CH198" s="358"/>
      <c r="CI198" s="358"/>
      <c r="CJ198" s="358"/>
      <c r="CK198" s="358"/>
      <c r="CL198" s="358"/>
      <c r="CM198" s="358"/>
      <c r="CN198" s="358"/>
      <c r="CO198" s="358"/>
      <c r="CP198" s="358"/>
      <c r="CQ198" s="358"/>
      <c r="CR198" s="358"/>
      <c r="CS198" s="358"/>
      <c r="CT198" s="358"/>
      <c r="CU198" s="358"/>
      <c r="CV198" s="358"/>
      <c r="CW198" s="358"/>
      <c r="CX198" s="358"/>
      <c r="CY198" s="358"/>
      <c r="CZ198" s="358"/>
      <c r="DA198" s="358"/>
      <c r="DB198" s="358"/>
      <c r="DC198" s="358"/>
      <c r="DD198" s="358"/>
      <c r="DE198" s="358"/>
      <c r="DF198" s="358"/>
      <c r="DG198" s="358"/>
      <c r="DH198" s="358"/>
      <c r="DI198" s="358"/>
      <c r="DJ198" s="358"/>
      <c r="DK198" s="358"/>
      <c r="DL198" s="358"/>
      <c r="DM198" s="358"/>
      <c r="DN198" s="358"/>
      <c r="DO198" s="358"/>
      <c r="DP198" s="358"/>
      <c r="DQ198" s="358"/>
      <c r="DR198" s="358"/>
      <c r="DS198" s="358"/>
      <c r="DT198" s="358"/>
      <c r="DU198" s="358"/>
      <c r="DV198" s="358"/>
      <c r="DW198" s="358"/>
      <c r="DX198" s="358"/>
      <c r="DY198" s="358"/>
      <c r="DZ198" s="358"/>
      <c r="EA198" s="358"/>
      <c r="EB198" s="358"/>
      <c r="EC198" s="358"/>
      <c r="ED198" s="358"/>
      <c r="EE198" s="358"/>
      <c r="EF198" s="358"/>
      <c r="EG198" s="358"/>
      <c r="EH198" s="358"/>
      <c r="EI198" s="358"/>
      <c r="EJ198" s="358"/>
      <c r="EK198" s="358"/>
      <c r="EL198" s="358"/>
      <c r="EM198" s="358"/>
      <c r="EN198" s="358"/>
      <c r="EO198" s="358"/>
      <c r="EP198" s="358"/>
      <c r="EQ198" s="358"/>
      <c r="ER198" s="358"/>
      <c r="ES198" s="358"/>
      <c r="ET198" s="358"/>
      <c r="EU198" s="358"/>
      <c r="EV198" s="358"/>
      <c r="EW198" s="358"/>
      <c r="EX198" s="358"/>
      <c r="EY198" s="358"/>
      <c r="EZ198" s="358"/>
      <c r="FA198" s="358"/>
      <c r="FB198" s="358"/>
      <c r="FC198" s="358"/>
      <c r="FD198" s="358"/>
      <c r="FE198" s="358"/>
      <c r="FF198" s="358"/>
      <c r="FG198" s="358"/>
      <c r="FH198" s="358"/>
      <c r="FI198" s="358"/>
      <c r="FJ198" s="358"/>
      <c r="FK198" s="358"/>
      <c r="FL198" s="358"/>
      <c r="FM198" s="358"/>
      <c r="FN198" s="358"/>
      <c r="FO198" s="358"/>
      <c r="FP198" s="358"/>
      <c r="FQ198" s="358"/>
      <c r="FR198" s="358"/>
      <c r="FS198" s="358"/>
      <c r="FT198" s="358"/>
      <c r="FU198" s="358"/>
      <c r="FV198" s="358"/>
      <c r="FW198" s="358"/>
      <c r="FX198" s="358"/>
      <c r="FY198" s="358"/>
      <c r="FZ198" s="358"/>
      <c r="GA198" s="358"/>
      <c r="GB198" s="358"/>
      <c r="GC198" s="358"/>
      <c r="GD198" s="358"/>
      <c r="GE198" s="358"/>
      <c r="GF198" s="358"/>
      <c r="GG198" s="358"/>
      <c r="GH198" s="358"/>
      <c r="GI198" s="358"/>
      <c r="GJ198" s="358"/>
      <c r="GK198" s="358"/>
      <c r="GL198" s="358"/>
      <c r="GM198" s="358"/>
      <c r="GN198" s="358"/>
      <c r="GO198" s="358"/>
      <c r="GP198" s="358"/>
      <c r="GQ198" s="358"/>
      <c r="GR198" s="358"/>
      <c r="GS198" s="358"/>
      <c r="GT198" s="358"/>
      <c r="GU198" s="358"/>
      <c r="GV198" s="358"/>
      <c r="GW198" s="358"/>
      <c r="GX198" s="358"/>
      <c r="GY198" s="358"/>
      <c r="GZ198" s="358"/>
      <c r="HA198" s="358"/>
      <c r="HB198" s="358"/>
      <c r="HC198" s="358"/>
      <c r="HD198" s="358"/>
      <c r="HE198" s="358"/>
      <c r="HF198" s="358"/>
      <c r="HG198" s="358"/>
      <c r="HH198" s="358"/>
      <c r="HI198" s="358"/>
      <c r="HJ198" s="358"/>
      <c r="HK198" s="358"/>
      <c r="HL198" s="358"/>
      <c r="HM198" s="358"/>
      <c r="HN198" s="358"/>
      <c r="HO198" s="358"/>
      <c r="HP198" s="358"/>
      <c r="HQ198" s="358"/>
      <c r="HR198" s="358"/>
      <c r="HS198" s="358"/>
      <c r="HT198" s="358"/>
      <c r="HU198" s="358"/>
      <c r="HV198" s="358"/>
      <c r="HW198" s="358"/>
      <c r="HX198" s="358"/>
      <c r="HY198" s="358"/>
      <c r="HZ198" s="358"/>
      <c r="IA198" s="358"/>
      <c r="IB198" s="358"/>
      <c r="IC198" s="358"/>
      <c r="ID198" s="358"/>
      <c r="IE198" s="358"/>
      <c r="IF198" s="358"/>
      <c r="IG198" s="358"/>
      <c r="IH198" s="358"/>
      <c r="II198" s="358"/>
      <c r="IJ198" s="358"/>
      <c r="IK198" s="358"/>
      <c r="IL198" s="358"/>
      <c r="IM198" s="358"/>
      <c r="IN198" s="358"/>
      <c r="IO198" s="358"/>
      <c r="IP198" s="358"/>
      <c r="IQ198" s="358"/>
      <c r="IR198" s="358"/>
      <c r="IS198" s="358"/>
      <c r="IT198" s="358"/>
      <c r="IU198" s="358"/>
      <c r="IV198" s="358"/>
      <c r="IW198" s="358"/>
      <c r="IX198" s="358"/>
      <c r="IY198" s="358"/>
      <c r="IZ198" s="358"/>
      <c r="JA198" s="358"/>
      <c r="JB198" s="358"/>
      <c r="JC198" s="358"/>
      <c r="JD198" s="358"/>
      <c r="JE198" s="358"/>
      <c r="JF198" s="358"/>
      <c r="JG198" s="358"/>
      <c r="JH198" s="358"/>
      <c r="JI198" s="358"/>
      <c r="JJ198" s="358"/>
      <c r="JK198" s="358"/>
      <c r="JL198" s="358"/>
      <c r="JM198" s="358"/>
      <c r="JN198" s="358"/>
      <c r="JO198" s="358"/>
      <c r="JP198" s="358"/>
      <c r="JQ198" s="358"/>
      <c r="JR198" s="358"/>
      <c r="JS198" s="358"/>
      <c r="JT198" s="358"/>
      <c r="JU198" s="358"/>
      <c r="JV198" s="358"/>
      <c r="JW198" s="358"/>
      <c r="JX198" s="358"/>
      <c r="JY198" s="358"/>
      <c r="JZ198" s="358"/>
      <c r="KA198" s="358"/>
      <c r="KB198" s="358"/>
      <c r="KC198" s="358"/>
      <c r="KD198" s="358"/>
      <c r="KE198" s="358"/>
      <c r="KF198" s="358"/>
      <c r="KG198" s="358"/>
      <c r="KH198" s="358"/>
      <c r="KI198" s="358"/>
      <c r="KJ198" s="358"/>
      <c r="KK198" s="358"/>
      <c r="KL198" s="358"/>
      <c r="KM198" s="358"/>
      <c r="KN198" s="358"/>
      <c r="KO198" s="358"/>
      <c r="KP198" s="358"/>
      <c r="KQ198" s="358"/>
      <c r="KR198" s="358"/>
      <c r="KS198" s="358"/>
      <c r="KT198" s="358"/>
      <c r="KU198" s="358"/>
      <c r="KV198" s="358"/>
      <c r="KW198" s="358"/>
      <c r="KX198" s="358"/>
      <c r="KY198" s="358"/>
      <c r="KZ198" s="358"/>
      <c r="LA198" s="358"/>
      <c r="LB198" s="358"/>
      <c r="LC198" s="358"/>
      <c r="LD198" s="358"/>
      <c r="LE198" s="358"/>
      <c r="LF198" s="1784"/>
      <c r="LG198" s="358"/>
      <c r="LH198" s="358"/>
      <c r="LI198" s="358"/>
      <c r="LJ198" s="358"/>
      <c r="LK198" s="1784"/>
      <c r="LL198" s="358"/>
      <c r="LM198" s="358"/>
      <c r="LN198" s="358"/>
      <c r="LO198" s="358"/>
      <c r="LP198" s="1784"/>
      <c r="LQ198" s="358"/>
      <c r="LR198" s="358"/>
      <c r="LS198" s="358"/>
      <c r="LT198" s="358"/>
      <c r="LU198" s="1784"/>
      <c r="LV198" s="1784"/>
      <c r="LW198" s="1784"/>
      <c r="LX198" s="1784"/>
      <c r="LY198" s="1784"/>
      <c r="LZ198" s="1784"/>
      <c r="MA198" s="1784"/>
      <c r="MB198" s="1784"/>
      <c r="MC198" s="1784"/>
      <c r="MD198" s="1784"/>
      <c r="ME198" s="1784"/>
      <c r="MF198" s="1784"/>
      <c r="MG198" s="1784"/>
      <c r="MH198" s="1784"/>
      <c r="MI198" s="1784"/>
      <c r="MJ198" s="1784"/>
      <c r="MK198" s="1784"/>
      <c r="ML198" s="1784"/>
      <c r="MM198" s="1784"/>
      <c r="MN198" s="1784"/>
      <c r="MO198" s="1784"/>
      <c r="MP198" s="1784"/>
      <c r="MQ198" s="358"/>
      <c r="MR198" s="358"/>
      <c r="MS198" s="358"/>
      <c r="MT198" s="358"/>
      <c r="MU198" s="358"/>
      <c r="MV198" s="358"/>
      <c r="MW198" s="1639"/>
      <c r="MX198" s="358"/>
      <c r="MY198" s="358"/>
      <c r="MZ198" s="358"/>
      <c r="NA198" s="358"/>
      <c r="NB198" s="358"/>
      <c r="NC198" s="358"/>
      <c r="ND198" s="358"/>
      <c r="NE198" s="358"/>
      <c r="NF198" s="358"/>
      <c r="NG198" s="358"/>
      <c r="NH198" s="358"/>
      <c r="NI198" s="358"/>
      <c r="NJ198" s="358"/>
      <c r="NK198" s="358"/>
      <c r="NL198" s="358"/>
      <c r="NM198" s="1639"/>
      <c r="NN198" s="1639"/>
      <c r="NO198" s="358"/>
      <c r="NP198" s="358"/>
      <c r="NQ198" s="358"/>
      <c r="NR198" s="358"/>
      <c r="NS198" s="358"/>
      <c r="NT198" s="358"/>
      <c r="NU198" s="358"/>
      <c r="NV198" s="358"/>
      <c r="NW198" s="358"/>
      <c r="NX198" s="358"/>
      <c r="NY198" s="358"/>
      <c r="NZ198" s="358"/>
      <c r="OA198" s="358"/>
      <c r="OB198" s="358"/>
      <c r="OC198" s="358"/>
      <c r="OD198" s="358"/>
      <c r="OE198" s="358"/>
      <c r="OF198" s="358"/>
      <c r="OG198" s="358"/>
      <c r="OH198" s="358"/>
      <c r="OI198" s="358"/>
      <c r="OJ198" s="358"/>
      <c r="OK198" s="358"/>
      <c r="OL198" s="358"/>
      <c r="OM198" s="358"/>
      <c r="ON198" s="358"/>
      <c r="OO198" s="358"/>
      <c r="OP198" s="358"/>
      <c r="OQ198" s="358"/>
      <c r="OR198" s="358"/>
      <c r="OS198" s="358"/>
      <c r="OT198" s="358"/>
      <c r="OU198" s="358"/>
      <c r="OV198" s="72"/>
      <c r="OW198" s="72"/>
      <c r="OX198" s="72"/>
      <c r="OY198" s="2499"/>
      <c r="OZ198" s="2503">
        <v>194</v>
      </c>
      <c r="PA198" s="72"/>
      <c r="PB198" s="72"/>
      <c r="PC198" s="72"/>
      <c r="PD198" s="72"/>
      <c r="PE198" s="72"/>
      <c r="PF198" s="72"/>
      <c r="PG198" s="72"/>
      <c r="PH198" s="72"/>
      <c r="PI198" s="72"/>
      <c r="PJ198" s="72"/>
      <c r="PK198" s="72"/>
      <c r="PL198" s="72"/>
      <c r="PM198" s="72"/>
      <c r="PN198" s="72"/>
      <c r="PO198" s="72"/>
      <c r="PP198" s="72"/>
      <c r="PQ198" s="72"/>
      <c r="PR198" s="72"/>
      <c r="PS198" s="72"/>
      <c r="PT198" s="72"/>
      <c r="PU198" s="72"/>
      <c r="PV198" s="72"/>
      <c r="PW198" s="72"/>
      <c r="PX198" s="72"/>
      <c r="PY198" s="72"/>
      <c r="PZ198" s="72"/>
      <c r="QA198" s="72"/>
      <c r="QB198" s="72"/>
      <c r="QC198" s="72"/>
      <c r="QD198" s="72"/>
      <c r="QE198" s="72"/>
      <c r="QF198" s="72"/>
      <c r="QG198" s="72"/>
      <c r="QH198" s="72"/>
      <c r="QI198" s="72"/>
      <c r="QJ198" s="72"/>
      <c r="QK198" s="72"/>
      <c r="QL198" s="72"/>
      <c r="QM198" s="72"/>
      <c r="QN198" s="72"/>
      <c r="QO198" s="72"/>
      <c r="QP198" s="72"/>
      <c r="QQ198" s="72"/>
      <c r="QR198" s="72"/>
      <c r="QS198" s="72"/>
      <c r="QT198" s="72"/>
      <c r="QU198" s="72"/>
      <c r="QV198" s="72"/>
      <c r="QW198" s="72"/>
      <c r="QX198" s="72"/>
      <c r="QY198" s="72"/>
      <c r="QZ198" s="72"/>
      <c r="RA198" s="72"/>
      <c r="RB198" s="72"/>
      <c r="RC198" s="72"/>
      <c r="RD198" s="72"/>
      <c r="RE198" s="72"/>
      <c r="RF198" s="72"/>
      <c r="RG198" s="72"/>
      <c r="RH198" s="72"/>
      <c r="RI198" s="72"/>
      <c r="RJ198" s="72"/>
      <c r="RK198" s="72"/>
      <c r="RL198" s="72"/>
      <c r="RM198" s="72"/>
      <c r="RN198" s="72"/>
      <c r="RO198" s="72"/>
      <c r="RP198" s="72"/>
      <c r="RQ198" s="72"/>
      <c r="RR198" s="72"/>
      <c r="RS198" s="72"/>
      <c r="RT198" s="72"/>
      <c r="RU198" s="72"/>
      <c r="RV198" s="72"/>
      <c r="RW198" s="72"/>
      <c r="RX198" s="72"/>
      <c r="RY198" s="72"/>
      <c r="RZ198" s="72"/>
      <c r="SA198" s="72"/>
      <c r="SB198" s="72"/>
      <c r="SC198" s="72"/>
      <c r="SD198" s="72"/>
      <c r="SE198" s="72"/>
      <c r="SF198" s="72"/>
      <c r="SG198" s="72"/>
      <c r="SH198" s="72"/>
      <c r="SI198" s="72"/>
      <c r="SJ198" s="72"/>
      <c r="SK198" s="72"/>
      <c r="SL198" s="72"/>
      <c r="SM198" s="72"/>
      <c r="SN198" s="72"/>
      <c r="SO198" s="72"/>
      <c r="SP198" s="72"/>
      <c r="SQ198" s="72"/>
      <c r="SR198" s="72"/>
      <c r="SS198" s="72"/>
      <c r="ST198" s="72"/>
      <c r="SU198" s="72"/>
      <c r="SV198" s="72"/>
      <c r="SW198" s="72"/>
      <c r="SX198" s="72"/>
      <c r="SY198" s="72"/>
      <c r="SZ198" s="72"/>
      <c r="TA198" s="72"/>
      <c r="TB198" s="72"/>
      <c r="TC198" s="72"/>
      <c r="TD198" s="72"/>
      <c r="TE198" s="72"/>
      <c r="TF198" s="72"/>
      <c r="TG198" s="72"/>
      <c r="TH198" s="72"/>
    </row>
    <row r="199" spans="1:528" ht="14.1" customHeight="1">
      <c r="A199" s="10" t="s">
        <v>1661</v>
      </c>
      <c r="B199" s="10" t="s">
        <v>217</v>
      </c>
      <c r="Q199" s="6"/>
      <c r="R199" s="6"/>
      <c r="S199" s="10" t="s">
        <v>1705</v>
      </c>
      <c r="U199" s="69"/>
      <c r="LF199" s="356"/>
      <c r="LK199" s="356"/>
      <c r="LP199" s="356"/>
      <c r="LU199" s="356"/>
      <c r="MQ199" s="1640"/>
      <c r="MW199" s="356"/>
      <c r="MX199" s="360"/>
      <c r="NM199" s="356"/>
      <c r="NO199" s="360"/>
      <c r="OZ199" s="2504">
        <v>195</v>
      </c>
    </row>
    <row r="200" spans="1:528" ht="2.25" customHeight="1">
      <c r="Q200" s="69"/>
      <c r="R200" s="69"/>
      <c r="OZ200" s="2504">
        <v>196</v>
      </c>
    </row>
    <row r="201" spans="1:528" s="69" customFormat="1" ht="15.6" customHeight="1">
      <c r="A201" s="1"/>
      <c r="B201" s="141" t="s">
        <v>951</v>
      </c>
      <c r="C201" s="81"/>
      <c r="D201" s="81"/>
      <c r="E201" s="81"/>
      <c r="F201" s="81"/>
      <c r="G201" s="81"/>
      <c r="H201" s="3622">
        <f>'Part VI-Pro Forma'!B10*M59</f>
        <v>52524.480000000003</v>
      </c>
      <c r="I201" s="3622"/>
      <c r="J201" s="1333" t="s">
        <v>4634</v>
      </c>
      <c r="M201" s="81"/>
      <c r="N201" s="81"/>
      <c r="O201" s="81"/>
      <c r="P201" s="1374">
        <f>IF(M59=0,0,H201/M59)</f>
        <v>0.02</v>
      </c>
      <c r="Q201" s="308"/>
      <c r="R201" s="308"/>
      <c r="S201" s="4" t="str">
        <f>B201</f>
        <v>Ancillary Income</v>
      </c>
      <c r="X201" s="358"/>
      <c r="Y201" s="358"/>
      <c r="Z201" s="358"/>
      <c r="AA201" s="358"/>
      <c r="AB201" s="358"/>
      <c r="AC201" s="358"/>
      <c r="AD201" s="358"/>
      <c r="AE201" s="358"/>
      <c r="AF201" s="358"/>
      <c r="AG201" s="358"/>
      <c r="AH201" s="358"/>
      <c r="AI201" s="358"/>
      <c r="AJ201" s="358"/>
      <c r="AK201" s="358"/>
      <c r="AL201" s="358"/>
      <c r="AM201" s="358"/>
      <c r="AN201" s="358"/>
      <c r="AO201" s="358"/>
      <c r="AP201" s="358"/>
      <c r="AQ201" s="358"/>
      <c r="AR201" s="358"/>
      <c r="AS201" s="358"/>
      <c r="AT201" s="358"/>
      <c r="AU201" s="358"/>
      <c r="AV201" s="358"/>
      <c r="AW201" s="358"/>
      <c r="AX201" s="358"/>
      <c r="AY201" s="358"/>
      <c r="AZ201" s="358"/>
      <c r="BA201" s="358"/>
      <c r="BB201" s="358"/>
      <c r="BC201" s="358"/>
      <c r="BD201" s="358"/>
      <c r="BE201" s="358"/>
      <c r="BF201" s="358"/>
      <c r="BG201" s="358"/>
      <c r="BH201" s="358"/>
      <c r="BI201" s="358"/>
      <c r="BJ201" s="358"/>
      <c r="BK201" s="358"/>
      <c r="BL201" s="358"/>
      <c r="BM201" s="358"/>
      <c r="BN201" s="358"/>
      <c r="BO201" s="358"/>
      <c r="BP201" s="358"/>
      <c r="BQ201" s="358"/>
      <c r="BR201" s="358"/>
      <c r="BS201" s="358"/>
      <c r="BT201" s="358"/>
      <c r="BU201" s="358"/>
      <c r="BV201" s="358"/>
      <c r="BW201" s="358"/>
      <c r="BX201" s="358"/>
      <c r="BY201" s="358"/>
      <c r="BZ201" s="358"/>
      <c r="CA201" s="358"/>
      <c r="CB201" s="358"/>
      <c r="CC201" s="358"/>
      <c r="CD201" s="358"/>
      <c r="CE201" s="358"/>
      <c r="CF201" s="358"/>
      <c r="CG201" s="358"/>
      <c r="CH201" s="358"/>
      <c r="CI201" s="358"/>
      <c r="CJ201" s="358"/>
      <c r="CK201" s="358"/>
      <c r="CL201" s="358"/>
      <c r="CM201" s="358"/>
      <c r="CN201" s="358"/>
      <c r="CO201" s="358"/>
      <c r="CP201" s="358"/>
      <c r="CQ201" s="358"/>
      <c r="CR201" s="358"/>
      <c r="CS201" s="358"/>
      <c r="CT201" s="358"/>
      <c r="CU201" s="358"/>
      <c r="CV201" s="358"/>
      <c r="CW201" s="358"/>
      <c r="CX201" s="358"/>
      <c r="CY201" s="358"/>
      <c r="CZ201" s="358"/>
      <c r="DA201" s="358"/>
      <c r="DB201" s="358"/>
      <c r="DC201" s="358"/>
      <c r="DD201" s="358"/>
      <c r="DE201" s="358"/>
      <c r="DF201" s="358"/>
      <c r="DG201" s="358"/>
      <c r="DH201" s="358"/>
      <c r="DI201" s="358"/>
      <c r="DJ201" s="358"/>
      <c r="DK201" s="358"/>
      <c r="DL201" s="358"/>
      <c r="DM201" s="358"/>
      <c r="DN201" s="358"/>
      <c r="DO201" s="358"/>
      <c r="DP201" s="358"/>
      <c r="DQ201" s="358"/>
      <c r="DR201" s="358"/>
      <c r="DS201" s="358"/>
      <c r="DT201" s="358"/>
      <c r="DU201" s="358"/>
      <c r="DV201" s="358"/>
      <c r="DW201" s="358"/>
      <c r="DX201" s="358"/>
      <c r="DY201" s="358"/>
      <c r="DZ201" s="358"/>
      <c r="EA201" s="358"/>
      <c r="EB201" s="358"/>
      <c r="EC201" s="358"/>
      <c r="ED201" s="358"/>
      <c r="EE201" s="358"/>
      <c r="EF201" s="358"/>
      <c r="EG201" s="358"/>
      <c r="EH201" s="358"/>
      <c r="EI201" s="358"/>
      <c r="EJ201" s="358"/>
      <c r="EK201" s="358"/>
      <c r="EL201" s="358"/>
      <c r="EM201" s="358"/>
      <c r="EN201" s="358"/>
      <c r="EO201" s="358"/>
      <c r="EP201" s="358"/>
      <c r="EQ201" s="358"/>
      <c r="ER201" s="358"/>
      <c r="ES201" s="358"/>
      <c r="ET201" s="358"/>
      <c r="EU201" s="358"/>
      <c r="EV201" s="358"/>
      <c r="EW201" s="358"/>
      <c r="EX201" s="358"/>
      <c r="EY201" s="358"/>
      <c r="EZ201" s="358"/>
      <c r="FA201" s="358"/>
      <c r="FB201" s="358"/>
      <c r="FC201" s="358"/>
      <c r="FD201" s="358"/>
      <c r="FE201" s="358"/>
      <c r="FF201" s="358"/>
      <c r="FG201" s="358"/>
      <c r="FH201" s="358"/>
      <c r="FI201" s="358"/>
      <c r="FJ201" s="358"/>
      <c r="FK201" s="358"/>
      <c r="FL201" s="358"/>
      <c r="FM201" s="358"/>
      <c r="FN201" s="358"/>
      <c r="FO201" s="358"/>
      <c r="FP201" s="358"/>
      <c r="FQ201" s="358"/>
      <c r="FR201" s="358"/>
      <c r="FS201" s="358"/>
      <c r="FT201" s="358"/>
      <c r="FU201" s="358"/>
      <c r="FV201" s="358"/>
      <c r="FW201" s="358"/>
      <c r="FX201" s="358"/>
      <c r="FY201" s="358"/>
      <c r="FZ201" s="358"/>
      <c r="GA201" s="358"/>
      <c r="GB201" s="358"/>
      <c r="GC201" s="358"/>
      <c r="GD201" s="358"/>
      <c r="GE201" s="358"/>
      <c r="GF201" s="358"/>
      <c r="GG201" s="358"/>
      <c r="GH201" s="358"/>
      <c r="GI201" s="358"/>
      <c r="GJ201" s="358"/>
      <c r="GK201" s="358"/>
      <c r="GL201" s="358"/>
      <c r="GM201" s="358"/>
      <c r="GN201" s="358"/>
      <c r="GO201" s="358"/>
      <c r="GP201" s="358"/>
      <c r="GQ201" s="358"/>
      <c r="GR201" s="358"/>
      <c r="GS201" s="358"/>
      <c r="GT201" s="358"/>
      <c r="GU201" s="358"/>
      <c r="GV201" s="358"/>
      <c r="GW201" s="358"/>
      <c r="GX201" s="358"/>
      <c r="GY201" s="358"/>
      <c r="GZ201" s="358"/>
      <c r="HA201" s="358"/>
      <c r="HB201" s="358"/>
      <c r="HC201" s="358"/>
      <c r="HD201" s="358"/>
      <c r="HE201" s="358"/>
      <c r="HF201" s="358"/>
      <c r="HG201" s="358"/>
      <c r="HH201" s="358"/>
      <c r="HI201" s="358"/>
      <c r="HJ201" s="358"/>
      <c r="HK201" s="358"/>
      <c r="HL201" s="358"/>
      <c r="HM201" s="358"/>
      <c r="HN201" s="358"/>
      <c r="HO201" s="358"/>
      <c r="HP201" s="358"/>
      <c r="HQ201" s="358"/>
      <c r="HR201" s="358"/>
      <c r="HS201" s="358"/>
      <c r="HT201" s="358"/>
      <c r="HU201" s="358"/>
      <c r="HV201" s="358"/>
      <c r="HW201" s="358"/>
      <c r="HX201" s="358"/>
      <c r="HY201" s="358"/>
      <c r="HZ201" s="358"/>
      <c r="IA201" s="358"/>
      <c r="IB201" s="358"/>
      <c r="IC201" s="358"/>
      <c r="ID201" s="358"/>
      <c r="IE201" s="358"/>
      <c r="IF201" s="358"/>
      <c r="IG201" s="358"/>
      <c r="IH201" s="358"/>
      <c r="II201" s="358"/>
      <c r="IJ201" s="358"/>
      <c r="IK201" s="358"/>
      <c r="IL201" s="358"/>
      <c r="IM201" s="358"/>
      <c r="IN201" s="358"/>
      <c r="IO201" s="358"/>
      <c r="IP201" s="358"/>
      <c r="IQ201" s="358"/>
      <c r="IR201" s="358"/>
      <c r="IS201" s="358"/>
      <c r="IT201" s="358"/>
      <c r="IU201" s="358"/>
      <c r="IV201" s="358"/>
      <c r="IW201" s="358"/>
      <c r="IX201" s="358"/>
      <c r="IY201" s="358"/>
      <c r="IZ201" s="358"/>
      <c r="JA201" s="358"/>
      <c r="JB201" s="358"/>
      <c r="JC201" s="358"/>
      <c r="JD201" s="358"/>
      <c r="JE201" s="358"/>
      <c r="JF201" s="358"/>
      <c r="JG201" s="358"/>
      <c r="JH201" s="358"/>
      <c r="JI201" s="358"/>
      <c r="JJ201" s="358"/>
      <c r="JK201" s="358"/>
      <c r="JL201" s="358"/>
      <c r="JM201" s="358"/>
      <c r="JN201" s="358"/>
      <c r="JO201" s="358"/>
      <c r="JP201" s="358"/>
      <c r="JQ201" s="358"/>
      <c r="JR201" s="358"/>
      <c r="JS201" s="358"/>
      <c r="JT201" s="358"/>
      <c r="JU201" s="358"/>
      <c r="JV201" s="358"/>
      <c r="JW201" s="358"/>
      <c r="JX201" s="358"/>
      <c r="JY201" s="358"/>
      <c r="JZ201" s="358"/>
      <c r="KA201" s="358"/>
      <c r="KB201" s="358"/>
      <c r="KC201" s="358"/>
      <c r="KD201" s="358"/>
      <c r="KE201" s="358"/>
      <c r="KF201" s="358"/>
      <c r="KG201" s="358"/>
      <c r="KH201" s="358"/>
      <c r="KI201" s="358"/>
      <c r="KJ201" s="358"/>
      <c r="KK201" s="358"/>
      <c r="KL201" s="358"/>
      <c r="KM201" s="358"/>
      <c r="KN201" s="358"/>
      <c r="KO201" s="358"/>
      <c r="KP201" s="358"/>
      <c r="KQ201" s="358"/>
      <c r="KR201" s="358"/>
      <c r="KS201" s="358"/>
      <c r="KT201" s="358"/>
      <c r="KU201" s="358"/>
      <c r="KV201" s="358"/>
      <c r="KW201" s="358"/>
      <c r="KX201" s="358"/>
      <c r="KY201" s="358"/>
      <c r="KZ201" s="358"/>
      <c r="LA201" s="358"/>
      <c r="LB201" s="358"/>
      <c r="LC201" s="358"/>
      <c r="LD201" s="358"/>
      <c r="LE201" s="358"/>
      <c r="LF201" s="1784"/>
      <c r="LG201" s="358"/>
      <c r="LH201" s="358"/>
      <c r="LI201" s="358"/>
      <c r="LJ201" s="358"/>
      <c r="LK201" s="1784"/>
      <c r="LL201" s="358"/>
      <c r="LM201" s="358"/>
      <c r="LN201" s="358"/>
      <c r="LO201" s="358"/>
      <c r="LP201" s="1784"/>
      <c r="LQ201" s="358"/>
      <c r="LR201" s="358"/>
      <c r="LS201" s="358"/>
      <c r="LT201" s="358"/>
      <c r="LU201" s="1784"/>
      <c r="LV201" s="1784"/>
      <c r="LW201" s="1784"/>
      <c r="LX201" s="1784"/>
      <c r="LY201" s="1784"/>
      <c r="LZ201" s="1784"/>
      <c r="MA201" s="1784"/>
      <c r="MB201" s="1784"/>
      <c r="MC201" s="1784"/>
      <c r="MD201" s="1784"/>
      <c r="ME201" s="1784"/>
      <c r="MF201" s="1784"/>
      <c r="MG201" s="1784"/>
      <c r="MH201" s="1784"/>
      <c r="MI201" s="1784"/>
      <c r="MJ201" s="1784"/>
      <c r="MK201" s="1784"/>
      <c r="ML201" s="1784"/>
      <c r="MM201" s="1784"/>
      <c r="MN201" s="1784"/>
      <c r="MO201" s="1784"/>
      <c r="MP201" s="1784"/>
      <c r="MQ201" s="358"/>
      <c r="MR201" s="358"/>
      <c r="MS201" s="358"/>
      <c r="MT201" s="358"/>
      <c r="MU201" s="358"/>
      <c r="MV201" s="358"/>
      <c r="MW201" s="1639"/>
      <c r="MX201" s="358"/>
      <c r="MY201" s="358"/>
      <c r="MZ201" s="358"/>
      <c r="NA201" s="358"/>
      <c r="NB201" s="358"/>
      <c r="NC201" s="358"/>
      <c r="ND201" s="358"/>
      <c r="NE201" s="358"/>
      <c r="NF201" s="358"/>
      <c r="NG201" s="358"/>
      <c r="NH201" s="358"/>
      <c r="NI201" s="358"/>
      <c r="NJ201" s="358"/>
      <c r="NK201" s="358"/>
      <c r="NL201" s="358"/>
      <c r="NM201" s="1639"/>
      <c r="NN201" s="1639"/>
      <c r="NO201" s="358"/>
      <c r="NP201" s="358"/>
      <c r="NQ201" s="358"/>
      <c r="NR201" s="358"/>
      <c r="NS201" s="358"/>
      <c r="NT201" s="358"/>
      <c r="NU201" s="358"/>
      <c r="NV201" s="358"/>
      <c r="NW201" s="358"/>
      <c r="NX201" s="358"/>
      <c r="NY201" s="358"/>
      <c r="NZ201" s="358"/>
      <c r="OA201" s="358"/>
      <c r="OB201" s="358"/>
      <c r="OC201" s="358"/>
      <c r="OD201" s="358"/>
      <c r="OE201" s="358"/>
      <c r="OF201" s="358"/>
      <c r="OG201" s="358"/>
      <c r="OH201" s="358"/>
      <c r="OI201" s="358"/>
      <c r="OJ201" s="358"/>
      <c r="OK201" s="358"/>
      <c r="OL201" s="358"/>
      <c r="OM201" s="358"/>
      <c r="ON201" s="358"/>
      <c r="OO201" s="358"/>
      <c r="OP201" s="358"/>
      <c r="OQ201" s="358"/>
      <c r="OR201" s="358"/>
      <c r="OS201" s="358"/>
      <c r="OT201" s="358"/>
      <c r="OU201" s="358"/>
      <c r="OV201" s="72"/>
      <c r="OW201" s="72"/>
      <c r="OX201" s="72"/>
      <c r="OY201" s="2501"/>
      <c r="OZ201" s="2503">
        <v>197</v>
      </c>
      <c r="PA201" s="72"/>
      <c r="PB201" s="72"/>
      <c r="PC201" s="72"/>
      <c r="PD201" s="72"/>
      <c r="PE201" s="72"/>
      <c r="PF201" s="72"/>
      <c r="PG201" s="72"/>
      <c r="PH201" s="72"/>
      <c r="PI201" s="72"/>
      <c r="PJ201" s="72"/>
      <c r="PK201" s="72"/>
      <c r="PL201" s="72"/>
      <c r="PM201" s="72"/>
      <c r="PN201" s="72"/>
      <c r="PO201" s="72"/>
      <c r="PP201" s="72"/>
      <c r="PQ201" s="72"/>
      <c r="PR201" s="72"/>
      <c r="PS201" s="72"/>
      <c r="PT201" s="72"/>
      <c r="PU201" s="72"/>
      <c r="PV201" s="72"/>
      <c r="PW201" s="72"/>
      <c r="PX201" s="72"/>
      <c r="PY201" s="72"/>
      <c r="PZ201" s="72"/>
      <c r="QA201" s="72"/>
      <c r="QB201" s="72"/>
      <c r="QC201" s="72"/>
      <c r="QD201" s="72"/>
      <c r="QE201" s="72"/>
      <c r="QF201" s="72"/>
      <c r="QG201" s="72"/>
      <c r="QH201" s="72"/>
      <c r="QI201" s="72"/>
      <c r="QJ201" s="72"/>
      <c r="QK201" s="72"/>
      <c r="QL201" s="72"/>
      <c r="QM201" s="72"/>
      <c r="QN201" s="72"/>
      <c r="QO201" s="72"/>
      <c r="QP201" s="72"/>
      <c r="QQ201" s="72"/>
      <c r="QR201" s="72"/>
      <c r="QS201" s="72"/>
      <c r="QT201" s="72"/>
      <c r="QU201" s="72"/>
      <c r="QV201" s="72"/>
      <c r="QW201" s="72"/>
      <c r="QX201" s="72"/>
      <c r="QY201" s="72"/>
      <c r="QZ201" s="72"/>
      <c r="RA201" s="72"/>
      <c r="RB201" s="72"/>
      <c r="RC201" s="72"/>
      <c r="RD201" s="72"/>
      <c r="RE201" s="72"/>
      <c r="RF201" s="72"/>
      <c r="RG201" s="72"/>
      <c r="RH201" s="72"/>
      <c r="RI201" s="72"/>
      <c r="RJ201" s="72"/>
      <c r="RK201" s="72"/>
      <c r="RL201" s="72"/>
      <c r="RM201" s="72"/>
      <c r="RN201" s="72"/>
      <c r="RO201" s="72"/>
      <c r="RP201" s="72"/>
      <c r="RQ201" s="72"/>
      <c r="RR201" s="72"/>
      <c r="RS201" s="72"/>
      <c r="RT201" s="72"/>
      <c r="RU201" s="72"/>
      <c r="RV201" s="72"/>
      <c r="RW201" s="72"/>
      <c r="RX201" s="72"/>
      <c r="RY201" s="72"/>
      <c r="RZ201" s="72"/>
      <c r="SA201" s="72"/>
      <c r="SB201" s="72"/>
      <c r="SC201" s="72"/>
      <c r="SD201" s="72"/>
      <c r="SE201" s="72"/>
      <c r="SF201" s="72"/>
      <c r="SG201" s="72"/>
      <c r="SH201" s="72"/>
      <c r="SI201" s="72"/>
      <c r="SJ201" s="72"/>
      <c r="SK201" s="72"/>
      <c r="SL201" s="72"/>
      <c r="SM201" s="72"/>
      <c r="SN201" s="72"/>
      <c r="SO201" s="72"/>
      <c r="SP201" s="72"/>
      <c r="SQ201" s="72"/>
      <c r="SR201" s="72"/>
      <c r="SS201" s="72"/>
      <c r="ST201" s="72"/>
      <c r="SU201" s="72"/>
      <c r="SV201" s="72"/>
      <c r="SW201" s="72"/>
      <c r="SX201" s="72"/>
      <c r="SY201" s="72"/>
      <c r="SZ201" s="72"/>
      <c r="TA201" s="72"/>
      <c r="TB201" s="72"/>
      <c r="TC201" s="72"/>
      <c r="TD201" s="72"/>
      <c r="TE201" s="72"/>
      <c r="TF201" s="72"/>
      <c r="TG201" s="72"/>
      <c r="TH201" s="72"/>
    </row>
    <row r="202" spans="1:528" ht="15.6" customHeight="1">
      <c r="B202" s="399"/>
      <c r="C202" s="68"/>
      <c r="D202" s="81"/>
      <c r="E202" s="68"/>
      <c r="F202" s="68"/>
      <c r="G202" s="68"/>
      <c r="H202" s="68"/>
      <c r="J202" s="85"/>
      <c r="K202" s="68"/>
      <c r="L202" s="68"/>
      <c r="M202" s="68"/>
      <c r="N202" s="68"/>
      <c r="O202" s="68"/>
      <c r="P202" s="68"/>
      <c r="Q202" s="308"/>
      <c r="R202" s="308"/>
      <c r="OY202" s="2501"/>
      <c r="OZ202" s="2504">
        <v>198</v>
      </c>
    </row>
    <row r="203" spans="1:528" ht="15.6" customHeight="1">
      <c r="B203" s="399" t="s">
        <v>1354</v>
      </c>
      <c r="C203" s="68"/>
      <c r="D203" s="68"/>
      <c r="E203" s="68"/>
      <c r="F203" s="68"/>
      <c r="G203" s="68"/>
      <c r="H203" s="68"/>
      <c r="I203" s="68"/>
      <c r="J203" s="399"/>
      <c r="K203" s="68"/>
      <c r="L203" s="685"/>
      <c r="M203" s="68"/>
      <c r="N203" s="68"/>
      <c r="O203" s="68"/>
      <c r="P203" s="68"/>
      <c r="Q203" s="87"/>
      <c r="S203" s="119" t="str">
        <f>B203</f>
        <v>Other Income (OI) by Year:</v>
      </c>
      <c r="OY203" s="2501"/>
      <c r="OZ203" s="2504">
        <v>199</v>
      </c>
    </row>
    <row r="204" spans="1:528" ht="15.6" customHeight="1">
      <c r="B204" s="686" t="s">
        <v>2105</v>
      </c>
      <c r="C204" s="68"/>
      <c r="D204" s="68"/>
      <c r="E204" s="68"/>
      <c r="F204" s="68"/>
      <c r="H204" s="687">
        <v>1</v>
      </c>
      <c r="I204" s="687">
        <v>2</v>
      </c>
      <c r="J204" s="687">
        <v>3</v>
      </c>
      <c r="K204" s="687">
        <v>4</v>
      </c>
      <c r="L204" s="688">
        <v>5</v>
      </c>
      <c r="M204" s="687">
        <v>6</v>
      </c>
      <c r="N204" s="687">
        <v>7</v>
      </c>
      <c r="O204" s="687">
        <v>8</v>
      </c>
      <c r="P204" s="687">
        <v>9</v>
      </c>
      <c r="Q204" s="687">
        <v>10</v>
      </c>
      <c r="R204" s="494"/>
      <c r="S204" s="72" t="str">
        <f>B204</f>
        <v>Included in Mgt Fee:</v>
      </c>
      <c r="OY204" s="2501"/>
      <c r="OZ204" s="2504">
        <v>200</v>
      </c>
    </row>
    <row r="205" spans="1:528" ht="15.6" customHeight="1">
      <c r="B205" s="81" t="s">
        <v>952</v>
      </c>
      <c r="C205" s="81"/>
      <c r="D205" s="81"/>
      <c r="E205" s="81"/>
      <c r="F205" s="81"/>
      <c r="H205" s="689"/>
      <c r="I205" s="689"/>
      <c r="J205" s="689"/>
      <c r="K205" s="689"/>
      <c r="L205" s="689"/>
      <c r="M205" s="689"/>
      <c r="N205" s="689"/>
      <c r="O205" s="689"/>
      <c r="P205" s="689"/>
      <c r="Q205" s="689"/>
      <c r="R205" s="660"/>
      <c r="S205" s="3632"/>
      <c r="T205" s="3633"/>
      <c r="U205" s="3633"/>
      <c r="V205" s="3633"/>
      <c r="W205" s="3634"/>
      <c r="OZ205" s="2504">
        <v>201</v>
      </c>
    </row>
    <row r="206" spans="1:528" ht="15.6" customHeight="1">
      <c r="B206" s="81" t="s">
        <v>689</v>
      </c>
      <c r="C206" s="3623"/>
      <c r="D206" s="3624"/>
      <c r="E206" s="3624"/>
      <c r="F206" s="3625"/>
      <c r="H206" s="691"/>
      <c r="I206" s="691"/>
      <c r="J206" s="691"/>
      <c r="K206" s="691"/>
      <c r="L206" s="692"/>
      <c r="M206" s="691"/>
      <c r="N206" s="691"/>
      <c r="O206" s="691"/>
      <c r="P206" s="691"/>
      <c r="Q206" s="691"/>
      <c r="R206" s="660"/>
      <c r="S206" s="3613"/>
      <c r="T206" s="3614"/>
      <c r="U206" s="3614"/>
      <c r="V206" s="3614"/>
      <c r="W206" s="3615"/>
      <c r="OZ206" s="2504">
        <v>202</v>
      </c>
    </row>
    <row r="207" spans="1:528" ht="15.6" customHeight="1">
      <c r="B207" s="81"/>
      <c r="C207" s="81" t="s">
        <v>869</v>
      </c>
      <c r="D207" s="81"/>
      <c r="E207" s="81"/>
      <c r="F207" s="81"/>
      <c r="H207" s="693">
        <f>SUM(H205:H206)</f>
        <v>0</v>
      </c>
      <c r="I207" s="693">
        <f>SUM(I205:I206)</f>
        <v>0</v>
      </c>
      <c r="J207" s="693">
        <f t="shared" ref="J207:Q207" si="686">SUM(J205:J206)</f>
        <v>0</v>
      </c>
      <c r="K207" s="693">
        <f t="shared" si="686"/>
        <v>0</v>
      </c>
      <c r="L207" s="693">
        <f t="shared" si="686"/>
        <v>0</v>
      </c>
      <c r="M207" s="693">
        <f t="shared" si="686"/>
        <v>0</v>
      </c>
      <c r="N207" s="693">
        <f t="shared" si="686"/>
        <v>0</v>
      </c>
      <c r="O207" s="693">
        <f t="shared" si="686"/>
        <v>0</v>
      </c>
      <c r="P207" s="693">
        <f t="shared" si="686"/>
        <v>0</v>
      </c>
      <c r="Q207" s="693">
        <f t="shared" si="686"/>
        <v>0</v>
      </c>
      <c r="R207" s="90"/>
      <c r="S207" s="3580"/>
      <c r="T207" s="3581"/>
      <c r="U207" s="3581"/>
      <c r="V207" s="3581"/>
      <c r="W207" s="3582"/>
      <c r="OY207" s="2501"/>
      <c r="OZ207" s="2506">
        <v>203</v>
      </c>
    </row>
    <row r="208" spans="1:528" ht="15.6" customHeight="1">
      <c r="B208" s="694" t="s">
        <v>3100</v>
      </c>
      <c r="C208" s="68"/>
      <c r="D208" s="68"/>
      <c r="E208" s="68"/>
      <c r="F208" s="68"/>
      <c r="H208" s="695"/>
      <c r="I208" s="68"/>
      <c r="J208" s="68"/>
      <c r="K208" s="68"/>
      <c r="L208" s="68"/>
      <c r="M208" s="68"/>
      <c r="N208" s="68"/>
      <c r="O208" s="68"/>
      <c r="P208" s="68"/>
      <c r="Q208" s="68"/>
      <c r="R208" s="6"/>
      <c r="S208" s="72" t="str">
        <f>B208</f>
        <v>NOT Included in Mgt Fee:</v>
      </c>
      <c r="OZ208" s="2504">
        <v>204</v>
      </c>
    </row>
    <row r="209" spans="1:528" ht="15.6" customHeight="1">
      <c r="B209" s="81" t="s">
        <v>497</v>
      </c>
      <c r="C209" s="81"/>
      <c r="D209" s="81"/>
      <c r="E209" s="81"/>
      <c r="F209" s="81"/>
      <c r="H209" s="689"/>
      <c r="I209" s="689"/>
      <c r="J209" s="689"/>
      <c r="K209" s="689"/>
      <c r="L209" s="689"/>
      <c r="M209" s="689"/>
      <c r="N209" s="689"/>
      <c r="O209" s="689"/>
      <c r="P209" s="689"/>
      <c r="Q209" s="689"/>
      <c r="R209" s="660"/>
      <c r="S209" s="3632"/>
      <c r="T209" s="3633"/>
      <c r="U209" s="3633"/>
      <c r="V209" s="3633"/>
      <c r="W209" s="3634"/>
      <c r="OZ209" s="2503">
        <v>205</v>
      </c>
    </row>
    <row r="210" spans="1:528" ht="15.6" customHeight="1">
      <c r="B210" s="81" t="s">
        <v>689</v>
      </c>
      <c r="C210" s="3623"/>
      <c r="D210" s="3624"/>
      <c r="E210" s="3624"/>
      <c r="F210" s="3625"/>
      <c r="H210" s="691"/>
      <c r="I210" s="691"/>
      <c r="J210" s="691"/>
      <c r="K210" s="691"/>
      <c r="L210" s="692"/>
      <c r="M210" s="691"/>
      <c r="N210" s="691"/>
      <c r="O210" s="691"/>
      <c r="P210" s="691"/>
      <c r="Q210" s="691"/>
      <c r="R210" s="660"/>
      <c r="S210" s="3613"/>
      <c r="T210" s="3614"/>
      <c r="U210" s="3614"/>
      <c r="V210" s="3614"/>
      <c r="W210" s="3615"/>
      <c r="OZ210" s="2504">
        <v>206</v>
      </c>
    </row>
    <row r="211" spans="1:528" ht="15.6" customHeight="1">
      <c r="B211" s="81"/>
      <c r="C211" s="81" t="s">
        <v>185</v>
      </c>
      <c r="D211" s="81"/>
      <c r="E211" s="81"/>
      <c r="F211" s="81"/>
      <c r="H211" s="693">
        <f>SUM(H209:H210)</f>
        <v>0</v>
      </c>
      <c r="I211" s="693">
        <f>SUM(I209:I210)</f>
        <v>0</v>
      </c>
      <c r="J211" s="693">
        <f t="shared" ref="J211:Q211" si="687">SUM(J209:J210)</f>
        <v>0</v>
      </c>
      <c r="K211" s="693">
        <f t="shared" si="687"/>
        <v>0</v>
      </c>
      <c r="L211" s="693">
        <f t="shared" si="687"/>
        <v>0</v>
      </c>
      <c r="M211" s="693">
        <f t="shared" si="687"/>
        <v>0</v>
      </c>
      <c r="N211" s="693">
        <f t="shared" si="687"/>
        <v>0</v>
      </c>
      <c r="O211" s="693">
        <f t="shared" si="687"/>
        <v>0</v>
      </c>
      <c r="P211" s="693">
        <f t="shared" si="687"/>
        <v>0</v>
      </c>
      <c r="Q211" s="693">
        <f t="shared" si="687"/>
        <v>0</v>
      </c>
      <c r="R211" s="90"/>
      <c r="S211" s="3580"/>
      <c r="T211" s="3581"/>
      <c r="U211" s="3581"/>
      <c r="V211" s="3581"/>
      <c r="W211" s="3582"/>
      <c r="OZ211" s="2504">
        <v>207</v>
      </c>
    </row>
    <row r="212" spans="1:528" ht="15.6" customHeight="1">
      <c r="B212" s="399"/>
      <c r="C212" s="68"/>
      <c r="D212" s="68"/>
      <c r="E212" s="68"/>
      <c r="F212" s="68"/>
      <c r="H212" s="695"/>
      <c r="I212" s="68"/>
      <c r="J212" s="68"/>
      <c r="K212" s="68"/>
      <c r="L212" s="68"/>
      <c r="M212" s="68"/>
      <c r="N212" s="68"/>
      <c r="O212" s="68"/>
      <c r="P212" s="68"/>
      <c r="Q212" s="68"/>
      <c r="R212" s="6"/>
      <c r="OZ212" s="2503">
        <v>208</v>
      </c>
    </row>
    <row r="213" spans="1:528" ht="15.6" customHeight="1">
      <c r="B213" s="686" t="s">
        <v>2105</v>
      </c>
      <c r="C213" s="68"/>
      <c r="D213" s="68"/>
      <c r="E213" s="68"/>
      <c r="F213" s="68"/>
      <c r="H213" s="687">
        <v>11</v>
      </c>
      <c r="I213" s="687">
        <v>12</v>
      </c>
      <c r="J213" s="687">
        <v>13</v>
      </c>
      <c r="K213" s="687">
        <v>14</v>
      </c>
      <c r="L213" s="687">
        <v>15</v>
      </c>
      <c r="M213" s="687">
        <v>16</v>
      </c>
      <c r="N213" s="687">
        <v>17</v>
      </c>
      <c r="O213" s="687">
        <v>18</v>
      </c>
      <c r="P213" s="687">
        <v>19</v>
      </c>
      <c r="Q213" s="687">
        <v>20</v>
      </c>
      <c r="S213" s="107" t="s">
        <v>2401</v>
      </c>
      <c r="T213" s="72" t="str">
        <f>B213</f>
        <v>Included in Mgt Fee:</v>
      </c>
      <c r="OZ213" s="2504">
        <v>209</v>
      </c>
    </row>
    <row r="214" spans="1:528" ht="15.6" customHeight="1">
      <c r="A214" s="62"/>
      <c r="B214" s="81" t="s">
        <v>952</v>
      </c>
      <c r="C214" s="81"/>
      <c r="D214" s="81"/>
      <c r="E214" s="81"/>
      <c r="F214" s="81"/>
      <c r="H214" s="689"/>
      <c r="I214" s="689"/>
      <c r="J214" s="689"/>
      <c r="K214" s="689"/>
      <c r="L214" s="690"/>
      <c r="M214" s="689"/>
      <c r="N214" s="689"/>
      <c r="O214" s="689"/>
      <c r="P214" s="689"/>
      <c r="Q214" s="689"/>
      <c r="R214" s="660"/>
      <c r="S214" s="3632"/>
      <c r="T214" s="3633"/>
      <c r="U214" s="3633"/>
      <c r="V214" s="3633"/>
      <c r="W214" s="3634"/>
      <c r="LF214" s="356"/>
      <c r="LK214" s="356"/>
      <c r="LP214" s="356"/>
      <c r="LU214" s="356"/>
      <c r="LV214" s="356"/>
      <c r="LW214" s="356"/>
      <c r="LX214" s="356"/>
      <c r="LY214" s="356"/>
      <c r="LZ214" s="356"/>
      <c r="MA214" s="356"/>
      <c r="MB214" s="356"/>
      <c r="MC214" s="356"/>
      <c r="MD214" s="356"/>
      <c r="ME214" s="356"/>
      <c r="MF214" s="356"/>
      <c r="MG214" s="356"/>
      <c r="MH214" s="356"/>
      <c r="MI214" s="356"/>
      <c r="MJ214" s="356"/>
      <c r="MK214" s="356"/>
      <c r="ML214" s="356"/>
      <c r="MM214" s="356"/>
      <c r="MN214" s="356"/>
      <c r="MO214" s="356"/>
      <c r="MP214" s="356"/>
      <c r="MW214" s="356"/>
      <c r="NM214" s="356"/>
      <c r="NN214" s="356"/>
      <c r="OZ214" s="2504">
        <v>210</v>
      </c>
      <c r="PR214" s="62"/>
      <c r="PS214" s="62"/>
      <c r="PT214" s="62"/>
      <c r="PU214" s="62"/>
      <c r="PV214" s="62"/>
      <c r="PW214" s="62"/>
      <c r="PX214" s="62"/>
      <c r="PY214" s="62"/>
      <c r="PZ214" s="62"/>
      <c r="QA214" s="62"/>
      <c r="QB214" s="62"/>
      <c r="QC214" s="62"/>
      <c r="QD214" s="62"/>
      <c r="QE214" s="62"/>
      <c r="QF214" s="62"/>
      <c r="QG214" s="62"/>
      <c r="QH214" s="62"/>
      <c r="QI214" s="62"/>
      <c r="QJ214" s="62"/>
      <c r="QK214" s="62"/>
      <c r="QL214" s="62"/>
      <c r="QM214" s="62"/>
      <c r="QN214" s="62"/>
      <c r="QO214" s="62"/>
      <c r="QP214" s="62"/>
      <c r="QQ214" s="62"/>
      <c r="QR214" s="62"/>
      <c r="QS214" s="62"/>
      <c r="QT214" s="62"/>
      <c r="QU214" s="62"/>
      <c r="QV214" s="62"/>
      <c r="QW214" s="62"/>
      <c r="QX214" s="62"/>
      <c r="QY214" s="62"/>
      <c r="QZ214" s="62"/>
      <c r="RA214" s="62"/>
      <c r="RB214" s="62"/>
      <c r="RC214" s="62"/>
      <c r="RD214" s="62"/>
      <c r="RE214" s="62"/>
      <c r="RF214" s="62"/>
      <c r="RG214" s="62"/>
      <c r="RH214" s="62"/>
      <c r="RI214" s="62"/>
      <c r="RJ214" s="62"/>
      <c r="RK214" s="62"/>
      <c r="RL214" s="62"/>
      <c r="RM214" s="62"/>
      <c r="RN214" s="62"/>
      <c r="RO214" s="62"/>
      <c r="RP214" s="62"/>
      <c r="RQ214" s="62"/>
      <c r="RR214" s="62"/>
      <c r="RS214" s="62"/>
      <c r="RT214" s="62"/>
      <c r="RU214" s="62"/>
      <c r="RV214" s="62"/>
      <c r="RW214" s="62"/>
      <c r="RX214" s="62"/>
      <c r="RY214" s="62"/>
      <c r="RZ214" s="62"/>
      <c r="SA214" s="62"/>
      <c r="SB214" s="62"/>
      <c r="SC214" s="62"/>
      <c r="SD214" s="62"/>
      <c r="SE214" s="62"/>
      <c r="SF214" s="62"/>
      <c r="SG214" s="62"/>
      <c r="SH214" s="62"/>
      <c r="SI214" s="62"/>
      <c r="SJ214" s="62"/>
      <c r="SK214" s="62"/>
      <c r="SL214" s="62"/>
      <c r="SM214" s="62"/>
      <c r="SN214" s="62"/>
      <c r="SO214" s="62"/>
      <c r="SP214" s="62"/>
      <c r="SQ214" s="62"/>
      <c r="SR214" s="62"/>
      <c r="SS214" s="62"/>
      <c r="ST214" s="62"/>
      <c r="SU214" s="62"/>
      <c r="SV214" s="62"/>
      <c r="SW214" s="62"/>
      <c r="SX214" s="62"/>
      <c r="SY214" s="62"/>
      <c r="SZ214" s="62"/>
      <c r="TA214" s="62"/>
      <c r="TB214" s="62"/>
      <c r="TC214" s="62"/>
      <c r="TD214" s="62"/>
      <c r="TE214" s="62"/>
      <c r="TF214" s="62"/>
      <c r="TG214" s="62"/>
      <c r="TH214" s="62"/>
    </row>
    <row r="215" spans="1:528" ht="15.6" customHeight="1">
      <c r="A215" s="62"/>
      <c r="B215" s="81" t="s">
        <v>689</v>
      </c>
      <c r="C215" s="3623"/>
      <c r="D215" s="3624"/>
      <c r="E215" s="3624"/>
      <c r="F215" s="3625"/>
      <c r="H215" s="691"/>
      <c r="I215" s="691"/>
      <c r="J215" s="691"/>
      <c r="K215" s="691"/>
      <c r="L215" s="692"/>
      <c r="M215" s="691"/>
      <c r="N215" s="691"/>
      <c r="O215" s="691"/>
      <c r="P215" s="691"/>
      <c r="Q215" s="691"/>
      <c r="R215" s="660"/>
      <c r="S215" s="3613"/>
      <c r="T215" s="3614"/>
      <c r="U215" s="3614"/>
      <c r="V215" s="3614"/>
      <c r="W215" s="3615"/>
      <c r="LF215" s="356"/>
      <c r="LK215" s="356"/>
      <c r="LP215" s="356"/>
      <c r="LU215" s="356"/>
      <c r="LV215" s="356"/>
      <c r="LW215" s="356"/>
      <c r="LX215" s="356"/>
      <c r="LY215" s="356"/>
      <c r="LZ215" s="356"/>
      <c r="MA215" s="356"/>
      <c r="MB215" s="356"/>
      <c r="MC215" s="356"/>
      <c r="MD215" s="356"/>
      <c r="ME215" s="356"/>
      <c r="MF215" s="356"/>
      <c r="MG215" s="356"/>
      <c r="MH215" s="356"/>
      <c r="MI215" s="356"/>
      <c r="MJ215" s="356"/>
      <c r="MK215" s="356"/>
      <c r="ML215" s="356"/>
      <c r="MM215" s="356"/>
      <c r="MN215" s="356"/>
      <c r="MO215" s="356"/>
      <c r="MP215" s="356"/>
      <c r="MW215" s="356"/>
      <c r="NM215" s="356"/>
      <c r="NN215" s="356"/>
      <c r="OZ215" s="2504">
        <v>211</v>
      </c>
      <c r="PR215" s="62"/>
      <c r="PS215" s="62"/>
      <c r="PT215" s="62"/>
      <c r="PU215" s="62"/>
      <c r="PV215" s="62"/>
      <c r="PW215" s="62"/>
      <c r="PX215" s="62"/>
      <c r="PY215" s="62"/>
      <c r="PZ215" s="62"/>
      <c r="QA215" s="62"/>
      <c r="QB215" s="62"/>
      <c r="QC215" s="62"/>
      <c r="QD215" s="62"/>
      <c r="QE215" s="62"/>
      <c r="QF215" s="62"/>
      <c r="QG215" s="62"/>
      <c r="QH215" s="62"/>
      <c r="QI215" s="62"/>
      <c r="QJ215" s="62"/>
      <c r="QK215" s="62"/>
      <c r="QL215" s="62"/>
      <c r="QM215" s="62"/>
      <c r="QN215" s="62"/>
      <c r="QO215" s="62"/>
      <c r="QP215" s="62"/>
      <c r="QQ215" s="62"/>
      <c r="QR215" s="62"/>
      <c r="QS215" s="62"/>
      <c r="QT215" s="62"/>
      <c r="QU215" s="62"/>
      <c r="QV215" s="62"/>
      <c r="QW215" s="62"/>
      <c r="QX215" s="62"/>
      <c r="QY215" s="62"/>
      <c r="QZ215" s="62"/>
      <c r="RA215" s="62"/>
      <c r="RB215" s="62"/>
      <c r="RC215" s="62"/>
      <c r="RD215" s="62"/>
      <c r="RE215" s="62"/>
      <c r="RF215" s="62"/>
      <c r="RG215" s="62"/>
      <c r="RH215" s="62"/>
      <c r="RI215" s="62"/>
      <c r="RJ215" s="62"/>
      <c r="RK215" s="62"/>
      <c r="RL215" s="62"/>
      <c r="RM215" s="62"/>
      <c r="RN215" s="62"/>
      <c r="RO215" s="62"/>
      <c r="RP215" s="62"/>
      <c r="RQ215" s="62"/>
      <c r="RR215" s="62"/>
      <c r="RS215" s="62"/>
      <c r="RT215" s="62"/>
      <c r="RU215" s="62"/>
      <c r="RV215" s="62"/>
      <c r="RW215" s="62"/>
      <c r="RX215" s="62"/>
      <c r="RY215" s="62"/>
      <c r="RZ215" s="62"/>
      <c r="SA215" s="62"/>
      <c r="SB215" s="62"/>
      <c r="SC215" s="62"/>
      <c r="SD215" s="62"/>
      <c r="SE215" s="62"/>
      <c r="SF215" s="62"/>
      <c r="SG215" s="62"/>
      <c r="SH215" s="62"/>
      <c r="SI215" s="62"/>
      <c r="SJ215" s="62"/>
      <c r="SK215" s="62"/>
      <c r="SL215" s="62"/>
      <c r="SM215" s="62"/>
      <c r="SN215" s="62"/>
      <c r="SO215" s="62"/>
      <c r="SP215" s="62"/>
      <c r="SQ215" s="62"/>
      <c r="SR215" s="62"/>
      <c r="SS215" s="62"/>
      <c r="ST215" s="62"/>
      <c r="SU215" s="62"/>
      <c r="SV215" s="62"/>
      <c r="SW215" s="62"/>
      <c r="SX215" s="62"/>
      <c r="SY215" s="62"/>
      <c r="SZ215" s="62"/>
      <c r="TA215" s="62"/>
      <c r="TB215" s="62"/>
      <c r="TC215" s="62"/>
      <c r="TD215" s="62"/>
      <c r="TE215" s="62"/>
      <c r="TF215" s="62"/>
      <c r="TG215" s="62"/>
      <c r="TH215" s="62"/>
    </row>
    <row r="216" spans="1:528" ht="15.6" customHeight="1">
      <c r="A216" s="62"/>
      <c r="B216" s="81"/>
      <c r="C216" s="81" t="s">
        <v>869</v>
      </c>
      <c r="D216" s="81"/>
      <c r="E216" s="81"/>
      <c r="F216" s="81"/>
      <c r="H216" s="693">
        <f>SUM(H214:H215)</f>
        <v>0</v>
      </c>
      <c r="I216" s="693">
        <f>SUM(I214:I215)</f>
        <v>0</v>
      </c>
      <c r="J216" s="693">
        <f t="shared" ref="J216:Q216" si="688">SUM(J214:J215)</f>
        <v>0</v>
      </c>
      <c r="K216" s="693">
        <f t="shared" si="688"/>
        <v>0</v>
      </c>
      <c r="L216" s="693">
        <f t="shared" si="688"/>
        <v>0</v>
      </c>
      <c r="M216" s="693">
        <f t="shared" si="688"/>
        <v>0</v>
      </c>
      <c r="N216" s="693">
        <f t="shared" si="688"/>
        <v>0</v>
      </c>
      <c r="O216" s="693">
        <f t="shared" si="688"/>
        <v>0</v>
      </c>
      <c r="P216" s="693">
        <f t="shared" si="688"/>
        <v>0</v>
      </c>
      <c r="Q216" s="693">
        <f t="shared" si="688"/>
        <v>0</v>
      </c>
      <c r="R216" s="90"/>
      <c r="S216" s="3580"/>
      <c r="T216" s="3581"/>
      <c r="U216" s="3581"/>
      <c r="V216" s="3581"/>
      <c r="W216" s="3582"/>
      <c r="LF216" s="356"/>
      <c r="LK216" s="356"/>
      <c r="LP216" s="356"/>
      <c r="LU216" s="356"/>
      <c r="LV216" s="356"/>
      <c r="LW216" s="356"/>
      <c r="LX216" s="356"/>
      <c r="LY216" s="356"/>
      <c r="LZ216" s="356"/>
      <c r="MA216" s="356"/>
      <c r="MB216" s="356"/>
      <c r="MC216" s="356"/>
      <c r="MD216" s="356"/>
      <c r="ME216" s="356"/>
      <c r="MF216" s="356"/>
      <c r="MG216" s="356"/>
      <c r="MH216" s="356"/>
      <c r="MI216" s="356"/>
      <c r="MJ216" s="356"/>
      <c r="MK216" s="356"/>
      <c r="ML216" s="356"/>
      <c r="MM216" s="356"/>
      <c r="MN216" s="356"/>
      <c r="MO216" s="356"/>
      <c r="MP216" s="356"/>
      <c r="MW216" s="356"/>
      <c r="NM216" s="356"/>
      <c r="NN216" s="356"/>
      <c r="OZ216" s="2504">
        <v>212</v>
      </c>
      <c r="PR216" s="62"/>
      <c r="PS216" s="62"/>
      <c r="PT216" s="62"/>
      <c r="PU216" s="62"/>
      <c r="PV216" s="62"/>
      <c r="PW216" s="62"/>
      <c r="PX216" s="62"/>
      <c r="PY216" s="62"/>
      <c r="PZ216" s="62"/>
      <c r="QA216" s="62"/>
      <c r="QB216" s="62"/>
      <c r="QC216" s="62"/>
      <c r="QD216" s="62"/>
      <c r="QE216" s="62"/>
      <c r="QF216" s="62"/>
      <c r="QG216" s="62"/>
      <c r="QH216" s="62"/>
      <c r="QI216" s="62"/>
      <c r="QJ216" s="62"/>
      <c r="QK216" s="62"/>
      <c r="QL216" s="62"/>
      <c r="QM216" s="62"/>
      <c r="QN216" s="62"/>
      <c r="QO216" s="62"/>
      <c r="QP216" s="62"/>
      <c r="QQ216" s="62"/>
      <c r="QR216" s="62"/>
      <c r="QS216" s="62"/>
      <c r="QT216" s="62"/>
      <c r="QU216" s="62"/>
      <c r="QV216" s="62"/>
      <c r="QW216" s="62"/>
      <c r="QX216" s="62"/>
      <c r="QY216" s="62"/>
      <c r="QZ216" s="62"/>
      <c r="RA216" s="62"/>
      <c r="RB216" s="62"/>
      <c r="RC216" s="62"/>
      <c r="RD216" s="62"/>
      <c r="RE216" s="62"/>
      <c r="RF216" s="62"/>
      <c r="RG216" s="62"/>
      <c r="RH216" s="62"/>
      <c r="RI216" s="62"/>
      <c r="RJ216" s="62"/>
      <c r="RK216" s="62"/>
      <c r="RL216" s="62"/>
      <c r="RM216" s="62"/>
      <c r="RN216" s="62"/>
      <c r="RO216" s="62"/>
      <c r="RP216" s="62"/>
      <c r="RQ216" s="62"/>
      <c r="RR216" s="62"/>
      <c r="RS216" s="62"/>
      <c r="RT216" s="62"/>
      <c r="RU216" s="62"/>
      <c r="RV216" s="62"/>
      <c r="RW216" s="62"/>
      <c r="RX216" s="62"/>
      <c r="RY216" s="62"/>
      <c r="RZ216" s="62"/>
      <c r="SA216" s="62"/>
      <c r="SB216" s="62"/>
      <c r="SC216" s="62"/>
      <c r="SD216" s="62"/>
      <c r="SE216" s="62"/>
      <c r="SF216" s="62"/>
      <c r="SG216" s="62"/>
      <c r="SH216" s="62"/>
      <c r="SI216" s="62"/>
      <c r="SJ216" s="62"/>
      <c r="SK216" s="62"/>
      <c r="SL216" s="62"/>
      <c r="SM216" s="62"/>
      <c r="SN216" s="62"/>
      <c r="SO216" s="62"/>
      <c r="SP216" s="62"/>
      <c r="SQ216" s="62"/>
      <c r="SR216" s="62"/>
      <c r="SS216" s="62"/>
      <c r="ST216" s="62"/>
      <c r="SU216" s="62"/>
      <c r="SV216" s="62"/>
      <c r="SW216" s="62"/>
      <c r="SX216" s="62"/>
      <c r="SY216" s="62"/>
      <c r="SZ216" s="62"/>
      <c r="TA216" s="62"/>
      <c r="TB216" s="62"/>
      <c r="TC216" s="62"/>
      <c r="TD216" s="62"/>
      <c r="TE216" s="62"/>
      <c r="TF216" s="62"/>
      <c r="TG216" s="62"/>
      <c r="TH216" s="62"/>
    </row>
    <row r="217" spans="1:528" ht="15.6" customHeight="1">
      <c r="A217" s="62"/>
      <c r="B217" s="694" t="s">
        <v>3100</v>
      </c>
      <c r="C217" s="68"/>
      <c r="D217" s="68"/>
      <c r="E217" s="68"/>
      <c r="F217" s="68"/>
      <c r="H217" s="695"/>
      <c r="I217" s="68"/>
      <c r="J217" s="68"/>
      <c r="K217" s="68"/>
      <c r="L217" s="68"/>
      <c r="M217" s="68"/>
      <c r="N217" s="68"/>
      <c r="O217" s="68"/>
      <c r="P217" s="68"/>
      <c r="Q217" s="68"/>
      <c r="R217" s="6"/>
      <c r="S217" s="72" t="str">
        <f>B217</f>
        <v>NOT Included in Mgt Fee:</v>
      </c>
      <c r="LF217" s="356"/>
      <c r="LK217" s="356"/>
      <c r="LP217" s="356"/>
      <c r="LU217" s="356"/>
      <c r="LV217" s="356"/>
      <c r="LW217" s="356"/>
      <c r="LX217" s="356"/>
      <c r="LY217" s="356"/>
      <c r="LZ217" s="356"/>
      <c r="MA217" s="356"/>
      <c r="MB217" s="356"/>
      <c r="MC217" s="356"/>
      <c r="MD217" s="356"/>
      <c r="ME217" s="356"/>
      <c r="MF217" s="356"/>
      <c r="MG217" s="356"/>
      <c r="MH217" s="356"/>
      <c r="MI217" s="356"/>
      <c r="MJ217" s="356"/>
      <c r="MK217" s="356"/>
      <c r="ML217" s="356"/>
      <c r="MM217" s="356"/>
      <c r="MN217" s="356"/>
      <c r="MO217" s="356"/>
      <c r="MP217" s="356"/>
      <c r="MW217" s="356"/>
      <c r="NM217" s="356"/>
      <c r="NN217" s="356"/>
      <c r="OZ217" s="2504">
        <v>213</v>
      </c>
      <c r="PR217" s="62"/>
      <c r="PS217" s="62"/>
      <c r="PT217" s="62"/>
      <c r="PU217" s="62"/>
      <c r="PV217" s="62"/>
      <c r="PW217" s="62"/>
      <c r="PX217" s="62"/>
      <c r="PY217" s="62"/>
      <c r="PZ217" s="62"/>
      <c r="QA217" s="62"/>
      <c r="QB217" s="62"/>
      <c r="QC217" s="62"/>
      <c r="QD217" s="62"/>
      <c r="QE217" s="62"/>
      <c r="QF217" s="62"/>
      <c r="QG217" s="62"/>
      <c r="QH217" s="62"/>
      <c r="QI217" s="62"/>
      <c r="QJ217" s="62"/>
      <c r="QK217" s="62"/>
      <c r="QL217" s="62"/>
      <c r="QM217" s="62"/>
      <c r="QN217" s="62"/>
      <c r="QO217" s="62"/>
      <c r="QP217" s="62"/>
      <c r="QQ217" s="62"/>
      <c r="QR217" s="62"/>
      <c r="QS217" s="62"/>
      <c r="QT217" s="62"/>
      <c r="QU217" s="62"/>
      <c r="QV217" s="62"/>
      <c r="QW217" s="62"/>
      <c r="QX217" s="62"/>
      <c r="QY217" s="62"/>
      <c r="QZ217" s="62"/>
      <c r="RA217" s="62"/>
      <c r="RB217" s="62"/>
      <c r="RC217" s="62"/>
      <c r="RD217" s="62"/>
      <c r="RE217" s="62"/>
      <c r="RF217" s="62"/>
      <c r="RG217" s="62"/>
      <c r="RH217" s="62"/>
      <c r="RI217" s="62"/>
      <c r="RJ217" s="62"/>
      <c r="RK217" s="62"/>
      <c r="RL217" s="62"/>
      <c r="RM217" s="62"/>
      <c r="RN217" s="62"/>
      <c r="RO217" s="62"/>
      <c r="RP217" s="62"/>
      <c r="RQ217" s="62"/>
      <c r="RR217" s="62"/>
      <c r="RS217" s="62"/>
      <c r="RT217" s="62"/>
      <c r="RU217" s="62"/>
      <c r="RV217" s="62"/>
      <c r="RW217" s="62"/>
      <c r="RX217" s="62"/>
      <c r="RY217" s="62"/>
      <c r="RZ217" s="62"/>
      <c r="SA217" s="62"/>
      <c r="SB217" s="62"/>
      <c r="SC217" s="62"/>
      <c r="SD217" s="62"/>
      <c r="SE217" s="62"/>
      <c r="SF217" s="62"/>
      <c r="SG217" s="62"/>
      <c r="SH217" s="62"/>
      <c r="SI217" s="62"/>
      <c r="SJ217" s="62"/>
      <c r="SK217" s="62"/>
      <c r="SL217" s="62"/>
      <c r="SM217" s="62"/>
      <c r="SN217" s="62"/>
      <c r="SO217" s="62"/>
      <c r="SP217" s="62"/>
      <c r="SQ217" s="62"/>
      <c r="SR217" s="62"/>
      <c r="SS217" s="62"/>
      <c r="ST217" s="62"/>
      <c r="SU217" s="62"/>
      <c r="SV217" s="62"/>
      <c r="SW217" s="62"/>
      <c r="SX217" s="62"/>
      <c r="SY217" s="62"/>
      <c r="SZ217" s="62"/>
      <c r="TA217" s="62"/>
      <c r="TB217" s="62"/>
      <c r="TC217" s="62"/>
      <c r="TD217" s="62"/>
      <c r="TE217" s="62"/>
      <c r="TF217" s="62"/>
      <c r="TG217" s="62"/>
      <c r="TH217" s="62"/>
    </row>
    <row r="218" spans="1:528" ht="15.6" customHeight="1">
      <c r="A218" s="62"/>
      <c r="B218" s="81" t="s">
        <v>497</v>
      </c>
      <c r="C218" s="81"/>
      <c r="D218" s="81"/>
      <c r="E218" s="81"/>
      <c r="F218" s="81"/>
      <c r="H218" s="689"/>
      <c r="I218" s="689"/>
      <c r="J218" s="689"/>
      <c r="K218" s="689"/>
      <c r="L218" s="690"/>
      <c r="M218" s="689"/>
      <c r="N218" s="689"/>
      <c r="O218" s="689"/>
      <c r="P218" s="689"/>
      <c r="Q218" s="689"/>
      <c r="R218" s="660"/>
      <c r="S218" s="3632"/>
      <c r="T218" s="3633"/>
      <c r="U218" s="3633"/>
      <c r="V218" s="3633"/>
      <c r="W218" s="3634"/>
      <c r="LF218" s="356"/>
      <c r="LK218" s="356"/>
      <c r="LP218" s="356"/>
      <c r="LU218" s="356"/>
      <c r="LV218" s="356"/>
      <c r="LW218" s="356"/>
      <c r="LX218" s="356"/>
      <c r="LY218" s="356"/>
      <c r="LZ218" s="356"/>
      <c r="MA218" s="356"/>
      <c r="MB218" s="356"/>
      <c r="MC218" s="356"/>
      <c r="MD218" s="356"/>
      <c r="ME218" s="356"/>
      <c r="MF218" s="356"/>
      <c r="MG218" s="356"/>
      <c r="MH218" s="356"/>
      <c r="MI218" s="356"/>
      <c r="MJ218" s="356"/>
      <c r="MK218" s="356"/>
      <c r="ML218" s="356"/>
      <c r="MM218" s="356"/>
      <c r="MN218" s="356"/>
      <c r="MO218" s="356"/>
      <c r="MP218" s="356"/>
      <c r="MW218" s="356"/>
      <c r="NM218" s="356"/>
      <c r="NN218" s="356"/>
      <c r="OZ218" s="2506">
        <v>214</v>
      </c>
      <c r="PR218" s="62"/>
      <c r="PS218" s="62"/>
      <c r="PT218" s="62"/>
      <c r="PU218" s="62"/>
      <c r="PV218" s="62"/>
      <c r="PW218" s="62"/>
      <c r="PX218" s="62"/>
      <c r="PY218" s="62"/>
      <c r="PZ218" s="62"/>
      <c r="QA218" s="62"/>
      <c r="QB218" s="62"/>
      <c r="QC218" s="62"/>
      <c r="QD218" s="62"/>
      <c r="QE218" s="62"/>
      <c r="QF218" s="62"/>
      <c r="QG218" s="62"/>
      <c r="QH218" s="62"/>
      <c r="QI218" s="62"/>
      <c r="QJ218" s="62"/>
      <c r="QK218" s="62"/>
      <c r="QL218" s="62"/>
      <c r="QM218" s="62"/>
      <c r="QN218" s="62"/>
      <c r="QO218" s="62"/>
      <c r="QP218" s="62"/>
      <c r="QQ218" s="62"/>
      <c r="QR218" s="62"/>
      <c r="QS218" s="62"/>
      <c r="QT218" s="62"/>
      <c r="QU218" s="62"/>
      <c r="QV218" s="62"/>
      <c r="QW218" s="62"/>
      <c r="QX218" s="62"/>
      <c r="QY218" s="62"/>
      <c r="QZ218" s="62"/>
      <c r="RA218" s="62"/>
      <c r="RB218" s="62"/>
      <c r="RC218" s="62"/>
      <c r="RD218" s="62"/>
      <c r="RE218" s="62"/>
      <c r="RF218" s="62"/>
      <c r="RG218" s="62"/>
      <c r="RH218" s="62"/>
      <c r="RI218" s="62"/>
      <c r="RJ218" s="62"/>
      <c r="RK218" s="62"/>
      <c r="RL218" s="62"/>
      <c r="RM218" s="62"/>
      <c r="RN218" s="62"/>
      <c r="RO218" s="62"/>
      <c r="RP218" s="62"/>
      <c r="RQ218" s="62"/>
      <c r="RR218" s="62"/>
      <c r="RS218" s="62"/>
      <c r="RT218" s="62"/>
      <c r="RU218" s="62"/>
      <c r="RV218" s="62"/>
      <c r="RW218" s="62"/>
      <c r="RX218" s="62"/>
      <c r="RY218" s="62"/>
      <c r="RZ218" s="62"/>
      <c r="SA218" s="62"/>
      <c r="SB218" s="62"/>
      <c r="SC218" s="62"/>
      <c r="SD218" s="62"/>
      <c r="SE218" s="62"/>
      <c r="SF218" s="62"/>
      <c r="SG218" s="62"/>
      <c r="SH218" s="62"/>
      <c r="SI218" s="62"/>
      <c r="SJ218" s="62"/>
      <c r="SK218" s="62"/>
      <c r="SL218" s="62"/>
      <c r="SM218" s="62"/>
      <c r="SN218" s="62"/>
      <c r="SO218" s="62"/>
      <c r="SP218" s="62"/>
      <c r="SQ218" s="62"/>
      <c r="SR218" s="62"/>
      <c r="SS218" s="62"/>
      <c r="ST218" s="62"/>
      <c r="SU218" s="62"/>
      <c r="SV218" s="62"/>
      <c r="SW218" s="62"/>
      <c r="SX218" s="62"/>
      <c r="SY218" s="62"/>
      <c r="SZ218" s="62"/>
      <c r="TA218" s="62"/>
      <c r="TB218" s="62"/>
      <c r="TC218" s="62"/>
      <c r="TD218" s="62"/>
      <c r="TE218" s="62"/>
      <c r="TF218" s="62"/>
      <c r="TG218" s="62"/>
      <c r="TH218" s="62"/>
    </row>
    <row r="219" spans="1:528" ht="15.6" customHeight="1">
      <c r="A219" s="62"/>
      <c r="B219" s="81" t="s">
        <v>689</v>
      </c>
      <c r="C219" s="3623"/>
      <c r="D219" s="3624"/>
      <c r="E219" s="3624"/>
      <c r="F219" s="3625"/>
      <c r="H219" s="691"/>
      <c r="I219" s="691"/>
      <c r="J219" s="691"/>
      <c r="K219" s="691"/>
      <c r="L219" s="692"/>
      <c r="M219" s="691"/>
      <c r="N219" s="691"/>
      <c r="O219" s="691"/>
      <c r="P219" s="691"/>
      <c r="Q219" s="691"/>
      <c r="R219" s="660"/>
      <c r="S219" s="3613"/>
      <c r="T219" s="3614"/>
      <c r="U219" s="3614"/>
      <c r="V219" s="3614"/>
      <c r="W219" s="3615"/>
      <c r="LF219" s="356"/>
      <c r="LK219" s="356"/>
      <c r="LP219" s="356"/>
      <c r="LU219" s="356"/>
      <c r="LV219" s="356"/>
      <c r="LW219" s="356"/>
      <c r="LX219" s="356"/>
      <c r="LY219" s="356"/>
      <c r="LZ219" s="356"/>
      <c r="MA219" s="356"/>
      <c r="MB219" s="356"/>
      <c r="MC219" s="356"/>
      <c r="MD219" s="356"/>
      <c r="ME219" s="356"/>
      <c r="MF219" s="356"/>
      <c r="MG219" s="356"/>
      <c r="MH219" s="356"/>
      <c r="MI219" s="356"/>
      <c r="MJ219" s="356"/>
      <c r="MK219" s="356"/>
      <c r="ML219" s="356"/>
      <c r="MM219" s="356"/>
      <c r="MN219" s="356"/>
      <c r="MO219" s="356"/>
      <c r="MP219" s="356"/>
      <c r="MW219" s="356"/>
      <c r="NM219" s="356"/>
      <c r="NN219" s="356"/>
      <c r="OZ219" s="2504">
        <v>215</v>
      </c>
      <c r="PR219" s="62"/>
      <c r="PS219" s="62"/>
      <c r="PT219" s="62"/>
      <c r="PU219" s="62"/>
      <c r="PV219" s="62"/>
      <c r="PW219" s="62"/>
      <c r="PX219" s="62"/>
      <c r="PY219" s="62"/>
      <c r="PZ219" s="62"/>
      <c r="QA219" s="62"/>
      <c r="QB219" s="62"/>
      <c r="QC219" s="62"/>
      <c r="QD219" s="62"/>
      <c r="QE219" s="62"/>
      <c r="QF219" s="62"/>
      <c r="QG219" s="62"/>
      <c r="QH219" s="62"/>
      <c r="QI219" s="62"/>
      <c r="QJ219" s="62"/>
      <c r="QK219" s="62"/>
      <c r="QL219" s="62"/>
      <c r="QM219" s="62"/>
      <c r="QN219" s="62"/>
      <c r="QO219" s="62"/>
      <c r="QP219" s="62"/>
      <c r="QQ219" s="62"/>
      <c r="QR219" s="62"/>
      <c r="QS219" s="62"/>
      <c r="QT219" s="62"/>
      <c r="QU219" s="62"/>
      <c r="QV219" s="62"/>
      <c r="QW219" s="62"/>
      <c r="QX219" s="62"/>
      <c r="QY219" s="62"/>
      <c r="QZ219" s="62"/>
      <c r="RA219" s="62"/>
      <c r="RB219" s="62"/>
      <c r="RC219" s="62"/>
      <c r="RD219" s="62"/>
      <c r="RE219" s="62"/>
      <c r="RF219" s="62"/>
      <c r="RG219" s="62"/>
      <c r="RH219" s="62"/>
      <c r="RI219" s="62"/>
      <c r="RJ219" s="62"/>
      <c r="RK219" s="62"/>
      <c r="RL219" s="62"/>
      <c r="RM219" s="62"/>
      <c r="RN219" s="62"/>
      <c r="RO219" s="62"/>
      <c r="RP219" s="62"/>
      <c r="RQ219" s="62"/>
      <c r="RR219" s="62"/>
      <c r="RS219" s="62"/>
      <c r="RT219" s="62"/>
      <c r="RU219" s="62"/>
      <c r="RV219" s="62"/>
      <c r="RW219" s="62"/>
      <c r="RX219" s="62"/>
      <c r="RY219" s="62"/>
      <c r="RZ219" s="62"/>
      <c r="SA219" s="62"/>
      <c r="SB219" s="62"/>
      <c r="SC219" s="62"/>
      <c r="SD219" s="62"/>
      <c r="SE219" s="62"/>
      <c r="SF219" s="62"/>
      <c r="SG219" s="62"/>
      <c r="SH219" s="62"/>
      <c r="SI219" s="62"/>
      <c r="SJ219" s="62"/>
      <c r="SK219" s="62"/>
      <c r="SL219" s="62"/>
      <c r="SM219" s="62"/>
      <c r="SN219" s="62"/>
      <c r="SO219" s="62"/>
      <c r="SP219" s="62"/>
      <c r="SQ219" s="62"/>
      <c r="SR219" s="62"/>
      <c r="SS219" s="62"/>
      <c r="ST219" s="62"/>
      <c r="SU219" s="62"/>
      <c r="SV219" s="62"/>
      <c r="SW219" s="62"/>
      <c r="SX219" s="62"/>
      <c r="SY219" s="62"/>
      <c r="SZ219" s="62"/>
      <c r="TA219" s="62"/>
      <c r="TB219" s="62"/>
      <c r="TC219" s="62"/>
      <c r="TD219" s="62"/>
      <c r="TE219" s="62"/>
      <c r="TF219" s="62"/>
      <c r="TG219" s="62"/>
      <c r="TH219" s="62"/>
    </row>
    <row r="220" spans="1:528" ht="15.6" customHeight="1">
      <c r="A220" s="62"/>
      <c r="B220" s="81"/>
      <c r="C220" s="81" t="s">
        <v>185</v>
      </c>
      <c r="D220" s="81"/>
      <c r="E220" s="81"/>
      <c r="F220" s="81"/>
      <c r="H220" s="693">
        <f>SUM(H218:H219)</f>
        <v>0</v>
      </c>
      <c r="I220" s="693">
        <f>SUM(I218:I219)</f>
        <v>0</v>
      </c>
      <c r="J220" s="693">
        <f t="shared" ref="J220:Q220" si="689">SUM(J218:J219)</f>
        <v>0</v>
      </c>
      <c r="K220" s="693">
        <f t="shared" si="689"/>
        <v>0</v>
      </c>
      <c r="L220" s="693">
        <f t="shared" si="689"/>
        <v>0</v>
      </c>
      <c r="M220" s="693">
        <f t="shared" si="689"/>
        <v>0</v>
      </c>
      <c r="N220" s="693">
        <f t="shared" si="689"/>
        <v>0</v>
      </c>
      <c r="O220" s="693">
        <f t="shared" si="689"/>
        <v>0</v>
      </c>
      <c r="P220" s="693">
        <f t="shared" si="689"/>
        <v>0</v>
      </c>
      <c r="Q220" s="693">
        <f t="shared" si="689"/>
        <v>0</v>
      </c>
      <c r="R220" s="90"/>
      <c r="S220" s="3580"/>
      <c r="T220" s="3581"/>
      <c r="U220" s="3581"/>
      <c r="V220" s="3581"/>
      <c r="W220" s="3582"/>
      <c r="LF220" s="356"/>
      <c r="LK220" s="356"/>
      <c r="LP220" s="356"/>
      <c r="LU220" s="356"/>
      <c r="LV220" s="356"/>
      <c r="LW220" s="356"/>
      <c r="LX220" s="356"/>
      <c r="LY220" s="356"/>
      <c r="LZ220" s="356"/>
      <c r="MA220" s="356"/>
      <c r="MB220" s="356"/>
      <c r="MC220" s="356"/>
      <c r="MD220" s="356"/>
      <c r="ME220" s="356"/>
      <c r="MF220" s="356"/>
      <c r="MG220" s="356"/>
      <c r="MH220" s="356"/>
      <c r="MI220" s="356"/>
      <c r="MJ220" s="356"/>
      <c r="MK220" s="356"/>
      <c r="ML220" s="356"/>
      <c r="MM220" s="356"/>
      <c r="MN220" s="356"/>
      <c r="MO220" s="356"/>
      <c r="MP220" s="356"/>
      <c r="MW220" s="356"/>
      <c r="NM220" s="356"/>
      <c r="NN220" s="356"/>
      <c r="OZ220" s="2503">
        <v>216</v>
      </c>
      <c r="PR220" s="62"/>
      <c r="PS220" s="62"/>
      <c r="PT220" s="62"/>
      <c r="PU220" s="62"/>
      <c r="PV220" s="62"/>
      <c r="PW220" s="62"/>
      <c r="PX220" s="62"/>
      <c r="PY220" s="62"/>
      <c r="PZ220" s="62"/>
      <c r="QA220" s="62"/>
      <c r="QB220" s="62"/>
      <c r="QC220" s="62"/>
      <c r="QD220" s="62"/>
      <c r="QE220" s="62"/>
      <c r="QF220" s="62"/>
      <c r="QG220" s="62"/>
      <c r="QH220" s="62"/>
      <c r="QI220" s="62"/>
      <c r="QJ220" s="62"/>
      <c r="QK220" s="62"/>
      <c r="QL220" s="62"/>
      <c r="QM220" s="62"/>
      <c r="QN220" s="62"/>
      <c r="QO220" s="62"/>
      <c r="QP220" s="62"/>
      <c r="QQ220" s="62"/>
      <c r="QR220" s="62"/>
      <c r="QS220" s="62"/>
      <c r="QT220" s="62"/>
      <c r="QU220" s="62"/>
      <c r="QV220" s="62"/>
      <c r="QW220" s="62"/>
      <c r="QX220" s="62"/>
      <c r="QY220" s="62"/>
      <c r="QZ220" s="62"/>
      <c r="RA220" s="62"/>
      <c r="RB220" s="62"/>
      <c r="RC220" s="62"/>
      <c r="RD220" s="62"/>
      <c r="RE220" s="62"/>
      <c r="RF220" s="62"/>
      <c r="RG220" s="62"/>
      <c r="RH220" s="62"/>
      <c r="RI220" s="62"/>
      <c r="RJ220" s="62"/>
      <c r="RK220" s="62"/>
      <c r="RL220" s="62"/>
      <c r="RM220" s="62"/>
      <c r="RN220" s="62"/>
      <c r="RO220" s="62"/>
      <c r="RP220" s="62"/>
      <c r="RQ220" s="62"/>
      <c r="RR220" s="62"/>
      <c r="RS220" s="62"/>
      <c r="RT220" s="62"/>
      <c r="RU220" s="62"/>
      <c r="RV220" s="62"/>
      <c r="RW220" s="62"/>
      <c r="RX220" s="62"/>
      <c r="RY220" s="62"/>
      <c r="RZ220" s="62"/>
      <c r="SA220" s="62"/>
      <c r="SB220" s="62"/>
      <c r="SC220" s="62"/>
      <c r="SD220" s="62"/>
      <c r="SE220" s="62"/>
      <c r="SF220" s="62"/>
      <c r="SG220" s="62"/>
      <c r="SH220" s="62"/>
      <c r="SI220" s="62"/>
      <c r="SJ220" s="62"/>
      <c r="SK220" s="62"/>
      <c r="SL220" s="62"/>
      <c r="SM220" s="62"/>
      <c r="SN220" s="62"/>
      <c r="SO220" s="62"/>
      <c r="SP220" s="62"/>
      <c r="SQ220" s="62"/>
      <c r="SR220" s="62"/>
      <c r="SS220" s="62"/>
      <c r="ST220" s="62"/>
      <c r="SU220" s="62"/>
      <c r="SV220" s="62"/>
      <c r="SW220" s="62"/>
      <c r="SX220" s="62"/>
      <c r="SY220" s="62"/>
      <c r="SZ220" s="62"/>
      <c r="TA220" s="62"/>
      <c r="TB220" s="62"/>
      <c r="TC220" s="62"/>
      <c r="TD220" s="62"/>
      <c r="TE220" s="62"/>
      <c r="TF220" s="62"/>
      <c r="TG220" s="62"/>
      <c r="TH220" s="62"/>
    </row>
    <row r="221" spans="1:528" ht="15.6" customHeight="1">
      <c r="A221" s="62"/>
      <c r="B221" s="399"/>
      <c r="C221" s="68"/>
      <c r="D221" s="68"/>
      <c r="E221" s="68"/>
      <c r="F221" s="68"/>
      <c r="H221" s="695"/>
      <c r="I221" s="68"/>
      <c r="J221" s="68"/>
      <c r="K221" s="68"/>
      <c r="L221" s="68"/>
      <c r="M221" s="68"/>
      <c r="N221" s="68"/>
      <c r="O221" s="68"/>
      <c r="P221" s="68"/>
      <c r="Q221" s="68"/>
      <c r="R221" s="6"/>
      <c r="LF221" s="356"/>
      <c r="LK221" s="356"/>
      <c r="LP221" s="356"/>
      <c r="LU221" s="356"/>
      <c r="LV221" s="356"/>
      <c r="LW221" s="356"/>
      <c r="LX221" s="356"/>
      <c r="LY221" s="356"/>
      <c r="LZ221" s="356"/>
      <c r="MA221" s="356"/>
      <c r="MB221" s="356"/>
      <c r="MC221" s="356"/>
      <c r="MD221" s="356"/>
      <c r="ME221" s="356"/>
      <c r="MF221" s="356"/>
      <c r="MG221" s="356"/>
      <c r="MH221" s="356"/>
      <c r="MI221" s="356"/>
      <c r="MJ221" s="356"/>
      <c r="MK221" s="356"/>
      <c r="ML221" s="356"/>
      <c r="MM221" s="356"/>
      <c r="MN221" s="356"/>
      <c r="MO221" s="356"/>
      <c r="MP221" s="356"/>
      <c r="MW221" s="356"/>
      <c r="NM221" s="356"/>
      <c r="NN221" s="356"/>
      <c r="OZ221" s="2504">
        <v>217</v>
      </c>
      <c r="PR221" s="62"/>
      <c r="PS221" s="62"/>
      <c r="PT221" s="62"/>
      <c r="PU221" s="62"/>
      <c r="PV221" s="62"/>
      <c r="PW221" s="62"/>
      <c r="PX221" s="62"/>
      <c r="PY221" s="62"/>
      <c r="PZ221" s="62"/>
      <c r="QA221" s="62"/>
      <c r="QB221" s="62"/>
      <c r="QC221" s="62"/>
      <c r="QD221" s="62"/>
      <c r="QE221" s="62"/>
      <c r="QF221" s="62"/>
      <c r="QG221" s="62"/>
      <c r="QH221" s="62"/>
      <c r="QI221" s="62"/>
      <c r="QJ221" s="62"/>
      <c r="QK221" s="62"/>
      <c r="QL221" s="62"/>
      <c r="QM221" s="62"/>
      <c r="QN221" s="62"/>
      <c r="QO221" s="62"/>
      <c r="QP221" s="62"/>
      <c r="QQ221" s="62"/>
      <c r="QR221" s="62"/>
      <c r="QS221" s="62"/>
      <c r="QT221" s="62"/>
      <c r="QU221" s="62"/>
      <c r="QV221" s="62"/>
      <c r="QW221" s="62"/>
      <c r="QX221" s="62"/>
      <c r="QY221" s="62"/>
      <c r="QZ221" s="62"/>
      <c r="RA221" s="62"/>
      <c r="RB221" s="62"/>
      <c r="RC221" s="62"/>
      <c r="RD221" s="62"/>
      <c r="RE221" s="62"/>
      <c r="RF221" s="62"/>
      <c r="RG221" s="62"/>
      <c r="RH221" s="62"/>
      <c r="RI221" s="62"/>
      <c r="RJ221" s="62"/>
      <c r="RK221" s="62"/>
      <c r="RL221" s="62"/>
      <c r="RM221" s="62"/>
      <c r="RN221" s="62"/>
      <c r="RO221" s="62"/>
      <c r="RP221" s="62"/>
      <c r="RQ221" s="62"/>
      <c r="RR221" s="62"/>
      <c r="RS221" s="62"/>
      <c r="RT221" s="62"/>
      <c r="RU221" s="62"/>
      <c r="RV221" s="62"/>
      <c r="RW221" s="62"/>
      <c r="RX221" s="62"/>
      <c r="RY221" s="62"/>
      <c r="RZ221" s="62"/>
      <c r="SA221" s="62"/>
      <c r="SB221" s="62"/>
      <c r="SC221" s="62"/>
      <c r="SD221" s="62"/>
      <c r="SE221" s="62"/>
      <c r="SF221" s="62"/>
      <c r="SG221" s="62"/>
      <c r="SH221" s="62"/>
      <c r="SI221" s="62"/>
      <c r="SJ221" s="62"/>
      <c r="SK221" s="62"/>
      <c r="SL221" s="62"/>
      <c r="SM221" s="62"/>
      <c r="SN221" s="62"/>
      <c r="SO221" s="62"/>
      <c r="SP221" s="62"/>
      <c r="SQ221" s="62"/>
      <c r="SR221" s="62"/>
      <c r="SS221" s="62"/>
      <c r="ST221" s="62"/>
      <c r="SU221" s="62"/>
      <c r="SV221" s="62"/>
      <c r="SW221" s="62"/>
      <c r="SX221" s="62"/>
      <c r="SY221" s="62"/>
      <c r="SZ221" s="62"/>
      <c r="TA221" s="62"/>
      <c r="TB221" s="62"/>
      <c r="TC221" s="62"/>
      <c r="TD221" s="62"/>
      <c r="TE221" s="62"/>
      <c r="TF221" s="62"/>
      <c r="TG221" s="62"/>
      <c r="TH221" s="62"/>
    </row>
    <row r="222" spans="1:528" ht="15.6" customHeight="1">
      <c r="A222" s="62"/>
      <c r="B222" s="686" t="s">
        <v>2105</v>
      </c>
      <c r="C222" s="68"/>
      <c r="D222" s="68"/>
      <c r="E222" s="68"/>
      <c r="F222" s="68"/>
      <c r="H222" s="687">
        <v>21</v>
      </c>
      <c r="I222" s="687">
        <v>22</v>
      </c>
      <c r="J222" s="687">
        <v>23</v>
      </c>
      <c r="K222" s="687">
        <v>24</v>
      </c>
      <c r="L222" s="687">
        <v>25</v>
      </c>
      <c r="M222" s="687">
        <v>26</v>
      </c>
      <c r="N222" s="687">
        <v>27</v>
      </c>
      <c r="O222" s="687">
        <v>28</v>
      </c>
      <c r="P222" s="687">
        <v>29</v>
      </c>
      <c r="Q222" s="687">
        <v>30</v>
      </c>
      <c r="R222" s="494"/>
      <c r="S222" s="107" t="s">
        <v>2402</v>
      </c>
      <c r="T222" s="72" t="str">
        <f>B222</f>
        <v>Included in Mgt Fee:</v>
      </c>
      <c r="LF222" s="356"/>
      <c r="LK222" s="356"/>
      <c r="LP222" s="356"/>
      <c r="LU222" s="356"/>
      <c r="LV222" s="356"/>
      <c r="LW222" s="356"/>
      <c r="LX222" s="356"/>
      <c r="LY222" s="356"/>
      <c r="LZ222" s="356"/>
      <c r="MA222" s="356"/>
      <c r="MB222" s="356"/>
      <c r="MC222" s="356"/>
      <c r="MD222" s="356"/>
      <c r="ME222" s="356"/>
      <c r="MF222" s="356"/>
      <c r="MG222" s="356"/>
      <c r="MH222" s="356"/>
      <c r="MI222" s="356"/>
      <c r="MJ222" s="356"/>
      <c r="MK222" s="356"/>
      <c r="ML222" s="356"/>
      <c r="MM222" s="356"/>
      <c r="MN222" s="356"/>
      <c r="MO222" s="356"/>
      <c r="MP222" s="356"/>
      <c r="MW222" s="356"/>
      <c r="NM222" s="356"/>
      <c r="NN222" s="356"/>
      <c r="OZ222" s="2504">
        <v>218</v>
      </c>
      <c r="PR222" s="62"/>
      <c r="PS222" s="62"/>
      <c r="PT222" s="62"/>
      <c r="PU222" s="62"/>
      <c r="PV222" s="62"/>
      <c r="PW222" s="62"/>
      <c r="PX222" s="62"/>
      <c r="PY222" s="62"/>
      <c r="PZ222" s="62"/>
      <c r="QA222" s="62"/>
      <c r="QB222" s="62"/>
      <c r="QC222" s="62"/>
      <c r="QD222" s="62"/>
      <c r="QE222" s="62"/>
      <c r="QF222" s="62"/>
      <c r="QG222" s="62"/>
      <c r="QH222" s="62"/>
      <c r="QI222" s="62"/>
      <c r="QJ222" s="62"/>
      <c r="QK222" s="62"/>
      <c r="QL222" s="62"/>
      <c r="QM222" s="62"/>
      <c r="QN222" s="62"/>
      <c r="QO222" s="62"/>
      <c r="QP222" s="62"/>
      <c r="QQ222" s="62"/>
      <c r="QR222" s="62"/>
      <c r="QS222" s="62"/>
      <c r="QT222" s="62"/>
      <c r="QU222" s="62"/>
      <c r="QV222" s="62"/>
      <c r="QW222" s="62"/>
      <c r="QX222" s="62"/>
      <c r="QY222" s="62"/>
      <c r="QZ222" s="62"/>
      <c r="RA222" s="62"/>
      <c r="RB222" s="62"/>
      <c r="RC222" s="62"/>
      <c r="RD222" s="62"/>
      <c r="RE222" s="62"/>
      <c r="RF222" s="62"/>
      <c r="RG222" s="62"/>
      <c r="RH222" s="62"/>
      <c r="RI222" s="62"/>
      <c r="RJ222" s="62"/>
      <c r="RK222" s="62"/>
      <c r="RL222" s="62"/>
      <c r="RM222" s="62"/>
      <c r="RN222" s="62"/>
      <c r="RO222" s="62"/>
      <c r="RP222" s="62"/>
      <c r="RQ222" s="62"/>
      <c r="RR222" s="62"/>
      <c r="RS222" s="62"/>
      <c r="RT222" s="62"/>
      <c r="RU222" s="62"/>
      <c r="RV222" s="62"/>
      <c r="RW222" s="62"/>
      <c r="RX222" s="62"/>
      <c r="RY222" s="62"/>
      <c r="RZ222" s="62"/>
      <c r="SA222" s="62"/>
      <c r="SB222" s="62"/>
      <c r="SC222" s="62"/>
      <c r="SD222" s="62"/>
      <c r="SE222" s="62"/>
      <c r="SF222" s="62"/>
      <c r="SG222" s="62"/>
      <c r="SH222" s="62"/>
      <c r="SI222" s="62"/>
      <c r="SJ222" s="62"/>
      <c r="SK222" s="62"/>
      <c r="SL222" s="62"/>
      <c r="SM222" s="62"/>
      <c r="SN222" s="62"/>
      <c r="SO222" s="62"/>
      <c r="SP222" s="62"/>
      <c r="SQ222" s="62"/>
      <c r="SR222" s="62"/>
      <c r="SS222" s="62"/>
      <c r="ST222" s="62"/>
      <c r="SU222" s="62"/>
      <c r="SV222" s="62"/>
      <c r="SW222" s="62"/>
      <c r="SX222" s="62"/>
      <c r="SY222" s="62"/>
      <c r="SZ222" s="62"/>
      <c r="TA222" s="62"/>
      <c r="TB222" s="62"/>
      <c r="TC222" s="62"/>
      <c r="TD222" s="62"/>
      <c r="TE222" s="62"/>
      <c r="TF222" s="62"/>
      <c r="TG222" s="62"/>
      <c r="TH222" s="62"/>
    </row>
    <row r="223" spans="1:528" ht="15.6" customHeight="1">
      <c r="A223" s="62"/>
      <c r="B223" s="81" t="s">
        <v>952</v>
      </c>
      <c r="C223" s="81"/>
      <c r="D223" s="81"/>
      <c r="E223" s="81"/>
      <c r="F223" s="81"/>
      <c r="H223" s="689"/>
      <c r="I223" s="689"/>
      <c r="J223" s="689"/>
      <c r="K223" s="689"/>
      <c r="L223" s="690"/>
      <c r="M223" s="689"/>
      <c r="N223" s="689"/>
      <c r="O223" s="689"/>
      <c r="P223" s="689"/>
      <c r="Q223" s="689"/>
      <c r="R223" s="660"/>
      <c r="S223" s="3632"/>
      <c r="T223" s="3633"/>
      <c r="U223" s="3633"/>
      <c r="V223" s="3633"/>
      <c r="W223" s="3634"/>
      <c r="LF223" s="356"/>
      <c r="LK223" s="356"/>
      <c r="LP223" s="356"/>
      <c r="LU223" s="356"/>
      <c r="LV223" s="356"/>
      <c r="LW223" s="356"/>
      <c r="LX223" s="356"/>
      <c r="LY223" s="356"/>
      <c r="LZ223" s="356"/>
      <c r="MA223" s="356"/>
      <c r="MB223" s="356"/>
      <c r="MC223" s="356"/>
      <c r="MD223" s="356"/>
      <c r="ME223" s="356"/>
      <c r="MF223" s="356"/>
      <c r="MG223" s="356"/>
      <c r="MH223" s="356"/>
      <c r="MI223" s="356"/>
      <c r="MJ223" s="356"/>
      <c r="MK223" s="356"/>
      <c r="ML223" s="356"/>
      <c r="MM223" s="356"/>
      <c r="MN223" s="356"/>
      <c r="MO223" s="356"/>
      <c r="MP223" s="356"/>
      <c r="MW223" s="356"/>
      <c r="NM223" s="356"/>
      <c r="NN223" s="356"/>
      <c r="OZ223" s="2504">
        <v>219</v>
      </c>
      <c r="PR223" s="62"/>
      <c r="PS223" s="62"/>
      <c r="PT223" s="62"/>
      <c r="PU223" s="62"/>
      <c r="PV223" s="62"/>
      <c r="PW223" s="62"/>
      <c r="PX223" s="62"/>
      <c r="PY223" s="62"/>
      <c r="PZ223" s="62"/>
      <c r="QA223" s="62"/>
      <c r="QB223" s="62"/>
      <c r="QC223" s="62"/>
      <c r="QD223" s="62"/>
      <c r="QE223" s="62"/>
      <c r="QF223" s="62"/>
      <c r="QG223" s="62"/>
      <c r="QH223" s="62"/>
      <c r="QI223" s="62"/>
      <c r="QJ223" s="62"/>
      <c r="QK223" s="62"/>
      <c r="QL223" s="62"/>
      <c r="QM223" s="62"/>
      <c r="QN223" s="62"/>
      <c r="QO223" s="62"/>
      <c r="QP223" s="62"/>
      <c r="QQ223" s="62"/>
      <c r="QR223" s="62"/>
      <c r="QS223" s="62"/>
      <c r="QT223" s="62"/>
      <c r="QU223" s="62"/>
      <c r="QV223" s="62"/>
      <c r="QW223" s="62"/>
      <c r="QX223" s="62"/>
      <c r="QY223" s="62"/>
      <c r="QZ223" s="62"/>
      <c r="RA223" s="62"/>
      <c r="RB223" s="62"/>
      <c r="RC223" s="62"/>
      <c r="RD223" s="62"/>
      <c r="RE223" s="62"/>
      <c r="RF223" s="62"/>
      <c r="RG223" s="62"/>
      <c r="RH223" s="62"/>
      <c r="RI223" s="62"/>
      <c r="RJ223" s="62"/>
      <c r="RK223" s="62"/>
      <c r="RL223" s="62"/>
      <c r="RM223" s="62"/>
      <c r="RN223" s="62"/>
      <c r="RO223" s="62"/>
      <c r="RP223" s="62"/>
      <c r="RQ223" s="62"/>
      <c r="RR223" s="62"/>
      <c r="RS223" s="62"/>
      <c r="RT223" s="62"/>
      <c r="RU223" s="62"/>
      <c r="RV223" s="62"/>
      <c r="RW223" s="62"/>
      <c r="RX223" s="62"/>
      <c r="RY223" s="62"/>
      <c r="RZ223" s="62"/>
      <c r="SA223" s="62"/>
      <c r="SB223" s="62"/>
      <c r="SC223" s="62"/>
      <c r="SD223" s="62"/>
      <c r="SE223" s="62"/>
      <c r="SF223" s="62"/>
      <c r="SG223" s="62"/>
      <c r="SH223" s="62"/>
      <c r="SI223" s="62"/>
      <c r="SJ223" s="62"/>
      <c r="SK223" s="62"/>
      <c r="SL223" s="62"/>
      <c r="SM223" s="62"/>
      <c r="SN223" s="62"/>
      <c r="SO223" s="62"/>
      <c r="SP223" s="62"/>
      <c r="SQ223" s="62"/>
      <c r="SR223" s="62"/>
      <c r="SS223" s="62"/>
      <c r="ST223" s="62"/>
      <c r="SU223" s="62"/>
      <c r="SV223" s="62"/>
      <c r="SW223" s="62"/>
      <c r="SX223" s="62"/>
      <c r="SY223" s="62"/>
      <c r="SZ223" s="62"/>
      <c r="TA223" s="62"/>
      <c r="TB223" s="62"/>
      <c r="TC223" s="62"/>
      <c r="TD223" s="62"/>
      <c r="TE223" s="62"/>
      <c r="TF223" s="62"/>
      <c r="TG223" s="62"/>
      <c r="TH223" s="62"/>
    </row>
    <row r="224" spans="1:528" ht="15.6" customHeight="1">
      <c r="A224" s="62"/>
      <c r="B224" s="81" t="s">
        <v>689</v>
      </c>
      <c r="C224" s="3623"/>
      <c r="D224" s="3624"/>
      <c r="E224" s="3624"/>
      <c r="F224" s="3625"/>
      <c r="H224" s="691"/>
      <c r="I224" s="691"/>
      <c r="J224" s="691"/>
      <c r="K224" s="691"/>
      <c r="L224" s="692"/>
      <c r="M224" s="691"/>
      <c r="N224" s="691"/>
      <c r="O224" s="691"/>
      <c r="P224" s="691"/>
      <c r="Q224" s="691"/>
      <c r="R224" s="660"/>
      <c r="S224" s="3613"/>
      <c r="T224" s="3614"/>
      <c r="U224" s="3614"/>
      <c r="V224" s="3614"/>
      <c r="W224" s="3615"/>
      <c r="LF224" s="356"/>
      <c r="LK224" s="356"/>
      <c r="LP224" s="356"/>
      <c r="LU224" s="356"/>
      <c r="LV224" s="356"/>
      <c r="LW224" s="356"/>
      <c r="LX224" s="356"/>
      <c r="LY224" s="356"/>
      <c r="LZ224" s="356"/>
      <c r="MA224" s="356"/>
      <c r="MB224" s="356"/>
      <c r="MC224" s="356"/>
      <c r="MD224" s="356"/>
      <c r="ME224" s="356"/>
      <c r="MF224" s="356"/>
      <c r="MG224" s="356"/>
      <c r="MH224" s="356"/>
      <c r="MI224" s="356"/>
      <c r="MJ224" s="356"/>
      <c r="MK224" s="356"/>
      <c r="ML224" s="356"/>
      <c r="MM224" s="356"/>
      <c r="MN224" s="356"/>
      <c r="MO224" s="356"/>
      <c r="MP224" s="356"/>
      <c r="MW224" s="356"/>
      <c r="NM224" s="356"/>
      <c r="NN224" s="356"/>
      <c r="OZ224" s="2504">
        <v>220</v>
      </c>
      <c r="PR224" s="62"/>
      <c r="PS224" s="62"/>
      <c r="PT224" s="62"/>
      <c r="PU224" s="62"/>
      <c r="PV224" s="62"/>
      <c r="PW224" s="62"/>
      <c r="PX224" s="62"/>
      <c r="PY224" s="62"/>
      <c r="PZ224" s="62"/>
      <c r="QA224" s="62"/>
      <c r="QB224" s="62"/>
      <c r="QC224" s="62"/>
      <c r="QD224" s="62"/>
      <c r="QE224" s="62"/>
      <c r="QF224" s="62"/>
      <c r="QG224" s="62"/>
      <c r="QH224" s="62"/>
      <c r="QI224" s="62"/>
      <c r="QJ224" s="62"/>
      <c r="QK224" s="62"/>
      <c r="QL224" s="62"/>
      <c r="QM224" s="62"/>
      <c r="QN224" s="62"/>
      <c r="QO224" s="62"/>
      <c r="QP224" s="62"/>
      <c r="QQ224" s="62"/>
      <c r="QR224" s="62"/>
      <c r="QS224" s="62"/>
      <c r="QT224" s="62"/>
      <c r="QU224" s="62"/>
      <c r="QV224" s="62"/>
      <c r="QW224" s="62"/>
      <c r="QX224" s="62"/>
      <c r="QY224" s="62"/>
      <c r="QZ224" s="62"/>
      <c r="RA224" s="62"/>
      <c r="RB224" s="62"/>
      <c r="RC224" s="62"/>
      <c r="RD224" s="62"/>
      <c r="RE224" s="62"/>
      <c r="RF224" s="62"/>
      <c r="RG224" s="62"/>
      <c r="RH224" s="62"/>
      <c r="RI224" s="62"/>
      <c r="RJ224" s="62"/>
      <c r="RK224" s="62"/>
      <c r="RL224" s="62"/>
      <c r="RM224" s="62"/>
      <c r="RN224" s="62"/>
      <c r="RO224" s="62"/>
      <c r="RP224" s="62"/>
      <c r="RQ224" s="62"/>
      <c r="RR224" s="62"/>
      <c r="RS224" s="62"/>
      <c r="RT224" s="62"/>
      <c r="RU224" s="62"/>
      <c r="RV224" s="62"/>
      <c r="RW224" s="62"/>
      <c r="RX224" s="62"/>
      <c r="RY224" s="62"/>
      <c r="RZ224" s="62"/>
      <c r="SA224" s="62"/>
      <c r="SB224" s="62"/>
      <c r="SC224" s="62"/>
      <c r="SD224" s="62"/>
      <c r="SE224" s="62"/>
      <c r="SF224" s="62"/>
      <c r="SG224" s="62"/>
      <c r="SH224" s="62"/>
      <c r="SI224" s="62"/>
      <c r="SJ224" s="62"/>
      <c r="SK224" s="62"/>
      <c r="SL224" s="62"/>
      <c r="SM224" s="62"/>
      <c r="SN224" s="62"/>
      <c r="SO224" s="62"/>
      <c r="SP224" s="62"/>
      <c r="SQ224" s="62"/>
      <c r="SR224" s="62"/>
      <c r="SS224" s="62"/>
      <c r="ST224" s="62"/>
      <c r="SU224" s="62"/>
      <c r="SV224" s="62"/>
      <c r="SW224" s="62"/>
      <c r="SX224" s="62"/>
      <c r="SY224" s="62"/>
      <c r="SZ224" s="62"/>
      <c r="TA224" s="62"/>
      <c r="TB224" s="62"/>
      <c r="TC224" s="62"/>
      <c r="TD224" s="62"/>
      <c r="TE224" s="62"/>
      <c r="TF224" s="62"/>
      <c r="TG224" s="62"/>
      <c r="TH224" s="62"/>
    </row>
    <row r="225" spans="1:528" ht="15.6" customHeight="1">
      <c r="A225" s="62"/>
      <c r="B225" s="81"/>
      <c r="C225" s="81" t="s">
        <v>869</v>
      </c>
      <c r="D225" s="81"/>
      <c r="E225" s="81"/>
      <c r="F225" s="81"/>
      <c r="H225" s="693">
        <f>SUM(H223:H224)</f>
        <v>0</v>
      </c>
      <c r="I225" s="693">
        <f>SUM(I223:I224)</f>
        <v>0</v>
      </c>
      <c r="J225" s="693">
        <f t="shared" ref="J225:Q225" si="690">SUM(J223:J224)</f>
        <v>0</v>
      </c>
      <c r="K225" s="693">
        <f t="shared" si="690"/>
        <v>0</v>
      </c>
      <c r="L225" s="693">
        <f t="shared" si="690"/>
        <v>0</v>
      </c>
      <c r="M225" s="693">
        <f t="shared" si="690"/>
        <v>0</v>
      </c>
      <c r="N225" s="693">
        <f t="shared" si="690"/>
        <v>0</v>
      </c>
      <c r="O225" s="693">
        <f t="shared" si="690"/>
        <v>0</v>
      </c>
      <c r="P225" s="693">
        <f t="shared" si="690"/>
        <v>0</v>
      </c>
      <c r="Q225" s="693">
        <f t="shared" si="690"/>
        <v>0</v>
      </c>
      <c r="R225" s="90"/>
      <c r="S225" s="3580"/>
      <c r="T225" s="3581"/>
      <c r="U225" s="3581"/>
      <c r="V225" s="3581"/>
      <c r="W225" s="3582"/>
      <c r="LF225" s="356"/>
      <c r="LK225" s="356"/>
      <c r="LP225" s="356"/>
      <c r="LU225" s="356"/>
      <c r="LV225" s="356"/>
      <c r="LW225" s="356"/>
      <c r="LX225" s="356"/>
      <c r="LY225" s="356"/>
      <c r="LZ225" s="356"/>
      <c r="MA225" s="356"/>
      <c r="MB225" s="356"/>
      <c r="MC225" s="356"/>
      <c r="MD225" s="356"/>
      <c r="ME225" s="356"/>
      <c r="MF225" s="356"/>
      <c r="MG225" s="356"/>
      <c r="MH225" s="356"/>
      <c r="MI225" s="356"/>
      <c r="MJ225" s="356"/>
      <c r="MK225" s="356"/>
      <c r="ML225" s="356"/>
      <c r="MM225" s="356"/>
      <c r="MN225" s="356"/>
      <c r="MO225" s="356"/>
      <c r="MP225" s="356"/>
      <c r="MW225" s="356"/>
      <c r="NM225" s="356"/>
      <c r="NN225" s="356"/>
      <c r="OZ225" s="2504">
        <v>221</v>
      </c>
      <c r="PR225" s="62"/>
      <c r="PS225" s="62"/>
      <c r="PT225" s="62"/>
      <c r="PU225" s="62"/>
      <c r="PV225" s="62"/>
      <c r="PW225" s="62"/>
      <c r="PX225" s="62"/>
      <c r="PY225" s="62"/>
      <c r="PZ225" s="62"/>
      <c r="QA225" s="62"/>
      <c r="QB225" s="62"/>
      <c r="QC225" s="62"/>
      <c r="QD225" s="62"/>
      <c r="QE225" s="62"/>
      <c r="QF225" s="62"/>
      <c r="QG225" s="62"/>
      <c r="QH225" s="62"/>
      <c r="QI225" s="62"/>
      <c r="QJ225" s="62"/>
      <c r="QK225" s="62"/>
      <c r="QL225" s="62"/>
      <c r="QM225" s="62"/>
      <c r="QN225" s="62"/>
      <c r="QO225" s="62"/>
      <c r="QP225" s="62"/>
      <c r="QQ225" s="62"/>
      <c r="QR225" s="62"/>
      <c r="QS225" s="62"/>
      <c r="QT225" s="62"/>
      <c r="QU225" s="62"/>
      <c r="QV225" s="62"/>
      <c r="QW225" s="62"/>
      <c r="QX225" s="62"/>
      <c r="QY225" s="62"/>
      <c r="QZ225" s="62"/>
      <c r="RA225" s="62"/>
      <c r="RB225" s="62"/>
      <c r="RC225" s="62"/>
      <c r="RD225" s="62"/>
      <c r="RE225" s="62"/>
      <c r="RF225" s="62"/>
      <c r="RG225" s="62"/>
      <c r="RH225" s="62"/>
      <c r="RI225" s="62"/>
      <c r="RJ225" s="62"/>
      <c r="RK225" s="62"/>
      <c r="RL225" s="62"/>
      <c r="RM225" s="62"/>
      <c r="RN225" s="62"/>
      <c r="RO225" s="62"/>
      <c r="RP225" s="62"/>
      <c r="RQ225" s="62"/>
      <c r="RR225" s="62"/>
      <c r="RS225" s="62"/>
      <c r="RT225" s="62"/>
      <c r="RU225" s="62"/>
      <c r="RV225" s="62"/>
      <c r="RW225" s="62"/>
      <c r="RX225" s="62"/>
      <c r="RY225" s="62"/>
      <c r="RZ225" s="62"/>
      <c r="SA225" s="62"/>
      <c r="SB225" s="62"/>
      <c r="SC225" s="62"/>
      <c r="SD225" s="62"/>
      <c r="SE225" s="62"/>
      <c r="SF225" s="62"/>
      <c r="SG225" s="62"/>
      <c r="SH225" s="62"/>
      <c r="SI225" s="62"/>
      <c r="SJ225" s="62"/>
      <c r="SK225" s="62"/>
      <c r="SL225" s="62"/>
      <c r="SM225" s="62"/>
      <c r="SN225" s="62"/>
      <c r="SO225" s="62"/>
      <c r="SP225" s="62"/>
      <c r="SQ225" s="62"/>
      <c r="SR225" s="62"/>
      <c r="SS225" s="62"/>
      <c r="ST225" s="62"/>
      <c r="SU225" s="62"/>
      <c r="SV225" s="62"/>
      <c r="SW225" s="62"/>
      <c r="SX225" s="62"/>
      <c r="SY225" s="62"/>
      <c r="SZ225" s="62"/>
      <c r="TA225" s="62"/>
      <c r="TB225" s="62"/>
      <c r="TC225" s="62"/>
      <c r="TD225" s="62"/>
      <c r="TE225" s="62"/>
      <c r="TF225" s="62"/>
      <c r="TG225" s="62"/>
      <c r="TH225" s="62"/>
    </row>
    <row r="226" spans="1:528" ht="15.6" customHeight="1">
      <c r="A226" s="62"/>
      <c r="B226" s="694" t="s">
        <v>3100</v>
      </c>
      <c r="C226" s="68"/>
      <c r="D226" s="68"/>
      <c r="E226" s="68"/>
      <c r="F226" s="68"/>
      <c r="H226" s="695"/>
      <c r="I226" s="68"/>
      <c r="J226" s="68"/>
      <c r="K226" s="68"/>
      <c r="L226" s="68"/>
      <c r="M226" s="68"/>
      <c r="N226" s="68"/>
      <c r="O226" s="68"/>
      <c r="P226" s="68"/>
      <c r="Q226" s="68"/>
      <c r="R226" s="6"/>
      <c r="S226" s="72" t="str">
        <f>B226</f>
        <v>NOT Included in Mgt Fee:</v>
      </c>
      <c r="LF226" s="356"/>
      <c r="LK226" s="356"/>
      <c r="LP226" s="356"/>
      <c r="LU226" s="356"/>
      <c r="LV226" s="356"/>
      <c r="LW226" s="356"/>
      <c r="LX226" s="356"/>
      <c r="LY226" s="356"/>
      <c r="LZ226" s="356"/>
      <c r="MA226" s="356"/>
      <c r="MB226" s="356"/>
      <c r="MC226" s="356"/>
      <c r="MD226" s="356"/>
      <c r="ME226" s="356"/>
      <c r="MF226" s="356"/>
      <c r="MG226" s="356"/>
      <c r="MH226" s="356"/>
      <c r="MI226" s="356"/>
      <c r="MJ226" s="356"/>
      <c r="MK226" s="356"/>
      <c r="ML226" s="356"/>
      <c r="MM226" s="356"/>
      <c r="MN226" s="356"/>
      <c r="MO226" s="356"/>
      <c r="MP226" s="356"/>
      <c r="MW226" s="356"/>
      <c r="NM226" s="356"/>
      <c r="NN226" s="356"/>
      <c r="OZ226" s="2506">
        <v>222</v>
      </c>
      <c r="PR226" s="62"/>
      <c r="PS226" s="62"/>
      <c r="PT226" s="62"/>
      <c r="PU226" s="62"/>
      <c r="PV226" s="62"/>
      <c r="PW226" s="62"/>
      <c r="PX226" s="62"/>
      <c r="PY226" s="62"/>
      <c r="PZ226" s="62"/>
      <c r="QA226" s="62"/>
      <c r="QB226" s="62"/>
      <c r="QC226" s="62"/>
      <c r="QD226" s="62"/>
      <c r="QE226" s="62"/>
      <c r="QF226" s="62"/>
      <c r="QG226" s="62"/>
      <c r="QH226" s="62"/>
      <c r="QI226" s="62"/>
      <c r="QJ226" s="62"/>
      <c r="QK226" s="62"/>
      <c r="QL226" s="62"/>
      <c r="QM226" s="62"/>
      <c r="QN226" s="62"/>
      <c r="QO226" s="62"/>
      <c r="QP226" s="62"/>
      <c r="QQ226" s="62"/>
      <c r="QR226" s="62"/>
      <c r="QS226" s="62"/>
      <c r="QT226" s="62"/>
      <c r="QU226" s="62"/>
      <c r="QV226" s="62"/>
      <c r="QW226" s="62"/>
      <c r="QX226" s="62"/>
      <c r="QY226" s="62"/>
      <c r="QZ226" s="62"/>
      <c r="RA226" s="62"/>
      <c r="RB226" s="62"/>
      <c r="RC226" s="62"/>
      <c r="RD226" s="62"/>
      <c r="RE226" s="62"/>
      <c r="RF226" s="62"/>
      <c r="RG226" s="62"/>
      <c r="RH226" s="62"/>
      <c r="RI226" s="62"/>
      <c r="RJ226" s="62"/>
      <c r="RK226" s="62"/>
      <c r="RL226" s="62"/>
      <c r="RM226" s="62"/>
      <c r="RN226" s="62"/>
      <c r="RO226" s="62"/>
      <c r="RP226" s="62"/>
      <c r="RQ226" s="62"/>
      <c r="RR226" s="62"/>
      <c r="RS226" s="62"/>
      <c r="RT226" s="62"/>
      <c r="RU226" s="62"/>
      <c r="RV226" s="62"/>
      <c r="RW226" s="62"/>
      <c r="RX226" s="62"/>
      <c r="RY226" s="62"/>
      <c r="RZ226" s="62"/>
      <c r="SA226" s="62"/>
      <c r="SB226" s="62"/>
      <c r="SC226" s="62"/>
      <c r="SD226" s="62"/>
      <c r="SE226" s="62"/>
      <c r="SF226" s="62"/>
      <c r="SG226" s="62"/>
      <c r="SH226" s="62"/>
      <c r="SI226" s="62"/>
      <c r="SJ226" s="62"/>
      <c r="SK226" s="62"/>
      <c r="SL226" s="62"/>
      <c r="SM226" s="62"/>
      <c r="SN226" s="62"/>
      <c r="SO226" s="62"/>
      <c r="SP226" s="62"/>
      <c r="SQ226" s="62"/>
      <c r="SR226" s="62"/>
      <c r="SS226" s="62"/>
      <c r="ST226" s="62"/>
      <c r="SU226" s="62"/>
      <c r="SV226" s="62"/>
      <c r="SW226" s="62"/>
      <c r="SX226" s="62"/>
      <c r="SY226" s="62"/>
      <c r="SZ226" s="62"/>
      <c r="TA226" s="62"/>
      <c r="TB226" s="62"/>
      <c r="TC226" s="62"/>
      <c r="TD226" s="62"/>
      <c r="TE226" s="62"/>
      <c r="TF226" s="62"/>
      <c r="TG226" s="62"/>
      <c r="TH226" s="62"/>
    </row>
    <row r="227" spans="1:528" ht="15.6" customHeight="1">
      <c r="A227" s="62"/>
      <c r="B227" s="81" t="s">
        <v>497</v>
      </c>
      <c r="C227" s="81"/>
      <c r="D227" s="81"/>
      <c r="E227" s="81"/>
      <c r="F227" s="81"/>
      <c r="H227" s="689"/>
      <c r="I227" s="689"/>
      <c r="J227" s="689"/>
      <c r="K227" s="689"/>
      <c r="L227" s="690"/>
      <c r="M227" s="689"/>
      <c r="N227" s="689"/>
      <c r="O227" s="689"/>
      <c r="P227" s="689"/>
      <c r="Q227" s="689"/>
      <c r="R227" s="660"/>
      <c r="S227" s="3632"/>
      <c r="T227" s="3633"/>
      <c r="U227" s="3633"/>
      <c r="V227" s="3633"/>
      <c r="W227" s="3634"/>
      <c r="LF227" s="356"/>
      <c r="LK227" s="356"/>
      <c r="LP227" s="356"/>
      <c r="LU227" s="356"/>
      <c r="LV227" s="356"/>
      <c r="LW227" s="356"/>
      <c r="LX227" s="356"/>
      <c r="LY227" s="356"/>
      <c r="LZ227" s="356"/>
      <c r="MA227" s="356"/>
      <c r="MB227" s="356"/>
      <c r="MC227" s="356"/>
      <c r="MD227" s="356"/>
      <c r="ME227" s="356"/>
      <c r="MF227" s="356"/>
      <c r="MG227" s="356"/>
      <c r="MH227" s="356"/>
      <c r="MI227" s="356"/>
      <c r="MJ227" s="356"/>
      <c r="MK227" s="356"/>
      <c r="ML227" s="356"/>
      <c r="MM227" s="356"/>
      <c r="MN227" s="356"/>
      <c r="MO227" s="356"/>
      <c r="MP227" s="356"/>
      <c r="MW227" s="356"/>
      <c r="NM227" s="356"/>
      <c r="NN227" s="356"/>
      <c r="OZ227" s="2504">
        <v>223</v>
      </c>
      <c r="PR227" s="62"/>
      <c r="PS227" s="62"/>
      <c r="PT227" s="62"/>
      <c r="PU227" s="62"/>
      <c r="PV227" s="62"/>
      <c r="PW227" s="62"/>
      <c r="PX227" s="62"/>
      <c r="PY227" s="62"/>
      <c r="PZ227" s="62"/>
      <c r="QA227" s="62"/>
      <c r="QB227" s="62"/>
      <c r="QC227" s="62"/>
      <c r="QD227" s="62"/>
      <c r="QE227" s="62"/>
      <c r="QF227" s="62"/>
      <c r="QG227" s="62"/>
      <c r="QH227" s="62"/>
      <c r="QI227" s="62"/>
      <c r="QJ227" s="62"/>
      <c r="QK227" s="62"/>
      <c r="QL227" s="62"/>
      <c r="QM227" s="62"/>
      <c r="QN227" s="62"/>
      <c r="QO227" s="62"/>
      <c r="QP227" s="62"/>
      <c r="QQ227" s="62"/>
      <c r="QR227" s="62"/>
      <c r="QS227" s="62"/>
      <c r="QT227" s="62"/>
      <c r="QU227" s="62"/>
      <c r="QV227" s="62"/>
      <c r="QW227" s="62"/>
      <c r="QX227" s="62"/>
      <c r="QY227" s="62"/>
      <c r="QZ227" s="62"/>
      <c r="RA227" s="62"/>
      <c r="RB227" s="62"/>
      <c r="RC227" s="62"/>
      <c r="RD227" s="62"/>
      <c r="RE227" s="62"/>
      <c r="RF227" s="62"/>
      <c r="RG227" s="62"/>
      <c r="RH227" s="62"/>
      <c r="RI227" s="62"/>
      <c r="RJ227" s="62"/>
      <c r="RK227" s="62"/>
      <c r="RL227" s="62"/>
      <c r="RM227" s="62"/>
      <c r="RN227" s="62"/>
      <c r="RO227" s="62"/>
      <c r="RP227" s="62"/>
      <c r="RQ227" s="62"/>
      <c r="RR227" s="62"/>
      <c r="RS227" s="62"/>
      <c r="RT227" s="62"/>
      <c r="RU227" s="62"/>
      <c r="RV227" s="62"/>
      <c r="RW227" s="62"/>
      <c r="RX227" s="62"/>
      <c r="RY227" s="62"/>
      <c r="RZ227" s="62"/>
      <c r="SA227" s="62"/>
      <c r="SB227" s="62"/>
      <c r="SC227" s="62"/>
      <c r="SD227" s="62"/>
      <c r="SE227" s="62"/>
      <c r="SF227" s="62"/>
      <c r="SG227" s="62"/>
      <c r="SH227" s="62"/>
      <c r="SI227" s="62"/>
      <c r="SJ227" s="62"/>
      <c r="SK227" s="62"/>
      <c r="SL227" s="62"/>
      <c r="SM227" s="62"/>
      <c r="SN227" s="62"/>
      <c r="SO227" s="62"/>
      <c r="SP227" s="62"/>
      <c r="SQ227" s="62"/>
      <c r="SR227" s="62"/>
      <c r="SS227" s="62"/>
      <c r="ST227" s="62"/>
      <c r="SU227" s="62"/>
      <c r="SV227" s="62"/>
      <c r="SW227" s="62"/>
      <c r="SX227" s="62"/>
      <c r="SY227" s="62"/>
      <c r="SZ227" s="62"/>
      <c r="TA227" s="62"/>
      <c r="TB227" s="62"/>
      <c r="TC227" s="62"/>
      <c r="TD227" s="62"/>
      <c r="TE227" s="62"/>
      <c r="TF227" s="62"/>
      <c r="TG227" s="62"/>
      <c r="TH227" s="62"/>
    </row>
    <row r="228" spans="1:528" ht="15.6" customHeight="1">
      <c r="A228" s="62"/>
      <c r="B228" s="81" t="s">
        <v>689</v>
      </c>
      <c r="C228" s="3623"/>
      <c r="D228" s="3624"/>
      <c r="E228" s="3624"/>
      <c r="F228" s="3625"/>
      <c r="H228" s="691"/>
      <c r="I228" s="691"/>
      <c r="J228" s="691"/>
      <c r="K228" s="691"/>
      <c r="L228" s="692"/>
      <c r="M228" s="691"/>
      <c r="N228" s="691"/>
      <c r="O228" s="691"/>
      <c r="P228" s="691"/>
      <c r="Q228" s="691"/>
      <c r="R228" s="660"/>
      <c r="S228" s="3613"/>
      <c r="T228" s="3614"/>
      <c r="U228" s="3614"/>
      <c r="V228" s="3614"/>
      <c r="W228" s="3615"/>
      <c r="LF228" s="356"/>
      <c r="LK228" s="356"/>
      <c r="LP228" s="356"/>
      <c r="LU228" s="356"/>
      <c r="LV228" s="356"/>
      <c r="LW228" s="356"/>
      <c r="LX228" s="356"/>
      <c r="LY228" s="356"/>
      <c r="LZ228" s="356"/>
      <c r="MA228" s="356"/>
      <c r="MB228" s="356"/>
      <c r="MC228" s="356"/>
      <c r="MD228" s="356"/>
      <c r="ME228" s="356"/>
      <c r="MF228" s="356"/>
      <c r="MG228" s="356"/>
      <c r="MH228" s="356"/>
      <c r="MI228" s="356"/>
      <c r="MJ228" s="356"/>
      <c r="MK228" s="356"/>
      <c r="ML228" s="356"/>
      <c r="MM228" s="356"/>
      <c r="MN228" s="356"/>
      <c r="MO228" s="356"/>
      <c r="MP228" s="356"/>
      <c r="MW228" s="356"/>
      <c r="NM228" s="356"/>
      <c r="NN228" s="356"/>
      <c r="OZ228" s="2503">
        <v>224</v>
      </c>
      <c r="PR228" s="62"/>
      <c r="PS228" s="62"/>
      <c r="PT228" s="62"/>
      <c r="PU228" s="62"/>
      <c r="PV228" s="62"/>
      <c r="PW228" s="62"/>
      <c r="PX228" s="62"/>
      <c r="PY228" s="62"/>
      <c r="PZ228" s="62"/>
      <c r="QA228" s="62"/>
      <c r="QB228" s="62"/>
      <c r="QC228" s="62"/>
      <c r="QD228" s="62"/>
      <c r="QE228" s="62"/>
      <c r="QF228" s="62"/>
      <c r="QG228" s="62"/>
      <c r="QH228" s="62"/>
      <c r="QI228" s="62"/>
      <c r="QJ228" s="62"/>
      <c r="QK228" s="62"/>
      <c r="QL228" s="62"/>
      <c r="QM228" s="62"/>
      <c r="QN228" s="62"/>
      <c r="QO228" s="62"/>
      <c r="QP228" s="62"/>
      <c r="QQ228" s="62"/>
      <c r="QR228" s="62"/>
      <c r="QS228" s="62"/>
      <c r="QT228" s="62"/>
      <c r="QU228" s="62"/>
      <c r="QV228" s="62"/>
      <c r="QW228" s="62"/>
      <c r="QX228" s="62"/>
      <c r="QY228" s="62"/>
      <c r="QZ228" s="62"/>
      <c r="RA228" s="62"/>
      <c r="RB228" s="62"/>
      <c r="RC228" s="62"/>
      <c r="RD228" s="62"/>
      <c r="RE228" s="62"/>
      <c r="RF228" s="62"/>
      <c r="RG228" s="62"/>
      <c r="RH228" s="62"/>
      <c r="RI228" s="62"/>
      <c r="RJ228" s="62"/>
      <c r="RK228" s="62"/>
      <c r="RL228" s="62"/>
      <c r="RM228" s="62"/>
      <c r="RN228" s="62"/>
      <c r="RO228" s="62"/>
      <c r="RP228" s="62"/>
      <c r="RQ228" s="62"/>
      <c r="RR228" s="62"/>
      <c r="RS228" s="62"/>
      <c r="RT228" s="62"/>
      <c r="RU228" s="62"/>
      <c r="RV228" s="62"/>
      <c r="RW228" s="62"/>
      <c r="RX228" s="62"/>
      <c r="RY228" s="62"/>
      <c r="RZ228" s="62"/>
      <c r="SA228" s="62"/>
      <c r="SB228" s="62"/>
      <c r="SC228" s="62"/>
      <c r="SD228" s="62"/>
      <c r="SE228" s="62"/>
      <c r="SF228" s="62"/>
      <c r="SG228" s="62"/>
      <c r="SH228" s="62"/>
      <c r="SI228" s="62"/>
      <c r="SJ228" s="62"/>
      <c r="SK228" s="62"/>
      <c r="SL228" s="62"/>
      <c r="SM228" s="62"/>
      <c r="SN228" s="62"/>
      <c r="SO228" s="62"/>
      <c r="SP228" s="62"/>
      <c r="SQ228" s="62"/>
      <c r="SR228" s="62"/>
      <c r="SS228" s="62"/>
      <c r="ST228" s="62"/>
      <c r="SU228" s="62"/>
      <c r="SV228" s="62"/>
      <c r="SW228" s="62"/>
      <c r="SX228" s="62"/>
      <c r="SY228" s="62"/>
      <c r="SZ228" s="62"/>
      <c r="TA228" s="62"/>
      <c r="TB228" s="62"/>
      <c r="TC228" s="62"/>
      <c r="TD228" s="62"/>
      <c r="TE228" s="62"/>
      <c r="TF228" s="62"/>
      <c r="TG228" s="62"/>
      <c r="TH228" s="62"/>
    </row>
    <row r="229" spans="1:528" ht="15.6" customHeight="1">
      <c r="A229" s="62"/>
      <c r="B229" s="81"/>
      <c r="C229" s="81" t="s">
        <v>185</v>
      </c>
      <c r="D229" s="81"/>
      <c r="E229" s="81"/>
      <c r="F229" s="81"/>
      <c r="H229" s="693">
        <f>SUM(H227:H228)</f>
        <v>0</v>
      </c>
      <c r="I229" s="693">
        <f>SUM(I227:I228)</f>
        <v>0</v>
      </c>
      <c r="J229" s="693">
        <f t="shared" ref="J229:Q229" si="691">SUM(J227:J228)</f>
        <v>0</v>
      </c>
      <c r="K229" s="693">
        <f t="shared" si="691"/>
        <v>0</v>
      </c>
      <c r="L229" s="693">
        <f t="shared" si="691"/>
        <v>0</v>
      </c>
      <c r="M229" s="693">
        <f t="shared" si="691"/>
        <v>0</v>
      </c>
      <c r="N229" s="693">
        <f t="shared" si="691"/>
        <v>0</v>
      </c>
      <c r="O229" s="693">
        <f t="shared" si="691"/>
        <v>0</v>
      </c>
      <c r="P229" s="693">
        <f t="shared" si="691"/>
        <v>0</v>
      </c>
      <c r="Q229" s="693">
        <f t="shared" si="691"/>
        <v>0</v>
      </c>
      <c r="R229" s="90"/>
      <c r="S229" s="3580"/>
      <c r="T229" s="3581"/>
      <c r="U229" s="3581"/>
      <c r="V229" s="3581"/>
      <c r="W229" s="3582"/>
      <c r="LF229" s="356"/>
      <c r="LK229" s="356"/>
      <c r="LP229" s="356"/>
      <c r="LU229" s="356"/>
      <c r="LV229" s="356"/>
      <c r="LW229" s="356"/>
      <c r="LX229" s="356"/>
      <c r="LY229" s="356"/>
      <c r="LZ229" s="356"/>
      <c r="MA229" s="356"/>
      <c r="MB229" s="356"/>
      <c r="MC229" s="356"/>
      <c r="MD229" s="356"/>
      <c r="ME229" s="356"/>
      <c r="MF229" s="356"/>
      <c r="MG229" s="356"/>
      <c r="MH229" s="356"/>
      <c r="MI229" s="356"/>
      <c r="MJ229" s="356"/>
      <c r="MK229" s="356"/>
      <c r="ML229" s="356"/>
      <c r="MM229" s="356"/>
      <c r="MN229" s="356"/>
      <c r="MO229" s="356"/>
      <c r="MP229" s="356"/>
      <c r="MW229" s="356"/>
      <c r="NM229" s="356"/>
      <c r="NN229" s="356"/>
      <c r="OZ229" s="2504">
        <v>225</v>
      </c>
      <c r="PR229" s="62"/>
      <c r="PS229" s="62"/>
      <c r="PT229" s="62"/>
      <c r="PU229" s="62"/>
      <c r="PV229" s="62"/>
      <c r="PW229" s="62"/>
      <c r="PX229" s="62"/>
      <c r="PY229" s="62"/>
      <c r="PZ229" s="62"/>
      <c r="QA229" s="62"/>
      <c r="QB229" s="62"/>
      <c r="QC229" s="62"/>
      <c r="QD229" s="62"/>
      <c r="QE229" s="62"/>
      <c r="QF229" s="62"/>
      <c r="QG229" s="62"/>
      <c r="QH229" s="62"/>
      <c r="QI229" s="62"/>
      <c r="QJ229" s="62"/>
      <c r="QK229" s="62"/>
      <c r="QL229" s="62"/>
      <c r="QM229" s="62"/>
      <c r="QN229" s="62"/>
      <c r="QO229" s="62"/>
      <c r="QP229" s="62"/>
      <c r="QQ229" s="62"/>
      <c r="QR229" s="62"/>
      <c r="QS229" s="62"/>
      <c r="QT229" s="62"/>
      <c r="QU229" s="62"/>
      <c r="QV229" s="62"/>
      <c r="QW229" s="62"/>
      <c r="QX229" s="62"/>
      <c r="QY229" s="62"/>
      <c r="QZ229" s="62"/>
      <c r="RA229" s="62"/>
      <c r="RB229" s="62"/>
      <c r="RC229" s="62"/>
      <c r="RD229" s="62"/>
      <c r="RE229" s="62"/>
      <c r="RF229" s="62"/>
      <c r="RG229" s="62"/>
      <c r="RH229" s="62"/>
      <c r="RI229" s="62"/>
      <c r="RJ229" s="62"/>
      <c r="RK229" s="62"/>
      <c r="RL229" s="62"/>
      <c r="RM229" s="62"/>
      <c r="RN229" s="62"/>
      <c r="RO229" s="62"/>
      <c r="RP229" s="62"/>
      <c r="RQ229" s="62"/>
      <c r="RR229" s="62"/>
      <c r="RS229" s="62"/>
      <c r="RT229" s="62"/>
      <c r="RU229" s="62"/>
      <c r="RV229" s="62"/>
      <c r="RW229" s="62"/>
      <c r="RX229" s="62"/>
      <c r="RY229" s="62"/>
      <c r="RZ229" s="62"/>
      <c r="SA229" s="62"/>
      <c r="SB229" s="62"/>
      <c r="SC229" s="62"/>
      <c r="SD229" s="62"/>
      <c r="SE229" s="62"/>
      <c r="SF229" s="62"/>
      <c r="SG229" s="62"/>
      <c r="SH229" s="62"/>
      <c r="SI229" s="62"/>
      <c r="SJ229" s="62"/>
      <c r="SK229" s="62"/>
      <c r="SL229" s="62"/>
      <c r="SM229" s="62"/>
      <c r="SN229" s="62"/>
      <c r="SO229" s="62"/>
      <c r="SP229" s="62"/>
      <c r="SQ229" s="62"/>
      <c r="SR229" s="62"/>
      <c r="SS229" s="62"/>
      <c r="ST229" s="62"/>
      <c r="SU229" s="62"/>
      <c r="SV229" s="62"/>
      <c r="SW229" s="62"/>
      <c r="SX229" s="62"/>
      <c r="SY229" s="62"/>
      <c r="SZ229" s="62"/>
      <c r="TA229" s="62"/>
      <c r="TB229" s="62"/>
      <c r="TC229" s="62"/>
      <c r="TD229" s="62"/>
      <c r="TE229" s="62"/>
      <c r="TF229" s="62"/>
      <c r="TG229" s="62"/>
      <c r="TH229" s="62"/>
    </row>
    <row r="230" spans="1:528" ht="15.6" customHeight="1">
      <c r="B230" s="399"/>
      <c r="C230" s="68"/>
      <c r="D230" s="68"/>
      <c r="E230" s="68"/>
      <c r="F230" s="68"/>
      <c r="H230" s="695"/>
      <c r="I230" s="68"/>
      <c r="J230" s="68"/>
      <c r="K230" s="68"/>
      <c r="L230" s="68"/>
      <c r="M230" s="68"/>
      <c r="N230" s="68"/>
      <c r="O230" s="68"/>
      <c r="P230" s="68"/>
      <c r="Q230" s="68"/>
      <c r="R230" s="6"/>
      <c r="OZ230" s="2504">
        <v>226</v>
      </c>
    </row>
    <row r="231" spans="1:528" ht="15.6" customHeight="1">
      <c r="B231" s="686" t="s">
        <v>2105</v>
      </c>
      <c r="C231" s="68"/>
      <c r="D231" s="68"/>
      <c r="E231" s="68"/>
      <c r="F231" s="68"/>
      <c r="H231" s="687">
        <v>31</v>
      </c>
      <c r="I231" s="687">
        <v>32</v>
      </c>
      <c r="J231" s="687">
        <v>33</v>
      </c>
      <c r="K231" s="687">
        <v>34</v>
      </c>
      <c r="L231" s="687">
        <v>35</v>
      </c>
      <c r="M231" s="68"/>
      <c r="N231" s="68"/>
      <c r="O231" s="68"/>
      <c r="P231" s="68"/>
      <c r="Q231" s="68"/>
      <c r="S231" s="107" t="s">
        <v>2402</v>
      </c>
      <c r="T231" s="72" t="str">
        <f>B231</f>
        <v>Included in Mgt Fee:</v>
      </c>
      <c r="OZ231" s="2503">
        <v>227</v>
      </c>
    </row>
    <row r="232" spans="1:528" ht="15.6" customHeight="1">
      <c r="B232" s="81" t="s">
        <v>952</v>
      </c>
      <c r="C232" s="81"/>
      <c r="D232" s="81"/>
      <c r="E232" s="81"/>
      <c r="F232" s="81"/>
      <c r="H232" s="689"/>
      <c r="I232" s="689"/>
      <c r="J232" s="689"/>
      <c r="K232" s="689"/>
      <c r="L232" s="690"/>
      <c r="M232" s="68"/>
      <c r="N232" s="68"/>
      <c r="O232" s="68"/>
      <c r="P232" s="68"/>
      <c r="Q232" s="68"/>
      <c r="R232" s="6"/>
      <c r="S232" s="3632"/>
      <c r="T232" s="3633"/>
      <c r="U232" s="3633"/>
      <c r="V232" s="3633"/>
      <c r="W232" s="3634"/>
      <c r="OZ232" s="2504">
        <v>228</v>
      </c>
    </row>
    <row r="233" spans="1:528" ht="15.6" customHeight="1">
      <c r="B233" s="81" t="s">
        <v>689</v>
      </c>
      <c r="C233" s="3623"/>
      <c r="D233" s="3624"/>
      <c r="E233" s="3624"/>
      <c r="F233" s="3625"/>
      <c r="H233" s="691"/>
      <c r="I233" s="691"/>
      <c r="J233" s="691"/>
      <c r="K233" s="691"/>
      <c r="L233" s="692"/>
      <c r="M233" s="68"/>
      <c r="N233" s="68"/>
      <c r="O233" s="68"/>
      <c r="P233" s="68"/>
      <c r="Q233" s="68"/>
      <c r="R233" s="6"/>
      <c r="S233" s="3613"/>
      <c r="T233" s="3614"/>
      <c r="U233" s="3614"/>
      <c r="V233" s="3614"/>
      <c r="W233" s="3615"/>
      <c r="OZ233" s="2504">
        <v>229</v>
      </c>
    </row>
    <row r="234" spans="1:528" ht="15.6" customHeight="1">
      <c r="B234" s="81"/>
      <c r="C234" s="81" t="s">
        <v>869</v>
      </c>
      <c r="D234" s="81"/>
      <c r="E234" s="81"/>
      <c r="F234" s="81"/>
      <c r="H234" s="693">
        <f>SUM(H232:H233)</f>
        <v>0</v>
      </c>
      <c r="I234" s="693">
        <f>SUM(I232:I233)</f>
        <v>0</v>
      </c>
      <c r="J234" s="693">
        <f>SUM(J232:J233)</f>
        <v>0</v>
      </c>
      <c r="K234" s="693">
        <f>SUM(K232:K233)</f>
        <v>0</v>
      </c>
      <c r="L234" s="693">
        <f>SUM(L232:L233)</f>
        <v>0</v>
      </c>
      <c r="M234" s="68"/>
      <c r="N234" s="68"/>
      <c r="O234" s="68"/>
      <c r="P234" s="68"/>
      <c r="Q234" s="68"/>
      <c r="R234" s="6"/>
      <c r="S234" s="3580"/>
      <c r="T234" s="3581"/>
      <c r="U234" s="3581"/>
      <c r="V234" s="3581"/>
      <c r="W234" s="3582"/>
      <c r="OZ234" s="2504">
        <v>230</v>
      </c>
    </row>
    <row r="235" spans="1:528" ht="15.6" customHeight="1">
      <c r="B235" s="694" t="s">
        <v>3100</v>
      </c>
      <c r="C235" s="68"/>
      <c r="D235" s="68"/>
      <c r="E235" s="68"/>
      <c r="F235" s="68"/>
      <c r="H235" s="695"/>
      <c r="I235" s="68"/>
      <c r="J235" s="68"/>
      <c r="K235" s="68"/>
      <c r="L235" s="68"/>
      <c r="M235" s="68"/>
      <c r="N235" s="68"/>
      <c r="O235" s="68"/>
      <c r="P235" s="68"/>
      <c r="Q235" s="68"/>
      <c r="R235" s="6"/>
      <c r="S235" s="72" t="str">
        <f>B235</f>
        <v>NOT Included in Mgt Fee:</v>
      </c>
      <c r="OZ235" s="2504">
        <v>231</v>
      </c>
    </row>
    <row r="236" spans="1:528" ht="15.6" customHeight="1">
      <c r="B236" s="81" t="s">
        <v>497</v>
      </c>
      <c r="C236" s="81"/>
      <c r="D236" s="81"/>
      <c r="E236" s="81"/>
      <c r="F236" s="81"/>
      <c r="H236" s="689"/>
      <c r="I236" s="689"/>
      <c r="J236" s="689"/>
      <c r="K236" s="689"/>
      <c r="L236" s="690"/>
      <c r="M236" s="68"/>
      <c r="N236" s="68"/>
      <c r="O236" s="68"/>
      <c r="P236" s="68"/>
      <c r="Q236" s="68"/>
      <c r="R236" s="6"/>
      <c r="S236" s="3632"/>
      <c r="T236" s="3633"/>
      <c r="U236" s="3633"/>
      <c r="V236" s="3633"/>
      <c r="W236" s="3634"/>
      <c r="OZ236" s="2504">
        <v>232</v>
      </c>
    </row>
    <row r="237" spans="1:528" ht="15.6" customHeight="1">
      <c r="B237" s="81" t="s">
        <v>689</v>
      </c>
      <c r="C237" s="3623"/>
      <c r="D237" s="3624"/>
      <c r="E237" s="3624"/>
      <c r="F237" s="3625"/>
      <c r="H237" s="691"/>
      <c r="I237" s="691"/>
      <c r="J237" s="691"/>
      <c r="K237" s="691"/>
      <c r="L237" s="692"/>
      <c r="M237" s="68"/>
      <c r="N237" s="68"/>
      <c r="O237" s="68"/>
      <c r="P237" s="68"/>
      <c r="Q237" s="68"/>
      <c r="R237" s="6"/>
      <c r="S237" s="3613"/>
      <c r="T237" s="3614"/>
      <c r="U237" s="3614"/>
      <c r="V237" s="3614"/>
      <c r="W237" s="3615"/>
      <c r="OZ237" s="2506">
        <v>233</v>
      </c>
    </row>
    <row r="238" spans="1:528" ht="15.6" customHeight="1">
      <c r="B238" s="81"/>
      <c r="C238" s="81" t="s">
        <v>185</v>
      </c>
      <c r="D238" s="81"/>
      <c r="E238" s="81"/>
      <c r="F238" s="81"/>
      <c r="H238" s="693">
        <f>SUM(H236:H237)</f>
        <v>0</v>
      </c>
      <c r="I238" s="693">
        <f>SUM(I236:I237)</f>
        <v>0</v>
      </c>
      <c r="J238" s="693">
        <f>SUM(J236:J237)</f>
        <v>0</v>
      </c>
      <c r="K238" s="693">
        <f>SUM(K236:K237)</f>
        <v>0</v>
      </c>
      <c r="L238" s="693">
        <f>SUM(L236:L237)</f>
        <v>0</v>
      </c>
      <c r="M238" s="68"/>
      <c r="N238" s="68"/>
      <c r="O238" s="68"/>
      <c r="P238" s="68"/>
      <c r="Q238" s="68"/>
      <c r="R238" s="6"/>
      <c r="S238" s="3580"/>
      <c r="T238" s="3581"/>
      <c r="U238" s="3581"/>
      <c r="V238" s="3581"/>
      <c r="W238" s="3582"/>
      <c r="OZ238" s="2504">
        <v>234</v>
      </c>
    </row>
    <row r="239" spans="1:528" ht="2.25" customHeight="1">
      <c r="B239" s="10"/>
      <c r="F239" s="27"/>
      <c r="G239" s="27"/>
      <c r="Q239" s="6"/>
      <c r="R239" s="6"/>
      <c r="OZ239" s="2503">
        <v>235</v>
      </c>
    </row>
    <row r="240" spans="1:528" s="69" customFormat="1" ht="11.25" customHeight="1">
      <c r="A240" s="4" t="s">
        <v>1663</v>
      </c>
      <c r="B240" s="2" t="s">
        <v>954</v>
      </c>
      <c r="C240" s="2"/>
      <c r="D240" s="2"/>
      <c r="E240" s="2"/>
      <c r="F240" s="2"/>
      <c r="G240" s="2"/>
      <c r="H240" s="2"/>
      <c r="I240" s="2"/>
      <c r="J240" s="2"/>
      <c r="K240" s="2"/>
      <c r="L240" s="2"/>
      <c r="M240" s="1"/>
      <c r="N240" s="11"/>
      <c r="O240" s="5"/>
      <c r="P240" s="5"/>
      <c r="Q240" s="1"/>
      <c r="R240" s="1"/>
      <c r="S240" s="4" t="str">
        <f>B240</f>
        <v>ANNUAL OPERATING EXPENSE BUDGET</v>
      </c>
      <c r="T240" s="62"/>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358"/>
      <c r="JX240" s="358"/>
      <c r="JY240" s="358"/>
      <c r="JZ240" s="358"/>
      <c r="KA240" s="358"/>
      <c r="KB240" s="358"/>
      <c r="KC240" s="358"/>
      <c r="KD240" s="358"/>
      <c r="KE240" s="358"/>
      <c r="KF240" s="358"/>
      <c r="KG240" s="358"/>
      <c r="KH240" s="358"/>
      <c r="KI240" s="358"/>
      <c r="KJ240" s="358"/>
      <c r="KK240" s="358"/>
      <c r="KL240" s="358"/>
      <c r="KM240" s="358"/>
      <c r="KN240" s="358"/>
      <c r="KO240" s="358"/>
      <c r="KP240" s="358"/>
      <c r="KQ240" s="358"/>
      <c r="KR240" s="358"/>
      <c r="KS240" s="358"/>
      <c r="KT240" s="358"/>
      <c r="KU240" s="358"/>
      <c r="KV240" s="358"/>
      <c r="KW240" s="358"/>
      <c r="KX240" s="358"/>
      <c r="KY240" s="358"/>
      <c r="KZ240" s="358"/>
      <c r="LA240" s="358"/>
      <c r="LB240" s="358"/>
      <c r="LC240" s="358"/>
      <c r="LD240" s="358"/>
      <c r="LE240" s="358"/>
      <c r="LF240" s="1784"/>
      <c r="LG240" s="358"/>
      <c r="LH240" s="358"/>
      <c r="LI240" s="358"/>
      <c r="LJ240" s="358"/>
      <c r="LK240" s="1784"/>
      <c r="LL240" s="358"/>
      <c r="LM240" s="358"/>
      <c r="LN240" s="358"/>
      <c r="LO240" s="358"/>
      <c r="LP240" s="1784"/>
      <c r="LQ240" s="358"/>
      <c r="LR240" s="358"/>
      <c r="LS240" s="358"/>
      <c r="LT240" s="358"/>
      <c r="LU240" s="1784"/>
      <c r="LV240" s="1784"/>
      <c r="LW240" s="1784"/>
      <c r="LX240" s="1784"/>
      <c r="LY240" s="1784"/>
      <c r="LZ240" s="1784"/>
      <c r="MA240" s="1784"/>
      <c r="MB240" s="1784"/>
      <c r="MC240" s="1784"/>
      <c r="MD240" s="1784"/>
      <c r="ME240" s="1784"/>
      <c r="MF240" s="1784"/>
      <c r="MG240" s="1784"/>
      <c r="MH240" s="1784"/>
      <c r="MI240" s="1784"/>
      <c r="MJ240" s="1784"/>
      <c r="MK240" s="1784"/>
      <c r="ML240" s="1784"/>
      <c r="MM240" s="1784"/>
      <c r="MN240" s="1784"/>
      <c r="MO240" s="1784"/>
      <c r="MP240" s="1784"/>
      <c r="MQ240" s="358"/>
      <c r="MR240" s="358"/>
      <c r="MS240" s="358"/>
      <c r="MT240" s="358"/>
      <c r="MU240" s="358"/>
      <c r="MV240" s="358"/>
      <c r="MW240" s="1639"/>
      <c r="MX240" s="358"/>
      <c r="MY240" s="358"/>
      <c r="MZ240" s="358"/>
      <c r="NA240" s="358"/>
      <c r="NB240" s="358"/>
      <c r="NC240" s="358"/>
      <c r="ND240" s="358"/>
      <c r="NE240" s="358"/>
      <c r="NF240" s="358"/>
      <c r="NG240" s="358"/>
      <c r="NH240" s="358"/>
      <c r="NI240" s="358"/>
      <c r="NJ240" s="358"/>
      <c r="NK240" s="358"/>
      <c r="NL240" s="358"/>
      <c r="NM240" s="1639"/>
      <c r="NN240" s="1639"/>
      <c r="NO240" s="358"/>
      <c r="NP240" s="358"/>
      <c r="NQ240" s="358"/>
      <c r="NR240" s="358"/>
      <c r="NS240" s="358"/>
      <c r="NT240" s="358"/>
      <c r="NU240" s="358"/>
      <c r="NV240" s="358"/>
      <c r="NW240" s="358"/>
      <c r="NX240" s="358"/>
      <c r="NY240" s="358"/>
      <c r="NZ240" s="358"/>
      <c r="OA240" s="358"/>
      <c r="OB240" s="358"/>
      <c r="OC240" s="358"/>
      <c r="OD240" s="358"/>
      <c r="OE240" s="358"/>
      <c r="OF240" s="358"/>
      <c r="OG240" s="358"/>
      <c r="OH240" s="358"/>
      <c r="OI240" s="358"/>
      <c r="OJ240" s="358"/>
      <c r="OK240" s="358"/>
      <c r="OL240" s="358"/>
      <c r="OM240" s="358"/>
      <c r="ON240" s="358"/>
      <c r="OO240" s="358"/>
      <c r="OP240" s="358"/>
      <c r="OQ240" s="358"/>
      <c r="OR240" s="358"/>
      <c r="OS240" s="358"/>
      <c r="OT240" s="358"/>
      <c r="OU240" s="358"/>
      <c r="OV240" s="72"/>
      <c r="OW240" s="72"/>
      <c r="OX240" s="72"/>
      <c r="OY240" s="2499"/>
      <c r="OZ240" s="2504">
        <v>236</v>
      </c>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c r="RZ240" s="72"/>
      <c r="SA240" s="72"/>
      <c r="SB240" s="72"/>
      <c r="SC240" s="72"/>
      <c r="SD240" s="72"/>
      <c r="SE240" s="72"/>
      <c r="SF240" s="72"/>
      <c r="SG240" s="72"/>
      <c r="SH240" s="72"/>
      <c r="SI240" s="72"/>
      <c r="SJ240" s="72"/>
      <c r="SK240" s="72"/>
      <c r="SL240" s="72"/>
      <c r="SM240" s="72"/>
      <c r="SN240" s="72"/>
      <c r="SO240" s="72"/>
      <c r="SP240" s="72"/>
      <c r="SQ240" s="72"/>
      <c r="SR240" s="72"/>
      <c r="SS240" s="72"/>
      <c r="ST240" s="72"/>
      <c r="SU240" s="72"/>
      <c r="SV240" s="72"/>
      <c r="SW240" s="72"/>
      <c r="SX240" s="72"/>
      <c r="SY240" s="72"/>
      <c r="SZ240" s="72"/>
      <c r="TA240" s="72"/>
      <c r="TB240" s="72"/>
      <c r="TC240" s="72"/>
      <c r="TD240" s="72"/>
      <c r="TE240" s="72"/>
      <c r="TF240" s="72"/>
      <c r="TG240" s="72"/>
      <c r="TH240" s="72"/>
    </row>
    <row r="241" spans="1:528" s="69" customFormat="1" ht="11.25" customHeight="1" thickBot="1">
      <c r="A241" s="1"/>
      <c r="B241" s="2"/>
      <c r="C241" s="2"/>
      <c r="D241" s="2"/>
      <c r="E241" s="2"/>
      <c r="F241" s="2"/>
      <c r="G241" s="2"/>
      <c r="H241" s="2"/>
      <c r="I241" s="2"/>
      <c r="J241" s="2"/>
      <c r="K241" s="2"/>
      <c r="L241" s="1"/>
      <c r="M241" s="1"/>
      <c r="N241" s="1"/>
      <c r="O241" s="1"/>
      <c r="P241" s="1"/>
      <c r="Q241" s="1"/>
      <c r="R241" s="1"/>
      <c r="S241" s="67" t="s">
        <v>1705</v>
      </c>
      <c r="T241" s="67"/>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358"/>
      <c r="JX241" s="358"/>
      <c r="JY241" s="358"/>
      <c r="JZ241" s="358"/>
      <c r="KA241" s="358"/>
      <c r="KB241" s="358"/>
      <c r="KC241" s="358"/>
      <c r="KD241" s="358"/>
      <c r="KE241" s="358"/>
      <c r="KF241" s="358"/>
      <c r="KG241" s="358"/>
      <c r="KH241" s="358"/>
      <c r="KI241" s="358"/>
      <c r="KJ241" s="358"/>
      <c r="KK241" s="358"/>
      <c r="KL241" s="358"/>
      <c r="KM241" s="358"/>
      <c r="KN241" s="358"/>
      <c r="KO241" s="358"/>
      <c r="KP241" s="358"/>
      <c r="KQ241" s="358"/>
      <c r="KR241" s="358"/>
      <c r="KS241" s="358"/>
      <c r="KT241" s="358"/>
      <c r="KU241" s="358"/>
      <c r="KV241" s="358"/>
      <c r="KW241" s="358"/>
      <c r="KX241" s="358"/>
      <c r="KY241" s="358"/>
      <c r="KZ241" s="358"/>
      <c r="LA241" s="358"/>
      <c r="LB241" s="358"/>
      <c r="LC241" s="358"/>
      <c r="LD241" s="358"/>
      <c r="LE241" s="358"/>
      <c r="LF241" s="1784"/>
      <c r="LG241" s="358"/>
      <c r="LH241" s="358"/>
      <c r="LI241" s="358"/>
      <c r="LJ241" s="358"/>
      <c r="LK241" s="1784"/>
      <c r="LL241" s="358"/>
      <c r="LM241" s="358"/>
      <c r="LN241" s="358"/>
      <c r="LO241" s="358"/>
      <c r="LP241" s="1784"/>
      <c r="LQ241" s="358"/>
      <c r="LR241" s="358"/>
      <c r="LS241" s="358"/>
      <c r="LT241" s="358"/>
      <c r="LU241" s="1784"/>
      <c r="LV241" s="1784"/>
      <c r="LW241" s="1784"/>
      <c r="LX241" s="1784"/>
      <c r="LY241" s="1784"/>
      <c r="LZ241" s="1784"/>
      <c r="MA241" s="1784"/>
      <c r="MB241" s="1784"/>
      <c r="MC241" s="1784"/>
      <c r="MD241" s="1784"/>
      <c r="ME241" s="1784"/>
      <c r="MF241" s="1784"/>
      <c r="MG241" s="1784"/>
      <c r="MH241" s="1784"/>
      <c r="MI241" s="1784"/>
      <c r="MJ241" s="1784"/>
      <c r="MK241" s="1784"/>
      <c r="ML241" s="1784"/>
      <c r="MM241" s="1784"/>
      <c r="MN241" s="1784"/>
      <c r="MO241" s="1784"/>
      <c r="MP241" s="1784"/>
      <c r="MQ241" s="358"/>
      <c r="MR241" s="358"/>
      <c r="MS241" s="358"/>
      <c r="MT241" s="358"/>
      <c r="MU241" s="358"/>
      <c r="MV241" s="358"/>
      <c r="MW241" s="1639"/>
      <c r="MX241" s="358"/>
      <c r="MY241" s="358"/>
      <c r="MZ241" s="358"/>
      <c r="NA241" s="358"/>
      <c r="NB241" s="358"/>
      <c r="NC241" s="358"/>
      <c r="ND241" s="358"/>
      <c r="NE241" s="358"/>
      <c r="NF241" s="358"/>
      <c r="NG241" s="358"/>
      <c r="NH241" s="358"/>
      <c r="NI241" s="358"/>
      <c r="NJ241" s="358"/>
      <c r="NK241" s="358"/>
      <c r="NL241" s="358"/>
      <c r="NM241" s="1639"/>
      <c r="NN241" s="1639"/>
      <c r="NO241" s="358"/>
      <c r="NP241" s="358"/>
      <c r="NQ241" s="358"/>
      <c r="NR241" s="358"/>
      <c r="NS241" s="358"/>
      <c r="NT241" s="358"/>
      <c r="NU241" s="358"/>
      <c r="NV241" s="358"/>
      <c r="NW241" s="358"/>
      <c r="NX241" s="358"/>
      <c r="NY241" s="358"/>
      <c r="NZ241" s="358"/>
      <c r="OA241" s="358"/>
      <c r="OB241" s="358"/>
      <c r="OC241" s="358"/>
      <c r="OD241" s="358"/>
      <c r="OE241" s="358"/>
      <c r="OF241" s="358"/>
      <c r="OG241" s="358"/>
      <c r="OH241" s="358"/>
      <c r="OI241" s="358"/>
      <c r="OJ241" s="358"/>
      <c r="OK241" s="358"/>
      <c r="OL241" s="358"/>
      <c r="OM241" s="358"/>
      <c r="ON241" s="358"/>
      <c r="OO241" s="358"/>
      <c r="OP241" s="358"/>
      <c r="OQ241" s="358"/>
      <c r="OR241" s="358"/>
      <c r="OS241" s="358"/>
      <c r="OT241" s="358"/>
      <c r="OU241" s="358"/>
      <c r="OV241" s="72"/>
      <c r="OW241" s="72"/>
      <c r="OX241" s="72"/>
      <c r="OY241" s="2499"/>
      <c r="OZ241" s="2504">
        <v>237</v>
      </c>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c r="RZ241" s="72"/>
      <c r="SA241" s="72"/>
      <c r="SB241" s="72"/>
      <c r="SC241" s="72"/>
      <c r="SD241" s="72"/>
      <c r="SE241" s="72"/>
      <c r="SF241" s="72"/>
      <c r="SG241" s="72"/>
      <c r="SH241" s="72"/>
      <c r="SI241" s="72"/>
      <c r="SJ241" s="72"/>
      <c r="SK241" s="72"/>
      <c r="SL241" s="72"/>
      <c r="SM241" s="72"/>
      <c r="SN241" s="72"/>
      <c r="SO241" s="72"/>
      <c r="SP241" s="72"/>
      <c r="SQ241" s="72"/>
      <c r="SR241" s="72"/>
      <c r="SS241" s="72"/>
      <c r="ST241" s="72"/>
      <c r="SU241" s="72"/>
      <c r="SV241" s="72"/>
      <c r="SW241" s="72"/>
      <c r="SX241" s="72"/>
      <c r="SY241" s="72"/>
      <c r="SZ241" s="72"/>
      <c r="TA241" s="72"/>
      <c r="TB241" s="72"/>
      <c r="TC241" s="72"/>
      <c r="TD241" s="72"/>
      <c r="TE241" s="72"/>
      <c r="TF241" s="72"/>
      <c r="TG241" s="72"/>
      <c r="TH241" s="72"/>
    </row>
    <row r="242" spans="1:528" s="69" customFormat="1" ht="16.5" customHeight="1" thickBot="1">
      <c r="A242" s="1"/>
      <c r="B242" s="4" t="s">
        <v>1211</v>
      </c>
      <c r="C242" s="1"/>
      <c r="D242" s="1"/>
      <c r="E242" s="1"/>
      <c r="F242"/>
      <c r="G242"/>
      <c r="H242" s="2480" t="s">
        <v>1430</v>
      </c>
      <c r="I242" s="4" t="s">
        <v>1297</v>
      </c>
      <c r="K242" s="1"/>
      <c r="L242" s="1"/>
      <c r="M242" s="1"/>
      <c r="N242" s="2480" t="s">
        <v>1430</v>
      </c>
      <c r="O242" s="4" t="s">
        <v>1300</v>
      </c>
      <c r="P242" s="1"/>
      <c r="Q242" s="326">
        <f>IF(OR('Part VI-Pro Forma'!$B$22 = "Choose Mgt Fee",'Part VI-Pro Forma'!$B$22 = "Choose One!"), 0,- 'Part VI-Pro Forma'!$B$22)</f>
        <v>149474</v>
      </c>
      <c r="R242" s="1"/>
      <c r="S242" s="3632"/>
      <c r="T242" s="3633"/>
      <c r="U242" s="3633"/>
      <c r="V242" s="3633"/>
      <c r="W242" s="363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358"/>
      <c r="JX242" s="358"/>
      <c r="JY242" s="358"/>
      <c r="JZ242" s="358"/>
      <c r="KA242" s="358"/>
      <c r="KB242" s="358"/>
      <c r="KC242" s="358"/>
      <c r="KD242" s="358"/>
      <c r="KE242" s="358"/>
      <c r="KF242" s="358"/>
      <c r="KG242" s="358"/>
      <c r="KH242" s="358"/>
      <c r="KI242" s="358"/>
      <c r="KJ242" s="358"/>
      <c r="KK242" s="358"/>
      <c r="KL242" s="358"/>
      <c r="KM242" s="358"/>
      <c r="KN242" s="358"/>
      <c r="KO242" s="358"/>
      <c r="KP242" s="358"/>
      <c r="KQ242" s="358"/>
      <c r="KR242" s="358"/>
      <c r="KS242" s="358"/>
      <c r="KT242" s="358"/>
      <c r="KU242" s="358"/>
      <c r="KV242" s="358"/>
      <c r="KW242" s="358"/>
      <c r="KX242" s="358"/>
      <c r="KY242" s="358"/>
      <c r="KZ242" s="358"/>
      <c r="LA242" s="358"/>
      <c r="LB242" s="358"/>
      <c r="LC242" s="358"/>
      <c r="LD242" s="358"/>
      <c r="LE242" s="358"/>
      <c r="LF242" s="1784"/>
      <c r="LG242" s="358"/>
      <c r="LH242" s="358"/>
      <c r="LI242" s="358"/>
      <c r="LJ242" s="358"/>
      <c r="LK242" s="1784"/>
      <c r="LL242" s="358"/>
      <c r="LM242" s="358"/>
      <c r="LN242" s="358"/>
      <c r="LO242" s="358"/>
      <c r="LP242" s="1784"/>
      <c r="LQ242" s="358"/>
      <c r="LR242" s="358"/>
      <c r="LS242" s="358"/>
      <c r="LT242" s="358"/>
      <c r="LU242" s="1784"/>
      <c r="LV242" s="1784"/>
      <c r="LW242" s="1784"/>
      <c r="LX242" s="1784"/>
      <c r="LY242" s="1784"/>
      <c r="LZ242" s="1784"/>
      <c r="MA242" s="1784"/>
      <c r="MB242" s="1784"/>
      <c r="MC242" s="1784"/>
      <c r="MD242" s="1784"/>
      <c r="ME242" s="1784"/>
      <c r="MF242" s="1784"/>
      <c r="MG242" s="1784"/>
      <c r="MH242" s="1784"/>
      <c r="MI242" s="1784"/>
      <c r="MJ242" s="1784"/>
      <c r="MK242" s="1784"/>
      <c r="ML242" s="1784"/>
      <c r="MM242" s="1784"/>
      <c r="MN242" s="1784"/>
      <c r="MO242" s="1784"/>
      <c r="MP242" s="1784"/>
      <c r="MQ242" s="358"/>
      <c r="MR242" s="358"/>
      <c r="MS242" s="358"/>
      <c r="MT242" s="358"/>
      <c r="MU242" s="358"/>
      <c r="MV242" s="358"/>
      <c r="MW242" s="1639"/>
      <c r="MX242" s="358"/>
      <c r="MY242" s="358"/>
      <c r="MZ242" s="358"/>
      <c r="NA242" s="358"/>
      <c r="NB242" s="358"/>
      <c r="NC242" s="358"/>
      <c r="ND242" s="358"/>
      <c r="NE242" s="358"/>
      <c r="NF242" s="358"/>
      <c r="NG242" s="358"/>
      <c r="NH242" s="358"/>
      <c r="NI242" s="358"/>
      <c r="NJ242" s="358"/>
      <c r="NK242" s="358"/>
      <c r="NL242" s="358"/>
      <c r="NM242" s="1639"/>
      <c r="NN242" s="1639"/>
      <c r="NO242" s="358"/>
      <c r="NP242" s="358"/>
      <c r="NQ242" s="358"/>
      <c r="NR242" s="358"/>
      <c r="NS242" s="358"/>
      <c r="NT242" s="358"/>
      <c r="NU242" s="358"/>
      <c r="NV242" s="358"/>
      <c r="NW242" s="358"/>
      <c r="NX242" s="358"/>
      <c r="NY242" s="358"/>
      <c r="NZ242" s="358"/>
      <c r="OA242" s="358"/>
      <c r="OB242" s="358"/>
      <c r="OC242" s="358"/>
      <c r="OD242" s="358"/>
      <c r="OE242" s="358"/>
      <c r="OF242" s="358"/>
      <c r="OG242" s="358"/>
      <c r="OH242" s="358"/>
      <c r="OI242" s="358"/>
      <c r="OJ242" s="358"/>
      <c r="OK242" s="358"/>
      <c r="OL242" s="358"/>
      <c r="OM242" s="358"/>
      <c r="ON242" s="358"/>
      <c r="OO242" s="358"/>
      <c r="OP242" s="358"/>
      <c r="OQ242" s="358"/>
      <c r="OR242" s="358"/>
      <c r="OS242" s="358"/>
      <c r="OT242" s="358"/>
      <c r="OU242" s="358"/>
      <c r="OV242" s="72"/>
      <c r="OW242" s="72"/>
      <c r="OX242" s="72"/>
      <c r="OY242" s="2499"/>
      <c r="OZ242" s="2503">
        <v>238</v>
      </c>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c r="RZ242" s="72"/>
      <c r="SA242" s="72"/>
      <c r="SB242" s="72"/>
      <c r="SC242" s="72"/>
      <c r="SD242" s="72"/>
      <c r="SE242" s="72"/>
      <c r="SF242" s="72"/>
      <c r="SG242" s="72"/>
      <c r="SH242" s="72"/>
      <c r="SI242" s="72"/>
      <c r="SJ242" s="72"/>
      <c r="SK242" s="72"/>
      <c r="SL242" s="72"/>
      <c r="SM242" s="72"/>
      <c r="SN242" s="72"/>
      <c r="SO242" s="72"/>
      <c r="SP242" s="72"/>
      <c r="SQ242" s="72"/>
      <c r="SR242" s="72"/>
      <c r="SS242" s="72"/>
      <c r="ST242" s="72"/>
      <c r="SU242" s="72"/>
      <c r="SV242" s="72"/>
      <c r="SW242" s="72"/>
      <c r="SX242" s="72"/>
      <c r="SY242" s="72"/>
      <c r="SZ242" s="72"/>
      <c r="TA242" s="72"/>
      <c r="TB242" s="72"/>
      <c r="TC242" s="72"/>
      <c r="TD242" s="72"/>
      <c r="TE242" s="72"/>
      <c r="TF242" s="72"/>
      <c r="TG242" s="72"/>
      <c r="TH242" s="72"/>
    </row>
    <row r="243" spans="1:528" s="69" customFormat="1" ht="16.5" customHeight="1">
      <c r="A243" s="1"/>
      <c r="B243" s="1" t="s">
        <v>2030</v>
      </c>
      <c r="C243" s="1"/>
      <c r="D243" s="1"/>
      <c r="E243" s="1"/>
      <c r="F243" s="3674">
        <v>120180</v>
      </c>
      <c r="G243" s="3673"/>
      <c r="H243" s="2479">
        <f>IF(OR(F243="",F243=0),"",F243/$E$58)</f>
        <v>751.125</v>
      </c>
      <c r="I243" s="1" t="s">
        <v>1298</v>
      </c>
      <c r="K243" s="1"/>
      <c r="L243" s="3674"/>
      <c r="M243" s="3673"/>
      <c r="N243" s="2479" t="str">
        <f>IF(OR(L243="",L243=0),"",L243/$E$58)</f>
        <v/>
      </c>
      <c r="O243" s="318">
        <f>+Q242/(P76*0.93)</f>
        <v>1004.5295698924731</v>
      </c>
      <c r="P243" s="42" t="s">
        <v>2476</v>
      </c>
      <c r="Q243" s="1"/>
      <c r="R243" s="660"/>
      <c r="S243" s="3613"/>
      <c r="T243" s="3614"/>
      <c r="U243" s="3614"/>
      <c r="V243" s="3614"/>
      <c r="W243" s="3615"/>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358"/>
      <c r="JX243" s="358"/>
      <c r="JY243" s="358"/>
      <c r="JZ243" s="358"/>
      <c r="KA243" s="358"/>
      <c r="KB243" s="358"/>
      <c r="KC243" s="358"/>
      <c r="KD243" s="358"/>
      <c r="KE243" s="358"/>
      <c r="KF243" s="358"/>
      <c r="KG243" s="358"/>
      <c r="KH243" s="358"/>
      <c r="KI243" s="358"/>
      <c r="KJ243" s="358"/>
      <c r="KK243" s="358"/>
      <c r="KL243" s="358"/>
      <c r="KM243" s="358"/>
      <c r="KN243" s="358"/>
      <c r="KO243" s="358"/>
      <c r="KP243" s="358"/>
      <c r="KQ243" s="358"/>
      <c r="KR243" s="358"/>
      <c r="KS243" s="358"/>
      <c r="KT243" s="358"/>
      <c r="KU243" s="358"/>
      <c r="KV243" s="358"/>
      <c r="KW243" s="358"/>
      <c r="KX243" s="358"/>
      <c r="KY243" s="358"/>
      <c r="KZ243" s="358"/>
      <c r="LA243" s="358"/>
      <c r="LB243" s="358"/>
      <c r="LC243" s="358"/>
      <c r="LD243" s="358"/>
      <c r="LE243" s="358"/>
      <c r="LF243" s="1784"/>
      <c r="LG243" s="358"/>
      <c r="LH243" s="358"/>
      <c r="LI243" s="358"/>
      <c r="LJ243" s="358"/>
      <c r="LK243" s="1784"/>
      <c r="LL243" s="358"/>
      <c r="LM243" s="358"/>
      <c r="LN243" s="358"/>
      <c r="LO243" s="358"/>
      <c r="LP243" s="1784"/>
      <c r="LQ243" s="358"/>
      <c r="LR243" s="358"/>
      <c r="LS243" s="358"/>
      <c r="LT243" s="358"/>
      <c r="LU243" s="1784"/>
      <c r="LV243" s="1784"/>
      <c r="LW243" s="1784"/>
      <c r="LX243" s="1784"/>
      <c r="LY243" s="1784"/>
      <c r="LZ243" s="1784"/>
      <c r="MA243" s="1784"/>
      <c r="MB243" s="1784"/>
      <c r="MC243" s="1784"/>
      <c r="MD243" s="1784"/>
      <c r="ME243" s="1784"/>
      <c r="MF243" s="1784"/>
      <c r="MG243" s="1784"/>
      <c r="MH243" s="1784"/>
      <c r="MI243" s="1784"/>
      <c r="MJ243" s="1784"/>
      <c r="MK243" s="1784"/>
      <c r="ML243" s="1784"/>
      <c r="MM243" s="1784"/>
      <c r="MN243" s="1784"/>
      <c r="MO243" s="1784"/>
      <c r="MP243" s="1784"/>
      <c r="MQ243" s="358"/>
      <c r="MR243" s="358"/>
      <c r="MS243" s="358"/>
      <c r="MT243" s="358"/>
      <c r="MU243" s="358"/>
      <c r="MV243" s="358"/>
      <c r="MW243" s="1639"/>
      <c r="MX243" s="358"/>
      <c r="MY243" s="358"/>
      <c r="MZ243" s="358"/>
      <c r="NA243" s="358"/>
      <c r="NB243" s="358"/>
      <c r="NC243" s="358"/>
      <c r="ND243" s="358"/>
      <c r="NE243" s="358"/>
      <c r="NF243" s="358"/>
      <c r="NG243" s="358"/>
      <c r="NH243" s="358"/>
      <c r="NI243" s="358"/>
      <c r="NJ243" s="358"/>
      <c r="NK243" s="358"/>
      <c r="NL243" s="358"/>
      <c r="NM243" s="1639"/>
      <c r="NN243" s="1639"/>
      <c r="NO243" s="358"/>
      <c r="NP243" s="358"/>
      <c r="NQ243" s="358"/>
      <c r="NR243" s="358"/>
      <c r="NS243" s="358"/>
      <c r="NT243" s="358"/>
      <c r="NU243" s="358"/>
      <c r="NV243" s="358"/>
      <c r="NW243" s="358"/>
      <c r="NX243" s="358"/>
      <c r="NY243" s="358"/>
      <c r="NZ243" s="358"/>
      <c r="OA243" s="358"/>
      <c r="OB243" s="358"/>
      <c r="OC243" s="358"/>
      <c r="OD243" s="358"/>
      <c r="OE243" s="358"/>
      <c r="OF243" s="358"/>
      <c r="OG243" s="358"/>
      <c r="OH243" s="358"/>
      <c r="OI243" s="358"/>
      <c r="OJ243" s="358"/>
      <c r="OK243" s="358"/>
      <c r="OL243" s="358"/>
      <c r="OM243" s="358"/>
      <c r="ON243" s="358"/>
      <c r="OO243" s="358"/>
      <c r="OP243" s="358"/>
      <c r="OQ243" s="358"/>
      <c r="OR243" s="358"/>
      <c r="OS243" s="358"/>
      <c r="OT243" s="358"/>
      <c r="OU243" s="358"/>
      <c r="OV243" s="72"/>
      <c r="OW243" s="72"/>
      <c r="OX243" s="72"/>
      <c r="OY243" s="2499"/>
      <c r="OZ243" s="2504">
        <v>239</v>
      </c>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c r="RZ243" s="72"/>
      <c r="SA243" s="72"/>
      <c r="SB243" s="72"/>
      <c r="SC243" s="72"/>
      <c r="SD243" s="72"/>
      <c r="SE243" s="72"/>
      <c r="SF243" s="72"/>
      <c r="SG243" s="72"/>
      <c r="SH243" s="72"/>
      <c r="SI243" s="72"/>
      <c r="SJ243" s="72"/>
      <c r="SK243" s="72"/>
      <c r="SL243" s="72"/>
      <c r="SM243" s="72"/>
      <c r="SN243" s="72"/>
      <c r="SO243" s="72"/>
      <c r="SP243" s="72"/>
      <c r="SQ243" s="72"/>
      <c r="SR243" s="72"/>
      <c r="SS243" s="72"/>
      <c r="ST243" s="72"/>
      <c r="SU243" s="72"/>
      <c r="SV243" s="72"/>
      <c r="SW243" s="72"/>
      <c r="SX243" s="72"/>
      <c r="SY243" s="72"/>
      <c r="SZ243" s="72"/>
      <c r="TA243" s="72"/>
      <c r="TB243" s="72"/>
      <c r="TC243" s="72"/>
      <c r="TD243" s="72"/>
      <c r="TE243" s="72"/>
      <c r="TF243" s="72"/>
      <c r="TG243" s="72"/>
      <c r="TH243" s="72"/>
    </row>
    <row r="244" spans="1:528" s="69" customFormat="1" ht="16.5" customHeight="1" thickBot="1">
      <c r="A244" s="1"/>
      <c r="B244" s="1" t="s">
        <v>1287</v>
      </c>
      <c r="C244" s="1"/>
      <c r="D244" s="1"/>
      <c r="E244" s="1"/>
      <c r="F244" s="3609">
        <v>125000</v>
      </c>
      <c r="G244" s="3610"/>
      <c r="H244" s="2479">
        <f t="shared" ref="H244:H249" si="692">IF(OR(F244="",F244=0),"",F244/$E$58)</f>
        <v>781.25</v>
      </c>
      <c r="I244" s="1" t="s">
        <v>1299</v>
      </c>
      <c r="K244" s="1"/>
      <c r="L244" s="3620">
        <v>5000</v>
      </c>
      <c r="M244" s="3621"/>
      <c r="N244" s="2479">
        <f t="shared" ref="N244:N245" si="693">IF(OR(L244="",L244=0),"",L244/$E$58)</f>
        <v>31.25</v>
      </c>
      <c r="O244" s="318">
        <f>+Q242/(P76*0.93)/12</f>
        <v>83.710797491039429</v>
      </c>
      <c r="P244" s="42" t="s">
        <v>2477</v>
      </c>
      <c r="Q244" s="1"/>
      <c r="R244" s="660"/>
      <c r="S244" s="3613"/>
      <c r="T244" s="3614"/>
      <c r="U244" s="3614"/>
      <c r="V244" s="3614"/>
      <c r="W244" s="3615"/>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358"/>
      <c r="JX244" s="358"/>
      <c r="JY244" s="358"/>
      <c r="JZ244" s="358"/>
      <c r="KA244" s="358"/>
      <c r="KB244" s="358"/>
      <c r="KC244" s="358"/>
      <c r="KD244" s="358"/>
      <c r="KE244" s="358"/>
      <c r="KF244" s="358"/>
      <c r="KG244" s="358"/>
      <c r="KH244" s="358"/>
      <c r="KI244" s="358"/>
      <c r="KJ244" s="358"/>
      <c r="KK244" s="358"/>
      <c r="KL244" s="358"/>
      <c r="KM244" s="358"/>
      <c r="KN244" s="358"/>
      <c r="KO244" s="358"/>
      <c r="KP244" s="358"/>
      <c r="KQ244" s="358"/>
      <c r="KR244" s="358"/>
      <c r="KS244" s="358"/>
      <c r="KT244" s="358"/>
      <c r="KU244" s="358"/>
      <c r="KV244" s="358"/>
      <c r="KW244" s="358"/>
      <c r="KX244" s="358"/>
      <c r="KY244" s="358"/>
      <c r="KZ244" s="358"/>
      <c r="LA244" s="358"/>
      <c r="LB244" s="358"/>
      <c r="LC244" s="358"/>
      <c r="LD244" s="358"/>
      <c r="LE244" s="358"/>
      <c r="LF244" s="1784"/>
      <c r="LG244" s="358"/>
      <c r="LH244" s="358"/>
      <c r="LI244" s="358"/>
      <c r="LJ244" s="358"/>
      <c r="LK244" s="1784"/>
      <c r="LL244" s="358"/>
      <c r="LM244" s="358"/>
      <c r="LN244" s="358"/>
      <c r="LO244" s="358"/>
      <c r="LP244" s="1784"/>
      <c r="LQ244" s="358"/>
      <c r="LR244" s="358"/>
      <c r="LS244" s="358"/>
      <c r="LT244" s="358"/>
      <c r="LU244" s="1784"/>
      <c r="LV244" s="1784"/>
      <c r="LW244" s="1784"/>
      <c r="LX244" s="1784"/>
      <c r="LY244" s="1784"/>
      <c r="LZ244" s="1784"/>
      <c r="MA244" s="1784"/>
      <c r="MB244" s="1784"/>
      <c r="MC244" s="1784"/>
      <c r="MD244" s="1784"/>
      <c r="ME244" s="1784"/>
      <c r="MF244" s="1784"/>
      <c r="MG244" s="1784"/>
      <c r="MH244" s="1784"/>
      <c r="MI244" s="1784"/>
      <c r="MJ244" s="1784"/>
      <c r="MK244" s="1784"/>
      <c r="ML244" s="1784"/>
      <c r="MM244" s="1784"/>
      <c r="MN244" s="1784"/>
      <c r="MO244" s="1784"/>
      <c r="MP244" s="1784"/>
      <c r="MQ244" s="358"/>
      <c r="MR244" s="358"/>
      <c r="MS244" s="358"/>
      <c r="MT244" s="358"/>
      <c r="MU244" s="358"/>
      <c r="MV244" s="358"/>
      <c r="MW244" s="1639"/>
      <c r="MX244" s="358"/>
      <c r="MY244" s="358"/>
      <c r="MZ244" s="358"/>
      <c r="NA244" s="358"/>
      <c r="NB244" s="358"/>
      <c r="NC244" s="358"/>
      <c r="ND244" s="358"/>
      <c r="NE244" s="358"/>
      <c r="NF244" s="358"/>
      <c r="NG244" s="358"/>
      <c r="NH244" s="358"/>
      <c r="NI244" s="358"/>
      <c r="NJ244" s="358"/>
      <c r="NK244" s="358"/>
      <c r="NL244" s="358"/>
      <c r="NM244" s="1639"/>
      <c r="NN244" s="1639"/>
      <c r="NO244" s="358"/>
      <c r="NP244" s="358"/>
      <c r="NQ244" s="358"/>
      <c r="NR244" s="358"/>
      <c r="NS244" s="358"/>
      <c r="NT244" s="358"/>
      <c r="NU244" s="358"/>
      <c r="NV244" s="358"/>
      <c r="NW244" s="358"/>
      <c r="NX244" s="358"/>
      <c r="NY244" s="358"/>
      <c r="NZ244" s="358"/>
      <c r="OA244" s="358"/>
      <c r="OB244" s="358"/>
      <c r="OC244" s="358"/>
      <c r="OD244" s="358"/>
      <c r="OE244" s="358"/>
      <c r="OF244" s="358"/>
      <c r="OG244" s="358"/>
      <c r="OH244" s="358"/>
      <c r="OI244" s="358"/>
      <c r="OJ244" s="358"/>
      <c r="OK244" s="358"/>
      <c r="OL244" s="358"/>
      <c r="OM244" s="358"/>
      <c r="ON244" s="358"/>
      <c r="OO244" s="358"/>
      <c r="OP244" s="358"/>
      <c r="OQ244" s="358"/>
      <c r="OR244" s="358"/>
      <c r="OS244" s="358"/>
      <c r="OT244" s="358"/>
      <c r="OU244" s="358"/>
      <c r="OV244" s="72"/>
      <c r="OW244" s="72"/>
      <c r="OX244" s="72"/>
      <c r="OY244" s="2499"/>
      <c r="OZ244" s="2504">
        <v>240</v>
      </c>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c r="RZ244" s="72"/>
      <c r="SA244" s="72"/>
      <c r="SB244" s="72"/>
      <c r="SC244" s="72"/>
      <c r="SD244" s="72"/>
      <c r="SE244" s="72"/>
      <c r="SF244" s="72"/>
      <c r="SG244" s="72"/>
      <c r="SH244" s="72"/>
      <c r="SI244" s="72"/>
      <c r="SJ244" s="72"/>
      <c r="SK244" s="72"/>
      <c r="SL244" s="72"/>
      <c r="SM244" s="72"/>
      <c r="SN244" s="72"/>
      <c r="SO244" s="72"/>
      <c r="SP244" s="72"/>
      <c r="SQ244" s="72"/>
      <c r="SR244" s="72"/>
      <c r="SS244" s="72"/>
      <c r="ST244" s="72"/>
      <c r="SU244" s="72"/>
      <c r="SV244" s="72"/>
      <c r="SW244" s="72"/>
      <c r="SX244" s="72"/>
      <c r="SY244" s="72"/>
      <c r="SZ244" s="72"/>
      <c r="TA244" s="72"/>
      <c r="TB244" s="72"/>
      <c r="TC244" s="72"/>
      <c r="TD244" s="72"/>
      <c r="TE244" s="72"/>
      <c r="TF244" s="72"/>
      <c r="TG244" s="72"/>
      <c r="TH244" s="72"/>
    </row>
    <row r="245" spans="1:528" s="69" customFormat="1" ht="16.5" customHeight="1" thickTop="1">
      <c r="A245" s="1"/>
      <c r="B245" s="1" t="s">
        <v>1164</v>
      </c>
      <c r="C245" s="1"/>
      <c r="D245" s="1"/>
      <c r="E245" s="1"/>
      <c r="F245" s="3609">
        <v>30000</v>
      </c>
      <c r="G245" s="3610"/>
      <c r="H245" s="2479">
        <f t="shared" si="692"/>
        <v>187.5</v>
      </c>
      <c r="I245" s="1"/>
      <c r="K245" s="8" t="s">
        <v>184</v>
      </c>
      <c r="L245" s="3600">
        <f>SUM(L243:M244)</f>
        <v>5000</v>
      </c>
      <c r="M245" s="3601"/>
      <c r="N245" s="2479">
        <f t="shared" si="693"/>
        <v>31.25</v>
      </c>
      <c r="O245" s="29" t="s">
        <v>3136</v>
      </c>
      <c r="P245" s="103"/>
      <c r="Q245" s="103"/>
      <c r="R245" s="660"/>
      <c r="S245" s="3613"/>
      <c r="T245" s="3614"/>
      <c r="U245" s="3614"/>
      <c r="V245" s="3614"/>
      <c r="W245" s="3615"/>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358"/>
      <c r="JX245" s="358"/>
      <c r="JY245" s="358"/>
      <c r="JZ245" s="358"/>
      <c r="KA245" s="358"/>
      <c r="KB245" s="358"/>
      <c r="KC245" s="358"/>
      <c r="KD245" s="358"/>
      <c r="KE245" s="358"/>
      <c r="KF245" s="358"/>
      <c r="KG245" s="358"/>
      <c r="KH245" s="358"/>
      <c r="KI245" s="358"/>
      <c r="KJ245" s="358"/>
      <c r="KK245" s="358"/>
      <c r="KL245" s="358"/>
      <c r="KM245" s="358"/>
      <c r="KN245" s="358"/>
      <c r="KO245" s="358"/>
      <c r="KP245" s="358"/>
      <c r="KQ245" s="358"/>
      <c r="KR245" s="358"/>
      <c r="KS245" s="358"/>
      <c r="KT245" s="358"/>
      <c r="KU245" s="358"/>
      <c r="KV245" s="358"/>
      <c r="KW245" s="358"/>
      <c r="KX245" s="358"/>
      <c r="KY245" s="358"/>
      <c r="KZ245" s="358"/>
      <c r="LA245" s="358"/>
      <c r="LB245" s="358"/>
      <c r="LC245" s="358"/>
      <c r="LD245" s="358"/>
      <c r="LE245" s="358"/>
      <c r="LF245" s="1784"/>
      <c r="LG245" s="358"/>
      <c r="LH245" s="358"/>
      <c r="LI245" s="358"/>
      <c r="LJ245" s="358"/>
      <c r="LK245" s="1784"/>
      <c r="LL245" s="358"/>
      <c r="LM245" s="358"/>
      <c r="LN245" s="358"/>
      <c r="LO245" s="358"/>
      <c r="LP245" s="1784"/>
      <c r="LQ245" s="358"/>
      <c r="LR245" s="358"/>
      <c r="LS245" s="358"/>
      <c r="LT245" s="358"/>
      <c r="LU245" s="1784"/>
      <c r="LV245" s="1784"/>
      <c r="LW245" s="1784"/>
      <c r="LX245" s="1784"/>
      <c r="LY245" s="1784"/>
      <c r="LZ245" s="1784"/>
      <c r="MA245" s="1784"/>
      <c r="MB245" s="1784"/>
      <c r="MC245" s="1784"/>
      <c r="MD245" s="1784"/>
      <c r="ME245" s="1784"/>
      <c r="MF245" s="1784"/>
      <c r="MG245" s="1784"/>
      <c r="MH245" s="1784"/>
      <c r="MI245" s="1784"/>
      <c r="MJ245" s="1784"/>
      <c r="MK245" s="1784"/>
      <c r="ML245" s="1784"/>
      <c r="MM245" s="1784"/>
      <c r="MN245" s="1784"/>
      <c r="MO245" s="1784"/>
      <c r="MP245" s="1784"/>
      <c r="MQ245" s="358"/>
      <c r="MR245" s="358"/>
      <c r="MS245" s="358"/>
      <c r="MT245" s="358"/>
      <c r="MU245" s="358"/>
      <c r="MV245" s="358"/>
      <c r="MW245" s="1639"/>
      <c r="MX245" s="358"/>
      <c r="MY245" s="358"/>
      <c r="MZ245" s="358"/>
      <c r="NA245" s="358"/>
      <c r="NB245" s="358"/>
      <c r="NC245" s="358"/>
      <c r="ND245" s="358"/>
      <c r="NE245" s="358"/>
      <c r="NF245" s="358"/>
      <c r="NG245" s="358"/>
      <c r="NH245" s="358"/>
      <c r="NI245" s="358"/>
      <c r="NJ245" s="358"/>
      <c r="NK245" s="358"/>
      <c r="NL245" s="358"/>
      <c r="NM245" s="1639"/>
      <c r="NN245" s="1639"/>
      <c r="NO245" s="358"/>
      <c r="NP245" s="358"/>
      <c r="NQ245" s="358"/>
      <c r="NR245" s="358"/>
      <c r="NS245" s="358"/>
      <c r="NT245" s="358"/>
      <c r="NU245" s="358"/>
      <c r="NV245" s="358"/>
      <c r="NW245" s="358"/>
      <c r="NX245" s="358"/>
      <c r="NY245" s="358"/>
      <c r="NZ245" s="358"/>
      <c r="OA245" s="358"/>
      <c r="OB245" s="358"/>
      <c r="OC245" s="358"/>
      <c r="OD245" s="358"/>
      <c r="OE245" s="358"/>
      <c r="OF245" s="358"/>
      <c r="OG245" s="358"/>
      <c r="OH245" s="358"/>
      <c r="OI245" s="358"/>
      <c r="OJ245" s="358"/>
      <c r="OK245" s="358"/>
      <c r="OL245" s="358"/>
      <c r="OM245" s="358"/>
      <c r="ON245" s="358"/>
      <c r="OO245" s="358"/>
      <c r="OP245" s="358"/>
      <c r="OQ245" s="358"/>
      <c r="OR245" s="358"/>
      <c r="OS245" s="358"/>
      <c r="OT245" s="358"/>
      <c r="OU245" s="358"/>
      <c r="OV245" s="72"/>
      <c r="OW245" s="72"/>
      <c r="OX245" s="72"/>
      <c r="OY245" s="2499"/>
      <c r="OZ245" s="2504">
        <v>241</v>
      </c>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c r="RZ245" s="72"/>
      <c r="SA245" s="72"/>
      <c r="SB245" s="72"/>
      <c r="SC245" s="72"/>
      <c r="SD245" s="72"/>
      <c r="SE245" s="72"/>
      <c r="SF245" s="72"/>
      <c r="SG245" s="72"/>
      <c r="SH245" s="72"/>
      <c r="SI245" s="72"/>
      <c r="SJ245" s="72"/>
      <c r="SK245" s="72"/>
      <c r="SL245" s="72"/>
      <c r="SM245" s="72"/>
      <c r="SN245" s="72"/>
      <c r="SO245" s="72"/>
      <c r="SP245" s="72"/>
      <c r="SQ245" s="72"/>
      <c r="SR245" s="72"/>
      <c r="SS245" s="72"/>
      <c r="ST245" s="72"/>
      <c r="SU245" s="72"/>
      <c r="SV245" s="72"/>
      <c r="SW245" s="72"/>
      <c r="SX245" s="72"/>
      <c r="SY245" s="72"/>
      <c r="SZ245" s="72"/>
      <c r="TA245" s="72"/>
      <c r="TB245" s="72"/>
      <c r="TC245" s="72"/>
      <c r="TD245" s="72"/>
      <c r="TE245" s="72"/>
      <c r="TF245" s="72"/>
      <c r="TG245" s="72"/>
      <c r="TH245" s="72"/>
    </row>
    <row r="246" spans="1:528" s="69" customFormat="1" ht="16.5" customHeight="1">
      <c r="A246" s="1"/>
      <c r="B246" s="1213" t="s">
        <v>4520</v>
      </c>
      <c r="F246" s="3609">
        <v>30000</v>
      </c>
      <c r="G246" s="3610"/>
      <c r="H246" s="2479">
        <f t="shared" si="692"/>
        <v>187.5</v>
      </c>
      <c r="I246" s="1"/>
      <c r="K246" s="1"/>
      <c r="L246" s="1"/>
      <c r="M246" s="1"/>
      <c r="N246" s="1"/>
      <c r="R246" s="657"/>
      <c r="S246" s="3613"/>
      <c r="T246" s="3614"/>
      <c r="U246" s="3614"/>
      <c r="V246" s="3614"/>
      <c r="W246" s="3615"/>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358"/>
      <c r="JX246" s="358"/>
      <c r="JY246" s="358"/>
      <c r="JZ246" s="358"/>
      <c r="KA246" s="358"/>
      <c r="KB246" s="358"/>
      <c r="KC246" s="358"/>
      <c r="KD246" s="358"/>
      <c r="KE246" s="358"/>
      <c r="KF246" s="358"/>
      <c r="KG246" s="358"/>
      <c r="KH246" s="358"/>
      <c r="KI246" s="358"/>
      <c r="KJ246" s="358"/>
      <c r="KK246" s="358"/>
      <c r="KL246" s="358"/>
      <c r="KM246" s="358"/>
      <c r="KN246" s="358"/>
      <c r="KO246" s="358"/>
      <c r="KP246" s="358"/>
      <c r="KQ246" s="358"/>
      <c r="KR246" s="358"/>
      <c r="KS246" s="358"/>
      <c r="KT246" s="358"/>
      <c r="KU246" s="358"/>
      <c r="KV246" s="358"/>
      <c r="KW246" s="358"/>
      <c r="KX246" s="358"/>
      <c r="KY246" s="358"/>
      <c r="KZ246" s="358"/>
      <c r="LA246" s="358"/>
      <c r="LB246" s="358"/>
      <c r="LC246" s="358"/>
      <c r="LD246" s="358"/>
      <c r="LE246" s="358"/>
      <c r="LF246" s="1784"/>
      <c r="LG246" s="358"/>
      <c r="LH246" s="358"/>
      <c r="LI246" s="358"/>
      <c r="LJ246" s="358"/>
      <c r="LK246" s="1784"/>
      <c r="LL246" s="358"/>
      <c r="LM246" s="358"/>
      <c r="LN246" s="358"/>
      <c r="LO246" s="358"/>
      <c r="LP246" s="1784"/>
      <c r="LQ246" s="358"/>
      <c r="LR246" s="358"/>
      <c r="LS246" s="358"/>
      <c r="LT246" s="358"/>
      <c r="LU246" s="1784"/>
      <c r="LV246" s="1784"/>
      <c r="LW246" s="1784"/>
      <c r="LX246" s="1784"/>
      <c r="LY246" s="1784"/>
      <c r="LZ246" s="1784"/>
      <c r="MA246" s="1784"/>
      <c r="MB246" s="1784"/>
      <c r="MC246" s="1784"/>
      <c r="MD246" s="1784"/>
      <c r="ME246" s="1784"/>
      <c r="MF246" s="1784"/>
      <c r="MG246" s="1784"/>
      <c r="MH246" s="1784"/>
      <c r="MI246" s="1784"/>
      <c r="MJ246" s="1784"/>
      <c r="MK246" s="1784"/>
      <c r="ML246" s="1784"/>
      <c r="MM246" s="1784"/>
      <c r="MN246" s="1784"/>
      <c r="MO246" s="1784"/>
      <c r="MP246" s="1784"/>
      <c r="MQ246" s="358"/>
      <c r="MR246" s="358"/>
      <c r="MS246" s="358"/>
      <c r="MT246" s="358"/>
      <c r="MU246" s="358"/>
      <c r="MV246" s="358"/>
      <c r="MW246" s="1639"/>
      <c r="MX246" s="358"/>
      <c r="MY246" s="358"/>
      <c r="MZ246" s="358"/>
      <c r="NA246" s="358"/>
      <c r="NB246" s="358"/>
      <c r="NC246" s="358"/>
      <c r="ND246" s="358"/>
      <c r="NE246" s="358"/>
      <c r="NF246" s="358"/>
      <c r="NG246" s="358"/>
      <c r="NH246" s="358"/>
      <c r="NI246" s="358"/>
      <c r="NJ246" s="358"/>
      <c r="NK246" s="358"/>
      <c r="NL246" s="358"/>
      <c r="NM246" s="1639"/>
      <c r="NN246" s="1639"/>
      <c r="NO246" s="358"/>
      <c r="NP246" s="358"/>
      <c r="NQ246" s="358"/>
      <c r="NR246" s="358"/>
      <c r="NS246" s="358"/>
      <c r="NT246" s="358"/>
      <c r="NU246" s="358"/>
      <c r="NV246" s="358"/>
      <c r="NW246" s="358"/>
      <c r="NX246" s="358"/>
      <c r="NY246" s="358"/>
      <c r="NZ246" s="358"/>
      <c r="OA246" s="358"/>
      <c r="OB246" s="358"/>
      <c r="OC246" s="358"/>
      <c r="OD246" s="358"/>
      <c r="OE246" s="358"/>
      <c r="OF246" s="358"/>
      <c r="OG246" s="358"/>
      <c r="OH246" s="358"/>
      <c r="OI246" s="358"/>
      <c r="OJ246" s="358"/>
      <c r="OK246" s="358"/>
      <c r="OL246" s="358"/>
      <c r="OM246" s="358"/>
      <c r="ON246" s="358"/>
      <c r="OO246" s="358"/>
      <c r="OP246" s="358"/>
      <c r="OQ246" s="358"/>
      <c r="OR246" s="358"/>
      <c r="OS246" s="358"/>
      <c r="OT246" s="358"/>
      <c r="OU246" s="358"/>
      <c r="OV246" s="72"/>
      <c r="OW246" s="72"/>
      <c r="OX246" s="72"/>
      <c r="OY246" s="2501"/>
      <c r="OZ246" s="2504">
        <v>242</v>
      </c>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c r="RZ246" s="72"/>
      <c r="SA246" s="72"/>
      <c r="SB246" s="72"/>
      <c r="SC246" s="72"/>
      <c r="SD246" s="72"/>
      <c r="SE246" s="72"/>
      <c r="SF246" s="72"/>
      <c r="SG246" s="72"/>
      <c r="SH246" s="72"/>
      <c r="SI246" s="72"/>
      <c r="SJ246" s="72"/>
      <c r="SK246" s="72"/>
      <c r="SL246" s="72"/>
      <c r="SM246" s="72"/>
      <c r="SN246" s="72"/>
      <c r="SO246" s="72"/>
      <c r="SP246" s="72"/>
      <c r="SQ246" s="72"/>
      <c r="SR246" s="72"/>
      <c r="SS246" s="72"/>
      <c r="ST246" s="72"/>
      <c r="SU246" s="72"/>
      <c r="SV246" s="72"/>
      <c r="SW246" s="72"/>
      <c r="SX246" s="72"/>
      <c r="SY246" s="72"/>
      <c r="SZ246" s="72"/>
      <c r="TA246" s="72"/>
      <c r="TB246" s="72"/>
      <c r="TC246" s="72"/>
      <c r="TD246" s="72"/>
      <c r="TE246" s="72"/>
      <c r="TF246" s="72"/>
      <c r="TG246" s="72"/>
      <c r="TH246" s="72"/>
    </row>
    <row r="247" spans="1:528" s="69" customFormat="1" ht="16.5" customHeight="1">
      <c r="A247" s="1"/>
      <c r="B247" s="1213" t="s">
        <v>3887</v>
      </c>
      <c r="F247" s="3609"/>
      <c r="G247" s="3610"/>
      <c r="H247" s="2479" t="str">
        <f t="shared" si="692"/>
        <v/>
      </c>
      <c r="I247" s="1"/>
      <c r="K247" s="1"/>
      <c r="L247" s="1"/>
      <c r="M247" s="1"/>
      <c r="N247" s="1"/>
      <c r="R247" s="657"/>
      <c r="S247" s="3613"/>
      <c r="T247" s="3614"/>
      <c r="U247" s="3614"/>
      <c r="V247" s="3614"/>
      <c r="W247" s="3615"/>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358"/>
      <c r="JX247" s="358"/>
      <c r="JY247" s="358"/>
      <c r="JZ247" s="358"/>
      <c r="KA247" s="358"/>
      <c r="KB247" s="358"/>
      <c r="KC247" s="358"/>
      <c r="KD247" s="358"/>
      <c r="KE247" s="358"/>
      <c r="KF247" s="358"/>
      <c r="KG247" s="358"/>
      <c r="KH247" s="358"/>
      <c r="KI247" s="358"/>
      <c r="KJ247" s="358"/>
      <c r="KK247" s="358"/>
      <c r="KL247" s="358"/>
      <c r="KM247" s="358"/>
      <c r="KN247" s="358"/>
      <c r="KO247" s="358"/>
      <c r="KP247" s="358"/>
      <c r="KQ247" s="358"/>
      <c r="KR247" s="358"/>
      <c r="KS247" s="358"/>
      <c r="KT247" s="358"/>
      <c r="KU247" s="358"/>
      <c r="KV247" s="358"/>
      <c r="KW247" s="358"/>
      <c r="KX247" s="358"/>
      <c r="KY247" s="358"/>
      <c r="KZ247" s="358"/>
      <c r="LA247" s="358"/>
      <c r="LB247" s="358"/>
      <c r="LC247" s="358"/>
      <c r="LD247" s="358"/>
      <c r="LE247" s="358"/>
      <c r="LF247" s="1784"/>
      <c r="LG247" s="358"/>
      <c r="LH247" s="358"/>
      <c r="LI247" s="358"/>
      <c r="LJ247" s="358"/>
      <c r="LK247" s="1784"/>
      <c r="LL247" s="358"/>
      <c r="LM247" s="358"/>
      <c r="LN247" s="358"/>
      <c r="LO247" s="358"/>
      <c r="LP247" s="1784"/>
      <c r="LQ247" s="358"/>
      <c r="LR247" s="358"/>
      <c r="LS247" s="358"/>
      <c r="LT247" s="358"/>
      <c r="LU247" s="1784"/>
      <c r="LV247" s="1784"/>
      <c r="LW247" s="1784"/>
      <c r="LX247" s="1784"/>
      <c r="LY247" s="1784"/>
      <c r="LZ247" s="1784"/>
      <c r="MA247" s="1784"/>
      <c r="MB247" s="1784"/>
      <c r="MC247" s="1784"/>
      <c r="MD247" s="1784"/>
      <c r="ME247" s="1784"/>
      <c r="MF247" s="1784"/>
      <c r="MG247" s="1784"/>
      <c r="MH247" s="1784"/>
      <c r="MI247" s="1784"/>
      <c r="MJ247" s="1784"/>
      <c r="MK247" s="1784"/>
      <c r="ML247" s="1784"/>
      <c r="MM247" s="1784"/>
      <c r="MN247" s="1784"/>
      <c r="MO247" s="1784"/>
      <c r="MP247" s="1784"/>
      <c r="MQ247" s="358"/>
      <c r="MR247" s="358"/>
      <c r="MS247" s="358"/>
      <c r="MT247" s="358"/>
      <c r="MU247" s="358"/>
      <c r="MV247" s="358"/>
      <c r="MW247" s="1639"/>
      <c r="MX247" s="358"/>
      <c r="MY247" s="358"/>
      <c r="MZ247" s="358"/>
      <c r="NA247" s="358"/>
      <c r="NB247" s="358"/>
      <c r="NC247" s="358"/>
      <c r="ND247" s="358"/>
      <c r="NE247" s="358"/>
      <c r="NF247" s="358"/>
      <c r="NG247" s="358"/>
      <c r="NH247" s="358"/>
      <c r="NI247" s="358"/>
      <c r="NJ247" s="358"/>
      <c r="NK247" s="358"/>
      <c r="NL247" s="358"/>
      <c r="NM247" s="1639"/>
      <c r="NN247" s="1639"/>
      <c r="NO247" s="358"/>
      <c r="NP247" s="358"/>
      <c r="NQ247" s="358"/>
      <c r="NR247" s="358"/>
      <c r="NS247" s="358"/>
      <c r="NT247" s="358"/>
      <c r="NU247" s="358"/>
      <c r="NV247" s="358"/>
      <c r="NW247" s="358"/>
      <c r="NX247" s="358"/>
      <c r="NY247" s="358"/>
      <c r="NZ247" s="358"/>
      <c r="OA247" s="358"/>
      <c r="OB247" s="358"/>
      <c r="OC247" s="358"/>
      <c r="OD247" s="358"/>
      <c r="OE247" s="358"/>
      <c r="OF247" s="358"/>
      <c r="OG247" s="358"/>
      <c r="OH247" s="358"/>
      <c r="OI247" s="358"/>
      <c r="OJ247" s="358"/>
      <c r="OK247" s="358"/>
      <c r="OL247" s="358"/>
      <c r="OM247" s="358"/>
      <c r="ON247" s="358"/>
      <c r="OO247" s="358"/>
      <c r="OP247" s="358"/>
      <c r="OQ247" s="358"/>
      <c r="OR247" s="358"/>
      <c r="OS247" s="358"/>
      <c r="OT247" s="358"/>
      <c r="OU247" s="358"/>
      <c r="OV247" s="72"/>
      <c r="OW247" s="72"/>
      <c r="OX247" s="72"/>
      <c r="OY247" s="2501"/>
      <c r="OZ247" s="2504">
        <v>243</v>
      </c>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c r="RZ247" s="72"/>
      <c r="SA247" s="72"/>
      <c r="SB247" s="72"/>
      <c r="SC247" s="72"/>
      <c r="SD247" s="72"/>
      <c r="SE247" s="72"/>
      <c r="SF247" s="72"/>
      <c r="SG247" s="72"/>
      <c r="SH247" s="72"/>
      <c r="SI247" s="72"/>
      <c r="SJ247" s="72"/>
      <c r="SK247" s="72"/>
      <c r="SL247" s="72"/>
      <c r="SM247" s="72"/>
      <c r="SN247" s="72"/>
      <c r="SO247" s="72"/>
      <c r="SP247" s="72"/>
      <c r="SQ247" s="72"/>
      <c r="SR247" s="72"/>
      <c r="SS247" s="72"/>
      <c r="ST247" s="72"/>
      <c r="SU247" s="72"/>
      <c r="SV247" s="72"/>
      <c r="SW247" s="72"/>
      <c r="SX247" s="72"/>
      <c r="SY247" s="72"/>
      <c r="SZ247" s="72"/>
      <c r="TA247" s="72"/>
      <c r="TB247" s="72"/>
      <c r="TC247" s="72"/>
      <c r="TD247" s="72"/>
      <c r="TE247" s="72"/>
      <c r="TF247" s="72"/>
      <c r="TG247" s="72"/>
      <c r="TH247" s="72"/>
    </row>
    <row r="248" spans="1:528" s="69" customFormat="1" ht="16.5" customHeight="1" thickBot="1">
      <c r="A248" s="1"/>
      <c r="B248" s="3570" t="s">
        <v>46</v>
      </c>
      <c r="C248" s="3571"/>
      <c r="D248" s="3571"/>
      <c r="E248" s="3572"/>
      <c r="F248" s="3620"/>
      <c r="G248" s="3621"/>
      <c r="H248" s="2479" t="str">
        <f t="shared" si="692"/>
        <v/>
      </c>
      <c r="I248" s="4" t="s">
        <v>1213</v>
      </c>
      <c r="K248" s="1"/>
      <c r="L248" s="1"/>
      <c r="M248" s="1"/>
      <c r="N248" s="1"/>
      <c r="R248" s="657"/>
      <c r="S248" s="3613"/>
      <c r="T248" s="3614"/>
      <c r="U248" s="3614"/>
      <c r="V248" s="3614"/>
      <c r="W248" s="3615"/>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358"/>
      <c r="JX248" s="358"/>
      <c r="JY248" s="358"/>
      <c r="JZ248" s="358"/>
      <c r="KA248" s="358"/>
      <c r="KB248" s="358"/>
      <c r="KC248" s="358"/>
      <c r="KD248" s="358"/>
      <c r="KE248" s="358"/>
      <c r="KF248" s="358"/>
      <c r="KG248" s="358"/>
      <c r="KH248" s="358"/>
      <c r="KI248" s="358"/>
      <c r="KJ248" s="358"/>
      <c r="KK248" s="358"/>
      <c r="KL248" s="358"/>
      <c r="KM248" s="358"/>
      <c r="KN248" s="358"/>
      <c r="KO248" s="358"/>
      <c r="KP248" s="358"/>
      <c r="KQ248" s="358"/>
      <c r="KR248" s="358"/>
      <c r="KS248" s="358"/>
      <c r="KT248" s="358"/>
      <c r="KU248" s="358"/>
      <c r="KV248" s="358"/>
      <c r="KW248" s="358"/>
      <c r="KX248" s="358"/>
      <c r="KY248" s="358"/>
      <c r="KZ248" s="358"/>
      <c r="LA248" s="358"/>
      <c r="LB248" s="358"/>
      <c r="LC248" s="358"/>
      <c r="LD248" s="358"/>
      <c r="LE248" s="358"/>
      <c r="LF248" s="1784"/>
      <c r="LG248" s="358"/>
      <c r="LH248" s="358"/>
      <c r="LI248" s="358"/>
      <c r="LJ248" s="358"/>
      <c r="LK248" s="1784"/>
      <c r="LL248" s="358"/>
      <c r="LM248" s="358"/>
      <c r="LN248" s="358"/>
      <c r="LO248" s="358"/>
      <c r="LP248" s="1784"/>
      <c r="LQ248" s="358"/>
      <c r="LR248" s="358"/>
      <c r="LS248" s="358"/>
      <c r="LT248" s="358"/>
      <c r="LU248" s="1784"/>
      <c r="LV248" s="1784"/>
      <c r="LW248" s="1784"/>
      <c r="LX248" s="1784"/>
      <c r="LY248" s="1784"/>
      <c r="LZ248" s="1784"/>
      <c r="MA248" s="1784"/>
      <c r="MB248" s="1784"/>
      <c r="MC248" s="1784"/>
      <c r="MD248" s="1784"/>
      <c r="ME248" s="1784"/>
      <c r="MF248" s="1784"/>
      <c r="MG248" s="1784"/>
      <c r="MH248" s="1784"/>
      <c r="MI248" s="1784"/>
      <c r="MJ248" s="1784"/>
      <c r="MK248" s="1784"/>
      <c r="ML248" s="1784"/>
      <c r="MM248" s="1784"/>
      <c r="MN248" s="1784"/>
      <c r="MO248" s="1784"/>
      <c r="MP248" s="1784"/>
      <c r="MQ248" s="358"/>
      <c r="MR248" s="358"/>
      <c r="MS248" s="358"/>
      <c r="MT248" s="358"/>
      <c r="MU248" s="358"/>
      <c r="MV248" s="358"/>
      <c r="MW248" s="1639"/>
      <c r="MX248" s="358"/>
      <c r="MY248" s="358"/>
      <c r="MZ248" s="358"/>
      <c r="NA248" s="358"/>
      <c r="NB248" s="358"/>
      <c r="NC248" s="358"/>
      <c r="ND248" s="358"/>
      <c r="NE248" s="358"/>
      <c r="NF248" s="358"/>
      <c r="NG248" s="358"/>
      <c r="NH248" s="358"/>
      <c r="NI248" s="358"/>
      <c r="NJ248" s="358"/>
      <c r="NK248" s="358"/>
      <c r="NL248" s="358"/>
      <c r="NM248" s="1639"/>
      <c r="NN248" s="1639"/>
      <c r="NO248" s="358"/>
      <c r="NP248" s="358"/>
      <c r="NQ248" s="358"/>
      <c r="NR248" s="358"/>
      <c r="NS248" s="358"/>
      <c r="NT248" s="358"/>
      <c r="NU248" s="358"/>
      <c r="NV248" s="358"/>
      <c r="NW248" s="358"/>
      <c r="NX248" s="358"/>
      <c r="NY248" s="358"/>
      <c r="NZ248" s="358"/>
      <c r="OA248" s="358"/>
      <c r="OB248" s="358"/>
      <c r="OC248" s="358"/>
      <c r="OD248" s="358"/>
      <c r="OE248" s="358"/>
      <c r="OF248" s="358"/>
      <c r="OG248" s="358"/>
      <c r="OH248" s="358"/>
      <c r="OI248" s="358"/>
      <c r="OJ248" s="358"/>
      <c r="OK248" s="358"/>
      <c r="OL248" s="358"/>
      <c r="OM248" s="358"/>
      <c r="ON248" s="358"/>
      <c r="OO248" s="358"/>
      <c r="OP248" s="358"/>
      <c r="OQ248" s="358"/>
      <c r="OR248" s="358"/>
      <c r="OS248" s="358"/>
      <c r="OT248" s="358"/>
      <c r="OU248" s="358"/>
      <c r="OV248" s="72"/>
      <c r="OW248" s="72"/>
      <c r="OX248" s="72"/>
      <c r="OY248" s="2501"/>
      <c r="OZ248" s="2506">
        <v>244</v>
      </c>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c r="RZ248" s="72"/>
      <c r="SA248" s="72"/>
      <c r="SB248" s="72"/>
      <c r="SC248" s="72"/>
      <c r="SD248" s="72"/>
      <c r="SE248" s="72"/>
      <c r="SF248" s="72"/>
      <c r="SG248" s="72"/>
      <c r="SH248" s="72"/>
      <c r="SI248" s="72"/>
      <c r="SJ248" s="72"/>
      <c r="SK248" s="72"/>
      <c r="SL248" s="72"/>
      <c r="SM248" s="72"/>
      <c r="SN248" s="72"/>
      <c r="SO248" s="72"/>
      <c r="SP248" s="72"/>
      <c r="SQ248" s="72"/>
      <c r="SR248" s="72"/>
      <c r="SS248" s="72"/>
      <c r="ST248" s="72"/>
      <c r="SU248" s="72"/>
      <c r="SV248" s="72"/>
      <c r="SW248" s="72"/>
      <c r="SX248" s="72"/>
      <c r="SY248" s="72"/>
      <c r="SZ248" s="72"/>
      <c r="TA248" s="72"/>
      <c r="TB248" s="72"/>
      <c r="TC248" s="72"/>
      <c r="TD248" s="72"/>
      <c r="TE248" s="72"/>
      <c r="TF248" s="72"/>
      <c r="TG248" s="72"/>
      <c r="TH248" s="72"/>
    </row>
    <row r="249" spans="1:528" s="69" customFormat="1" ht="16.5" customHeight="1" thickTop="1" thickBot="1">
      <c r="A249" s="1"/>
      <c r="B249" s="1"/>
      <c r="D249" s="1"/>
      <c r="E249" s="8" t="s">
        <v>184</v>
      </c>
      <c r="F249" s="3600">
        <f>SUM(F243:G248)</f>
        <v>305180</v>
      </c>
      <c r="G249" s="3601"/>
      <c r="H249" s="2479">
        <f t="shared" si="692"/>
        <v>1907.375</v>
      </c>
      <c r="I249" s="1" t="s">
        <v>1495</v>
      </c>
      <c r="K249" s="1"/>
      <c r="L249" s="3611">
        <v>1000</v>
      </c>
      <c r="M249" s="3612"/>
      <c r="N249" s="2479">
        <f>IF(OR(L249="",L249=0),"",L249/$E$58)</f>
        <v>6.25</v>
      </c>
      <c r="R249" s="1"/>
      <c r="S249" s="3613"/>
      <c r="T249" s="3614"/>
      <c r="U249" s="3614"/>
      <c r="V249" s="3614"/>
      <c r="W249" s="3615"/>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358"/>
      <c r="JX249" s="358"/>
      <c r="JY249" s="358"/>
      <c r="JZ249" s="358"/>
      <c r="KA249" s="358"/>
      <c r="KB249" s="358"/>
      <c r="KC249" s="358"/>
      <c r="KD249" s="358"/>
      <c r="KE249" s="358"/>
      <c r="KF249" s="358"/>
      <c r="KG249" s="358"/>
      <c r="KH249" s="358"/>
      <c r="KI249" s="358"/>
      <c r="KJ249" s="358"/>
      <c r="KK249" s="358"/>
      <c r="KL249" s="358"/>
      <c r="KM249" s="358"/>
      <c r="KN249" s="358"/>
      <c r="KO249" s="358"/>
      <c r="KP249" s="358"/>
      <c r="KQ249" s="358"/>
      <c r="KR249" s="358"/>
      <c r="KS249" s="358"/>
      <c r="KT249" s="358"/>
      <c r="KU249" s="358"/>
      <c r="KV249" s="358"/>
      <c r="KW249" s="358"/>
      <c r="KX249" s="358"/>
      <c r="KY249" s="358"/>
      <c r="KZ249" s="358"/>
      <c r="LA249" s="358"/>
      <c r="LB249" s="358"/>
      <c r="LC249" s="358"/>
      <c r="LD249" s="358"/>
      <c r="LE249" s="358"/>
      <c r="LF249" s="1784"/>
      <c r="LG249" s="358"/>
      <c r="LH249" s="358"/>
      <c r="LI249" s="358"/>
      <c r="LJ249" s="358"/>
      <c r="LK249" s="1784"/>
      <c r="LL249" s="358"/>
      <c r="LM249" s="358"/>
      <c r="LN249" s="358"/>
      <c r="LO249" s="358"/>
      <c r="LP249" s="1784"/>
      <c r="LQ249" s="358"/>
      <c r="LR249" s="358"/>
      <c r="LS249" s="358"/>
      <c r="LT249" s="358"/>
      <c r="LU249" s="1784"/>
      <c r="LV249" s="1784"/>
      <c r="LW249" s="1784"/>
      <c r="LX249" s="1784"/>
      <c r="LY249" s="1784"/>
      <c r="LZ249" s="1784"/>
      <c r="MA249" s="1784"/>
      <c r="MB249" s="1784"/>
      <c r="MC249" s="1784"/>
      <c r="MD249" s="1784"/>
      <c r="ME249" s="1784"/>
      <c r="MF249" s="1784"/>
      <c r="MG249" s="1784"/>
      <c r="MH249" s="1784"/>
      <c r="MI249" s="1784"/>
      <c r="MJ249" s="1784"/>
      <c r="MK249" s="1784"/>
      <c r="ML249" s="1784"/>
      <c r="MM249" s="1784"/>
      <c r="MN249" s="1784"/>
      <c r="MO249" s="1784"/>
      <c r="MP249" s="1784"/>
      <c r="MQ249" s="358"/>
      <c r="MR249" s="358"/>
      <c r="MS249" s="358"/>
      <c r="MT249" s="358"/>
      <c r="MU249" s="358"/>
      <c r="MV249" s="358"/>
      <c r="MW249" s="1639"/>
      <c r="MX249" s="358"/>
      <c r="MY249" s="358"/>
      <c r="MZ249" s="358"/>
      <c r="NA249" s="358"/>
      <c r="NB249" s="358"/>
      <c r="NC249" s="358"/>
      <c r="ND249" s="358"/>
      <c r="NE249" s="358"/>
      <c r="NF249" s="358"/>
      <c r="NG249" s="358"/>
      <c r="NH249" s="358"/>
      <c r="NI249" s="358"/>
      <c r="NJ249" s="358"/>
      <c r="NK249" s="358"/>
      <c r="NL249" s="358"/>
      <c r="NM249" s="1639"/>
      <c r="NN249" s="1639"/>
      <c r="NO249" s="358"/>
      <c r="NP249" s="358"/>
      <c r="NQ249" s="358"/>
      <c r="NR249" s="358"/>
      <c r="NS249" s="358"/>
      <c r="NT249" s="358"/>
      <c r="NU249" s="358"/>
      <c r="NV249" s="358"/>
      <c r="NW249" s="358"/>
      <c r="NX249" s="358"/>
      <c r="NY249" s="358"/>
      <c r="NZ249" s="358"/>
      <c r="OA249" s="358"/>
      <c r="OB249" s="358"/>
      <c r="OC249" s="358"/>
      <c r="OD249" s="358"/>
      <c r="OE249" s="358"/>
      <c r="OF249" s="358"/>
      <c r="OG249" s="358"/>
      <c r="OH249" s="358"/>
      <c r="OI249" s="358"/>
      <c r="OJ249" s="358"/>
      <c r="OK249" s="358"/>
      <c r="OL249" s="358"/>
      <c r="OM249" s="358"/>
      <c r="ON249" s="358"/>
      <c r="OO249" s="358"/>
      <c r="OP249" s="358"/>
      <c r="OQ249" s="358"/>
      <c r="OR249" s="358"/>
      <c r="OS249" s="358"/>
      <c r="OT249" s="358"/>
      <c r="OU249" s="358"/>
      <c r="OV249" s="72"/>
      <c r="OW249" s="72"/>
      <c r="OX249" s="72"/>
      <c r="OY249" s="2501"/>
      <c r="OZ249" s="2504">
        <v>245</v>
      </c>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c r="RZ249" s="72"/>
      <c r="SA249" s="72"/>
      <c r="SB249" s="72"/>
      <c r="SC249" s="72"/>
      <c r="SD249" s="72"/>
      <c r="SE249" s="72"/>
      <c r="SF249" s="72"/>
      <c r="SG249" s="72"/>
      <c r="SH249" s="72"/>
      <c r="SI249" s="72"/>
      <c r="SJ249" s="72"/>
      <c r="SK249" s="72"/>
      <c r="SL249" s="72"/>
      <c r="SM249" s="72"/>
      <c r="SN249" s="72"/>
      <c r="SO249" s="72"/>
      <c r="SP249" s="72"/>
      <c r="SQ249" s="72"/>
      <c r="SR249" s="72"/>
      <c r="SS249" s="72"/>
      <c r="ST249" s="72"/>
      <c r="SU249" s="72"/>
      <c r="SV249" s="72"/>
      <c r="SW249" s="72"/>
      <c r="SX249" s="72"/>
      <c r="SY249" s="72"/>
      <c r="SZ249" s="72"/>
      <c r="TA249" s="72"/>
      <c r="TB249" s="72"/>
      <c r="TC249" s="72"/>
      <c r="TD249" s="72"/>
      <c r="TE249" s="72"/>
      <c r="TF249" s="72"/>
      <c r="TG249" s="72"/>
      <c r="TH249" s="72"/>
    </row>
    <row r="250" spans="1:528" s="69" customFormat="1" ht="16.5" customHeight="1" thickBot="1">
      <c r="A250" s="1"/>
      <c r="B250" s="1"/>
      <c r="C250" s="4"/>
      <c r="D250" s="8"/>
      <c r="E250" s="1"/>
      <c r="F250" s="9"/>
      <c r="G250" s="9"/>
      <c r="H250" s="1"/>
      <c r="I250" s="1" t="s">
        <v>1893</v>
      </c>
      <c r="K250" s="1"/>
      <c r="L250" s="3607">
        <v>10000</v>
      </c>
      <c r="M250" s="3608"/>
      <c r="N250" s="2479">
        <f t="shared" ref="N250:N253" si="694">IF(OR(L250="",L250=0),"",L250/$E$58)</f>
        <v>62.5</v>
      </c>
      <c r="O250" s="4" t="s">
        <v>2023</v>
      </c>
      <c r="P250" s="1"/>
      <c r="Q250" s="325">
        <f>F249+F258+F269+L245+L253+L263+L269+Q242</f>
        <v>1234842</v>
      </c>
      <c r="R250" s="1"/>
      <c r="S250" s="3613"/>
      <c r="T250" s="3614"/>
      <c r="U250" s="3614"/>
      <c r="V250" s="3614"/>
      <c r="W250" s="3615"/>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358"/>
      <c r="JX250" s="358"/>
      <c r="JY250" s="358"/>
      <c r="JZ250" s="358"/>
      <c r="KA250" s="358"/>
      <c r="KB250" s="358"/>
      <c r="KC250" s="358"/>
      <c r="KD250" s="358"/>
      <c r="KE250" s="358"/>
      <c r="KF250" s="358"/>
      <c r="KG250" s="358"/>
      <c r="KH250" s="358"/>
      <c r="KI250" s="358"/>
      <c r="KJ250" s="358"/>
      <c r="KK250" s="358"/>
      <c r="KL250" s="358"/>
      <c r="KM250" s="358"/>
      <c r="KN250" s="358"/>
      <c r="KO250" s="358"/>
      <c r="KP250" s="358"/>
      <c r="KQ250" s="358"/>
      <c r="KR250" s="358"/>
      <c r="KS250" s="358"/>
      <c r="KT250" s="358"/>
      <c r="KU250" s="358"/>
      <c r="KV250" s="358"/>
      <c r="KW250" s="358"/>
      <c r="KX250" s="358"/>
      <c r="KY250" s="358"/>
      <c r="KZ250" s="358"/>
      <c r="LA250" s="358"/>
      <c r="LB250" s="358"/>
      <c r="LC250" s="358"/>
      <c r="LD250" s="358"/>
      <c r="LE250" s="358"/>
      <c r="LF250" s="1784"/>
      <c r="LG250" s="358"/>
      <c r="LH250" s="358"/>
      <c r="LI250" s="358"/>
      <c r="LJ250" s="358"/>
      <c r="LK250" s="1784"/>
      <c r="LL250" s="358"/>
      <c r="LM250" s="358"/>
      <c r="LN250" s="358"/>
      <c r="LO250" s="358"/>
      <c r="LP250" s="1784"/>
      <c r="LQ250" s="358"/>
      <c r="LR250" s="358"/>
      <c r="LS250" s="358"/>
      <c r="LT250" s="358"/>
      <c r="LU250" s="1784"/>
      <c r="LV250" s="1784"/>
      <c r="LW250" s="1784"/>
      <c r="LX250" s="1784"/>
      <c r="LY250" s="1784"/>
      <c r="LZ250" s="1784"/>
      <c r="MA250" s="1784"/>
      <c r="MB250" s="1784"/>
      <c r="MC250" s="1784"/>
      <c r="MD250" s="1784"/>
      <c r="ME250" s="1784"/>
      <c r="MF250" s="1784"/>
      <c r="MG250" s="1784"/>
      <c r="MH250" s="1784"/>
      <c r="MI250" s="1784"/>
      <c r="MJ250" s="1784"/>
      <c r="MK250" s="1784"/>
      <c r="ML250" s="1784"/>
      <c r="MM250" s="1784"/>
      <c r="MN250" s="1784"/>
      <c r="MO250" s="1784"/>
      <c r="MP250" s="1784"/>
      <c r="MQ250" s="358"/>
      <c r="MR250" s="358"/>
      <c r="MS250" s="358"/>
      <c r="MT250" s="358"/>
      <c r="MU250" s="358"/>
      <c r="MV250" s="358"/>
      <c r="MW250" s="1639"/>
      <c r="MX250" s="358"/>
      <c r="MY250" s="358"/>
      <c r="MZ250" s="358"/>
      <c r="NA250" s="358"/>
      <c r="NB250" s="358"/>
      <c r="NC250" s="358"/>
      <c r="ND250" s="358"/>
      <c r="NE250" s="358"/>
      <c r="NF250" s="358"/>
      <c r="NG250" s="358"/>
      <c r="NH250" s="358"/>
      <c r="NI250" s="358"/>
      <c r="NJ250" s="358"/>
      <c r="NK250" s="358"/>
      <c r="NL250" s="358"/>
      <c r="NM250" s="1639"/>
      <c r="NN250" s="1639"/>
      <c r="NO250" s="358"/>
      <c r="NP250" s="358"/>
      <c r="NQ250" s="358"/>
      <c r="NR250" s="358"/>
      <c r="NS250" s="358"/>
      <c r="NT250" s="358"/>
      <c r="NU250" s="358"/>
      <c r="NV250" s="358"/>
      <c r="NW250" s="358"/>
      <c r="NX250" s="358"/>
      <c r="NY250" s="358"/>
      <c r="NZ250" s="358"/>
      <c r="OA250" s="358"/>
      <c r="OB250" s="358"/>
      <c r="OC250" s="358"/>
      <c r="OD250" s="358"/>
      <c r="OE250" s="358"/>
      <c r="OF250" s="358"/>
      <c r="OG250" s="358"/>
      <c r="OH250" s="358"/>
      <c r="OI250" s="358"/>
      <c r="OJ250" s="358"/>
      <c r="OK250" s="358"/>
      <c r="OL250" s="358"/>
      <c r="OM250" s="358"/>
      <c r="ON250" s="358"/>
      <c r="OO250" s="358"/>
      <c r="OP250" s="358"/>
      <c r="OQ250" s="358"/>
      <c r="OR250" s="358"/>
      <c r="OS250" s="358"/>
      <c r="OT250" s="358"/>
      <c r="OU250" s="358"/>
      <c r="OV250" s="72"/>
      <c r="OW250" s="72"/>
      <c r="OX250" s="72"/>
      <c r="OY250" s="2501"/>
      <c r="OZ250" s="2504">
        <v>246</v>
      </c>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c r="RZ250" s="72"/>
      <c r="SA250" s="72"/>
      <c r="SB250" s="72"/>
      <c r="SC250" s="72"/>
      <c r="SD250" s="72"/>
      <c r="SE250" s="72"/>
      <c r="SF250" s="72"/>
      <c r="SG250" s="72"/>
      <c r="SH250" s="72"/>
      <c r="SI250" s="72"/>
      <c r="SJ250" s="72"/>
      <c r="SK250" s="72"/>
      <c r="SL250" s="72"/>
      <c r="SM250" s="72"/>
      <c r="SN250" s="72"/>
      <c r="SO250" s="72"/>
      <c r="SP250" s="72"/>
      <c r="SQ250" s="72"/>
      <c r="SR250" s="72"/>
      <c r="SS250" s="72"/>
      <c r="ST250" s="72"/>
      <c r="SU250" s="72"/>
      <c r="SV250" s="72"/>
      <c r="SW250" s="72"/>
      <c r="SX250" s="72"/>
      <c r="SY250" s="72"/>
      <c r="SZ250" s="72"/>
      <c r="TA250" s="72"/>
      <c r="TB250" s="72"/>
      <c r="TC250" s="72"/>
      <c r="TD250" s="72"/>
      <c r="TE250" s="72"/>
      <c r="TF250" s="72"/>
      <c r="TG250" s="72"/>
      <c r="TH250" s="72"/>
    </row>
    <row r="251" spans="1:528" s="69" customFormat="1" ht="16.5" customHeight="1">
      <c r="A251" s="1"/>
      <c r="B251" s="4" t="s">
        <v>1212</v>
      </c>
      <c r="C251" s="1"/>
      <c r="D251" s="7"/>
      <c r="E251" s="1"/>
      <c r="F251" s="1"/>
      <c r="G251" s="1"/>
      <c r="H251" s="1"/>
      <c r="I251" s="1" t="s">
        <v>1496</v>
      </c>
      <c r="K251" s="1"/>
      <c r="L251" s="3607">
        <v>6000</v>
      </c>
      <c r="M251" s="3608"/>
      <c r="N251" s="2479">
        <f t="shared" si="694"/>
        <v>37.5</v>
      </c>
      <c r="O251" s="42" t="s">
        <v>2478</v>
      </c>
      <c r="P251" s="318">
        <f>+Q250/P76</f>
        <v>7717.7624999999998</v>
      </c>
      <c r="R251" s="658"/>
      <c r="S251" s="3613"/>
      <c r="T251" s="3614"/>
      <c r="U251" s="3614"/>
      <c r="V251" s="3614"/>
      <c r="W251" s="3615"/>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358"/>
      <c r="JX251" s="358"/>
      <c r="JY251" s="358"/>
      <c r="JZ251" s="358"/>
      <c r="KA251" s="358"/>
      <c r="KB251" s="358"/>
      <c r="KC251" s="358"/>
      <c r="KD251" s="358"/>
      <c r="KE251" s="358"/>
      <c r="KF251" s="358"/>
      <c r="KG251" s="358"/>
      <c r="KH251" s="358"/>
      <c r="KI251" s="358"/>
      <c r="KJ251" s="358"/>
      <c r="KK251" s="358"/>
      <c r="KL251" s="358"/>
      <c r="KM251" s="358"/>
      <c r="KN251" s="358"/>
      <c r="KO251" s="358"/>
      <c r="KP251" s="358"/>
      <c r="KQ251" s="358"/>
      <c r="KR251" s="358"/>
      <c r="KS251" s="358"/>
      <c r="KT251" s="358"/>
      <c r="KU251" s="358"/>
      <c r="KV251" s="358"/>
      <c r="KW251" s="358"/>
      <c r="KX251" s="358"/>
      <c r="KY251" s="358"/>
      <c r="KZ251" s="358"/>
      <c r="LA251" s="358"/>
      <c r="LB251" s="358"/>
      <c r="LC251" s="358"/>
      <c r="LD251" s="358"/>
      <c r="LE251" s="358"/>
      <c r="LF251" s="1784"/>
      <c r="LG251" s="358"/>
      <c r="LH251" s="358"/>
      <c r="LI251" s="358"/>
      <c r="LJ251" s="358"/>
      <c r="LK251" s="1784"/>
      <c r="LL251" s="358"/>
      <c r="LM251" s="358"/>
      <c r="LN251" s="358"/>
      <c r="LO251" s="358"/>
      <c r="LP251" s="1784"/>
      <c r="LQ251" s="358"/>
      <c r="LR251" s="358"/>
      <c r="LS251" s="358"/>
      <c r="LT251" s="358"/>
      <c r="LU251" s="1784"/>
      <c r="LV251" s="1784"/>
      <c r="LW251" s="1784"/>
      <c r="LX251" s="1784"/>
      <c r="LY251" s="1784"/>
      <c r="LZ251" s="1784"/>
      <c r="MA251" s="1784"/>
      <c r="MB251" s="1784"/>
      <c r="MC251" s="1784"/>
      <c r="MD251" s="1784"/>
      <c r="ME251" s="1784"/>
      <c r="MF251" s="1784"/>
      <c r="MG251" s="1784"/>
      <c r="MH251" s="1784"/>
      <c r="MI251" s="1784"/>
      <c r="MJ251" s="1784"/>
      <c r="MK251" s="1784"/>
      <c r="ML251" s="1784"/>
      <c r="MM251" s="1784"/>
      <c r="MN251" s="1784"/>
      <c r="MO251" s="1784"/>
      <c r="MP251" s="1784"/>
      <c r="MQ251" s="358"/>
      <c r="MR251" s="358"/>
      <c r="MS251" s="358"/>
      <c r="MT251" s="358"/>
      <c r="MU251" s="358"/>
      <c r="MV251" s="358"/>
      <c r="MW251" s="1639"/>
      <c r="MX251" s="358"/>
      <c r="MY251" s="358"/>
      <c r="MZ251" s="358"/>
      <c r="NA251" s="358"/>
      <c r="NB251" s="358"/>
      <c r="NC251" s="358"/>
      <c r="ND251" s="358"/>
      <c r="NE251" s="358"/>
      <c r="NF251" s="358"/>
      <c r="NG251" s="358"/>
      <c r="NH251" s="358"/>
      <c r="NI251" s="358"/>
      <c r="NJ251" s="358"/>
      <c r="NK251" s="358"/>
      <c r="NL251" s="358"/>
      <c r="NM251" s="1639"/>
      <c r="NN251" s="1639"/>
      <c r="NO251" s="358"/>
      <c r="NP251" s="358"/>
      <c r="NQ251" s="358"/>
      <c r="NR251" s="358"/>
      <c r="NS251" s="358"/>
      <c r="NT251" s="358"/>
      <c r="NU251" s="358"/>
      <c r="NV251" s="358"/>
      <c r="NW251" s="358"/>
      <c r="NX251" s="358"/>
      <c r="NY251" s="358"/>
      <c r="NZ251" s="358"/>
      <c r="OA251" s="358"/>
      <c r="OB251" s="358"/>
      <c r="OC251" s="358"/>
      <c r="OD251" s="358"/>
      <c r="OE251" s="358"/>
      <c r="OF251" s="358"/>
      <c r="OG251" s="358"/>
      <c r="OH251" s="358"/>
      <c r="OI251" s="358"/>
      <c r="OJ251" s="358"/>
      <c r="OK251" s="358"/>
      <c r="OL251" s="358"/>
      <c r="OM251" s="358"/>
      <c r="ON251" s="358"/>
      <c r="OO251" s="358"/>
      <c r="OP251" s="358"/>
      <c r="OQ251" s="358"/>
      <c r="OR251" s="358"/>
      <c r="OS251" s="358"/>
      <c r="OT251" s="358"/>
      <c r="OU251" s="358"/>
      <c r="OV251" s="72"/>
      <c r="OW251" s="72"/>
      <c r="OX251" s="72"/>
      <c r="OY251" s="2501" t="s">
        <v>4337</v>
      </c>
      <c r="OZ251" s="2503">
        <v>247</v>
      </c>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c r="RZ251" s="72"/>
      <c r="SA251" s="72"/>
      <c r="SB251" s="72"/>
      <c r="SC251" s="72"/>
      <c r="SD251" s="72"/>
      <c r="SE251" s="72"/>
      <c r="SF251" s="72"/>
      <c r="SG251" s="72"/>
      <c r="SH251" s="72"/>
      <c r="SI251" s="72"/>
      <c r="SJ251" s="72"/>
      <c r="SK251" s="72"/>
      <c r="SL251" s="72"/>
      <c r="SM251" s="72"/>
      <c r="SN251" s="72"/>
      <c r="SO251" s="72"/>
      <c r="SP251" s="72"/>
      <c r="SQ251" s="72"/>
      <c r="SR251" s="72"/>
      <c r="SS251" s="72"/>
      <c r="ST251" s="72"/>
      <c r="SU251" s="72"/>
      <c r="SV251" s="72"/>
      <c r="SW251" s="72"/>
      <c r="SX251" s="72"/>
      <c r="SY251" s="72"/>
      <c r="SZ251" s="72"/>
      <c r="TA251" s="72"/>
      <c r="TB251" s="72"/>
      <c r="TC251" s="72"/>
      <c r="TD251" s="72"/>
      <c r="TE251" s="72"/>
      <c r="TF251" s="72"/>
      <c r="TG251" s="72"/>
      <c r="TH251" s="72"/>
    </row>
    <row r="252" spans="1:528" s="69" customFormat="1" ht="16.5" customHeight="1" thickBot="1">
      <c r="A252" s="1"/>
      <c r="B252" s="1" t="s">
        <v>1292</v>
      </c>
      <c r="C252" s="1"/>
      <c r="D252" s="7"/>
      <c r="E252" s="1"/>
      <c r="F252" s="3672">
        <v>8000</v>
      </c>
      <c r="G252" s="3673"/>
      <c r="H252" s="2479">
        <f>IF(OR(F252="",F252=0),"",F252/$E$58)</f>
        <v>50</v>
      </c>
      <c r="I252" s="3573" t="s">
        <v>46</v>
      </c>
      <c r="J252" s="3574"/>
      <c r="K252" s="3575"/>
      <c r="L252" s="3618"/>
      <c r="M252" s="3619"/>
      <c r="N252" s="2479" t="str">
        <f t="shared" si="694"/>
        <v/>
      </c>
      <c r="P252" s="741" t="s">
        <v>3137</v>
      </c>
      <c r="Q252" s="742">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720000</v>
      </c>
      <c r="R252" s="1"/>
      <c r="S252" s="3613"/>
      <c r="T252" s="3614"/>
      <c r="U252" s="3614"/>
      <c r="V252" s="3614"/>
      <c r="W252" s="3615"/>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358"/>
      <c r="JX252" s="358"/>
      <c r="JY252" s="358"/>
      <c r="JZ252" s="358"/>
      <c r="KA252" s="358"/>
      <c r="KB252" s="358"/>
      <c r="KC252" s="358"/>
      <c r="KD252" s="358"/>
      <c r="KE252" s="358"/>
      <c r="KF252" s="358"/>
      <c r="KG252" s="358"/>
      <c r="KH252" s="358"/>
      <c r="KI252" s="358"/>
      <c r="KJ252" s="358"/>
      <c r="KK252" s="358"/>
      <c r="KL252" s="358"/>
      <c r="KM252" s="358"/>
      <c r="KN252" s="358"/>
      <c r="KO252" s="358"/>
      <c r="KP252" s="358"/>
      <c r="KQ252" s="358"/>
      <c r="KR252" s="358"/>
      <c r="KS252" s="358"/>
      <c r="KT252" s="358"/>
      <c r="KU252" s="358"/>
      <c r="KV252" s="358"/>
      <c r="KW252" s="358"/>
      <c r="KX252" s="358"/>
      <c r="KY252" s="358"/>
      <c r="KZ252" s="358"/>
      <c r="LA252" s="358"/>
      <c r="LB252" s="358"/>
      <c r="LC252" s="358"/>
      <c r="LD252" s="358"/>
      <c r="LE252" s="358"/>
      <c r="LF252" s="1784"/>
      <c r="LG252" s="358"/>
      <c r="LH252" s="358"/>
      <c r="LI252" s="358"/>
      <c r="LJ252" s="358"/>
      <c r="LK252" s="1784"/>
      <c r="LL252" s="358"/>
      <c r="LM252" s="358"/>
      <c r="LN252" s="358"/>
      <c r="LO252" s="358"/>
      <c r="LP252" s="1784"/>
      <c r="LQ252" s="358"/>
      <c r="LR252" s="358"/>
      <c r="LS252" s="358"/>
      <c r="LT252" s="358"/>
      <c r="LU252" s="1784"/>
      <c r="LV252" s="1784"/>
      <c r="LW252" s="1784"/>
      <c r="LX252" s="1784"/>
      <c r="LY252" s="1784"/>
      <c r="LZ252" s="1784"/>
      <c r="MA252" s="1784"/>
      <c r="MB252" s="1784"/>
      <c r="MC252" s="1784"/>
      <c r="MD252" s="1784"/>
      <c r="ME252" s="1784"/>
      <c r="MF252" s="1784"/>
      <c r="MG252" s="1784"/>
      <c r="MH252" s="1784"/>
      <c r="MI252" s="1784"/>
      <c r="MJ252" s="1784"/>
      <c r="MK252" s="1784"/>
      <c r="ML252" s="1784"/>
      <c r="MM252" s="1784"/>
      <c r="MN252" s="1784"/>
      <c r="MO252" s="1784"/>
      <c r="MP252" s="1784"/>
      <c r="MQ252" s="358"/>
      <c r="MR252" s="358"/>
      <c r="MS252" s="358"/>
      <c r="MT252" s="358"/>
      <c r="MU252" s="358"/>
      <c r="MV252" s="358"/>
      <c r="MW252" s="1639"/>
      <c r="MX252" s="358"/>
      <c r="MY252" s="358"/>
      <c r="MZ252" s="358"/>
      <c r="NA252" s="358"/>
      <c r="NB252" s="358"/>
      <c r="NC252" s="358"/>
      <c r="ND252" s="358"/>
      <c r="NE252" s="358"/>
      <c r="NF252" s="358"/>
      <c r="NG252" s="358"/>
      <c r="NH252" s="358"/>
      <c r="NI252" s="358"/>
      <c r="NJ252" s="358"/>
      <c r="NK252" s="358"/>
      <c r="NL252" s="358"/>
      <c r="NM252" s="1639"/>
      <c r="NN252" s="1639"/>
      <c r="NO252" s="358"/>
      <c r="NP252" s="358"/>
      <c r="NQ252" s="358"/>
      <c r="NR252" s="358"/>
      <c r="NS252" s="358"/>
      <c r="NT252" s="358"/>
      <c r="NU252" s="358"/>
      <c r="NV252" s="358"/>
      <c r="NW252" s="358"/>
      <c r="NX252" s="358"/>
      <c r="NY252" s="358"/>
      <c r="NZ252" s="358"/>
      <c r="OA252" s="358"/>
      <c r="OB252" s="358"/>
      <c r="OC252" s="358"/>
      <c r="OD252" s="358"/>
      <c r="OE252" s="358"/>
      <c r="OF252" s="358"/>
      <c r="OG252" s="358"/>
      <c r="OH252" s="358"/>
      <c r="OI252" s="358"/>
      <c r="OJ252" s="358"/>
      <c r="OK252" s="358"/>
      <c r="OL252" s="358"/>
      <c r="OM252" s="358"/>
      <c r="ON252" s="358"/>
      <c r="OO252" s="358"/>
      <c r="OP252" s="358"/>
      <c r="OQ252" s="358"/>
      <c r="OR252" s="358"/>
      <c r="OS252" s="358"/>
      <c r="OT252" s="358"/>
      <c r="OU252" s="358"/>
      <c r="OV252" s="72"/>
      <c r="OW252" s="72"/>
      <c r="OX252" s="72"/>
      <c r="OY252" s="2501"/>
      <c r="OZ252" s="2504">
        <v>248</v>
      </c>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c r="RZ252" s="72"/>
      <c r="SA252" s="72"/>
      <c r="SB252" s="72"/>
      <c r="SC252" s="72"/>
      <c r="SD252" s="72"/>
      <c r="SE252" s="72"/>
      <c r="SF252" s="72"/>
      <c r="SG252" s="72"/>
      <c r="SH252" s="72"/>
      <c r="SI252" s="72"/>
      <c r="SJ252" s="72"/>
      <c r="SK252" s="72"/>
      <c r="SL252" s="72"/>
      <c r="SM252" s="72"/>
      <c r="SN252" s="72"/>
      <c r="SO252" s="72"/>
      <c r="SP252" s="72"/>
      <c r="SQ252" s="72"/>
      <c r="SR252" s="72"/>
      <c r="SS252" s="72"/>
      <c r="ST252" s="72"/>
      <c r="SU252" s="72"/>
      <c r="SV252" s="72"/>
      <c r="SW252" s="72"/>
      <c r="SX252" s="72"/>
      <c r="SY252" s="72"/>
      <c r="SZ252" s="72"/>
      <c r="TA252" s="72"/>
      <c r="TB252" s="72"/>
      <c r="TC252" s="72"/>
      <c r="TD252" s="72"/>
      <c r="TE252" s="72"/>
      <c r="TF252" s="72"/>
      <c r="TG252" s="72"/>
      <c r="TH252" s="72"/>
    </row>
    <row r="253" spans="1:528" s="69" customFormat="1" ht="16.5" customHeight="1" thickTop="1">
      <c r="A253" s="1"/>
      <c r="B253" s="1" t="s">
        <v>1293</v>
      </c>
      <c r="C253" s="1"/>
      <c r="D253" s="7"/>
      <c r="E253" s="1"/>
      <c r="F253" s="3609">
        <v>20000</v>
      </c>
      <c r="G253" s="3610"/>
      <c r="H253" s="2479">
        <f t="shared" ref="H253:H258" si="695">IF(OR(F253="",F253=0),"",F253/$E$58)</f>
        <v>125</v>
      </c>
      <c r="I253" s="4"/>
      <c r="K253" s="8" t="s">
        <v>184</v>
      </c>
      <c r="L253" s="3578">
        <f>SUM(L249:L252)</f>
        <v>17000</v>
      </c>
      <c r="M253" s="3668"/>
      <c r="N253" s="2479">
        <f t="shared" si="694"/>
        <v>106.25</v>
      </c>
      <c r="O253" s="3671" t="s">
        <v>4803</v>
      </c>
      <c r="P253" s="3671"/>
      <c r="Q253" s="3671"/>
      <c r="R253" s="1"/>
      <c r="S253" s="3613"/>
      <c r="T253" s="3614"/>
      <c r="U253" s="3614"/>
      <c r="V253" s="3614"/>
      <c r="W253" s="3615"/>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358"/>
      <c r="JX253" s="358"/>
      <c r="JY253" s="358"/>
      <c r="JZ253" s="358"/>
      <c r="KA253" s="358"/>
      <c r="KB253" s="358"/>
      <c r="KC253" s="358"/>
      <c r="KD253" s="358"/>
      <c r="KE253" s="358"/>
      <c r="KF253" s="358"/>
      <c r="KG253" s="358"/>
      <c r="KH253" s="358"/>
      <c r="KI253" s="358"/>
      <c r="KJ253" s="358"/>
      <c r="KK253" s="358"/>
      <c r="KL253" s="358"/>
      <c r="KM253" s="358"/>
      <c r="KN253" s="358"/>
      <c r="KO253" s="358"/>
      <c r="KP253" s="358"/>
      <c r="KQ253" s="358"/>
      <c r="KR253" s="358"/>
      <c r="KS253" s="358"/>
      <c r="KT253" s="358"/>
      <c r="KU253" s="358"/>
      <c r="KV253" s="358"/>
      <c r="KW253" s="358"/>
      <c r="KX253" s="358"/>
      <c r="KY253" s="358"/>
      <c r="KZ253" s="358"/>
      <c r="LA253" s="358"/>
      <c r="LB253" s="358"/>
      <c r="LC253" s="358"/>
      <c r="LD253" s="358"/>
      <c r="LE253" s="358"/>
      <c r="LF253" s="1784"/>
      <c r="LG253" s="358"/>
      <c r="LH253" s="358"/>
      <c r="LI253" s="358"/>
      <c r="LJ253" s="358"/>
      <c r="LK253" s="1784"/>
      <c r="LL253" s="358"/>
      <c r="LM253" s="358"/>
      <c r="LN253" s="358"/>
      <c r="LO253" s="358"/>
      <c r="LP253" s="1784"/>
      <c r="LQ253" s="358"/>
      <c r="LR253" s="358"/>
      <c r="LS253" s="358"/>
      <c r="LT253" s="358"/>
      <c r="LU253" s="1784"/>
      <c r="LV253" s="1784"/>
      <c r="LW253" s="1784"/>
      <c r="LX253" s="1784"/>
      <c r="LY253" s="1784"/>
      <c r="LZ253" s="1784"/>
      <c r="MA253" s="1784"/>
      <c r="MB253" s="1784"/>
      <c r="MC253" s="1784"/>
      <c r="MD253" s="1784"/>
      <c r="ME253" s="1784"/>
      <c r="MF253" s="1784"/>
      <c r="MG253" s="1784"/>
      <c r="MH253" s="1784"/>
      <c r="MI253" s="1784"/>
      <c r="MJ253" s="1784"/>
      <c r="MK253" s="1784"/>
      <c r="ML253" s="1784"/>
      <c r="MM253" s="1784"/>
      <c r="MN253" s="1784"/>
      <c r="MO253" s="1784"/>
      <c r="MP253" s="1784"/>
      <c r="MQ253" s="358"/>
      <c r="MR253" s="358"/>
      <c r="MS253" s="358"/>
      <c r="MT253" s="358"/>
      <c r="MU253" s="358"/>
      <c r="MV253" s="358"/>
      <c r="MW253" s="1639"/>
      <c r="MX253" s="358"/>
      <c r="MY253" s="358"/>
      <c r="MZ253" s="358"/>
      <c r="NA253" s="358"/>
      <c r="NB253" s="358"/>
      <c r="NC253" s="358"/>
      <c r="ND253" s="358"/>
      <c r="NE253" s="358"/>
      <c r="NF253" s="358"/>
      <c r="NG253" s="358"/>
      <c r="NH253" s="358"/>
      <c r="NI253" s="358"/>
      <c r="NJ253" s="358"/>
      <c r="NK253" s="358"/>
      <c r="NL253" s="358"/>
      <c r="NM253" s="1639"/>
      <c r="NN253" s="1639"/>
      <c r="NO253" s="358"/>
      <c r="NP253" s="358"/>
      <c r="NQ253" s="358"/>
      <c r="NR253" s="358"/>
      <c r="NS253" s="358"/>
      <c r="NT253" s="358"/>
      <c r="NU253" s="358"/>
      <c r="NV253" s="358"/>
      <c r="NW253" s="358"/>
      <c r="NX253" s="358"/>
      <c r="NY253" s="358"/>
      <c r="NZ253" s="358"/>
      <c r="OA253" s="358"/>
      <c r="OB253" s="358"/>
      <c r="OC253" s="358"/>
      <c r="OD253" s="358"/>
      <c r="OE253" s="358"/>
      <c r="OF253" s="358"/>
      <c r="OG253" s="358"/>
      <c r="OH253" s="358"/>
      <c r="OI253" s="358"/>
      <c r="OJ253" s="358"/>
      <c r="OK253" s="358"/>
      <c r="OL253" s="358"/>
      <c r="OM253" s="358"/>
      <c r="ON253" s="358"/>
      <c r="OO253" s="358"/>
      <c r="OP253" s="358"/>
      <c r="OQ253" s="358"/>
      <c r="OR253" s="358"/>
      <c r="OS253" s="358"/>
      <c r="OT253" s="358"/>
      <c r="OU253" s="358"/>
      <c r="OV253" s="72"/>
      <c r="OW253" s="72"/>
      <c r="OX253" s="72"/>
      <c r="OY253" s="2501"/>
      <c r="OZ253" s="2504">
        <v>249</v>
      </c>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c r="RZ253" s="72"/>
      <c r="SA253" s="72"/>
      <c r="SB253" s="72"/>
      <c r="SC253" s="72"/>
      <c r="SD253" s="72"/>
      <c r="SE253" s="72"/>
      <c r="SF253" s="72"/>
      <c r="SG253" s="72"/>
      <c r="SH253" s="72"/>
      <c r="SI253" s="72"/>
      <c r="SJ253" s="72"/>
      <c r="SK253" s="72"/>
      <c r="SL253" s="72"/>
      <c r="SM253" s="72"/>
      <c r="SN253" s="72"/>
      <c r="SO253" s="72"/>
      <c r="SP253" s="72"/>
      <c r="SQ253" s="72"/>
      <c r="SR253" s="72"/>
      <c r="SS253" s="72"/>
      <c r="ST253" s="72"/>
      <c r="SU253" s="72"/>
      <c r="SV253" s="72"/>
      <c r="SW253" s="72"/>
      <c r="SX253" s="72"/>
      <c r="SY253" s="72"/>
      <c r="SZ253" s="72"/>
      <c r="TA253" s="72"/>
      <c r="TB253" s="72"/>
      <c r="TC253" s="72"/>
      <c r="TD253" s="72"/>
      <c r="TE253" s="72"/>
      <c r="TF253" s="72"/>
      <c r="TG253" s="72"/>
      <c r="TH253" s="72"/>
    </row>
    <row r="254" spans="1:528" s="69" customFormat="1" ht="16.5" customHeight="1">
      <c r="A254" s="1"/>
      <c r="B254" s="1" t="s">
        <v>1294</v>
      </c>
      <c r="C254" s="1"/>
      <c r="D254" s="7"/>
      <c r="E254" s="1"/>
      <c r="F254" s="3609">
        <v>3000</v>
      </c>
      <c r="G254" s="3610"/>
      <c r="H254" s="2479">
        <f t="shared" si="695"/>
        <v>18.75</v>
      </c>
      <c r="N254" s="1"/>
      <c r="O254" s="3671"/>
      <c r="P254" s="3671"/>
      <c r="Q254" s="3671"/>
      <c r="R254" s="872"/>
      <c r="S254" s="3613"/>
      <c r="T254" s="3614"/>
      <c r="U254" s="3614"/>
      <c r="V254" s="3614"/>
      <c r="W254" s="3615"/>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358"/>
      <c r="JX254" s="358"/>
      <c r="JY254" s="358"/>
      <c r="JZ254" s="358"/>
      <c r="KA254" s="358"/>
      <c r="KB254" s="358"/>
      <c r="KC254" s="358"/>
      <c r="KD254" s="358"/>
      <c r="KE254" s="358"/>
      <c r="KF254" s="358"/>
      <c r="KG254" s="358"/>
      <c r="KH254" s="358"/>
      <c r="KI254" s="358"/>
      <c r="KJ254" s="358"/>
      <c r="KK254" s="358"/>
      <c r="KL254" s="358"/>
      <c r="KM254" s="358"/>
      <c r="KN254" s="358"/>
      <c r="KO254" s="358"/>
      <c r="KP254" s="358"/>
      <c r="KQ254" s="358"/>
      <c r="KR254" s="358"/>
      <c r="KS254" s="358"/>
      <c r="KT254" s="358"/>
      <c r="KU254" s="358"/>
      <c r="KV254" s="358"/>
      <c r="KW254" s="358"/>
      <c r="KX254" s="358"/>
      <c r="KY254" s="358"/>
      <c r="KZ254" s="358"/>
      <c r="LA254" s="358"/>
      <c r="LB254" s="358"/>
      <c r="LC254" s="358"/>
      <c r="LD254" s="358"/>
      <c r="LE254" s="358"/>
      <c r="LF254" s="1784"/>
      <c r="LG254" s="358"/>
      <c r="LH254" s="358"/>
      <c r="LI254" s="358"/>
      <c r="LJ254" s="358"/>
      <c r="LK254" s="1784"/>
      <c r="LL254" s="358"/>
      <c r="LM254" s="358"/>
      <c r="LN254" s="358"/>
      <c r="LO254" s="358"/>
      <c r="LP254" s="1784"/>
      <c r="LQ254" s="358"/>
      <c r="LR254" s="358"/>
      <c r="LS254" s="358"/>
      <c r="LT254" s="358"/>
      <c r="LU254" s="1784"/>
      <c r="LV254" s="1784"/>
      <c r="LW254" s="1784"/>
      <c r="LX254" s="1784"/>
      <c r="LY254" s="1784"/>
      <c r="LZ254" s="1784"/>
      <c r="MA254" s="1784"/>
      <c r="MB254" s="1784"/>
      <c r="MC254" s="1784"/>
      <c r="MD254" s="1784"/>
      <c r="ME254" s="1784"/>
      <c r="MF254" s="1784"/>
      <c r="MG254" s="1784"/>
      <c r="MH254" s="1784"/>
      <c r="MI254" s="1784"/>
      <c r="MJ254" s="1784"/>
      <c r="MK254" s="1784"/>
      <c r="ML254" s="1784"/>
      <c r="MM254" s="1784"/>
      <c r="MN254" s="1784"/>
      <c r="MO254" s="1784"/>
      <c r="MP254" s="1784"/>
      <c r="MQ254" s="358"/>
      <c r="MR254" s="358"/>
      <c r="MS254" s="358"/>
      <c r="MT254" s="358"/>
      <c r="MU254" s="358"/>
      <c r="MV254" s="358"/>
      <c r="MW254" s="1639"/>
      <c r="MX254" s="358"/>
      <c r="MY254" s="358"/>
      <c r="MZ254" s="358"/>
      <c r="NA254" s="358"/>
      <c r="NB254" s="358"/>
      <c r="NC254" s="358"/>
      <c r="ND254" s="358"/>
      <c r="NE254" s="358"/>
      <c r="NF254" s="358"/>
      <c r="NG254" s="358"/>
      <c r="NH254" s="358"/>
      <c r="NI254" s="358"/>
      <c r="NJ254" s="358"/>
      <c r="NK254" s="358"/>
      <c r="NL254" s="358"/>
      <c r="NM254" s="1639"/>
      <c r="NN254" s="1639"/>
      <c r="NO254" s="358"/>
      <c r="NP254" s="358"/>
      <c r="NQ254" s="358"/>
      <c r="NR254" s="358"/>
      <c r="NS254" s="358"/>
      <c r="NT254" s="358"/>
      <c r="NU254" s="358"/>
      <c r="NV254" s="358"/>
      <c r="NW254" s="358"/>
      <c r="NX254" s="358"/>
      <c r="NY254" s="358"/>
      <c r="NZ254" s="358"/>
      <c r="OA254" s="358"/>
      <c r="OB254" s="358"/>
      <c r="OC254" s="358"/>
      <c r="OD254" s="358"/>
      <c r="OE254" s="358"/>
      <c r="OF254" s="358"/>
      <c r="OG254" s="358"/>
      <c r="OH254" s="358"/>
      <c r="OI254" s="358"/>
      <c r="OJ254" s="358"/>
      <c r="OK254" s="358"/>
      <c r="OL254" s="358"/>
      <c r="OM254" s="358"/>
      <c r="ON254" s="358"/>
      <c r="OO254" s="358"/>
      <c r="OP254" s="358"/>
      <c r="OQ254" s="358"/>
      <c r="OR254" s="358"/>
      <c r="OS254" s="358"/>
      <c r="OT254" s="358"/>
      <c r="OU254" s="358"/>
      <c r="OV254" s="72"/>
      <c r="OW254" s="72"/>
      <c r="OX254" s="72"/>
      <c r="OY254" s="2501"/>
      <c r="OZ254" s="2504">
        <v>250</v>
      </c>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c r="RZ254" s="72"/>
      <c r="SA254" s="72"/>
      <c r="SB254" s="72"/>
      <c r="SC254" s="72"/>
      <c r="SD254" s="72"/>
      <c r="SE254" s="72"/>
      <c r="SF254" s="72"/>
      <c r="SG254" s="72"/>
      <c r="SH254" s="72"/>
      <c r="SI254" s="72"/>
      <c r="SJ254" s="72"/>
      <c r="SK254" s="72"/>
      <c r="SL254" s="72"/>
      <c r="SM254" s="72"/>
      <c r="SN254" s="72"/>
      <c r="SO254" s="72"/>
      <c r="SP254" s="72"/>
      <c r="SQ254" s="72"/>
      <c r="SR254" s="72"/>
      <c r="SS254" s="72"/>
      <c r="ST254" s="72"/>
      <c r="SU254" s="72"/>
      <c r="SV254" s="72"/>
      <c r="SW254" s="72"/>
      <c r="SX254" s="72"/>
      <c r="SY254" s="72"/>
      <c r="SZ254" s="72"/>
      <c r="TA254" s="72"/>
      <c r="TB254" s="72"/>
      <c r="TC254" s="72"/>
      <c r="TD254" s="72"/>
      <c r="TE254" s="72"/>
      <c r="TF254" s="72"/>
      <c r="TG254" s="72"/>
      <c r="TH254" s="72"/>
    </row>
    <row r="255" spans="1:528" s="69" customFormat="1" ht="16.5" customHeight="1" thickBot="1">
      <c r="A255" s="1"/>
      <c r="B255" s="1" t="s">
        <v>2154</v>
      </c>
      <c r="C255" s="1"/>
      <c r="D255" s="7"/>
      <c r="E255" s="1"/>
      <c r="F255" s="3609">
        <v>7500</v>
      </c>
      <c r="G255" s="3610"/>
      <c r="H255" s="2479">
        <f t="shared" si="695"/>
        <v>46.875</v>
      </c>
      <c r="M255" s="1"/>
      <c r="N255" s="1"/>
      <c r="R255" s="872"/>
      <c r="S255" s="3613"/>
      <c r="T255" s="3614"/>
      <c r="U255" s="3614"/>
      <c r="V255" s="3614"/>
      <c r="W255" s="3615"/>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358"/>
      <c r="JX255" s="358"/>
      <c r="JY255" s="358"/>
      <c r="JZ255" s="358"/>
      <c r="KA255" s="358"/>
      <c r="KB255" s="358"/>
      <c r="KC255" s="358"/>
      <c r="KD255" s="358"/>
      <c r="KE255" s="358"/>
      <c r="KF255" s="358"/>
      <c r="KG255" s="358"/>
      <c r="KH255" s="358"/>
      <c r="KI255" s="358"/>
      <c r="KJ255" s="358"/>
      <c r="KK255" s="358"/>
      <c r="KL255" s="358"/>
      <c r="KM255" s="358"/>
      <c r="KN255" s="358"/>
      <c r="KO255" s="358"/>
      <c r="KP255" s="358"/>
      <c r="KQ255" s="358"/>
      <c r="KR255" s="358"/>
      <c r="KS255" s="358"/>
      <c r="KT255" s="358"/>
      <c r="KU255" s="358"/>
      <c r="KV255" s="358"/>
      <c r="KW255" s="358"/>
      <c r="KX255" s="358"/>
      <c r="KY255" s="358"/>
      <c r="KZ255" s="358"/>
      <c r="LA255" s="358"/>
      <c r="LB255" s="358"/>
      <c r="LC255" s="358"/>
      <c r="LD255" s="358"/>
      <c r="LE255" s="358"/>
      <c r="LF255" s="1784"/>
      <c r="LG255" s="358"/>
      <c r="LH255" s="358"/>
      <c r="LI255" s="358"/>
      <c r="LJ255" s="358"/>
      <c r="LK255" s="1784"/>
      <c r="LL255" s="358"/>
      <c r="LM255" s="358"/>
      <c r="LN255" s="358"/>
      <c r="LO255" s="358"/>
      <c r="LP255" s="1784"/>
      <c r="LQ255" s="358"/>
      <c r="LR255" s="358"/>
      <c r="LS255" s="358"/>
      <c r="LT255" s="358"/>
      <c r="LU255" s="1784"/>
      <c r="LV255" s="1784"/>
      <c r="LW255" s="1784"/>
      <c r="LX255" s="1784"/>
      <c r="LY255" s="1784"/>
      <c r="LZ255" s="1784"/>
      <c r="MA255" s="1784"/>
      <c r="MB255" s="1784"/>
      <c r="MC255" s="1784"/>
      <c r="MD255" s="1784"/>
      <c r="ME255" s="1784"/>
      <c r="MF255" s="1784"/>
      <c r="MG255" s="1784"/>
      <c r="MH255" s="1784"/>
      <c r="MI255" s="1784"/>
      <c r="MJ255" s="1784"/>
      <c r="MK255" s="1784"/>
      <c r="ML255" s="1784"/>
      <c r="MM255" s="1784"/>
      <c r="MN255" s="1784"/>
      <c r="MO255" s="1784"/>
      <c r="MP255" s="1784"/>
      <c r="MQ255" s="358"/>
      <c r="MR255" s="358"/>
      <c r="MS255" s="358"/>
      <c r="MT255" s="358"/>
      <c r="MU255" s="358"/>
      <c r="MV255" s="358"/>
      <c r="MW255" s="1639"/>
      <c r="MX255" s="358"/>
      <c r="MY255" s="358"/>
      <c r="MZ255" s="358"/>
      <c r="NA255" s="358"/>
      <c r="NB255" s="358"/>
      <c r="NC255" s="358"/>
      <c r="ND255" s="358"/>
      <c r="NE255" s="358"/>
      <c r="NF255" s="358"/>
      <c r="NG255" s="358"/>
      <c r="NH255" s="358"/>
      <c r="NI255" s="358"/>
      <c r="NJ255" s="358"/>
      <c r="NK255" s="358"/>
      <c r="NL255" s="358"/>
      <c r="NM255" s="1639"/>
      <c r="NN255" s="1639"/>
      <c r="NO255" s="358"/>
      <c r="NP255" s="358"/>
      <c r="NQ255" s="358"/>
      <c r="NR255" s="358"/>
      <c r="NS255" s="358"/>
      <c r="NT255" s="358"/>
      <c r="NU255" s="358"/>
      <c r="NV255" s="358"/>
      <c r="NW255" s="358"/>
      <c r="NX255" s="358"/>
      <c r="NY255" s="358"/>
      <c r="NZ255" s="358"/>
      <c r="OA255" s="358"/>
      <c r="OB255" s="358"/>
      <c r="OC255" s="358"/>
      <c r="OD255" s="358"/>
      <c r="OE255" s="358"/>
      <c r="OF255" s="358"/>
      <c r="OG255" s="358"/>
      <c r="OH255" s="358"/>
      <c r="OI255" s="358"/>
      <c r="OJ255" s="358"/>
      <c r="OK255" s="358"/>
      <c r="OL255" s="358"/>
      <c r="OM255" s="358"/>
      <c r="ON255" s="358"/>
      <c r="OO255" s="358"/>
      <c r="OP255" s="358"/>
      <c r="OQ255" s="358"/>
      <c r="OR255" s="358"/>
      <c r="OS255" s="358"/>
      <c r="OT255" s="358"/>
      <c r="OU255" s="358"/>
      <c r="OV255" s="72"/>
      <c r="OW255" s="72"/>
      <c r="OX255" s="72"/>
      <c r="OY255" s="2501" t="s">
        <v>4338</v>
      </c>
      <c r="OZ255" s="2504">
        <v>251</v>
      </c>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c r="RZ255" s="72"/>
      <c r="SA255" s="72"/>
      <c r="SB255" s="72"/>
      <c r="SC255" s="72"/>
      <c r="SD255" s="72"/>
      <c r="SE255" s="72"/>
      <c r="SF255" s="72"/>
      <c r="SG255" s="72"/>
      <c r="SH255" s="72"/>
      <c r="SI255" s="72"/>
      <c r="SJ255" s="72"/>
      <c r="SK255" s="72"/>
      <c r="SL255" s="72"/>
      <c r="SM255" s="72"/>
      <c r="SN255" s="72"/>
      <c r="SO255" s="72"/>
      <c r="SP255" s="72"/>
      <c r="SQ255" s="72"/>
      <c r="SR255" s="72"/>
      <c r="SS255" s="72"/>
      <c r="ST255" s="72"/>
      <c r="SU255" s="72"/>
      <c r="SV255" s="72"/>
      <c r="SW255" s="72"/>
      <c r="SX255" s="72"/>
      <c r="SY255" s="72"/>
      <c r="SZ255" s="72"/>
      <c r="TA255" s="72"/>
      <c r="TB255" s="72"/>
      <c r="TC255" s="72"/>
      <c r="TD255" s="72"/>
      <c r="TE255" s="72"/>
      <c r="TF255" s="72"/>
      <c r="TG255" s="72"/>
      <c r="TH255" s="72"/>
    </row>
    <row r="256" spans="1:528" s="69" customFormat="1" ht="16.5" customHeight="1" thickBot="1">
      <c r="A256" s="1"/>
      <c r="B256" s="1" t="s">
        <v>1493</v>
      </c>
      <c r="C256" s="1"/>
      <c r="D256" s="7"/>
      <c r="E256" s="1"/>
      <c r="F256" s="3609">
        <v>1500</v>
      </c>
      <c r="G256" s="3610"/>
      <c r="H256" s="2479">
        <f t="shared" si="695"/>
        <v>9.375</v>
      </c>
      <c r="I256" s="4" t="s">
        <v>1295</v>
      </c>
      <c r="K256" s="248" t="s">
        <v>3758</v>
      </c>
      <c r="L256" s="1"/>
      <c r="O256" s="1240" t="s">
        <v>2999</v>
      </c>
      <c r="P256" s="4"/>
      <c r="Q256" s="900">
        <f>Q265</f>
        <v>64000</v>
      </c>
      <c r="S256" s="3613"/>
      <c r="T256" s="3614"/>
      <c r="U256" s="3614"/>
      <c r="V256" s="3614"/>
      <c r="W256" s="3615"/>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358"/>
      <c r="JX256" s="358"/>
      <c r="JY256" s="358"/>
      <c r="JZ256" s="358"/>
      <c r="KA256" s="358"/>
      <c r="KB256" s="358"/>
      <c r="KC256" s="358"/>
      <c r="KD256" s="358"/>
      <c r="KE256" s="358"/>
      <c r="KF256" s="358"/>
      <c r="KG256" s="358"/>
      <c r="KH256" s="358"/>
      <c r="KI256" s="358"/>
      <c r="KJ256" s="358"/>
      <c r="KK256" s="358"/>
      <c r="KL256" s="358"/>
      <c r="KM256" s="358"/>
      <c r="KN256" s="358"/>
      <c r="KO256" s="358"/>
      <c r="KP256" s="358"/>
      <c r="KQ256" s="358"/>
      <c r="KR256" s="358"/>
      <c r="KS256" s="358"/>
      <c r="KT256" s="358"/>
      <c r="KU256" s="358"/>
      <c r="KV256" s="358"/>
      <c r="KW256" s="358"/>
      <c r="KX256" s="358"/>
      <c r="KY256" s="358"/>
      <c r="KZ256" s="358"/>
      <c r="LA256" s="358"/>
      <c r="LB256" s="358"/>
      <c r="LC256" s="358"/>
      <c r="LD256" s="358"/>
      <c r="LE256" s="358"/>
      <c r="LF256" s="1784"/>
      <c r="LG256" s="358"/>
      <c r="LH256" s="358"/>
      <c r="LI256" s="358"/>
      <c r="LJ256" s="358"/>
      <c r="LK256" s="1784"/>
      <c r="LL256" s="358"/>
      <c r="LM256" s="358"/>
      <c r="LN256" s="358"/>
      <c r="LO256" s="358"/>
      <c r="LP256" s="1784"/>
      <c r="LQ256" s="358"/>
      <c r="LR256" s="358"/>
      <c r="LS256" s="358"/>
      <c r="LT256" s="358"/>
      <c r="LU256" s="1784"/>
      <c r="LV256" s="1784"/>
      <c r="LW256" s="1784"/>
      <c r="LX256" s="1784"/>
      <c r="LY256" s="1784"/>
      <c r="LZ256" s="1784"/>
      <c r="MA256" s="1784"/>
      <c r="MB256" s="1784"/>
      <c r="MC256" s="1784"/>
      <c r="MD256" s="1784"/>
      <c r="ME256" s="1784"/>
      <c r="MF256" s="1784"/>
      <c r="MG256" s="1784"/>
      <c r="MH256" s="1784"/>
      <c r="MI256" s="1784"/>
      <c r="MJ256" s="1784"/>
      <c r="MK256" s="1784"/>
      <c r="ML256" s="1784"/>
      <c r="MM256" s="1784"/>
      <c r="MN256" s="1784"/>
      <c r="MO256" s="1784"/>
      <c r="MP256" s="1784"/>
      <c r="MQ256" s="358"/>
      <c r="MR256" s="358"/>
      <c r="MS256" s="358"/>
      <c r="MT256" s="358"/>
      <c r="MU256" s="358"/>
      <c r="MV256" s="358"/>
      <c r="MW256" s="1639"/>
      <c r="MX256" s="358"/>
      <c r="MY256" s="358"/>
      <c r="MZ256" s="358"/>
      <c r="NA256" s="358"/>
      <c r="NB256" s="358"/>
      <c r="NC256" s="358"/>
      <c r="ND256" s="358"/>
      <c r="NE256" s="358"/>
      <c r="NF256" s="358"/>
      <c r="NG256" s="358"/>
      <c r="NH256" s="358"/>
      <c r="NI256" s="358"/>
      <c r="NJ256" s="358"/>
      <c r="NK256" s="358"/>
      <c r="NL256" s="358"/>
      <c r="NM256" s="1639"/>
      <c r="NN256" s="1639"/>
      <c r="NO256" s="358"/>
      <c r="NP256" s="358"/>
      <c r="NQ256" s="358"/>
      <c r="NR256" s="358"/>
      <c r="NS256" s="358"/>
      <c r="NT256" s="358"/>
      <c r="NU256" s="358"/>
      <c r="NV256" s="358"/>
      <c r="NW256" s="358"/>
      <c r="NX256" s="358"/>
      <c r="NY256" s="358"/>
      <c r="NZ256" s="358"/>
      <c r="OA256" s="358"/>
      <c r="OB256" s="358"/>
      <c r="OC256" s="358"/>
      <c r="OD256" s="358"/>
      <c r="OE256" s="358"/>
      <c r="OF256" s="358"/>
      <c r="OG256" s="358"/>
      <c r="OH256" s="358"/>
      <c r="OI256" s="358"/>
      <c r="OJ256" s="358"/>
      <c r="OK256" s="358"/>
      <c r="OL256" s="358"/>
      <c r="OM256" s="358"/>
      <c r="ON256" s="358"/>
      <c r="OO256" s="358"/>
      <c r="OP256" s="358"/>
      <c r="OQ256" s="358"/>
      <c r="OR256" s="358"/>
      <c r="OS256" s="358"/>
      <c r="OT256" s="358"/>
      <c r="OU256" s="358"/>
      <c r="OV256" s="72"/>
      <c r="OW256" s="72"/>
      <c r="OX256" s="72"/>
      <c r="OY256" s="2501"/>
      <c r="OZ256" s="2504">
        <v>252</v>
      </c>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c r="RZ256" s="72"/>
      <c r="SA256" s="72"/>
      <c r="SB256" s="72"/>
      <c r="SC256" s="72"/>
      <c r="SD256" s="72"/>
      <c r="SE256" s="72"/>
      <c r="SF256" s="72"/>
      <c r="SG256" s="72"/>
      <c r="SH256" s="72"/>
      <c r="SI256" s="72"/>
      <c r="SJ256" s="72"/>
      <c r="SK256" s="72"/>
      <c r="SL256" s="72"/>
      <c r="SM256" s="72"/>
      <c r="SN256" s="72"/>
      <c r="SO256" s="72"/>
      <c r="SP256" s="72"/>
      <c r="SQ256" s="72"/>
      <c r="SR256" s="72"/>
      <c r="SS256" s="72"/>
      <c r="ST256" s="72"/>
      <c r="SU256" s="72"/>
      <c r="SV256" s="72"/>
      <c r="SW256" s="72"/>
      <c r="SX256" s="72"/>
      <c r="SY256" s="72"/>
      <c r="SZ256" s="72"/>
      <c r="TA256" s="72"/>
      <c r="TB256" s="72"/>
      <c r="TC256" s="72"/>
      <c r="TD256" s="72"/>
      <c r="TE256" s="72"/>
      <c r="TF256" s="72"/>
      <c r="TG256" s="72"/>
      <c r="TH256" s="72"/>
    </row>
    <row r="257" spans="1:528" s="69" customFormat="1" ht="16.5" customHeight="1" thickBot="1">
      <c r="A257" s="1"/>
      <c r="B257" s="3570" t="s">
        <v>46</v>
      </c>
      <c r="C257" s="3571"/>
      <c r="D257" s="3571"/>
      <c r="E257" s="3572"/>
      <c r="F257" s="3620"/>
      <c r="G257" s="3621"/>
      <c r="H257" s="2479" t="str">
        <f t="shared" si="695"/>
        <v/>
      </c>
      <c r="I257" s="1" t="s">
        <v>1288</v>
      </c>
      <c r="K257" s="364">
        <f>L257/12/P76</f>
        <v>20.833333333333336</v>
      </c>
      <c r="L257" s="3611">
        <v>40000</v>
      </c>
      <c r="M257" s="3612"/>
      <c r="N257" s="2479">
        <f>IF(OR(L257="",L257=0),"",L257/$E$58)</f>
        <v>250</v>
      </c>
      <c r="O257" s="755" t="s">
        <v>3757</v>
      </c>
      <c r="P257" s="750"/>
      <c r="Q257" s="756">
        <f>Q256/P265</f>
        <v>400</v>
      </c>
      <c r="R257" s="3598" t="str">
        <f>IF(Q256&lt;Q265, "WARNING! RR proposed is below the DCA required minimum.","")</f>
        <v/>
      </c>
      <c r="S257" s="3613"/>
      <c r="T257" s="3614"/>
      <c r="U257" s="3614"/>
      <c r="V257" s="3614"/>
      <c r="W257" s="3615"/>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358"/>
      <c r="JX257" s="358"/>
      <c r="JY257" s="358"/>
      <c r="JZ257" s="358"/>
      <c r="KA257" s="358"/>
      <c r="KB257" s="358"/>
      <c r="KC257" s="358"/>
      <c r="KD257" s="358"/>
      <c r="KE257" s="358"/>
      <c r="KF257" s="358"/>
      <c r="KG257" s="358"/>
      <c r="KH257" s="358"/>
      <c r="KI257" s="358"/>
      <c r="KJ257" s="358"/>
      <c r="KK257" s="358"/>
      <c r="KL257" s="358"/>
      <c r="KM257" s="358"/>
      <c r="KN257" s="358"/>
      <c r="KO257" s="358"/>
      <c r="KP257" s="358"/>
      <c r="KQ257" s="358"/>
      <c r="KR257" s="358"/>
      <c r="KS257" s="358"/>
      <c r="KT257" s="358"/>
      <c r="KU257" s="358"/>
      <c r="KV257" s="358"/>
      <c r="KW257" s="358"/>
      <c r="KX257" s="358"/>
      <c r="KY257" s="358"/>
      <c r="KZ257" s="358"/>
      <c r="LA257" s="358"/>
      <c r="LB257" s="358"/>
      <c r="LC257" s="358"/>
      <c r="LD257" s="358"/>
      <c r="LE257" s="358"/>
      <c r="LF257" s="1784"/>
      <c r="LG257" s="358"/>
      <c r="LH257" s="358"/>
      <c r="LI257" s="358"/>
      <c r="LJ257" s="358"/>
      <c r="LK257" s="1784"/>
      <c r="LL257" s="358"/>
      <c r="LM257" s="358"/>
      <c r="LN257" s="358"/>
      <c r="LO257" s="358"/>
      <c r="LP257" s="1784"/>
      <c r="LQ257" s="358"/>
      <c r="LR257" s="358"/>
      <c r="LS257" s="358"/>
      <c r="LT257" s="358"/>
      <c r="LU257" s="1784"/>
      <c r="LV257" s="1784"/>
      <c r="LW257" s="1784"/>
      <c r="LX257" s="1784"/>
      <c r="LY257" s="1784"/>
      <c r="LZ257" s="1784"/>
      <c r="MA257" s="1784"/>
      <c r="MB257" s="1784"/>
      <c r="MC257" s="1784"/>
      <c r="MD257" s="1784"/>
      <c r="ME257" s="1784"/>
      <c r="MF257" s="1784"/>
      <c r="MG257" s="1784"/>
      <c r="MH257" s="1784"/>
      <c r="MI257" s="1784"/>
      <c r="MJ257" s="1784"/>
      <c r="MK257" s="1784"/>
      <c r="ML257" s="1784"/>
      <c r="MM257" s="1784"/>
      <c r="MN257" s="1784"/>
      <c r="MO257" s="1784"/>
      <c r="MP257" s="1784"/>
      <c r="MQ257" s="358"/>
      <c r="MR257" s="358"/>
      <c r="MS257" s="358"/>
      <c r="MT257" s="358"/>
      <c r="MU257" s="358"/>
      <c r="MV257" s="358"/>
      <c r="MW257" s="1639"/>
      <c r="MX257" s="358"/>
      <c r="MY257" s="358"/>
      <c r="MZ257" s="358"/>
      <c r="NA257" s="358"/>
      <c r="NB257" s="358"/>
      <c r="NC257" s="358"/>
      <c r="ND257" s="358"/>
      <c r="NE257" s="358"/>
      <c r="NF257" s="358"/>
      <c r="NG257" s="358"/>
      <c r="NH257" s="358"/>
      <c r="NI257" s="358"/>
      <c r="NJ257" s="358"/>
      <c r="NK257" s="358"/>
      <c r="NL257" s="358"/>
      <c r="NM257" s="1639"/>
      <c r="NN257" s="1639"/>
      <c r="NO257" s="358"/>
      <c r="NP257" s="358"/>
      <c r="NQ257" s="358"/>
      <c r="NR257" s="358"/>
      <c r="NS257" s="358"/>
      <c r="NT257" s="358"/>
      <c r="NU257" s="358"/>
      <c r="NV257" s="358"/>
      <c r="NW257" s="358"/>
      <c r="NX257" s="358"/>
      <c r="NY257" s="358"/>
      <c r="NZ257" s="358"/>
      <c r="OA257" s="358"/>
      <c r="OB257" s="358"/>
      <c r="OC257" s="358"/>
      <c r="OD257" s="358"/>
      <c r="OE257" s="358"/>
      <c r="OF257" s="358"/>
      <c r="OG257" s="358"/>
      <c r="OH257" s="358"/>
      <c r="OI257" s="358"/>
      <c r="OJ257" s="358"/>
      <c r="OK257" s="358"/>
      <c r="OL257" s="358"/>
      <c r="OM257" s="358"/>
      <c r="ON257" s="358"/>
      <c r="OO257" s="358"/>
      <c r="OP257" s="358"/>
      <c r="OQ257" s="358"/>
      <c r="OR257" s="358"/>
      <c r="OS257" s="358"/>
      <c r="OT257" s="358"/>
      <c r="OU257" s="358"/>
      <c r="OV257" s="72"/>
      <c r="OW257" s="72"/>
      <c r="OX257" s="72"/>
      <c r="OY257" s="2501"/>
      <c r="OZ257" s="2506">
        <v>253</v>
      </c>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c r="RZ257" s="72"/>
      <c r="SA257" s="72"/>
      <c r="SB257" s="72"/>
      <c r="SC257" s="72"/>
      <c r="SD257" s="72"/>
      <c r="SE257" s="72"/>
      <c r="SF257" s="72"/>
      <c r="SG257" s="72"/>
      <c r="SH257" s="72"/>
      <c r="SI257" s="72"/>
      <c r="SJ257" s="72"/>
      <c r="SK257" s="72"/>
      <c r="SL257" s="72"/>
      <c r="SM257" s="72"/>
      <c r="SN257" s="72"/>
      <c r="SO257" s="72"/>
      <c r="SP257" s="72"/>
      <c r="SQ257" s="72"/>
      <c r="SR257" s="72"/>
      <c r="SS257" s="72"/>
      <c r="ST257" s="72"/>
      <c r="SU257" s="72"/>
      <c r="SV257" s="72"/>
      <c r="SW257" s="72"/>
      <c r="SX257" s="72"/>
      <c r="SY257" s="72"/>
      <c r="SZ257" s="72"/>
      <c r="TA257" s="72"/>
      <c r="TB257" s="72"/>
      <c r="TC257" s="72"/>
      <c r="TD257" s="72"/>
      <c r="TE257" s="72"/>
      <c r="TF257" s="72"/>
      <c r="TG257" s="72"/>
      <c r="TH257" s="72"/>
    </row>
    <row r="258" spans="1:528" s="69" customFormat="1" ht="16.5" customHeight="1" thickTop="1">
      <c r="A258" s="1"/>
      <c r="B258" s="1"/>
      <c r="D258" s="1"/>
      <c r="E258" s="8" t="s">
        <v>184</v>
      </c>
      <c r="F258" s="3600">
        <f>SUM(F252:G257)</f>
        <v>40000</v>
      </c>
      <c r="G258" s="3601"/>
      <c r="H258" s="2479">
        <f t="shared" si="695"/>
        <v>250</v>
      </c>
      <c r="I258" s="1" t="s">
        <v>1289</v>
      </c>
      <c r="K258" s="364">
        <f>L258/12/P76</f>
        <v>0</v>
      </c>
      <c r="L258" s="3607"/>
      <c r="M258" s="3608"/>
      <c r="N258" s="2479" t="str">
        <f t="shared" ref="N258:N263" si="696">IF(OR(L258="",L258=0),"",L258/$E$58)</f>
        <v/>
      </c>
      <c r="O258" s="3602" t="s">
        <v>3144</v>
      </c>
      <c r="P258" s="3603"/>
      <c r="Q258" s="3604"/>
      <c r="R258" s="3599"/>
      <c r="S258" s="3613"/>
      <c r="T258" s="3614"/>
      <c r="U258" s="3614"/>
      <c r="V258" s="3614"/>
      <c r="W258" s="3615"/>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358"/>
      <c r="JX258" s="358"/>
      <c r="JY258" s="358"/>
      <c r="JZ258" s="358"/>
      <c r="KA258" s="358"/>
      <c r="KB258" s="358"/>
      <c r="KC258" s="358"/>
      <c r="KD258" s="358"/>
      <c r="KE258" s="358"/>
      <c r="KF258" s="358"/>
      <c r="KG258" s="358"/>
      <c r="KH258" s="358"/>
      <c r="KI258" s="358"/>
      <c r="KJ258" s="358"/>
      <c r="KK258" s="358"/>
      <c r="KL258" s="358"/>
      <c r="KM258" s="358"/>
      <c r="KN258" s="358"/>
      <c r="KO258" s="358"/>
      <c r="KP258" s="358"/>
      <c r="KQ258" s="358"/>
      <c r="KR258" s="358"/>
      <c r="KS258" s="358"/>
      <c r="KT258" s="358"/>
      <c r="KU258" s="358"/>
      <c r="KV258" s="358"/>
      <c r="KW258" s="358"/>
      <c r="KX258" s="358"/>
      <c r="KY258" s="358"/>
      <c r="KZ258" s="358"/>
      <c r="LA258" s="358"/>
      <c r="LB258" s="358"/>
      <c r="LC258" s="358"/>
      <c r="LD258" s="358"/>
      <c r="LE258" s="358"/>
      <c r="LF258" s="1784"/>
      <c r="LG258" s="358"/>
      <c r="LH258" s="358"/>
      <c r="LI258" s="358"/>
      <c r="LJ258" s="358"/>
      <c r="LK258" s="1784"/>
      <c r="LL258" s="358"/>
      <c r="LM258" s="358"/>
      <c r="LN258" s="358"/>
      <c r="LO258" s="358"/>
      <c r="LP258" s="1784"/>
      <c r="LQ258" s="358"/>
      <c r="LR258" s="358"/>
      <c r="LS258" s="358"/>
      <c r="LT258" s="358"/>
      <c r="LU258" s="1784"/>
      <c r="LV258" s="1784"/>
      <c r="LW258" s="1784"/>
      <c r="LX258" s="1784"/>
      <c r="LY258" s="1784"/>
      <c r="LZ258" s="1784"/>
      <c r="MA258" s="1784"/>
      <c r="MB258" s="1784"/>
      <c r="MC258" s="1784"/>
      <c r="MD258" s="1784"/>
      <c r="ME258" s="1784"/>
      <c r="MF258" s="1784"/>
      <c r="MG258" s="1784"/>
      <c r="MH258" s="1784"/>
      <c r="MI258" s="1784"/>
      <c r="MJ258" s="1784"/>
      <c r="MK258" s="1784"/>
      <c r="ML258" s="1784"/>
      <c r="MM258" s="1784"/>
      <c r="MN258" s="1784"/>
      <c r="MO258" s="1784"/>
      <c r="MP258" s="1784"/>
      <c r="MQ258" s="358"/>
      <c r="MR258" s="358"/>
      <c r="MS258" s="358"/>
      <c r="MT258" s="358"/>
      <c r="MU258" s="358"/>
      <c r="MV258" s="358"/>
      <c r="MW258" s="1639"/>
      <c r="MX258" s="358"/>
      <c r="MY258" s="358"/>
      <c r="MZ258" s="358"/>
      <c r="NA258" s="358"/>
      <c r="NB258" s="358"/>
      <c r="NC258" s="358"/>
      <c r="ND258" s="358"/>
      <c r="NE258" s="358"/>
      <c r="NF258" s="358"/>
      <c r="NG258" s="358"/>
      <c r="NH258" s="358"/>
      <c r="NI258" s="358"/>
      <c r="NJ258" s="358"/>
      <c r="NK258" s="358"/>
      <c r="NL258" s="358"/>
      <c r="NM258" s="1639"/>
      <c r="NN258" s="1639"/>
      <c r="NO258" s="358"/>
      <c r="NP258" s="358"/>
      <c r="NQ258" s="358"/>
      <c r="NR258" s="358"/>
      <c r="NS258" s="358"/>
      <c r="NT258" s="358"/>
      <c r="NU258" s="358"/>
      <c r="NV258" s="358"/>
      <c r="NW258" s="358"/>
      <c r="NX258" s="358"/>
      <c r="NY258" s="358"/>
      <c r="NZ258" s="358"/>
      <c r="OA258" s="358"/>
      <c r="OB258" s="358"/>
      <c r="OC258" s="358"/>
      <c r="OD258" s="358"/>
      <c r="OE258" s="358"/>
      <c r="OF258" s="358"/>
      <c r="OG258" s="358"/>
      <c r="OH258" s="358"/>
      <c r="OI258" s="358"/>
      <c r="OJ258" s="358"/>
      <c r="OK258" s="358"/>
      <c r="OL258" s="358"/>
      <c r="OM258" s="358"/>
      <c r="ON258" s="358"/>
      <c r="OO258" s="358"/>
      <c r="OP258" s="358"/>
      <c r="OQ258" s="358"/>
      <c r="OR258" s="358"/>
      <c r="OS258" s="358"/>
      <c r="OT258" s="358"/>
      <c r="OU258" s="358"/>
      <c r="OV258" s="72"/>
      <c r="OW258" s="72"/>
      <c r="OX258" s="72"/>
      <c r="OY258" s="2501"/>
      <c r="OZ258" s="2504">
        <v>254</v>
      </c>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c r="RZ258" s="72"/>
      <c r="SA258" s="72"/>
      <c r="SB258" s="72"/>
      <c r="SC258" s="72"/>
      <c r="SD258" s="72"/>
      <c r="SE258" s="72"/>
      <c r="SF258" s="72"/>
      <c r="SG258" s="72"/>
      <c r="SH258" s="72"/>
      <c r="SI258" s="72"/>
      <c r="SJ258" s="72"/>
      <c r="SK258" s="72"/>
      <c r="SL258" s="72"/>
      <c r="SM258" s="72"/>
      <c r="SN258" s="72"/>
      <c r="SO258" s="72"/>
      <c r="SP258" s="72"/>
      <c r="SQ258" s="72"/>
      <c r="SR258" s="72"/>
      <c r="SS258" s="72"/>
      <c r="ST258" s="72"/>
      <c r="SU258" s="72"/>
      <c r="SV258" s="72"/>
      <c r="SW258" s="72"/>
      <c r="SX258" s="72"/>
      <c r="SY258" s="72"/>
      <c r="SZ258" s="72"/>
      <c r="TA258" s="72"/>
      <c r="TB258" s="72"/>
      <c r="TC258" s="72"/>
      <c r="TD258" s="72"/>
      <c r="TE258" s="72"/>
      <c r="TF258" s="72"/>
      <c r="TG258" s="72"/>
      <c r="TH258" s="72"/>
    </row>
    <row r="259" spans="1:528" s="69" customFormat="1" ht="16.5" customHeight="1">
      <c r="A259" s="1"/>
      <c r="B259" s="1"/>
      <c r="C259" s="1"/>
      <c r="D259" s="8"/>
      <c r="E259" s="1"/>
      <c r="F259" s="9"/>
      <c r="G259" s="9"/>
      <c r="H259" s="1"/>
      <c r="I259" s="72" t="s">
        <v>3800</v>
      </c>
      <c r="K259" s="364">
        <f>L259/12/P76</f>
        <v>36.458333333333329</v>
      </c>
      <c r="L259" s="3607">
        <v>70000</v>
      </c>
      <c r="M259" s="3608"/>
      <c r="N259" s="2479">
        <f t="shared" si="696"/>
        <v>437.5</v>
      </c>
      <c r="O259" s="749" t="s">
        <v>2456</v>
      </c>
      <c r="P259" s="655" t="s">
        <v>3197</v>
      </c>
      <c r="Q259" s="751" t="s">
        <v>2970</v>
      </c>
      <c r="R259" s="3599"/>
      <c r="S259" s="3613"/>
      <c r="T259" s="3614"/>
      <c r="U259" s="3614"/>
      <c r="V259" s="3614"/>
      <c r="W259" s="3615"/>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58"/>
      <c r="BY259" s="358"/>
      <c r="BZ259" s="358"/>
      <c r="CA259" s="358"/>
      <c r="CB259" s="358"/>
      <c r="CC259" s="358"/>
      <c r="CD259" s="358"/>
      <c r="CE259" s="358"/>
      <c r="CF259" s="358"/>
      <c r="CG259" s="358"/>
      <c r="CH259" s="358"/>
      <c r="CI259" s="358"/>
      <c r="CJ259" s="358"/>
      <c r="CK259" s="358"/>
      <c r="CL259" s="358"/>
      <c r="CM259" s="358"/>
      <c r="CN259" s="358"/>
      <c r="CO259" s="358"/>
      <c r="CP259" s="358"/>
      <c r="CQ259" s="358"/>
      <c r="CR259" s="358"/>
      <c r="CS259" s="358"/>
      <c r="CT259" s="358"/>
      <c r="CU259" s="358"/>
      <c r="CV259" s="358"/>
      <c r="CW259" s="358"/>
      <c r="CX259" s="358"/>
      <c r="CY259" s="358"/>
      <c r="CZ259" s="358"/>
      <c r="DA259" s="358"/>
      <c r="DB259" s="358"/>
      <c r="DC259" s="358"/>
      <c r="DD259" s="358"/>
      <c r="DE259" s="358"/>
      <c r="DF259" s="358"/>
      <c r="DG259" s="358"/>
      <c r="DH259" s="358"/>
      <c r="DI259" s="358"/>
      <c r="DJ259" s="358"/>
      <c r="DK259" s="358"/>
      <c r="DL259" s="358"/>
      <c r="DM259" s="358"/>
      <c r="DN259" s="358"/>
      <c r="DO259" s="358"/>
      <c r="DP259" s="358"/>
      <c r="DQ259" s="358"/>
      <c r="DR259" s="358"/>
      <c r="DS259" s="358"/>
      <c r="DT259" s="358"/>
      <c r="DU259" s="358"/>
      <c r="DV259" s="358"/>
      <c r="DW259" s="358"/>
      <c r="DX259" s="358"/>
      <c r="DY259" s="358"/>
      <c r="DZ259" s="358"/>
      <c r="EA259" s="358"/>
      <c r="EB259" s="358"/>
      <c r="EC259" s="358"/>
      <c r="ED259" s="358"/>
      <c r="EE259" s="358"/>
      <c r="EF259" s="358"/>
      <c r="EG259" s="358"/>
      <c r="EH259" s="358"/>
      <c r="EI259" s="358"/>
      <c r="EJ259" s="358"/>
      <c r="EK259" s="358"/>
      <c r="EL259" s="358"/>
      <c r="EM259" s="358"/>
      <c r="EN259" s="358"/>
      <c r="EO259" s="358"/>
      <c r="EP259" s="358"/>
      <c r="EQ259" s="358"/>
      <c r="ER259" s="358"/>
      <c r="ES259" s="358"/>
      <c r="ET259" s="358"/>
      <c r="EU259" s="358"/>
      <c r="EV259" s="358"/>
      <c r="EW259" s="358"/>
      <c r="EX259" s="358"/>
      <c r="EY259" s="358"/>
      <c r="EZ259" s="358"/>
      <c r="FA259" s="358"/>
      <c r="FB259" s="358"/>
      <c r="FC259" s="358"/>
      <c r="FD259" s="358"/>
      <c r="FE259" s="358"/>
      <c r="FF259" s="358"/>
      <c r="FG259" s="358"/>
      <c r="FH259" s="358"/>
      <c r="FI259" s="358"/>
      <c r="FJ259" s="358"/>
      <c r="FK259" s="358"/>
      <c r="FL259" s="358"/>
      <c r="FM259" s="358"/>
      <c r="FN259" s="358"/>
      <c r="FO259" s="358"/>
      <c r="FP259" s="358"/>
      <c r="FQ259" s="358"/>
      <c r="FR259" s="358"/>
      <c r="FS259" s="358"/>
      <c r="FT259" s="358"/>
      <c r="FU259" s="358"/>
      <c r="FV259" s="358"/>
      <c r="FW259" s="358"/>
      <c r="FX259" s="358"/>
      <c r="FY259" s="358"/>
      <c r="FZ259" s="358"/>
      <c r="GA259" s="358"/>
      <c r="GB259" s="358"/>
      <c r="GC259" s="358"/>
      <c r="GD259" s="358"/>
      <c r="GE259" s="358"/>
      <c r="GF259" s="358"/>
      <c r="GG259" s="358"/>
      <c r="GH259" s="358"/>
      <c r="GI259" s="358"/>
      <c r="GJ259" s="358"/>
      <c r="GK259" s="358"/>
      <c r="GL259" s="358"/>
      <c r="GM259" s="358"/>
      <c r="GN259" s="358"/>
      <c r="GO259" s="358"/>
      <c r="GP259" s="358"/>
      <c r="GQ259" s="358"/>
      <c r="GR259" s="358"/>
      <c r="GS259" s="358"/>
      <c r="GT259" s="358"/>
      <c r="GU259" s="358"/>
      <c r="GV259" s="358"/>
      <c r="GW259" s="358"/>
      <c r="GX259" s="358"/>
      <c r="GY259" s="358"/>
      <c r="GZ259" s="358"/>
      <c r="HA259" s="358"/>
      <c r="HB259" s="358"/>
      <c r="HC259" s="358"/>
      <c r="HD259" s="358"/>
      <c r="HE259" s="358"/>
      <c r="HF259" s="358"/>
      <c r="HG259" s="358"/>
      <c r="HH259" s="358"/>
      <c r="HI259" s="358"/>
      <c r="HJ259" s="358"/>
      <c r="HK259" s="358"/>
      <c r="HL259" s="358"/>
      <c r="HM259" s="358"/>
      <c r="HN259" s="358"/>
      <c r="HO259" s="358"/>
      <c r="HP259" s="358"/>
      <c r="HQ259" s="358"/>
      <c r="HR259" s="358"/>
      <c r="HS259" s="358"/>
      <c r="HT259" s="358"/>
      <c r="HU259" s="358"/>
      <c r="HV259" s="358"/>
      <c r="HW259" s="358"/>
      <c r="HX259" s="358"/>
      <c r="HY259" s="358"/>
      <c r="HZ259" s="358"/>
      <c r="IA259" s="358"/>
      <c r="IB259" s="358"/>
      <c r="IC259" s="358"/>
      <c r="ID259" s="358"/>
      <c r="IE259" s="358"/>
      <c r="IF259" s="358"/>
      <c r="IG259" s="358"/>
      <c r="IH259" s="358"/>
      <c r="II259" s="358"/>
      <c r="IJ259" s="358"/>
      <c r="IK259" s="358"/>
      <c r="IL259" s="358"/>
      <c r="IM259" s="358"/>
      <c r="IN259" s="358"/>
      <c r="IO259" s="358"/>
      <c r="IP259" s="358"/>
      <c r="IQ259" s="358"/>
      <c r="IR259" s="358"/>
      <c r="IS259" s="358"/>
      <c r="IT259" s="358"/>
      <c r="IU259" s="358"/>
      <c r="IV259" s="358"/>
      <c r="IW259" s="358"/>
      <c r="IX259" s="358"/>
      <c r="IY259" s="358"/>
      <c r="IZ259" s="358"/>
      <c r="JA259" s="358"/>
      <c r="JB259" s="358"/>
      <c r="JC259" s="358"/>
      <c r="JD259" s="358"/>
      <c r="JE259" s="358"/>
      <c r="JF259" s="358"/>
      <c r="JG259" s="358"/>
      <c r="JH259" s="358"/>
      <c r="JI259" s="358"/>
      <c r="JJ259" s="358"/>
      <c r="JK259" s="358"/>
      <c r="JL259" s="358"/>
      <c r="JM259" s="358"/>
      <c r="JN259" s="358"/>
      <c r="JO259" s="358"/>
      <c r="JP259" s="358"/>
      <c r="JQ259" s="358"/>
      <c r="JR259" s="358"/>
      <c r="JS259" s="358"/>
      <c r="JT259" s="358"/>
      <c r="JU259" s="358"/>
      <c r="JV259" s="358"/>
      <c r="JW259" s="358"/>
      <c r="JX259" s="358"/>
      <c r="JY259" s="358"/>
      <c r="JZ259" s="358"/>
      <c r="KA259" s="358"/>
      <c r="KB259" s="358"/>
      <c r="KC259" s="358"/>
      <c r="KD259" s="358"/>
      <c r="KE259" s="358"/>
      <c r="KF259" s="358"/>
      <c r="KG259" s="358"/>
      <c r="KH259" s="358"/>
      <c r="KI259" s="358"/>
      <c r="KJ259" s="358"/>
      <c r="KK259" s="358"/>
      <c r="KL259" s="358"/>
      <c r="KM259" s="358"/>
      <c r="KN259" s="358"/>
      <c r="KO259" s="358"/>
      <c r="KP259" s="358"/>
      <c r="KQ259" s="358"/>
      <c r="KR259" s="358"/>
      <c r="KS259" s="358"/>
      <c r="KT259" s="358"/>
      <c r="KU259" s="358"/>
      <c r="KV259" s="358"/>
      <c r="KW259" s="358"/>
      <c r="KX259" s="358"/>
      <c r="KY259" s="358"/>
      <c r="KZ259" s="358"/>
      <c r="LA259" s="358"/>
      <c r="LB259" s="358"/>
      <c r="LC259" s="358"/>
      <c r="LD259" s="358"/>
      <c r="LE259" s="358"/>
      <c r="LF259" s="1784"/>
      <c r="LG259" s="358"/>
      <c r="LH259" s="358"/>
      <c r="LI259" s="358"/>
      <c r="LJ259" s="358"/>
      <c r="LK259" s="1784"/>
      <c r="LL259" s="358"/>
      <c r="LM259" s="358"/>
      <c r="LN259" s="358"/>
      <c r="LO259" s="358"/>
      <c r="LP259" s="1784"/>
      <c r="LQ259" s="358"/>
      <c r="LR259" s="358"/>
      <c r="LS259" s="358"/>
      <c r="LT259" s="358"/>
      <c r="LU259" s="1784"/>
      <c r="LV259" s="1784"/>
      <c r="LW259" s="1784"/>
      <c r="LX259" s="1784"/>
      <c r="LY259" s="1784"/>
      <c r="LZ259" s="1784"/>
      <c r="MA259" s="1784"/>
      <c r="MB259" s="1784"/>
      <c r="MC259" s="1784"/>
      <c r="MD259" s="1784"/>
      <c r="ME259" s="1784"/>
      <c r="MF259" s="1784"/>
      <c r="MG259" s="1784"/>
      <c r="MH259" s="1784"/>
      <c r="MI259" s="1784"/>
      <c r="MJ259" s="1784"/>
      <c r="MK259" s="1784"/>
      <c r="ML259" s="1784"/>
      <c r="MM259" s="1784"/>
      <c r="MN259" s="1784"/>
      <c r="MO259" s="1784"/>
      <c r="MP259" s="1784"/>
      <c r="MQ259" s="358"/>
      <c r="MR259" s="358"/>
      <c r="MS259" s="358"/>
      <c r="MT259" s="358"/>
      <c r="MU259" s="358"/>
      <c r="MV259" s="358"/>
      <c r="MW259" s="1639"/>
      <c r="MX259" s="358"/>
      <c r="MY259" s="358"/>
      <c r="MZ259" s="358"/>
      <c r="NA259" s="358"/>
      <c r="NB259" s="358"/>
      <c r="NC259" s="358"/>
      <c r="ND259" s="358"/>
      <c r="NE259" s="358"/>
      <c r="NF259" s="358"/>
      <c r="NG259" s="358"/>
      <c r="NH259" s="358"/>
      <c r="NI259" s="358"/>
      <c r="NJ259" s="358"/>
      <c r="NK259" s="358"/>
      <c r="NL259" s="358"/>
      <c r="NM259" s="1639"/>
      <c r="NN259" s="1639"/>
      <c r="NO259" s="358"/>
      <c r="NP259" s="358"/>
      <c r="NQ259" s="358"/>
      <c r="NR259" s="358"/>
      <c r="NS259" s="358"/>
      <c r="NT259" s="358"/>
      <c r="NU259" s="358"/>
      <c r="NV259" s="358"/>
      <c r="NW259" s="358"/>
      <c r="NX259" s="358"/>
      <c r="NY259" s="358"/>
      <c r="NZ259" s="358"/>
      <c r="OA259" s="358"/>
      <c r="OB259" s="358"/>
      <c r="OC259" s="358"/>
      <c r="OD259" s="358"/>
      <c r="OE259" s="358"/>
      <c r="OF259" s="358"/>
      <c r="OG259" s="358"/>
      <c r="OH259" s="358"/>
      <c r="OI259" s="358"/>
      <c r="OJ259" s="358"/>
      <c r="OK259" s="358"/>
      <c r="OL259" s="358"/>
      <c r="OM259" s="358"/>
      <c r="ON259" s="358"/>
      <c r="OO259" s="358"/>
      <c r="OP259" s="358"/>
      <c r="OQ259" s="358"/>
      <c r="OR259" s="358"/>
      <c r="OS259" s="358"/>
      <c r="OT259" s="358"/>
      <c r="OU259" s="358"/>
      <c r="OV259" s="72"/>
      <c r="OW259" s="72"/>
      <c r="OX259" s="72"/>
      <c r="OY259" s="2501" t="s">
        <v>4271</v>
      </c>
      <c r="OZ259" s="2503">
        <v>255</v>
      </c>
      <c r="PA259" s="72"/>
      <c r="PB259" s="72"/>
      <c r="PC259" s="72"/>
      <c r="PD259" s="72"/>
      <c r="PE259" s="72"/>
      <c r="PF259" s="72"/>
      <c r="PG259" s="72"/>
      <c r="PH259" s="72"/>
      <c r="PI259" s="72"/>
      <c r="PJ259" s="72"/>
      <c r="PK259" s="72"/>
      <c r="PL259" s="72"/>
      <c r="PM259" s="72"/>
      <c r="PN259" s="72"/>
      <c r="PO259" s="72"/>
      <c r="PP259" s="72"/>
      <c r="PQ259" s="72"/>
      <c r="PR259" s="72"/>
      <c r="PS259" s="72"/>
      <c r="PT259" s="72"/>
      <c r="PU259" s="72"/>
      <c r="PV259" s="72"/>
      <c r="PW259" s="72"/>
      <c r="PX259" s="72"/>
      <c r="PY259" s="72"/>
      <c r="PZ259" s="72"/>
      <c r="QA259" s="72"/>
      <c r="QB259" s="72"/>
      <c r="QC259" s="72"/>
      <c r="QD259" s="72"/>
      <c r="QE259" s="72"/>
      <c r="QF259" s="72"/>
      <c r="QG259" s="72"/>
      <c r="QH259" s="72"/>
      <c r="QI259" s="72"/>
      <c r="QJ259" s="72"/>
      <c r="QK259" s="72"/>
      <c r="QL259" s="72"/>
      <c r="QM259" s="72"/>
      <c r="QN259" s="72"/>
      <c r="QO259" s="72"/>
      <c r="QP259" s="72"/>
      <c r="QQ259" s="72"/>
      <c r="QR259" s="72"/>
      <c r="QS259" s="72"/>
      <c r="QT259" s="72"/>
      <c r="QU259" s="72"/>
      <c r="QV259" s="72"/>
      <c r="QW259" s="72"/>
      <c r="QX259" s="72"/>
      <c r="QY259" s="72"/>
      <c r="QZ259" s="72"/>
      <c r="RA259" s="72"/>
      <c r="RB259" s="72"/>
      <c r="RC259" s="72"/>
      <c r="RD259" s="72"/>
      <c r="RE259" s="72"/>
      <c r="RF259" s="72"/>
      <c r="RG259" s="72"/>
      <c r="RH259" s="72"/>
      <c r="RI259" s="72"/>
      <c r="RJ259" s="72"/>
      <c r="RK259" s="72"/>
      <c r="RL259" s="72"/>
      <c r="RM259" s="72"/>
      <c r="RN259" s="72"/>
      <c r="RO259" s="72"/>
      <c r="RP259" s="72"/>
      <c r="RQ259" s="72"/>
      <c r="RR259" s="72"/>
      <c r="RS259" s="72"/>
      <c r="RT259" s="72"/>
      <c r="RU259" s="72"/>
      <c r="RV259" s="72"/>
      <c r="RW259" s="72"/>
      <c r="RX259" s="72"/>
      <c r="RY259" s="72"/>
      <c r="RZ259" s="72"/>
      <c r="SA259" s="72"/>
      <c r="SB259" s="72"/>
      <c r="SC259" s="72"/>
      <c r="SD259" s="72"/>
      <c r="SE259" s="72"/>
      <c r="SF259" s="72"/>
      <c r="SG259" s="72"/>
      <c r="SH259" s="72"/>
      <c r="SI259" s="72"/>
      <c r="SJ259" s="72"/>
      <c r="SK259" s="72"/>
      <c r="SL259" s="72"/>
      <c r="SM259" s="72"/>
      <c r="SN259" s="72"/>
      <c r="SO259" s="72"/>
      <c r="SP259" s="72"/>
      <c r="SQ259" s="72"/>
      <c r="SR259" s="72"/>
      <c r="SS259" s="72"/>
      <c r="ST259" s="72"/>
      <c r="SU259" s="72"/>
      <c r="SV259" s="72"/>
      <c r="SW259" s="72"/>
      <c r="SX259" s="72"/>
      <c r="SY259" s="72"/>
      <c r="SZ259" s="72"/>
      <c r="TA259" s="72"/>
      <c r="TB259" s="72"/>
      <c r="TC259" s="72"/>
      <c r="TD259" s="72"/>
      <c r="TE259" s="72"/>
      <c r="TF259" s="72"/>
      <c r="TG259" s="72"/>
      <c r="TH259" s="72"/>
    </row>
    <row r="260" spans="1:528" s="69" customFormat="1" ht="16.5" customHeight="1">
      <c r="A260" s="1"/>
      <c r="B260" s="4" t="s">
        <v>1214</v>
      </c>
      <c r="C260" s="1"/>
      <c r="D260" s="7"/>
      <c r="E260" s="1"/>
      <c r="F260" s="1"/>
      <c r="G260" s="1"/>
      <c r="H260" s="1"/>
      <c r="I260" s="1" t="s">
        <v>1291</v>
      </c>
      <c r="K260" s="364">
        <f>L260/12/P76</f>
        <v>15.625</v>
      </c>
      <c r="L260" s="3607">
        <v>30000</v>
      </c>
      <c r="M260" s="3608"/>
      <c r="N260" s="2479">
        <f t="shared" si="696"/>
        <v>187.5</v>
      </c>
      <c r="O260" s="497" t="s">
        <v>36</v>
      </c>
      <c r="Q260" s="498"/>
      <c r="R260" s="3599"/>
      <c r="S260" s="3613"/>
      <c r="T260" s="3614"/>
      <c r="U260" s="3614"/>
      <c r="V260" s="3614"/>
      <c r="W260" s="3615"/>
      <c r="X260" s="356"/>
      <c r="Y260" s="358"/>
      <c r="Z260" s="358"/>
      <c r="AA260" s="358"/>
      <c r="AB260" s="358"/>
      <c r="AC260" s="356"/>
      <c r="AD260" s="358"/>
      <c r="AE260" s="358"/>
      <c r="AF260" s="358"/>
      <c r="AG260" s="358"/>
      <c r="AH260" s="356"/>
      <c r="AI260" s="358"/>
      <c r="AJ260" s="358"/>
      <c r="AK260" s="358"/>
      <c r="AL260" s="358"/>
      <c r="AM260" s="356"/>
      <c r="AN260" s="358"/>
      <c r="AO260" s="358"/>
      <c r="AP260" s="358"/>
      <c r="AQ260" s="358"/>
      <c r="AR260" s="358"/>
      <c r="AS260" s="358"/>
      <c r="AT260" s="358"/>
      <c r="AU260" s="358"/>
      <c r="AV260" s="358"/>
      <c r="AW260" s="358"/>
      <c r="AX260" s="358"/>
      <c r="AY260" s="358"/>
      <c r="AZ260" s="358"/>
      <c r="BA260" s="358"/>
      <c r="BB260" s="358"/>
      <c r="BC260" s="358"/>
      <c r="BD260" s="358"/>
      <c r="BE260" s="358"/>
      <c r="BF260" s="358"/>
      <c r="BG260" s="358"/>
      <c r="BH260" s="358"/>
      <c r="BI260" s="358"/>
      <c r="BJ260" s="358"/>
      <c r="BK260" s="358"/>
      <c r="BL260" s="358"/>
      <c r="BM260" s="358"/>
      <c r="BN260" s="358"/>
      <c r="BO260" s="358"/>
      <c r="BP260" s="358"/>
      <c r="BQ260" s="358"/>
      <c r="BR260" s="358"/>
      <c r="BS260" s="358"/>
      <c r="BT260" s="358"/>
      <c r="BU260" s="358"/>
      <c r="BV260" s="358"/>
      <c r="BW260" s="358"/>
      <c r="BX260" s="358"/>
      <c r="BY260" s="358"/>
      <c r="BZ260" s="358"/>
      <c r="CA260" s="358"/>
      <c r="CB260" s="358"/>
      <c r="CC260" s="358"/>
      <c r="CD260" s="358"/>
      <c r="CE260" s="358"/>
      <c r="CF260" s="358"/>
      <c r="CG260" s="358"/>
      <c r="CH260" s="358"/>
      <c r="CI260" s="358"/>
      <c r="CJ260" s="358"/>
      <c r="CK260" s="358"/>
      <c r="CL260" s="358"/>
      <c r="CM260" s="358"/>
      <c r="CN260" s="358"/>
      <c r="CO260" s="358"/>
      <c r="CP260" s="358"/>
      <c r="CQ260" s="358"/>
      <c r="CR260" s="358"/>
      <c r="CS260" s="358"/>
      <c r="CT260" s="358"/>
      <c r="CU260" s="358"/>
      <c r="CV260" s="358"/>
      <c r="CW260" s="358"/>
      <c r="CX260" s="358"/>
      <c r="CY260" s="358"/>
      <c r="CZ260" s="358"/>
      <c r="DA260" s="358"/>
      <c r="DB260" s="358"/>
      <c r="DC260" s="358"/>
      <c r="DD260" s="358"/>
      <c r="DE260" s="358"/>
      <c r="DF260" s="358"/>
      <c r="DG260" s="358"/>
      <c r="DH260" s="358"/>
      <c r="DI260" s="358"/>
      <c r="DJ260" s="358"/>
      <c r="DK260" s="358"/>
      <c r="DL260" s="358"/>
      <c r="DM260" s="358"/>
      <c r="DN260" s="358"/>
      <c r="DO260" s="358"/>
      <c r="DP260" s="358"/>
      <c r="DQ260" s="358"/>
      <c r="DR260" s="358"/>
      <c r="DS260" s="358"/>
      <c r="DT260" s="358"/>
      <c r="DU260" s="358"/>
      <c r="DV260" s="358"/>
      <c r="DW260" s="358"/>
      <c r="DX260" s="358"/>
      <c r="DY260" s="358"/>
      <c r="DZ260" s="358"/>
      <c r="EA260" s="358"/>
      <c r="EB260" s="358"/>
      <c r="EC260" s="358"/>
      <c r="ED260" s="358"/>
      <c r="EE260" s="358"/>
      <c r="EF260" s="358"/>
      <c r="EG260" s="358"/>
      <c r="EH260" s="358"/>
      <c r="EI260" s="358"/>
      <c r="EJ260" s="358"/>
      <c r="EK260" s="358"/>
      <c r="EL260" s="358"/>
      <c r="EM260" s="358"/>
      <c r="EN260" s="358"/>
      <c r="EO260" s="358"/>
      <c r="EP260" s="358"/>
      <c r="EQ260" s="358"/>
      <c r="ER260" s="358"/>
      <c r="ES260" s="358"/>
      <c r="ET260" s="358"/>
      <c r="EU260" s="358"/>
      <c r="EV260" s="358"/>
      <c r="EW260" s="358"/>
      <c r="EX260" s="358"/>
      <c r="EY260" s="358"/>
      <c r="EZ260" s="358"/>
      <c r="FA260" s="358"/>
      <c r="FB260" s="358"/>
      <c r="FC260" s="358"/>
      <c r="FD260" s="358"/>
      <c r="FE260" s="358"/>
      <c r="FF260" s="358"/>
      <c r="FG260" s="358"/>
      <c r="FH260" s="358"/>
      <c r="FI260" s="358"/>
      <c r="FJ260" s="358"/>
      <c r="FK260" s="358"/>
      <c r="FL260" s="358"/>
      <c r="FM260" s="358"/>
      <c r="FN260" s="358"/>
      <c r="FO260" s="358"/>
      <c r="FP260" s="358"/>
      <c r="FQ260" s="358"/>
      <c r="FR260" s="358"/>
      <c r="FS260" s="358"/>
      <c r="FT260" s="358"/>
      <c r="FU260" s="358"/>
      <c r="FV260" s="358"/>
      <c r="FW260" s="358"/>
      <c r="FX260" s="358"/>
      <c r="FY260" s="358"/>
      <c r="FZ260" s="358"/>
      <c r="GA260" s="358"/>
      <c r="GB260" s="358"/>
      <c r="GC260" s="358"/>
      <c r="GD260" s="358"/>
      <c r="GE260" s="358"/>
      <c r="GF260" s="358"/>
      <c r="GG260" s="358"/>
      <c r="GH260" s="358"/>
      <c r="GI260" s="358"/>
      <c r="GJ260" s="358"/>
      <c r="GK260" s="358"/>
      <c r="GL260" s="358"/>
      <c r="GM260" s="358"/>
      <c r="GN260" s="358"/>
      <c r="GO260" s="358"/>
      <c r="GP260" s="358"/>
      <c r="GQ260" s="358"/>
      <c r="GR260" s="358"/>
      <c r="GS260" s="358"/>
      <c r="GT260" s="358"/>
      <c r="GU260" s="358"/>
      <c r="GV260" s="358"/>
      <c r="GW260" s="358"/>
      <c r="GX260" s="358"/>
      <c r="GY260" s="358"/>
      <c r="GZ260" s="358"/>
      <c r="HA260" s="358"/>
      <c r="HB260" s="358"/>
      <c r="HC260" s="358"/>
      <c r="HD260" s="358"/>
      <c r="HE260" s="358"/>
      <c r="HF260" s="358"/>
      <c r="HG260" s="358"/>
      <c r="HH260" s="358"/>
      <c r="HI260" s="358"/>
      <c r="HJ260" s="358"/>
      <c r="HK260" s="358"/>
      <c r="HL260" s="358"/>
      <c r="HM260" s="358"/>
      <c r="HN260" s="358"/>
      <c r="HO260" s="358"/>
      <c r="HP260" s="358"/>
      <c r="HQ260" s="358"/>
      <c r="HR260" s="358"/>
      <c r="HS260" s="358"/>
      <c r="HT260" s="358"/>
      <c r="HU260" s="358"/>
      <c r="HV260" s="358"/>
      <c r="HW260" s="358"/>
      <c r="HX260" s="358"/>
      <c r="HY260" s="358"/>
      <c r="HZ260" s="358"/>
      <c r="IA260" s="358"/>
      <c r="IB260" s="358"/>
      <c r="IC260" s="358"/>
      <c r="ID260" s="358"/>
      <c r="IE260" s="358"/>
      <c r="IF260" s="358"/>
      <c r="IG260" s="358"/>
      <c r="IH260" s="358"/>
      <c r="II260" s="358"/>
      <c r="IJ260" s="358"/>
      <c r="IK260" s="358"/>
      <c r="IL260" s="358"/>
      <c r="IM260" s="358"/>
      <c r="IN260" s="358"/>
      <c r="IO260" s="358"/>
      <c r="IP260" s="358"/>
      <c r="IQ260" s="358"/>
      <c r="IR260" s="358"/>
      <c r="IS260" s="358"/>
      <c r="IT260" s="358"/>
      <c r="IU260" s="358"/>
      <c r="IV260" s="358"/>
      <c r="IW260" s="358"/>
      <c r="IX260" s="358"/>
      <c r="IY260" s="358"/>
      <c r="IZ260" s="358"/>
      <c r="JA260" s="358"/>
      <c r="JB260" s="358"/>
      <c r="JC260" s="358"/>
      <c r="JD260" s="358"/>
      <c r="JE260" s="358"/>
      <c r="JF260" s="358"/>
      <c r="JG260" s="358"/>
      <c r="JH260" s="358"/>
      <c r="JI260" s="358"/>
      <c r="JJ260" s="358"/>
      <c r="JK260" s="358"/>
      <c r="JL260" s="358"/>
      <c r="JM260" s="358"/>
      <c r="JN260" s="358"/>
      <c r="JO260" s="358"/>
      <c r="JP260" s="358"/>
      <c r="JQ260" s="358"/>
      <c r="JR260" s="358"/>
      <c r="JS260" s="358"/>
      <c r="JT260" s="358"/>
      <c r="JU260" s="358"/>
      <c r="JV260" s="358"/>
      <c r="JW260" s="358"/>
      <c r="JX260" s="358"/>
      <c r="JY260" s="358"/>
      <c r="JZ260" s="358"/>
      <c r="KA260" s="358"/>
      <c r="KB260" s="358"/>
      <c r="KC260" s="358"/>
      <c r="KD260" s="358"/>
      <c r="KE260" s="358"/>
      <c r="KF260" s="358"/>
      <c r="KG260" s="358"/>
      <c r="KH260" s="358"/>
      <c r="KI260" s="358"/>
      <c r="KJ260" s="358"/>
      <c r="KK260" s="358"/>
      <c r="KL260" s="358"/>
      <c r="KM260" s="358"/>
      <c r="KN260" s="358"/>
      <c r="KO260" s="358"/>
      <c r="KP260" s="358"/>
      <c r="KQ260" s="358"/>
      <c r="KR260" s="358"/>
      <c r="KS260" s="358"/>
      <c r="KT260" s="358"/>
      <c r="KU260" s="358"/>
      <c r="KV260" s="358"/>
      <c r="KW260" s="358"/>
      <c r="KX260" s="358"/>
      <c r="KY260" s="358"/>
      <c r="KZ260" s="358"/>
      <c r="LA260" s="358"/>
      <c r="LB260" s="358"/>
      <c r="LC260" s="358"/>
      <c r="LD260" s="358"/>
      <c r="LE260" s="358"/>
      <c r="LF260" s="1784"/>
      <c r="LG260" s="358"/>
      <c r="LH260" s="358"/>
      <c r="LI260" s="358"/>
      <c r="LJ260" s="358"/>
      <c r="LK260" s="1784"/>
      <c r="LL260" s="358"/>
      <c r="LM260" s="358"/>
      <c r="LN260" s="358"/>
      <c r="LO260" s="358"/>
      <c r="LP260" s="1784"/>
      <c r="LQ260" s="358"/>
      <c r="LR260" s="358"/>
      <c r="LS260" s="358"/>
      <c r="LT260" s="358"/>
      <c r="LU260" s="1784"/>
      <c r="LV260" s="1784"/>
      <c r="LW260" s="1784"/>
      <c r="LX260" s="1784"/>
      <c r="LY260" s="1784"/>
      <c r="LZ260" s="1784"/>
      <c r="MA260" s="1784"/>
      <c r="MB260" s="1784"/>
      <c r="MC260" s="1784"/>
      <c r="MD260" s="1784"/>
      <c r="ME260" s="1784"/>
      <c r="MF260" s="1784"/>
      <c r="MG260" s="1784"/>
      <c r="MH260" s="1784"/>
      <c r="MI260" s="1784"/>
      <c r="MJ260" s="1784"/>
      <c r="MK260" s="1784"/>
      <c r="ML260" s="1784"/>
      <c r="MM260" s="1784"/>
      <c r="MN260" s="1784"/>
      <c r="MO260" s="1784"/>
      <c r="MP260" s="1784"/>
      <c r="MQ260" s="358"/>
      <c r="MR260" s="358"/>
      <c r="MS260" s="358"/>
      <c r="MT260" s="358"/>
      <c r="MU260" s="358"/>
      <c r="MV260" s="358"/>
      <c r="MW260" s="1639"/>
      <c r="MX260" s="358"/>
      <c r="MY260" s="358"/>
      <c r="MZ260" s="358"/>
      <c r="NA260" s="358"/>
      <c r="NB260" s="358"/>
      <c r="NC260" s="358"/>
      <c r="ND260" s="358"/>
      <c r="NE260" s="358"/>
      <c r="NF260" s="358"/>
      <c r="NG260" s="358"/>
      <c r="NH260" s="358"/>
      <c r="NI260" s="358"/>
      <c r="NJ260" s="358"/>
      <c r="NK260" s="358"/>
      <c r="NL260" s="358"/>
      <c r="NM260" s="1639"/>
      <c r="NN260" s="1639"/>
      <c r="NO260" s="358"/>
      <c r="NP260" s="358"/>
      <c r="NQ260" s="358"/>
      <c r="NR260" s="358"/>
      <c r="NS260" s="358"/>
      <c r="NT260" s="358"/>
      <c r="NU260" s="358"/>
      <c r="NV260" s="358"/>
      <c r="NW260" s="358"/>
      <c r="NX260" s="358"/>
      <c r="NY260" s="358"/>
      <c r="NZ260" s="358"/>
      <c r="OA260" s="358"/>
      <c r="OB260" s="358"/>
      <c r="OC260" s="358"/>
      <c r="OD260" s="358"/>
      <c r="OE260" s="358"/>
      <c r="OF260" s="358"/>
      <c r="OG260" s="358"/>
      <c r="OH260" s="358"/>
      <c r="OI260" s="358"/>
      <c r="OJ260" s="358"/>
      <c r="OK260" s="358"/>
      <c r="OL260" s="358"/>
      <c r="OM260" s="358"/>
      <c r="ON260" s="358"/>
      <c r="OO260" s="358"/>
      <c r="OP260" s="358"/>
      <c r="OQ260" s="358"/>
      <c r="OR260" s="358"/>
      <c r="OS260" s="358"/>
      <c r="OT260" s="358"/>
      <c r="OU260" s="358"/>
      <c r="OV260" s="72"/>
      <c r="OW260" s="72"/>
      <c r="OX260" s="72"/>
      <c r="OY260" s="2501"/>
      <c r="OZ260" s="2504">
        <v>256</v>
      </c>
      <c r="PA260" s="72"/>
      <c r="PB260" s="72"/>
      <c r="PC260" s="72"/>
      <c r="PD260" s="72"/>
      <c r="PE260" s="72"/>
      <c r="PF260" s="72"/>
      <c r="PG260" s="72"/>
      <c r="PH260" s="72"/>
      <c r="PI260" s="72"/>
      <c r="PJ260" s="72"/>
      <c r="PK260" s="72"/>
      <c r="PL260" s="72"/>
      <c r="PM260" s="72"/>
      <c r="PN260" s="72"/>
      <c r="PO260" s="72"/>
      <c r="PP260" s="72"/>
      <c r="PQ260" s="72"/>
      <c r="PR260" s="72"/>
      <c r="PS260" s="72"/>
      <c r="PT260" s="72"/>
      <c r="PU260" s="72"/>
      <c r="PV260" s="72"/>
      <c r="PW260" s="72"/>
      <c r="PX260" s="72"/>
      <c r="PY260" s="72"/>
      <c r="PZ260" s="72"/>
      <c r="QA260" s="72"/>
      <c r="QB260" s="72"/>
      <c r="QC260" s="72"/>
      <c r="QD260" s="72"/>
      <c r="QE260" s="72"/>
      <c r="QF260" s="72"/>
      <c r="QG260" s="72"/>
      <c r="QH260" s="72"/>
      <c r="QI260" s="72"/>
      <c r="QJ260" s="72"/>
      <c r="QK260" s="72"/>
      <c r="QL260" s="72"/>
      <c r="QM260" s="72"/>
      <c r="QN260" s="72"/>
      <c r="QO260" s="72"/>
      <c r="QP260" s="72"/>
      <c r="QQ260" s="72"/>
      <c r="QR260" s="72"/>
      <c r="QS260" s="72"/>
      <c r="QT260" s="72"/>
      <c r="QU260" s="72"/>
      <c r="QV260" s="72"/>
      <c r="QW260" s="72"/>
      <c r="QX260" s="72"/>
      <c r="QY260" s="72"/>
      <c r="QZ260" s="72"/>
      <c r="RA260" s="72"/>
      <c r="RB260" s="72"/>
      <c r="RC260" s="72"/>
      <c r="RD260" s="72"/>
      <c r="RE260" s="72"/>
      <c r="RF260" s="72"/>
      <c r="RG260" s="72"/>
      <c r="RH260" s="72"/>
      <c r="RI260" s="72"/>
      <c r="RJ260" s="72"/>
      <c r="RK260" s="72"/>
      <c r="RL260" s="72"/>
      <c r="RM260" s="72"/>
      <c r="RN260" s="72"/>
      <c r="RO260" s="72"/>
      <c r="RP260" s="72"/>
      <c r="RQ260" s="72"/>
      <c r="RR260" s="72"/>
      <c r="RS260" s="72"/>
      <c r="RT260" s="72"/>
      <c r="RU260" s="72"/>
      <c r="RV260" s="72"/>
      <c r="RW260" s="72"/>
      <c r="RX260" s="72"/>
      <c r="RY260" s="72"/>
      <c r="RZ260" s="72"/>
      <c r="SA260" s="72"/>
      <c r="SB260" s="72"/>
      <c r="SC260" s="72"/>
      <c r="SD260" s="72"/>
      <c r="SE260" s="72"/>
      <c r="SF260" s="72"/>
      <c r="SG260" s="72"/>
      <c r="SH260" s="72"/>
      <c r="SI260" s="72"/>
      <c r="SJ260" s="72"/>
      <c r="SK260" s="72"/>
      <c r="SL260" s="72"/>
      <c r="SM260" s="72"/>
      <c r="SN260" s="72"/>
      <c r="SO260" s="72"/>
      <c r="SP260" s="72"/>
      <c r="SQ260" s="72"/>
      <c r="SR260" s="72"/>
      <c r="SS260" s="72"/>
      <c r="ST260" s="72"/>
      <c r="SU260" s="72"/>
      <c r="SV260" s="72"/>
      <c r="SW260" s="72"/>
      <c r="SX260" s="72"/>
      <c r="SY260" s="72"/>
      <c r="SZ260" s="72"/>
      <c r="TA260" s="72"/>
      <c r="TB260" s="72"/>
      <c r="TC260" s="72"/>
      <c r="TD260" s="72"/>
      <c r="TE260" s="72"/>
      <c r="TF260" s="72"/>
      <c r="TG260" s="72"/>
      <c r="TH260" s="72"/>
    </row>
    <row r="261" spans="1:528" s="69" customFormat="1" ht="16.5" customHeight="1">
      <c r="A261" s="1"/>
      <c r="B261" s="1" t="s">
        <v>1497</v>
      </c>
      <c r="C261" s="1"/>
      <c r="D261" s="7"/>
      <c r="E261" s="1"/>
      <c r="F261" s="3669">
        <v>35000</v>
      </c>
      <c r="G261" s="3670"/>
      <c r="H261" s="2479">
        <f>IF(OR(F261="",F261=0),"",F261/$E$58)</f>
        <v>218.75</v>
      </c>
      <c r="I261" s="72" t="s">
        <v>4563</v>
      </c>
      <c r="K261" s="364">
        <f>L261/12/P76</f>
        <v>18.229166666666664</v>
      </c>
      <c r="L261" s="3607">
        <v>35000</v>
      </c>
      <c r="M261" s="3608"/>
      <c r="N261" s="2479">
        <f t="shared" si="696"/>
        <v>218.75</v>
      </c>
      <c r="O261" s="386" t="s">
        <v>2968</v>
      </c>
      <c r="P261" s="659" t="str">
        <f>CONCATENATE(SUM(NO58:NS58)," units x $",'DCA Underwriting Assumptions'!$Q$41," =")</f>
        <v>160 units x $400 =</v>
      </c>
      <c r="Q261" s="499">
        <f>SUM(NO58:NS58)*'DCA Underwriting Assumptions'!$Q$41</f>
        <v>64000</v>
      </c>
      <c r="R261" s="3599"/>
      <c r="S261" s="3613"/>
      <c r="T261" s="3614"/>
      <c r="U261" s="3614"/>
      <c r="V261" s="3614"/>
      <c r="W261" s="3615"/>
      <c r="X261" s="356"/>
      <c r="Y261" s="358"/>
      <c r="Z261" s="358"/>
      <c r="AA261" s="358"/>
      <c r="AB261" s="358"/>
      <c r="AC261" s="356"/>
      <c r="AD261" s="358"/>
      <c r="AE261" s="358"/>
      <c r="AF261" s="358"/>
      <c r="AG261" s="358"/>
      <c r="AH261" s="356"/>
      <c r="AI261" s="358"/>
      <c r="AJ261" s="358"/>
      <c r="AK261" s="358"/>
      <c r="AL261" s="358"/>
      <c r="AM261" s="356"/>
      <c r="AN261" s="358"/>
      <c r="AO261" s="358"/>
      <c r="AP261" s="358"/>
      <c r="AQ261" s="358"/>
      <c r="AR261" s="358"/>
      <c r="AS261" s="358"/>
      <c r="AT261" s="358"/>
      <c r="AU261" s="358"/>
      <c r="AV261" s="358"/>
      <c r="AW261" s="358"/>
      <c r="AX261" s="358"/>
      <c r="AY261" s="358"/>
      <c r="AZ261" s="358"/>
      <c r="BA261" s="358"/>
      <c r="BB261" s="358"/>
      <c r="BC261" s="358"/>
      <c r="BD261" s="358"/>
      <c r="BE261" s="358"/>
      <c r="BF261" s="358"/>
      <c r="BG261" s="358"/>
      <c r="BH261" s="358"/>
      <c r="BI261" s="358"/>
      <c r="BJ261" s="358"/>
      <c r="BK261" s="358"/>
      <c r="BL261" s="358"/>
      <c r="BM261" s="358"/>
      <c r="BN261" s="358"/>
      <c r="BO261" s="358"/>
      <c r="BP261" s="358"/>
      <c r="BQ261" s="358"/>
      <c r="BR261" s="358"/>
      <c r="BS261" s="358"/>
      <c r="BT261" s="358"/>
      <c r="BU261" s="358"/>
      <c r="BV261" s="358"/>
      <c r="BW261" s="358"/>
      <c r="BX261" s="358"/>
      <c r="BY261" s="358"/>
      <c r="BZ261" s="358"/>
      <c r="CA261" s="358"/>
      <c r="CB261" s="358"/>
      <c r="CC261" s="358"/>
      <c r="CD261" s="358"/>
      <c r="CE261" s="358"/>
      <c r="CF261" s="358"/>
      <c r="CG261" s="358"/>
      <c r="CH261" s="358"/>
      <c r="CI261" s="358"/>
      <c r="CJ261" s="358"/>
      <c r="CK261" s="358"/>
      <c r="CL261" s="358"/>
      <c r="CM261" s="358"/>
      <c r="CN261" s="358"/>
      <c r="CO261" s="358"/>
      <c r="CP261" s="358"/>
      <c r="CQ261" s="358"/>
      <c r="CR261" s="358"/>
      <c r="CS261" s="358"/>
      <c r="CT261" s="358"/>
      <c r="CU261" s="358"/>
      <c r="CV261" s="358"/>
      <c r="CW261" s="358"/>
      <c r="CX261" s="358"/>
      <c r="CY261" s="358"/>
      <c r="CZ261" s="358"/>
      <c r="DA261" s="358"/>
      <c r="DB261" s="358"/>
      <c r="DC261" s="358"/>
      <c r="DD261" s="358"/>
      <c r="DE261" s="358"/>
      <c r="DF261" s="358"/>
      <c r="DG261" s="358"/>
      <c r="DH261" s="358"/>
      <c r="DI261" s="358"/>
      <c r="DJ261" s="358"/>
      <c r="DK261" s="358"/>
      <c r="DL261" s="358"/>
      <c r="DM261" s="358"/>
      <c r="DN261" s="358"/>
      <c r="DO261" s="358"/>
      <c r="DP261" s="358"/>
      <c r="DQ261" s="358"/>
      <c r="DR261" s="358"/>
      <c r="DS261" s="358"/>
      <c r="DT261" s="358"/>
      <c r="DU261" s="358"/>
      <c r="DV261" s="358"/>
      <c r="DW261" s="358"/>
      <c r="DX261" s="358"/>
      <c r="DY261" s="358"/>
      <c r="DZ261" s="358"/>
      <c r="EA261" s="358"/>
      <c r="EB261" s="358"/>
      <c r="EC261" s="358"/>
      <c r="ED261" s="358"/>
      <c r="EE261" s="358"/>
      <c r="EF261" s="358"/>
      <c r="EG261" s="358"/>
      <c r="EH261" s="358"/>
      <c r="EI261" s="358"/>
      <c r="EJ261" s="358"/>
      <c r="EK261" s="358"/>
      <c r="EL261" s="358"/>
      <c r="EM261" s="358"/>
      <c r="EN261" s="358"/>
      <c r="EO261" s="358"/>
      <c r="EP261" s="358"/>
      <c r="EQ261" s="358"/>
      <c r="ER261" s="358"/>
      <c r="ES261" s="358"/>
      <c r="ET261" s="358"/>
      <c r="EU261" s="358"/>
      <c r="EV261" s="358"/>
      <c r="EW261" s="358"/>
      <c r="EX261" s="358"/>
      <c r="EY261" s="358"/>
      <c r="EZ261" s="358"/>
      <c r="FA261" s="358"/>
      <c r="FB261" s="358"/>
      <c r="FC261" s="358"/>
      <c r="FD261" s="358"/>
      <c r="FE261" s="358"/>
      <c r="FF261" s="358"/>
      <c r="FG261" s="358"/>
      <c r="FH261" s="358"/>
      <c r="FI261" s="358"/>
      <c r="FJ261" s="358"/>
      <c r="FK261" s="358"/>
      <c r="FL261" s="358"/>
      <c r="FM261" s="358"/>
      <c r="FN261" s="358"/>
      <c r="FO261" s="358"/>
      <c r="FP261" s="358"/>
      <c r="FQ261" s="358"/>
      <c r="FR261" s="358"/>
      <c r="FS261" s="358"/>
      <c r="FT261" s="358"/>
      <c r="FU261" s="358"/>
      <c r="FV261" s="358"/>
      <c r="FW261" s="358"/>
      <c r="FX261" s="358"/>
      <c r="FY261" s="358"/>
      <c r="FZ261" s="358"/>
      <c r="GA261" s="358"/>
      <c r="GB261" s="358"/>
      <c r="GC261" s="358"/>
      <c r="GD261" s="358"/>
      <c r="GE261" s="358"/>
      <c r="GF261" s="358"/>
      <c r="GG261" s="358"/>
      <c r="GH261" s="358"/>
      <c r="GI261" s="358"/>
      <c r="GJ261" s="358"/>
      <c r="GK261" s="358"/>
      <c r="GL261" s="358"/>
      <c r="GM261" s="358"/>
      <c r="GN261" s="358"/>
      <c r="GO261" s="358"/>
      <c r="GP261" s="358"/>
      <c r="GQ261" s="358"/>
      <c r="GR261" s="358"/>
      <c r="GS261" s="358"/>
      <c r="GT261" s="358"/>
      <c r="GU261" s="358"/>
      <c r="GV261" s="358"/>
      <c r="GW261" s="358"/>
      <c r="GX261" s="358"/>
      <c r="GY261" s="358"/>
      <c r="GZ261" s="358"/>
      <c r="HA261" s="358"/>
      <c r="HB261" s="358"/>
      <c r="HC261" s="358"/>
      <c r="HD261" s="358"/>
      <c r="HE261" s="358"/>
      <c r="HF261" s="358"/>
      <c r="HG261" s="358"/>
      <c r="HH261" s="358"/>
      <c r="HI261" s="358"/>
      <c r="HJ261" s="358"/>
      <c r="HK261" s="358"/>
      <c r="HL261" s="358"/>
      <c r="HM261" s="358"/>
      <c r="HN261" s="358"/>
      <c r="HO261" s="358"/>
      <c r="HP261" s="358"/>
      <c r="HQ261" s="358"/>
      <c r="HR261" s="358"/>
      <c r="HS261" s="358"/>
      <c r="HT261" s="358"/>
      <c r="HU261" s="358"/>
      <c r="HV261" s="358"/>
      <c r="HW261" s="358"/>
      <c r="HX261" s="358"/>
      <c r="HY261" s="358"/>
      <c r="HZ261" s="358"/>
      <c r="IA261" s="358"/>
      <c r="IB261" s="358"/>
      <c r="IC261" s="358"/>
      <c r="ID261" s="358"/>
      <c r="IE261" s="358"/>
      <c r="IF261" s="358"/>
      <c r="IG261" s="358"/>
      <c r="IH261" s="358"/>
      <c r="II261" s="358"/>
      <c r="IJ261" s="358"/>
      <c r="IK261" s="358"/>
      <c r="IL261" s="358"/>
      <c r="IM261" s="358"/>
      <c r="IN261" s="358"/>
      <c r="IO261" s="358"/>
      <c r="IP261" s="358"/>
      <c r="IQ261" s="358"/>
      <c r="IR261" s="358"/>
      <c r="IS261" s="358"/>
      <c r="IT261" s="358"/>
      <c r="IU261" s="358"/>
      <c r="IV261" s="358"/>
      <c r="IW261" s="358"/>
      <c r="IX261" s="358"/>
      <c r="IY261" s="358"/>
      <c r="IZ261" s="358"/>
      <c r="JA261" s="358"/>
      <c r="JB261" s="358"/>
      <c r="JC261" s="358"/>
      <c r="JD261" s="358"/>
      <c r="JE261" s="358"/>
      <c r="JF261" s="358"/>
      <c r="JG261" s="358"/>
      <c r="JH261" s="358"/>
      <c r="JI261" s="358"/>
      <c r="JJ261" s="358"/>
      <c r="JK261" s="358"/>
      <c r="JL261" s="358"/>
      <c r="JM261" s="358"/>
      <c r="JN261" s="358"/>
      <c r="JO261" s="358"/>
      <c r="JP261" s="358"/>
      <c r="JQ261" s="358"/>
      <c r="JR261" s="358"/>
      <c r="JS261" s="358"/>
      <c r="JT261" s="358"/>
      <c r="JU261" s="358"/>
      <c r="JV261" s="358"/>
      <c r="JW261" s="358"/>
      <c r="JX261" s="358"/>
      <c r="JY261" s="358"/>
      <c r="JZ261" s="358"/>
      <c r="KA261" s="358"/>
      <c r="KB261" s="358"/>
      <c r="KC261" s="358"/>
      <c r="KD261" s="358"/>
      <c r="KE261" s="358"/>
      <c r="KF261" s="358"/>
      <c r="KG261" s="358"/>
      <c r="KH261" s="358"/>
      <c r="KI261" s="358"/>
      <c r="KJ261" s="358"/>
      <c r="KK261" s="358"/>
      <c r="KL261" s="358"/>
      <c r="KM261" s="358"/>
      <c r="KN261" s="358"/>
      <c r="KO261" s="358"/>
      <c r="KP261" s="358"/>
      <c r="KQ261" s="358"/>
      <c r="KR261" s="358"/>
      <c r="KS261" s="358"/>
      <c r="KT261" s="358"/>
      <c r="KU261" s="358"/>
      <c r="KV261" s="358"/>
      <c r="KW261" s="358"/>
      <c r="KX261" s="358"/>
      <c r="KY261" s="358"/>
      <c r="KZ261" s="358"/>
      <c r="LA261" s="358"/>
      <c r="LB261" s="358"/>
      <c r="LC261" s="358"/>
      <c r="LD261" s="358"/>
      <c r="LE261" s="358"/>
      <c r="LF261" s="1784"/>
      <c r="LG261" s="358"/>
      <c r="LH261" s="358"/>
      <c r="LI261" s="358"/>
      <c r="LJ261" s="358"/>
      <c r="LK261" s="1784"/>
      <c r="LL261" s="358"/>
      <c r="LM261" s="358"/>
      <c r="LN261" s="358"/>
      <c r="LO261" s="358"/>
      <c r="LP261" s="1784"/>
      <c r="LQ261" s="358"/>
      <c r="LR261" s="358"/>
      <c r="LS261" s="358"/>
      <c r="LT261" s="358"/>
      <c r="LU261" s="1784"/>
      <c r="LV261" s="1784"/>
      <c r="LW261" s="1784"/>
      <c r="LX261" s="1784"/>
      <c r="LY261" s="1784"/>
      <c r="LZ261" s="1784"/>
      <c r="MA261" s="1784"/>
      <c r="MB261" s="1784"/>
      <c r="MC261" s="1784"/>
      <c r="MD261" s="1784"/>
      <c r="ME261" s="1784"/>
      <c r="MF261" s="1784"/>
      <c r="MG261" s="1784"/>
      <c r="MH261" s="1784"/>
      <c r="MI261" s="1784"/>
      <c r="MJ261" s="1784"/>
      <c r="MK261" s="1784"/>
      <c r="ML261" s="1784"/>
      <c r="MM261" s="1784"/>
      <c r="MN261" s="1784"/>
      <c r="MO261" s="1784"/>
      <c r="MP261" s="1784"/>
      <c r="MQ261" s="358"/>
      <c r="MR261" s="358"/>
      <c r="MS261" s="358"/>
      <c r="MT261" s="358"/>
      <c r="MU261" s="358"/>
      <c r="MV261" s="358"/>
      <c r="MW261" s="1639"/>
      <c r="MX261" s="358"/>
      <c r="MY261" s="358"/>
      <c r="MZ261" s="358"/>
      <c r="NA261" s="358"/>
      <c r="NB261" s="358"/>
      <c r="NC261" s="358"/>
      <c r="ND261" s="358"/>
      <c r="NE261" s="358"/>
      <c r="NF261" s="358"/>
      <c r="NG261" s="358"/>
      <c r="NH261" s="358"/>
      <c r="NI261" s="358"/>
      <c r="NJ261" s="358"/>
      <c r="NK261" s="358"/>
      <c r="NL261" s="358"/>
      <c r="NM261" s="1639"/>
      <c r="NN261" s="1639"/>
      <c r="NO261" s="358"/>
      <c r="NP261" s="358"/>
      <c r="NQ261" s="358"/>
      <c r="NR261" s="358"/>
      <c r="NS261" s="358"/>
      <c r="NT261" s="358"/>
      <c r="NU261" s="358"/>
      <c r="NV261" s="358"/>
      <c r="NW261" s="358"/>
      <c r="NX261" s="358"/>
      <c r="NY261" s="358"/>
      <c r="NZ261" s="358"/>
      <c r="OA261" s="358"/>
      <c r="OB261" s="358"/>
      <c r="OC261" s="358"/>
      <c r="OD261" s="358"/>
      <c r="OE261" s="358"/>
      <c r="OF261" s="358"/>
      <c r="OG261" s="358"/>
      <c r="OH261" s="358"/>
      <c r="OI261" s="358"/>
      <c r="OJ261" s="358"/>
      <c r="OK261" s="358"/>
      <c r="OL261" s="358"/>
      <c r="OM261" s="358"/>
      <c r="ON261" s="358"/>
      <c r="OO261" s="358"/>
      <c r="OP261" s="358"/>
      <c r="OQ261" s="358"/>
      <c r="OR261" s="358"/>
      <c r="OS261" s="358"/>
      <c r="OT261" s="358"/>
      <c r="OU261" s="358"/>
      <c r="OV261" s="72"/>
      <c r="OW261" s="72"/>
      <c r="OX261" s="72"/>
      <c r="OY261" s="2501"/>
      <c r="OZ261" s="2504">
        <v>257</v>
      </c>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c r="RZ261" s="72"/>
      <c r="SA261" s="72"/>
      <c r="SB261" s="72"/>
      <c r="SC261" s="72"/>
      <c r="SD261" s="72"/>
      <c r="SE261" s="72"/>
      <c r="SF261" s="72"/>
      <c r="SG261" s="72"/>
      <c r="SH261" s="72"/>
      <c r="SI261" s="72"/>
      <c r="SJ261" s="72"/>
      <c r="SK261" s="72"/>
      <c r="SL261" s="72"/>
      <c r="SM261" s="72"/>
      <c r="SN261" s="72"/>
      <c r="SO261" s="72"/>
      <c r="SP261" s="72"/>
      <c r="SQ261" s="72"/>
      <c r="SR261" s="72"/>
      <c r="SS261" s="72"/>
      <c r="ST261" s="72"/>
      <c r="SU261" s="72"/>
      <c r="SV261" s="72"/>
      <c r="SW261" s="72"/>
      <c r="SX261" s="72"/>
      <c r="SY261" s="72"/>
      <c r="SZ261" s="72"/>
      <c r="TA261" s="72"/>
      <c r="TB261" s="72"/>
      <c r="TC261" s="72"/>
      <c r="TD261" s="72"/>
      <c r="TE261" s="72"/>
      <c r="TF261" s="72"/>
      <c r="TG261" s="72"/>
      <c r="TH261" s="72"/>
    </row>
    <row r="262" spans="1:528" s="69" customFormat="1" ht="16.5" customHeight="1" thickBot="1">
      <c r="A262" s="1"/>
      <c r="B262" s="1" t="s">
        <v>1498</v>
      </c>
      <c r="C262" s="1"/>
      <c r="D262" s="7"/>
      <c r="E262" s="1"/>
      <c r="F262" s="3616">
        <v>35000</v>
      </c>
      <c r="G262" s="3617"/>
      <c r="H262" s="2479">
        <f t="shared" ref="H262:H269" si="697">IF(OR(F262="",F262=0),"",F262/$E$58)</f>
        <v>218.75</v>
      </c>
      <c r="I262" s="3605" t="s">
        <v>46</v>
      </c>
      <c r="J262" s="3606"/>
      <c r="K262" s="364">
        <f>L262/12/P76</f>
        <v>0</v>
      </c>
      <c r="L262" s="3618"/>
      <c r="M262" s="3619"/>
      <c r="N262" s="2479" t="str">
        <f t="shared" si="696"/>
        <v/>
      </c>
      <c r="O262" s="386" t="s">
        <v>2967</v>
      </c>
      <c r="P262" s="659" t="str">
        <f>CONCATENATE(SUM(NT58:NX58)," units x $",'DCA Underwriting Assumptions'!$Q$42," =")</f>
        <v>0 units x $300 =</v>
      </c>
      <c r="Q262" s="499">
        <f>SUM(NT58:NX58)*'DCA Underwriting Assumptions'!$Q$42</f>
        <v>0</v>
      </c>
      <c r="R262" s="3599"/>
      <c r="S262" s="3613"/>
      <c r="T262" s="3614"/>
      <c r="U262" s="3614"/>
      <c r="V262" s="3614"/>
      <c r="W262" s="3615"/>
      <c r="X262" s="356"/>
      <c r="Y262" s="358"/>
      <c r="Z262" s="358"/>
      <c r="AA262" s="358"/>
      <c r="AB262" s="358"/>
      <c r="AC262" s="356"/>
      <c r="AD262" s="358"/>
      <c r="AE262" s="358"/>
      <c r="AF262" s="358"/>
      <c r="AG262" s="358"/>
      <c r="AH262" s="356"/>
      <c r="AI262" s="358"/>
      <c r="AJ262" s="358"/>
      <c r="AK262" s="358"/>
      <c r="AL262" s="358"/>
      <c r="AM262" s="356"/>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58"/>
      <c r="BY262" s="358"/>
      <c r="BZ262" s="358"/>
      <c r="CA262" s="358"/>
      <c r="CB262" s="358"/>
      <c r="CC262" s="358"/>
      <c r="CD262" s="358"/>
      <c r="CE262" s="358"/>
      <c r="CF262" s="358"/>
      <c r="CG262" s="358"/>
      <c r="CH262" s="358"/>
      <c r="CI262" s="358"/>
      <c r="CJ262" s="358"/>
      <c r="CK262" s="358"/>
      <c r="CL262" s="358"/>
      <c r="CM262" s="358"/>
      <c r="CN262" s="358"/>
      <c r="CO262" s="358"/>
      <c r="CP262" s="358"/>
      <c r="CQ262" s="358"/>
      <c r="CR262" s="358"/>
      <c r="CS262" s="358"/>
      <c r="CT262" s="358"/>
      <c r="CU262" s="358"/>
      <c r="CV262" s="358"/>
      <c r="CW262" s="358"/>
      <c r="CX262" s="358"/>
      <c r="CY262" s="358"/>
      <c r="CZ262" s="358"/>
      <c r="DA262" s="358"/>
      <c r="DB262" s="358"/>
      <c r="DC262" s="358"/>
      <c r="DD262" s="358"/>
      <c r="DE262" s="358"/>
      <c r="DF262" s="358"/>
      <c r="DG262" s="358"/>
      <c r="DH262" s="358"/>
      <c r="DI262" s="358"/>
      <c r="DJ262" s="358"/>
      <c r="DK262" s="358"/>
      <c r="DL262" s="358"/>
      <c r="DM262" s="358"/>
      <c r="DN262" s="358"/>
      <c r="DO262" s="358"/>
      <c r="DP262" s="358"/>
      <c r="DQ262" s="358"/>
      <c r="DR262" s="358"/>
      <c r="DS262" s="358"/>
      <c r="DT262" s="358"/>
      <c r="DU262" s="358"/>
      <c r="DV262" s="358"/>
      <c r="DW262" s="358"/>
      <c r="DX262" s="358"/>
      <c r="DY262" s="358"/>
      <c r="DZ262" s="358"/>
      <c r="EA262" s="358"/>
      <c r="EB262" s="358"/>
      <c r="EC262" s="358"/>
      <c r="ED262" s="358"/>
      <c r="EE262" s="358"/>
      <c r="EF262" s="358"/>
      <c r="EG262" s="358"/>
      <c r="EH262" s="358"/>
      <c r="EI262" s="358"/>
      <c r="EJ262" s="358"/>
      <c r="EK262" s="358"/>
      <c r="EL262" s="358"/>
      <c r="EM262" s="358"/>
      <c r="EN262" s="358"/>
      <c r="EO262" s="358"/>
      <c r="EP262" s="358"/>
      <c r="EQ262" s="358"/>
      <c r="ER262" s="358"/>
      <c r="ES262" s="358"/>
      <c r="ET262" s="358"/>
      <c r="EU262" s="358"/>
      <c r="EV262" s="358"/>
      <c r="EW262" s="358"/>
      <c r="EX262" s="358"/>
      <c r="EY262" s="358"/>
      <c r="EZ262" s="358"/>
      <c r="FA262" s="358"/>
      <c r="FB262" s="358"/>
      <c r="FC262" s="358"/>
      <c r="FD262" s="358"/>
      <c r="FE262" s="358"/>
      <c r="FF262" s="358"/>
      <c r="FG262" s="358"/>
      <c r="FH262" s="358"/>
      <c r="FI262" s="358"/>
      <c r="FJ262" s="358"/>
      <c r="FK262" s="358"/>
      <c r="FL262" s="358"/>
      <c r="FM262" s="358"/>
      <c r="FN262" s="358"/>
      <c r="FO262" s="358"/>
      <c r="FP262" s="358"/>
      <c r="FQ262" s="358"/>
      <c r="FR262" s="358"/>
      <c r="FS262" s="358"/>
      <c r="FT262" s="358"/>
      <c r="FU262" s="358"/>
      <c r="FV262" s="358"/>
      <c r="FW262" s="358"/>
      <c r="FX262" s="358"/>
      <c r="FY262" s="358"/>
      <c r="FZ262" s="358"/>
      <c r="GA262" s="358"/>
      <c r="GB262" s="358"/>
      <c r="GC262" s="358"/>
      <c r="GD262" s="358"/>
      <c r="GE262" s="358"/>
      <c r="GF262" s="358"/>
      <c r="GG262" s="358"/>
      <c r="GH262" s="358"/>
      <c r="GI262" s="358"/>
      <c r="GJ262" s="358"/>
      <c r="GK262" s="358"/>
      <c r="GL262" s="358"/>
      <c r="GM262" s="358"/>
      <c r="GN262" s="358"/>
      <c r="GO262" s="358"/>
      <c r="GP262" s="358"/>
      <c r="GQ262" s="358"/>
      <c r="GR262" s="358"/>
      <c r="GS262" s="358"/>
      <c r="GT262" s="358"/>
      <c r="GU262" s="358"/>
      <c r="GV262" s="358"/>
      <c r="GW262" s="358"/>
      <c r="GX262" s="358"/>
      <c r="GY262" s="358"/>
      <c r="GZ262" s="358"/>
      <c r="HA262" s="358"/>
      <c r="HB262" s="358"/>
      <c r="HC262" s="358"/>
      <c r="HD262" s="358"/>
      <c r="HE262" s="358"/>
      <c r="HF262" s="358"/>
      <c r="HG262" s="358"/>
      <c r="HH262" s="358"/>
      <c r="HI262" s="358"/>
      <c r="HJ262" s="358"/>
      <c r="HK262" s="358"/>
      <c r="HL262" s="358"/>
      <c r="HM262" s="358"/>
      <c r="HN262" s="358"/>
      <c r="HO262" s="358"/>
      <c r="HP262" s="358"/>
      <c r="HQ262" s="358"/>
      <c r="HR262" s="358"/>
      <c r="HS262" s="358"/>
      <c r="HT262" s="358"/>
      <c r="HU262" s="358"/>
      <c r="HV262" s="358"/>
      <c r="HW262" s="358"/>
      <c r="HX262" s="358"/>
      <c r="HY262" s="358"/>
      <c r="HZ262" s="358"/>
      <c r="IA262" s="358"/>
      <c r="IB262" s="358"/>
      <c r="IC262" s="358"/>
      <c r="ID262" s="358"/>
      <c r="IE262" s="358"/>
      <c r="IF262" s="358"/>
      <c r="IG262" s="358"/>
      <c r="IH262" s="358"/>
      <c r="II262" s="358"/>
      <c r="IJ262" s="358"/>
      <c r="IK262" s="358"/>
      <c r="IL262" s="358"/>
      <c r="IM262" s="358"/>
      <c r="IN262" s="358"/>
      <c r="IO262" s="358"/>
      <c r="IP262" s="358"/>
      <c r="IQ262" s="358"/>
      <c r="IR262" s="358"/>
      <c r="IS262" s="358"/>
      <c r="IT262" s="358"/>
      <c r="IU262" s="358"/>
      <c r="IV262" s="358"/>
      <c r="IW262" s="358"/>
      <c r="IX262" s="358"/>
      <c r="IY262" s="358"/>
      <c r="IZ262" s="358"/>
      <c r="JA262" s="358"/>
      <c r="JB262" s="358"/>
      <c r="JC262" s="358"/>
      <c r="JD262" s="358"/>
      <c r="JE262" s="358"/>
      <c r="JF262" s="358"/>
      <c r="JG262" s="358"/>
      <c r="JH262" s="358"/>
      <c r="JI262" s="358"/>
      <c r="JJ262" s="358"/>
      <c r="JK262" s="358"/>
      <c r="JL262" s="358"/>
      <c r="JM262" s="358"/>
      <c r="JN262" s="358"/>
      <c r="JO262" s="358"/>
      <c r="JP262" s="358"/>
      <c r="JQ262" s="358"/>
      <c r="JR262" s="358"/>
      <c r="JS262" s="358"/>
      <c r="JT262" s="358"/>
      <c r="JU262" s="358"/>
      <c r="JV262" s="358"/>
      <c r="JW262" s="358"/>
      <c r="JX262" s="358"/>
      <c r="JY262" s="358"/>
      <c r="JZ262" s="358"/>
      <c r="KA262" s="358"/>
      <c r="KB262" s="358"/>
      <c r="KC262" s="358"/>
      <c r="KD262" s="358"/>
      <c r="KE262" s="358"/>
      <c r="KF262" s="358"/>
      <c r="KG262" s="358"/>
      <c r="KH262" s="358"/>
      <c r="KI262" s="358"/>
      <c r="KJ262" s="358"/>
      <c r="KK262" s="358"/>
      <c r="KL262" s="358"/>
      <c r="KM262" s="358"/>
      <c r="KN262" s="358"/>
      <c r="KO262" s="358"/>
      <c r="KP262" s="358"/>
      <c r="KQ262" s="358"/>
      <c r="KR262" s="358"/>
      <c r="KS262" s="358"/>
      <c r="KT262" s="358"/>
      <c r="KU262" s="358"/>
      <c r="KV262" s="358"/>
      <c r="KW262" s="358"/>
      <c r="KX262" s="358"/>
      <c r="KY262" s="358"/>
      <c r="KZ262" s="358"/>
      <c r="LA262" s="358"/>
      <c r="LB262" s="358"/>
      <c r="LC262" s="358"/>
      <c r="LD262" s="358"/>
      <c r="LE262" s="358"/>
      <c r="LF262" s="1784"/>
      <c r="LG262" s="358"/>
      <c r="LH262" s="358"/>
      <c r="LI262" s="358"/>
      <c r="LJ262" s="358"/>
      <c r="LK262" s="1784"/>
      <c r="LL262" s="358"/>
      <c r="LM262" s="358"/>
      <c r="LN262" s="358"/>
      <c r="LO262" s="358"/>
      <c r="LP262" s="1784"/>
      <c r="LQ262" s="358"/>
      <c r="LR262" s="358"/>
      <c r="LS262" s="358"/>
      <c r="LT262" s="358"/>
      <c r="LU262" s="1784"/>
      <c r="LV262" s="1784"/>
      <c r="LW262" s="1784"/>
      <c r="LX262" s="1784"/>
      <c r="LY262" s="1784"/>
      <c r="LZ262" s="1784"/>
      <c r="MA262" s="1784"/>
      <c r="MB262" s="1784"/>
      <c r="MC262" s="1784"/>
      <c r="MD262" s="1784"/>
      <c r="ME262" s="1784"/>
      <c r="MF262" s="1784"/>
      <c r="MG262" s="1784"/>
      <c r="MH262" s="1784"/>
      <c r="MI262" s="1784"/>
      <c r="MJ262" s="1784"/>
      <c r="MK262" s="1784"/>
      <c r="ML262" s="1784"/>
      <c r="MM262" s="1784"/>
      <c r="MN262" s="1784"/>
      <c r="MO262" s="1784"/>
      <c r="MP262" s="1784"/>
      <c r="MQ262" s="358"/>
      <c r="MR262" s="358"/>
      <c r="MS262" s="358"/>
      <c r="MT262" s="358"/>
      <c r="MU262" s="358"/>
      <c r="MV262" s="358"/>
      <c r="MW262" s="1639"/>
      <c r="MX262" s="358"/>
      <c r="MY262" s="358"/>
      <c r="MZ262" s="358"/>
      <c r="NA262" s="358"/>
      <c r="NB262" s="358"/>
      <c r="NC262" s="358"/>
      <c r="ND262" s="358"/>
      <c r="NE262" s="358"/>
      <c r="NF262" s="358"/>
      <c r="NG262" s="358"/>
      <c r="NH262" s="358"/>
      <c r="NI262" s="358"/>
      <c r="NJ262" s="358"/>
      <c r="NK262" s="358"/>
      <c r="NL262" s="358"/>
      <c r="NM262" s="1639"/>
      <c r="NN262" s="1639"/>
      <c r="NO262" s="358"/>
      <c r="NP262" s="358"/>
      <c r="NQ262" s="358"/>
      <c r="NR262" s="358"/>
      <c r="NS262" s="358"/>
      <c r="NT262" s="358"/>
      <c r="NU262" s="358"/>
      <c r="NV262" s="358"/>
      <c r="NW262" s="358"/>
      <c r="NX262" s="358"/>
      <c r="NY262" s="358"/>
      <c r="NZ262" s="358"/>
      <c r="OA262" s="358"/>
      <c r="OB262" s="358"/>
      <c r="OC262" s="358"/>
      <c r="OD262" s="358"/>
      <c r="OE262" s="358"/>
      <c r="OF262" s="358"/>
      <c r="OG262" s="358"/>
      <c r="OH262" s="358"/>
      <c r="OI262" s="358"/>
      <c r="OJ262" s="358"/>
      <c r="OK262" s="358"/>
      <c r="OL262" s="358"/>
      <c r="OM262" s="358"/>
      <c r="ON262" s="358"/>
      <c r="OO262" s="358"/>
      <c r="OP262" s="358"/>
      <c r="OQ262" s="358"/>
      <c r="OR262" s="358"/>
      <c r="OS262" s="358"/>
      <c r="OT262" s="358"/>
      <c r="OU262" s="358"/>
      <c r="OV262" s="72"/>
      <c r="OW262" s="72"/>
      <c r="OX262" s="72"/>
      <c r="OY262" s="2501"/>
      <c r="OZ262" s="2503">
        <v>258</v>
      </c>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c r="RZ262" s="72"/>
      <c r="SA262" s="72"/>
      <c r="SB262" s="72"/>
      <c r="SC262" s="72"/>
      <c r="SD262" s="72"/>
      <c r="SE262" s="72"/>
      <c r="SF262" s="72"/>
      <c r="SG262" s="72"/>
      <c r="SH262" s="72"/>
      <c r="SI262" s="72"/>
      <c r="SJ262" s="72"/>
      <c r="SK262" s="72"/>
      <c r="SL262" s="72"/>
      <c r="SM262" s="72"/>
      <c r="SN262" s="72"/>
      <c r="SO262" s="72"/>
      <c r="SP262" s="72"/>
      <c r="SQ262" s="72"/>
      <c r="SR262" s="72"/>
      <c r="SS262" s="72"/>
      <c r="ST262" s="72"/>
      <c r="SU262" s="72"/>
      <c r="SV262" s="72"/>
      <c r="SW262" s="72"/>
      <c r="SX262" s="72"/>
      <c r="SY262" s="72"/>
      <c r="SZ262" s="72"/>
      <c r="TA262" s="72"/>
      <c r="TB262" s="72"/>
      <c r="TC262" s="72"/>
      <c r="TD262" s="72"/>
      <c r="TE262" s="72"/>
      <c r="TF262" s="72"/>
      <c r="TG262" s="72"/>
      <c r="TH262" s="72"/>
    </row>
    <row r="263" spans="1:528" s="69" customFormat="1" ht="16.5" customHeight="1" thickTop="1">
      <c r="A263" s="1"/>
      <c r="B263" s="1" t="s">
        <v>1499</v>
      </c>
      <c r="C263" s="1"/>
      <c r="D263" s="7"/>
      <c r="E263" s="1"/>
      <c r="F263" s="3616">
        <v>20000</v>
      </c>
      <c r="G263" s="3617"/>
      <c r="H263" s="2479">
        <f t="shared" si="697"/>
        <v>125</v>
      </c>
      <c r="K263" s="8" t="s">
        <v>184</v>
      </c>
      <c r="L263" s="3578">
        <f>SUM(L257:L262)</f>
        <v>175000</v>
      </c>
      <c r="M263" s="3668"/>
      <c r="N263" s="2479">
        <f t="shared" si="696"/>
        <v>1093.75</v>
      </c>
      <c r="O263" s="500" t="s">
        <v>4390</v>
      </c>
      <c r="P263" s="659" t="str">
        <f>CONCATENATE(SUM(NY58:OC58)," units x $",'DCA Underwriting Assumptions'!$Q$43," =")</f>
        <v>0 units x $470 =</v>
      </c>
      <c r="Q263" s="499">
        <f>SUM(NY58:OC58)*'DCA Underwriting Assumptions'!$Q$43</f>
        <v>0</v>
      </c>
      <c r="R263" s="3599"/>
      <c r="S263" s="3613"/>
      <c r="T263" s="3614"/>
      <c r="U263" s="3614"/>
      <c r="V263" s="3614"/>
      <c r="W263" s="3615"/>
      <c r="X263" s="356"/>
      <c r="Y263" s="358"/>
      <c r="Z263" s="358"/>
      <c r="AA263" s="358"/>
      <c r="AB263" s="358"/>
      <c r="AC263" s="356"/>
      <c r="AD263" s="358"/>
      <c r="AE263" s="358"/>
      <c r="AF263" s="358"/>
      <c r="AG263" s="358"/>
      <c r="AH263" s="356"/>
      <c r="AI263" s="358"/>
      <c r="AJ263" s="358"/>
      <c r="AK263" s="358"/>
      <c r="AL263" s="358"/>
      <c r="AM263" s="356"/>
      <c r="AN263" s="358"/>
      <c r="AO263" s="358"/>
      <c r="AP263" s="358"/>
      <c r="AQ263" s="358"/>
      <c r="AR263" s="358"/>
      <c r="AS263" s="358"/>
      <c r="AT263" s="358"/>
      <c r="AU263" s="358"/>
      <c r="AV263" s="358"/>
      <c r="AW263" s="358"/>
      <c r="AX263" s="358"/>
      <c r="AY263" s="358"/>
      <c r="AZ263" s="358"/>
      <c r="BA263" s="358"/>
      <c r="BB263" s="358"/>
      <c r="BC263" s="358"/>
      <c r="BD263" s="358"/>
      <c r="BE263" s="358"/>
      <c r="BF263" s="358"/>
      <c r="BG263" s="358"/>
      <c r="BH263" s="358"/>
      <c r="BI263" s="358"/>
      <c r="BJ263" s="358"/>
      <c r="BK263" s="358"/>
      <c r="BL263" s="358"/>
      <c r="BM263" s="358"/>
      <c r="BN263" s="358"/>
      <c r="BO263" s="358"/>
      <c r="BP263" s="358"/>
      <c r="BQ263" s="358"/>
      <c r="BR263" s="358"/>
      <c r="BS263" s="358"/>
      <c r="BT263" s="358"/>
      <c r="BU263" s="358"/>
      <c r="BV263" s="358"/>
      <c r="BW263" s="358"/>
      <c r="BX263" s="358"/>
      <c r="BY263" s="358"/>
      <c r="BZ263" s="358"/>
      <c r="CA263" s="358"/>
      <c r="CB263" s="358"/>
      <c r="CC263" s="358"/>
      <c r="CD263" s="358"/>
      <c r="CE263" s="358"/>
      <c r="CF263" s="358"/>
      <c r="CG263" s="358"/>
      <c r="CH263" s="358"/>
      <c r="CI263" s="358"/>
      <c r="CJ263" s="358"/>
      <c r="CK263" s="358"/>
      <c r="CL263" s="358"/>
      <c r="CM263" s="358"/>
      <c r="CN263" s="358"/>
      <c r="CO263" s="358"/>
      <c r="CP263" s="358"/>
      <c r="CQ263" s="358"/>
      <c r="CR263" s="358"/>
      <c r="CS263" s="358"/>
      <c r="CT263" s="358"/>
      <c r="CU263" s="358"/>
      <c r="CV263" s="358"/>
      <c r="CW263" s="358"/>
      <c r="CX263" s="358"/>
      <c r="CY263" s="358"/>
      <c r="CZ263" s="358"/>
      <c r="DA263" s="358"/>
      <c r="DB263" s="358"/>
      <c r="DC263" s="358"/>
      <c r="DD263" s="358"/>
      <c r="DE263" s="358"/>
      <c r="DF263" s="358"/>
      <c r="DG263" s="358"/>
      <c r="DH263" s="358"/>
      <c r="DI263" s="358"/>
      <c r="DJ263" s="358"/>
      <c r="DK263" s="358"/>
      <c r="DL263" s="358"/>
      <c r="DM263" s="358"/>
      <c r="DN263" s="358"/>
      <c r="DO263" s="358"/>
      <c r="DP263" s="358"/>
      <c r="DQ263" s="358"/>
      <c r="DR263" s="358"/>
      <c r="DS263" s="358"/>
      <c r="DT263" s="358"/>
      <c r="DU263" s="358"/>
      <c r="DV263" s="358"/>
      <c r="DW263" s="358"/>
      <c r="DX263" s="358"/>
      <c r="DY263" s="358"/>
      <c r="DZ263" s="358"/>
      <c r="EA263" s="358"/>
      <c r="EB263" s="358"/>
      <c r="EC263" s="358"/>
      <c r="ED263" s="358"/>
      <c r="EE263" s="358"/>
      <c r="EF263" s="358"/>
      <c r="EG263" s="358"/>
      <c r="EH263" s="358"/>
      <c r="EI263" s="358"/>
      <c r="EJ263" s="358"/>
      <c r="EK263" s="358"/>
      <c r="EL263" s="358"/>
      <c r="EM263" s="358"/>
      <c r="EN263" s="358"/>
      <c r="EO263" s="358"/>
      <c r="EP263" s="358"/>
      <c r="EQ263" s="358"/>
      <c r="ER263" s="358"/>
      <c r="ES263" s="358"/>
      <c r="ET263" s="358"/>
      <c r="EU263" s="358"/>
      <c r="EV263" s="358"/>
      <c r="EW263" s="358"/>
      <c r="EX263" s="358"/>
      <c r="EY263" s="358"/>
      <c r="EZ263" s="358"/>
      <c r="FA263" s="358"/>
      <c r="FB263" s="358"/>
      <c r="FC263" s="358"/>
      <c r="FD263" s="358"/>
      <c r="FE263" s="358"/>
      <c r="FF263" s="358"/>
      <c r="FG263" s="358"/>
      <c r="FH263" s="358"/>
      <c r="FI263" s="358"/>
      <c r="FJ263" s="358"/>
      <c r="FK263" s="358"/>
      <c r="FL263" s="358"/>
      <c r="FM263" s="358"/>
      <c r="FN263" s="358"/>
      <c r="FO263" s="358"/>
      <c r="FP263" s="358"/>
      <c r="FQ263" s="358"/>
      <c r="FR263" s="358"/>
      <c r="FS263" s="358"/>
      <c r="FT263" s="358"/>
      <c r="FU263" s="358"/>
      <c r="FV263" s="358"/>
      <c r="FW263" s="358"/>
      <c r="FX263" s="358"/>
      <c r="FY263" s="358"/>
      <c r="FZ263" s="358"/>
      <c r="GA263" s="358"/>
      <c r="GB263" s="358"/>
      <c r="GC263" s="358"/>
      <c r="GD263" s="358"/>
      <c r="GE263" s="358"/>
      <c r="GF263" s="358"/>
      <c r="GG263" s="358"/>
      <c r="GH263" s="358"/>
      <c r="GI263" s="358"/>
      <c r="GJ263" s="358"/>
      <c r="GK263" s="358"/>
      <c r="GL263" s="358"/>
      <c r="GM263" s="358"/>
      <c r="GN263" s="358"/>
      <c r="GO263" s="358"/>
      <c r="GP263" s="358"/>
      <c r="GQ263" s="358"/>
      <c r="GR263" s="358"/>
      <c r="GS263" s="358"/>
      <c r="GT263" s="358"/>
      <c r="GU263" s="358"/>
      <c r="GV263" s="358"/>
      <c r="GW263" s="358"/>
      <c r="GX263" s="358"/>
      <c r="GY263" s="358"/>
      <c r="GZ263" s="358"/>
      <c r="HA263" s="358"/>
      <c r="HB263" s="358"/>
      <c r="HC263" s="358"/>
      <c r="HD263" s="358"/>
      <c r="HE263" s="358"/>
      <c r="HF263" s="358"/>
      <c r="HG263" s="358"/>
      <c r="HH263" s="358"/>
      <c r="HI263" s="358"/>
      <c r="HJ263" s="358"/>
      <c r="HK263" s="358"/>
      <c r="HL263" s="358"/>
      <c r="HM263" s="358"/>
      <c r="HN263" s="358"/>
      <c r="HO263" s="358"/>
      <c r="HP263" s="358"/>
      <c r="HQ263" s="358"/>
      <c r="HR263" s="358"/>
      <c r="HS263" s="358"/>
      <c r="HT263" s="358"/>
      <c r="HU263" s="358"/>
      <c r="HV263" s="358"/>
      <c r="HW263" s="358"/>
      <c r="HX263" s="358"/>
      <c r="HY263" s="358"/>
      <c r="HZ263" s="358"/>
      <c r="IA263" s="358"/>
      <c r="IB263" s="358"/>
      <c r="IC263" s="358"/>
      <c r="ID263" s="358"/>
      <c r="IE263" s="358"/>
      <c r="IF263" s="358"/>
      <c r="IG263" s="358"/>
      <c r="IH263" s="358"/>
      <c r="II263" s="358"/>
      <c r="IJ263" s="358"/>
      <c r="IK263" s="358"/>
      <c r="IL263" s="358"/>
      <c r="IM263" s="358"/>
      <c r="IN263" s="358"/>
      <c r="IO263" s="358"/>
      <c r="IP263" s="358"/>
      <c r="IQ263" s="358"/>
      <c r="IR263" s="358"/>
      <c r="IS263" s="358"/>
      <c r="IT263" s="358"/>
      <c r="IU263" s="358"/>
      <c r="IV263" s="358"/>
      <c r="IW263" s="358"/>
      <c r="IX263" s="358"/>
      <c r="IY263" s="358"/>
      <c r="IZ263" s="358"/>
      <c r="JA263" s="358"/>
      <c r="JB263" s="358"/>
      <c r="JC263" s="358"/>
      <c r="JD263" s="358"/>
      <c r="JE263" s="358"/>
      <c r="JF263" s="358"/>
      <c r="JG263" s="358"/>
      <c r="JH263" s="358"/>
      <c r="JI263" s="358"/>
      <c r="JJ263" s="358"/>
      <c r="JK263" s="358"/>
      <c r="JL263" s="358"/>
      <c r="JM263" s="358"/>
      <c r="JN263" s="358"/>
      <c r="JO263" s="358"/>
      <c r="JP263" s="358"/>
      <c r="JQ263" s="358"/>
      <c r="JR263" s="358"/>
      <c r="JS263" s="358"/>
      <c r="JT263" s="358"/>
      <c r="JU263" s="358"/>
      <c r="JV263" s="358"/>
      <c r="JW263" s="358"/>
      <c r="JX263" s="358"/>
      <c r="JY263" s="358"/>
      <c r="JZ263" s="358"/>
      <c r="KA263" s="358"/>
      <c r="KB263" s="358"/>
      <c r="KC263" s="358"/>
      <c r="KD263" s="358"/>
      <c r="KE263" s="358"/>
      <c r="KF263" s="358"/>
      <c r="KG263" s="358"/>
      <c r="KH263" s="358"/>
      <c r="KI263" s="358"/>
      <c r="KJ263" s="358"/>
      <c r="KK263" s="358"/>
      <c r="KL263" s="358"/>
      <c r="KM263" s="358"/>
      <c r="KN263" s="358"/>
      <c r="KO263" s="358"/>
      <c r="KP263" s="358"/>
      <c r="KQ263" s="358"/>
      <c r="KR263" s="358"/>
      <c r="KS263" s="358"/>
      <c r="KT263" s="358"/>
      <c r="KU263" s="358"/>
      <c r="KV263" s="358"/>
      <c r="KW263" s="358"/>
      <c r="KX263" s="358"/>
      <c r="KY263" s="358"/>
      <c r="KZ263" s="358"/>
      <c r="LA263" s="358"/>
      <c r="LB263" s="358"/>
      <c r="LC263" s="358"/>
      <c r="LD263" s="358"/>
      <c r="LE263" s="358"/>
      <c r="LF263" s="1784"/>
      <c r="LG263" s="358"/>
      <c r="LH263" s="358"/>
      <c r="LI263" s="358"/>
      <c r="LJ263" s="358"/>
      <c r="LK263" s="1784"/>
      <c r="LL263" s="358"/>
      <c r="LM263" s="358"/>
      <c r="LN263" s="358"/>
      <c r="LO263" s="358"/>
      <c r="LP263" s="1784"/>
      <c r="LQ263" s="358"/>
      <c r="LR263" s="358"/>
      <c r="LS263" s="358"/>
      <c r="LT263" s="358"/>
      <c r="LU263" s="1784"/>
      <c r="LV263" s="1784"/>
      <c r="LW263" s="1784"/>
      <c r="LX263" s="1784"/>
      <c r="LY263" s="1784"/>
      <c r="LZ263" s="1784"/>
      <c r="MA263" s="1784"/>
      <c r="MB263" s="1784"/>
      <c r="MC263" s="1784"/>
      <c r="MD263" s="1784"/>
      <c r="ME263" s="1784"/>
      <c r="MF263" s="1784"/>
      <c r="MG263" s="1784"/>
      <c r="MH263" s="1784"/>
      <c r="MI263" s="1784"/>
      <c r="MJ263" s="1784"/>
      <c r="MK263" s="1784"/>
      <c r="ML263" s="1784"/>
      <c r="MM263" s="1784"/>
      <c r="MN263" s="1784"/>
      <c r="MO263" s="1784"/>
      <c r="MP263" s="1784"/>
      <c r="MQ263" s="358"/>
      <c r="MR263" s="358"/>
      <c r="MS263" s="358"/>
      <c r="MT263" s="358"/>
      <c r="MU263" s="358"/>
      <c r="MV263" s="358"/>
      <c r="MW263" s="1639"/>
      <c r="MX263" s="358"/>
      <c r="MY263" s="358"/>
      <c r="MZ263" s="358"/>
      <c r="NA263" s="358"/>
      <c r="NB263" s="358"/>
      <c r="NC263" s="358"/>
      <c r="ND263" s="358"/>
      <c r="NE263" s="358"/>
      <c r="NF263" s="358"/>
      <c r="NG263" s="358"/>
      <c r="NH263" s="358"/>
      <c r="NI263" s="358"/>
      <c r="NJ263" s="358"/>
      <c r="NK263" s="358"/>
      <c r="NL263" s="358"/>
      <c r="NM263" s="1639"/>
      <c r="NN263" s="1639"/>
      <c r="NO263" s="358"/>
      <c r="NP263" s="358"/>
      <c r="NQ263" s="358"/>
      <c r="NR263" s="358"/>
      <c r="NS263" s="358"/>
      <c r="NT263" s="358"/>
      <c r="NU263" s="358"/>
      <c r="NV263" s="358"/>
      <c r="NW263" s="358"/>
      <c r="NX263" s="358"/>
      <c r="NY263" s="358"/>
      <c r="NZ263" s="358"/>
      <c r="OA263" s="358"/>
      <c r="OB263" s="358"/>
      <c r="OC263" s="358"/>
      <c r="OD263" s="358"/>
      <c r="OE263" s="358"/>
      <c r="OF263" s="358"/>
      <c r="OG263" s="358"/>
      <c r="OH263" s="358"/>
      <c r="OI263" s="358"/>
      <c r="OJ263" s="358"/>
      <c r="OK263" s="358"/>
      <c r="OL263" s="358"/>
      <c r="OM263" s="358"/>
      <c r="ON263" s="358"/>
      <c r="OO263" s="358"/>
      <c r="OP263" s="358"/>
      <c r="OQ263" s="358"/>
      <c r="OR263" s="358"/>
      <c r="OS263" s="358"/>
      <c r="OT263" s="358"/>
      <c r="OU263" s="358"/>
      <c r="OV263" s="72"/>
      <c r="OW263" s="72"/>
      <c r="OX263" s="72"/>
      <c r="OY263" s="2501"/>
      <c r="OZ263" s="2504">
        <v>259</v>
      </c>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c r="RZ263" s="72"/>
      <c r="SA263" s="72"/>
      <c r="SB263" s="72"/>
      <c r="SC263" s="72"/>
      <c r="SD263" s="72"/>
      <c r="SE263" s="72"/>
      <c r="SF263" s="72"/>
      <c r="SG263" s="72"/>
      <c r="SH263" s="72"/>
      <c r="SI263" s="72"/>
      <c r="SJ263" s="72"/>
      <c r="SK263" s="72"/>
      <c r="SL263" s="72"/>
      <c r="SM263" s="72"/>
      <c r="SN263" s="72"/>
      <c r="SO263" s="72"/>
      <c r="SP263" s="72"/>
      <c r="SQ263" s="72"/>
      <c r="SR263" s="72"/>
      <c r="SS263" s="72"/>
      <c r="ST263" s="72"/>
      <c r="SU263" s="72"/>
      <c r="SV263" s="72"/>
      <c r="SW263" s="72"/>
      <c r="SX263" s="72"/>
      <c r="SY263" s="72"/>
      <c r="SZ263" s="72"/>
      <c r="TA263" s="72"/>
      <c r="TB263" s="72"/>
      <c r="TC263" s="72"/>
      <c r="TD263" s="72"/>
      <c r="TE263" s="72"/>
      <c r="TF263" s="72"/>
      <c r="TG263" s="72"/>
      <c r="TH263" s="72"/>
    </row>
    <row r="264" spans="1:528" s="69" customFormat="1" ht="16.5" customHeight="1">
      <c r="A264" s="1"/>
      <c r="B264" s="1" t="s">
        <v>938</v>
      </c>
      <c r="C264" s="1"/>
      <c r="D264" s="7"/>
      <c r="E264" s="1"/>
      <c r="F264" s="3609">
        <v>10000</v>
      </c>
      <c r="G264" s="3610"/>
      <c r="H264" s="2479">
        <f t="shared" si="697"/>
        <v>62.5</v>
      </c>
      <c r="O264" s="500" t="s">
        <v>2966</v>
      </c>
      <c r="P264" s="659" t="str">
        <f>CONCATENATE(P143," units x $",'DCA Underwriting Assumptions'!$Q$44," =")</f>
        <v>0 units x $420 =</v>
      </c>
      <c r="Q264" s="499">
        <f>P143*'DCA Underwriting Assumptions'!$Q$44</f>
        <v>0</v>
      </c>
      <c r="S264" s="3613"/>
      <c r="T264" s="3614"/>
      <c r="U264" s="3614"/>
      <c r="V264" s="3614"/>
      <c r="W264" s="3615"/>
      <c r="X264" s="356"/>
      <c r="Y264" s="358"/>
      <c r="Z264" s="358"/>
      <c r="AA264" s="358"/>
      <c r="AB264" s="358"/>
      <c r="AC264" s="356"/>
      <c r="AD264" s="358"/>
      <c r="AE264" s="358"/>
      <c r="AF264" s="358"/>
      <c r="AG264" s="358"/>
      <c r="AH264" s="356"/>
      <c r="AI264" s="358"/>
      <c r="AJ264" s="358"/>
      <c r="AK264" s="358"/>
      <c r="AL264" s="358"/>
      <c r="AM264" s="356"/>
      <c r="AN264" s="358"/>
      <c r="AO264" s="358"/>
      <c r="AP264" s="358"/>
      <c r="AQ264" s="358"/>
      <c r="AR264" s="358"/>
      <c r="AS264" s="358"/>
      <c r="AT264" s="358"/>
      <c r="AU264" s="358"/>
      <c r="AV264" s="358"/>
      <c r="AW264" s="358"/>
      <c r="AX264" s="358"/>
      <c r="AY264" s="358"/>
      <c r="AZ264" s="358"/>
      <c r="BA264" s="358"/>
      <c r="BB264" s="358"/>
      <c r="BC264" s="358"/>
      <c r="BD264" s="358"/>
      <c r="BE264" s="358"/>
      <c r="BF264" s="358"/>
      <c r="BG264" s="358"/>
      <c r="BH264" s="358"/>
      <c r="BI264" s="358"/>
      <c r="BJ264" s="358"/>
      <c r="BK264" s="358"/>
      <c r="BL264" s="358"/>
      <c r="BM264" s="358"/>
      <c r="BN264" s="358"/>
      <c r="BO264" s="358"/>
      <c r="BP264" s="358"/>
      <c r="BQ264" s="358"/>
      <c r="BR264" s="358"/>
      <c r="BS264" s="358"/>
      <c r="BT264" s="358"/>
      <c r="BU264" s="358"/>
      <c r="BV264" s="358"/>
      <c r="BW264" s="358"/>
      <c r="BX264" s="358"/>
      <c r="BY264" s="358"/>
      <c r="BZ264" s="358"/>
      <c r="CA264" s="358"/>
      <c r="CB264" s="358"/>
      <c r="CC264" s="358"/>
      <c r="CD264" s="358"/>
      <c r="CE264" s="358"/>
      <c r="CF264" s="358"/>
      <c r="CG264" s="358"/>
      <c r="CH264" s="358"/>
      <c r="CI264" s="358"/>
      <c r="CJ264" s="358"/>
      <c r="CK264" s="358"/>
      <c r="CL264" s="358"/>
      <c r="CM264" s="358"/>
      <c r="CN264" s="358"/>
      <c r="CO264" s="358"/>
      <c r="CP264" s="358"/>
      <c r="CQ264" s="358"/>
      <c r="CR264" s="358"/>
      <c r="CS264" s="358"/>
      <c r="CT264" s="358"/>
      <c r="CU264" s="358"/>
      <c r="CV264" s="358"/>
      <c r="CW264" s="358"/>
      <c r="CX264" s="358"/>
      <c r="CY264" s="358"/>
      <c r="CZ264" s="358"/>
      <c r="DA264" s="358"/>
      <c r="DB264" s="358"/>
      <c r="DC264" s="358"/>
      <c r="DD264" s="358"/>
      <c r="DE264" s="358"/>
      <c r="DF264" s="358"/>
      <c r="DG264" s="358"/>
      <c r="DH264" s="358"/>
      <c r="DI264" s="358"/>
      <c r="DJ264" s="358"/>
      <c r="DK264" s="358"/>
      <c r="DL264" s="358"/>
      <c r="DM264" s="358"/>
      <c r="DN264" s="358"/>
      <c r="DO264" s="358"/>
      <c r="DP264" s="358"/>
      <c r="DQ264" s="358"/>
      <c r="DR264" s="358"/>
      <c r="DS264" s="358"/>
      <c r="DT264" s="358"/>
      <c r="DU264" s="358"/>
      <c r="DV264" s="358"/>
      <c r="DW264" s="358"/>
      <c r="DX264" s="358"/>
      <c r="DY264" s="358"/>
      <c r="DZ264" s="358"/>
      <c r="EA264" s="358"/>
      <c r="EB264" s="358"/>
      <c r="EC264" s="358"/>
      <c r="ED264" s="358"/>
      <c r="EE264" s="358"/>
      <c r="EF264" s="358"/>
      <c r="EG264" s="358"/>
      <c r="EH264" s="358"/>
      <c r="EI264" s="358"/>
      <c r="EJ264" s="358"/>
      <c r="EK264" s="358"/>
      <c r="EL264" s="358"/>
      <c r="EM264" s="358"/>
      <c r="EN264" s="358"/>
      <c r="EO264" s="358"/>
      <c r="EP264" s="358"/>
      <c r="EQ264" s="358"/>
      <c r="ER264" s="358"/>
      <c r="ES264" s="358"/>
      <c r="ET264" s="358"/>
      <c r="EU264" s="358"/>
      <c r="EV264" s="358"/>
      <c r="EW264" s="358"/>
      <c r="EX264" s="358"/>
      <c r="EY264" s="358"/>
      <c r="EZ264" s="358"/>
      <c r="FA264" s="358"/>
      <c r="FB264" s="358"/>
      <c r="FC264" s="358"/>
      <c r="FD264" s="358"/>
      <c r="FE264" s="358"/>
      <c r="FF264" s="358"/>
      <c r="FG264" s="358"/>
      <c r="FH264" s="358"/>
      <c r="FI264" s="358"/>
      <c r="FJ264" s="358"/>
      <c r="FK264" s="358"/>
      <c r="FL264" s="358"/>
      <c r="FM264" s="358"/>
      <c r="FN264" s="358"/>
      <c r="FO264" s="358"/>
      <c r="FP264" s="358"/>
      <c r="FQ264" s="358"/>
      <c r="FR264" s="358"/>
      <c r="FS264" s="358"/>
      <c r="FT264" s="358"/>
      <c r="FU264" s="358"/>
      <c r="FV264" s="358"/>
      <c r="FW264" s="358"/>
      <c r="FX264" s="358"/>
      <c r="FY264" s="358"/>
      <c r="FZ264" s="358"/>
      <c r="GA264" s="358"/>
      <c r="GB264" s="358"/>
      <c r="GC264" s="358"/>
      <c r="GD264" s="358"/>
      <c r="GE264" s="358"/>
      <c r="GF264" s="358"/>
      <c r="GG264" s="358"/>
      <c r="GH264" s="358"/>
      <c r="GI264" s="358"/>
      <c r="GJ264" s="358"/>
      <c r="GK264" s="358"/>
      <c r="GL264" s="358"/>
      <c r="GM264" s="358"/>
      <c r="GN264" s="358"/>
      <c r="GO264" s="358"/>
      <c r="GP264" s="358"/>
      <c r="GQ264" s="358"/>
      <c r="GR264" s="358"/>
      <c r="GS264" s="358"/>
      <c r="GT264" s="358"/>
      <c r="GU264" s="358"/>
      <c r="GV264" s="358"/>
      <c r="GW264" s="358"/>
      <c r="GX264" s="358"/>
      <c r="GY264" s="358"/>
      <c r="GZ264" s="358"/>
      <c r="HA264" s="358"/>
      <c r="HB264" s="358"/>
      <c r="HC264" s="358"/>
      <c r="HD264" s="358"/>
      <c r="HE264" s="358"/>
      <c r="HF264" s="358"/>
      <c r="HG264" s="358"/>
      <c r="HH264" s="358"/>
      <c r="HI264" s="358"/>
      <c r="HJ264" s="358"/>
      <c r="HK264" s="358"/>
      <c r="HL264" s="358"/>
      <c r="HM264" s="358"/>
      <c r="HN264" s="358"/>
      <c r="HO264" s="358"/>
      <c r="HP264" s="358"/>
      <c r="HQ264" s="358"/>
      <c r="HR264" s="358"/>
      <c r="HS264" s="358"/>
      <c r="HT264" s="358"/>
      <c r="HU264" s="358"/>
      <c r="HV264" s="358"/>
      <c r="HW264" s="358"/>
      <c r="HX264" s="358"/>
      <c r="HY264" s="358"/>
      <c r="HZ264" s="358"/>
      <c r="IA264" s="358"/>
      <c r="IB264" s="358"/>
      <c r="IC264" s="358"/>
      <c r="ID264" s="358"/>
      <c r="IE264" s="358"/>
      <c r="IF264" s="358"/>
      <c r="IG264" s="358"/>
      <c r="IH264" s="358"/>
      <c r="II264" s="358"/>
      <c r="IJ264" s="358"/>
      <c r="IK264" s="358"/>
      <c r="IL264" s="358"/>
      <c r="IM264" s="358"/>
      <c r="IN264" s="358"/>
      <c r="IO264" s="358"/>
      <c r="IP264" s="358"/>
      <c r="IQ264" s="358"/>
      <c r="IR264" s="358"/>
      <c r="IS264" s="358"/>
      <c r="IT264" s="358"/>
      <c r="IU264" s="358"/>
      <c r="IV264" s="358"/>
      <c r="IW264" s="358"/>
      <c r="IX264" s="358"/>
      <c r="IY264" s="358"/>
      <c r="IZ264" s="358"/>
      <c r="JA264" s="358"/>
      <c r="JB264" s="358"/>
      <c r="JC264" s="358"/>
      <c r="JD264" s="358"/>
      <c r="JE264" s="358"/>
      <c r="JF264" s="358"/>
      <c r="JG264" s="358"/>
      <c r="JH264" s="358"/>
      <c r="JI264" s="358"/>
      <c r="JJ264" s="358"/>
      <c r="JK264" s="358"/>
      <c r="JL264" s="358"/>
      <c r="JM264" s="358"/>
      <c r="JN264" s="358"/>
      <c r="JO264" s="358"/>
      <c r="JP264" s="358"/>
      <c r="JQ264" s="358"/>
      <c r="JR264" s="358"/>
      <c r="JS264" s="358"/>
      <c r="JT264" s="358"/>
      <c r="JU264" s="358"/>
      <c r="JV264" s="358"/>
      <c r="JW264" s="358"/>
      <c r="JX264" s="358"/>
      <c r="JY264" s="358"/>
      <c r="JZ264" s="358"/>
      <c r="KA264" s="358"/>
      <c r="KB264" s="358"/>
      <c r="KC264" s="358"/>
      <c r="KD264" s="358"/>
      <c r="KE264" s="358"/>
      <c r="KF264" s="358"/>
      <c r="KG264" s="358"/>
      <c r="KH264" s="358"/>
      <c r="KI264" s="358"/>
      <c r="KJ264" s="358"/>
      <c r="KK264" s="358"/>
      <c r="KL264" s="358"/>
      <c r="KM264" s="358"/>
      <c r="KN264" s="358"/>
      <c r="KO264" s="358"/>
      <c r="KP264" s="358"/>
      <c r="KQ264" s="358"/>
      <c r="KR264" s="358"/>
      <c r="KS264" s="358"/>
      <c r="KT264" s="358"/>
      <c r="KU264" s="358"/>
      <c r="KV264" s="358"/>
      <c r="KW264" s="358"/>
      <c r="KX264" s="358"/>
      <c r="KY264" s="358"/>
      <c r="KZ264" s="358"/>
      <c r="LA264" s="358"/>
      <c r="LB264" s="358"/>
      <c r="LC264" s="358"/>
      <c r="LD264" s="358"/>
      <c r="LE264" s="358"/>
      <c r="LF264" s="1784"/>
      <c r="LG264" s="358"/>
      <c r="LH264" s="358"/>
      <c r="LI264" s="358"/>
      <c r="LJ264" s="358"/>
      <c r="LK264" s="1784"/>
      <c r="LL264" s="358"/>
      <c r="LM264" s="358"/>
      <c r="LN264" s="358"/>
      <c r="LO264" s="358"/>
      <c r="LP264" s="1784"/>
      <c r="LQ264" s="358"/>
      <c r="LR264" s="358"/>
      <c r="LS264" s="358"/>
      <c r="LT264" s="358"/>
      <c r="LU264" s="1784"/>
      <c r="LV264" s="1784"/>
      <c r="LW264" s="1784"/>
      <c r="LX264" s="1784"/>
      <c r="LY264" s="1784"/>
      <c r="LZ264" s="1784"/>
      <c r="MA264" s="1784"/>
      <c r="MB264" s="1784"/>
      <c r="MC264" s="1784"/>
      <c r="MD264" s="1784"/>
      <c r="ME264" s="1784"/>
      <c r="MF264" s="1784"/>
      <c r="MG264" s="1784"/>
      <c r="MH264" s="1784"/>
      <c r="MI264" s="1784"/>
      <c r="MJ264" s="1784"/>
      <c r="MK264" s="1784"/>
      <c r="ML264" s="1784"/>
      <c r="MM264" s="1784"/>
      <c r="MN264" s="1784"/>
      <c r="MO264" s="1784"/>
      <c r="MP264" s="1784"/>
      <c r="MQ264" s="358"/>
      <c r="MR264" s="358"/>
      <c r="MS264" s="358"/>
      <c r="MT264" s="358"/>
      <c r="MU264" s="358"/>
      <c r="MV264" s="358"/>
      <c r="MW264" s="1639"/>
      <c r="MX264" s="358"/>
      <c r="MY264" s="358"/>
      <c r="MZ264" s="358"/>
      <c r="NA264" s="358"/>
      <c r="NB264" s="358"/>
      <c r="NC264" s="358"/>
      <c r="ND264" s="358"/>
      <c r="NE264" s="358"/>
      <c r="NF264" s="358"/>
      <c r="NG264" s="358"/>
      <c r="NH264" s="358"/>
      <c r="NI264" s="358"/>
      <c r="NJ264" s="358"/>
      <c r="NK264" s="358"/>
      <c r="NL264" s="358"/>
      <c r="NM264" s="1639"/>
      <c r="NN264" s="1639"/>
      <c r="NO264" s="358"/>
      <c r="NP264" s="358"/>
      <c r="NQ264" s="358"/>
      <c r="NR264" s="358"/>
      <c r="NS264" s="358"/>
      <c r="NT264" s="358"/>
      <c r="NU264" s="358"/>
      <c r="NV264" s="358"/>
      <c r="NW264" s="358"/>
      <c r="NX264" s="358"/>
      <c r="NY264" s="358"/>
      <c r="NZ264" s="358"/>
      <c r="OA264" s="358"/>
      <c r="OB264" s="358"/>
      <c r="OC264" s="358"/>
      <c r="OD264" s="358"/>
      <c r="OE264" s="358"/>
      <c r="OF264" s="358"/>
      <c r="OG264" s="358"/>
      <c r="OH264" s="358"/>
      <c r="OI264" s="358"/>
      <c r="OJ264" s="358"/>
      <c r="OK264" s="358"/>
      <c r="OL264" s="358"/>
      <c r="OM264" s="358"/>
      <c r="ON264" s="358"/>
      <c r="OO264" s="358"/>
      <c r="OP264" s="358"/>
      <c r="OQ264" s="358"/>
      <c r="OR264" s="358"/>
      <c r="OS264" s="358"/>
      <c r="OT264" s="358"/>
      <c r="OU264" s="358"/>
      <c r="OV264" s="72"/>
      <c r="OW264" s="72"/>
      <c r="OX264" s="72"/>
      <c r="OY264" s="2501" t="s">
        <v>4339</v>
      </c>
      <c r="OZ264" s="2504">
        <v>260</v>
      </c>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c r="RZ264" s="72"/>
      <c r="SA264" s="72"/>
      <c r="SB264" s="72"/>
      <c r="SC264" s="72"/>
      <c r="SD264" s="72"/>
      <c r="SE264" s="72"/>
      <c r="SF264" s="72"/>
      <c r="SG264" s="72"/>
      <c r="SH264" s="72"/>
      <c r="SI264" s="72"/>
      <c r="SJ264" s="72"/>
      <c r="SK264" s="72"/>
      <c r="SL264" s="72"/>
      <c r="SM264" s="72"/>
      <c r="SN264" s="72"/>
      <c r="SO264" s="72"/>
      <c r="SP264" s="72"/>
      <c r="SQ264" s="72"/>
      <c r="SR264" s="72"/>
      <c r="SS264" s="72"/>
      <c r="ST264" s="72"/>
      <c r="SU264" s="72"/>
      <c r="SV264" s="72"/>
      <c r="SW264" s="72"/>
      <c r="SX264" s="72"/>
      <c r="SY264" s="72"/>
      <c r="SZ264" s="72"/>
      <c r="TA264" s="72"/>
      <c r="TB264" s="72"/>
      <c r="TC264" s="72"/>
      <c r="TD264" s="72"/>
      <c r="TE264" s="72"/>
      <c r="TF264" s="72"/>
      <c r="TG264" s="72"/>
      <c r="TH264" s="72"/>
    </row>
    <row r="265" spans="1:528" s="69" customFormat="1" ht="16.5" customHeight="1">
      <c r="A265" s="1"/>
      <c r="B265" s="1" t="s">
        <v>939</v>
      </c>
      <c r="C265" s="1"/>
      <c r="D265" s="7"/>
      <c r="E265" s="1"/>
      <c r="F265" s="3609">
        <v>10000</v>
      </c>
      <c r="G265" s="3610"/>
      <c r="H265" s="2479">
        <f t="shared" si="697"/>
        <v>62.5</v>
      </c>
      <c r="I265" s="4" t="s">
        <v>1296</v>
      </c>
      <c r="O265" s="752" t="s">
        <v>2459</v>
      </c>
      <c r="P265" s="753">
        <f>SUM(NO58:NS58)+SUM(NT58:NX58)+SUM(NY58:OC58)+P143</f>
        <v>160</v>
      </c>
      <c r="Q265" s="754">
        <f>SUM(Q261:Q264)</f>
        <v>64000</v>
      </c>
      <c r="R265" s="659"/>
      <c r="S265" s="3613"/>
      <c r="T265" s="3614"/>
      <c r="U265" s="3614"/>
      <c r="V265" s="3614"/>
      <c r="W265" s="3615"/>
      <c r="X265" s="356"/>
      <c r="Y265" s="358"/>
      <c r="Z265" s="358"/>
      <c r="AA265" s="358"/>
      <c r="AB265" s="358"/>
      <c r="AC265" s="356"/>
      <c r="AD265" s="358"/>
      <c r="AE265" s="358"/>
      <c r="AF265" s="358"/>
      <c r="AG265" s="358"/>
      <c r="AH265" s="356"/>
      <c r="AI265" s="358"/>
      <c r="AJ265" s="358"/>
      <c r="AK265" s="358"/>
      <c r="AL265" s="358"/>
      <c r="AM265" s="356"/>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358"/>
      <c r="JX265" s="358"/>
      <c r="JY265" s="358"/>
      <c r="JZ265" s="358"/>
      <c r="KA265" s="358"/>
      <c r="KB265" s="358"/>
      <c r="KC265" s="358"/>
      <c r="KD265" s="358"/>
      <c r="KE265" s="358"/>
      <c r="KF265" s="358"/>
      <c r="KG265" s="358"/>
      <c r="KH265" s="358"/>
      <c r="KI265" s="358"/>
      <c r="KJ265" s="358"/>
      <c r="KK265" s="358"/>
      <c r="KL265" s="358"/>
      <c r="KM265" s="358"/>
      <c r="KN265" s="358"/>
      <c r="KO265" s="358"/>
      <c r="KP265" s="358"/>
      <c r="KQ265" s="358"/>
      <c r="KR265" s="358"/>
      <c r="KS265" s="358"/>
      <c r="KT265" s="358"/>
      <c r="KU265" s="358"/>
      <c r="KV265" s="358"/>
      <c r="KW265" s="358"/>
      <c r="KX265" s="358"/>
      <c r="KY265" s="358"/>
      <c r="KZ265" s="358"/>
      <c r="LA265" s="358"/>
      <c r="LB265" s="358"/>
      <c r="LC265" s="358"/>
      <c r="LD265" s="358"/>
      <c r="LE265" s="358"/>
      <c r="LF265" s="1784"/>
      <c r="LG265" s="358"/>
      <c r="LH265" s="358"/>
      <c r="LI265" s="358"/>
      <c r="LJ265" s="358"/>
      <c r="LK265" s="1784"/>
      <c r="LL265" s="358"/>
      <c r="LM265" s="358"/>
      <c r="LN265" s="358"/>
      <c r="LO265" s="358"/>
      <c r="LP265" s="1784"/>
      <c r="LQ265" s="358"/>
      <c r="LR265" s="358"/>
      <c r="LS265" s="358"/>
      <c r="LT265" s="358"/>
      <c r="LU265" s="1784"/>
      <c r="LV265" s="1784"/>
      <c r="LW265" s="1784"/>
      <c r="LX265" s="1784"/>
      <c r="LY265" s="1784"/>
      <c r="LZ265" s="1784"/>
      <c r="MA265" s="1784"/>
      <c r="MB265" s="1784"/>
      <c r="MC265" s="1784"/>
      <c r="MD265" s="1784"/>
      <c r="ME265" s="1784"/>
      <c r="MF265" s="1784"/>
      <c r="MG265" s="1784"/>
      <c r="MH265" s="1784"/>
      <c r="MI265" s="1784"/>
      <c r="MJ265" s="1784"/>
      <c r="MK265" s="1784"/>
      <c r="ML265" s="1784"/>
      <c r="MM265" s="1784"/>
      <c r="MN265" s="1784"/>
      <c r="MO265" s="1784"/>
      <c r="MP265" s="1784"/>
      <c r="MQ265" s="358"/>
      <c r="MR265" s="358"/>
      <c r="MS265" s="358"/>
      <c r="MT265" s="358"/>
      <c r="MU265" s="358"/>
      <c r="MV265" s="358"/>
      <c r="MW265" s="1639"/>
      <c r="MX265" s="358"/>
      <c r="MY265" s="358"/>
      <c r="MZ265" s="358"/>
      <c r="NA265" s="358"/>
      <c r="NB265" s="358"/>
      <c r="NC265" s="358"/>
      <c r="ND265" s="358"/>
      <c r="NE265" s="358"/>
      <c r="NF265" s="358"/>
      <c r="NG265" s="358"/>
      <c r="NH265" s="358"/>
      <c r="NI265" s="358"/>
      <c r="NJ265" s="358"/>
      <c r="NK265" s="358"/>
      <c r="NL265" s="358"/>
      <c r="NM265" s="1639"/>
      <c r="NN265" s="1639"/>
      <c r="NO265" s="358"/>
      <c r="NP265" s="358"/>
      <c r="NQ265" s="358"/>
      <c r="NR265" s="358"/>
      <c r="NS265" s="358"/>
      <c r="NT265" s="358"/>
      <c r="NU265" s="358"/>
      <c r="NV265" s="358"/>
      <c r="NW265" s="358"/>
      <c r="NX265" s="358"/>
      <c r="NY265" s="358"/>
      <c r="NZ265" s="358"/>
      <c r="OA265" s="358"/>
      <c r="OB265" s="358"/>
      <c r="OC265" s="358"/>
      <c r="OD265" s="358"/>
      <c r="OE265" s="358"/>
      <c r="OF265" s="358"/>
      <c r="OG265" s="358"/>
      <c r="OH265" s="358"/>
      <c r="OI265" s="358"/>
      <c r="OJ265" s="358"/>
      <c r="OK265" s="358"/>
      <c r="OL265" s="358"/>
      <c r="OM265" s="358"/>
      <c r="ON265" s="358"/>
      <c r="OO265" s="358"/>
      <c r="OP265" s="358"/>
      <c r="OQ265" s="358"/>
      <c r="OR265" s="358"/>
      <c r="OS265" s="358"/>
      <c r="OT265" s="358"/>
      <c r="OU265" s="358"/>
      <c r="OV265" s="72"/>
      <c r="OW265" s="72"/>
      <c r="OX265" s="72"/>
      <c r="OY265" s="2501"/>
      <c r="OZ265" s="2504">
        <v>261</v>
      </c>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c r="RZ265" s="72"/>
      <c r="SA265" s="72"/>
      <c r="SB265" s="72"/>
      <c r="SC265" s="72"/>
      <c r="SD265" s="72"/>
      <c r="SE265" s="72"/>
      <c r="SF265" s="72"/>
      <c r="SG265" s="72"/>
      <c r="SH265" s="72"/>
      <c r="SI265" s="72"/>
      <c r="SJ265" s="72"/>
      <c r="SK265" s="72"/>
      <c r="SL265" s="72"/>
      <c r="SM265" s="72"/>
      <c r="SN265" s="72"/>
      <c r="SO265" s="72"/>
      <c r="SP265" s="72"/>
      <c r="SQ265" s="72"/>
      <c r="SR265" s="72"/>
      <c r="SS265" s="72"/>
      <c r="ST265" s="72"/>
      <c r="SU265" s="72"/>
      <c r="SV265" s="72"/>
      <c r="SW265" s="72"/>
      <c r="SX265" s="72"/>
      <c r="SY265" s="72"/>
      <c r="SZ265" s="72"/>
      <c r="TA265" s="72"/>
      <c r="TB265" s="72"/>
      <c r="TC265" s="72"/>
      <c r="TD265" s="72"/>
      <c r="TE265" s="72"/>
      <c r="TF265" s="72"/>
      <c r="TG265" s="72"/>
      <c r="TH265" s="72"/>
    </row>
    <row r="266" spans="1:528" s="69" customFormat="1" ht="16.5" customHeight="1">
      <c r="A266" s="1"/>
      <c r="B266" s="1" t="s">
        <v>940</v>
      </c>
      <c r="C266" s="1"/>
      <c r="D266" s="7"/>
      <c r="E266" s="1"/>
      <c r="F266" s="3609">
        <v>15000</v>
      </c>
      <c r="G266" s="3610"/>
      <c r="H266" s="2479">
        <f t="shared" si="697"/>
        <v>93.75</v>
      </c>
      <c r="I266" s="72" t="s">
        <v>3801</v>
      </c>
      <c r="K266" s="1"/>
      <c r="L266" s="3611">
        <v>378988</v>
      </c>
      <c r="M266" s="3612"/>
      <c r="N266" s="2479">
        <f t="shared" ref="N266:N269" si="698">IF(OR(L266="",L266=0),"",L266/$E$58)</f>
        <v>2368.6750000000002</v>
      </c>
      <c r="O266" s="3596" t="str">
        <f>IF(L266+L267='Part III-A-Uses of Funds'!$G$132,"", CONCATENATE("Real Estate Taxes and Insurance Reserves from Development Budget = $:",'Part III-A-Uses of Funds'!$G$132))</f>
        <v>Real Estate Taxes and Insurance Reserves from Development Budget = $:200000</v>
      </c>
      <c r="P266" s="3596"/>
      <c r="Q266" s="3596"/>
      <c r="R266" s="659"/>
      <c r="S266" s="3613"/>
      <c r="T266" s="3614"/>
      <c r="U266" s="3614"/>
      <c r="V266" s="3614"/>
      <c r="W266" s="3615"/>
      <c r="X266" s="356"/>
      <c r="Y266" s="358"/>
      <c r="Z266" s="358"/>
      <c r="AA266" s="358"/>
      <c r="AB266" s="358"/>
      <c r="AC266" s="356"/>
      <c r="AD266" s="358"/>
      <c r="AE266" s="358"/>
      <c r="AF266" s="358"/>
      <c r="AG266" s="358"/>
      <c r="AH266" s="356"/>
      <c r="AI266" s="358"/>
      <c r="AJ266" s="358"/>
      <c r="AK266" s="358"/>
      <c r="AL266" s="358"/>
      <c r="AM266" s="356"/>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358"/>
      <c r="JX266" s="358"/>
      <c r="JY266" s="358"/>
      <c r="JZ266" s="358"/>
      <c r="KA266" s="358"/>
      <c r="KB266" s="358"/>
      <c r="KC266" s="358"/>
      <c r="KD266" s="358"/>
      <c r="KE266" s="358"/>
      <c r="KF266" s="358"/>
      <c r="KG266" s="358"/>
      <c r="KH266" s="358"/>
      <c r="KI266" s="358"/>
      <c r="KJ266" s="358"/>
      <c r="KK266" s="358"/>
      <c r="KL266" s="358"/>
      <c r="KM266" s="358"/>
      <c r="KN266" s="358"/>
      <c r="KO266" s="358"/>
      <c r="KP266" s="358"/>
      <c r="KQ266" s="358"/>
      <c r="KR266" s="358"/>
      <c r="KS266" s="358"/>
      <c r="KT266" s="358"/>
      <c r="KU266" s="358"/>
      <c r="KV266" s="358"/>
      <c r="KW266" s="358"/>
      <c r="KX266" s="358"/>
      <c r="KY266" s="358"/>
      <c r="KZ266" s="358"/>
      <c r="LA266" s="358"/>
      <c r="LB266" s="358"/>
      <c r="LC266" s="358"/>
      <c r="LD266" s="358"/>
      <c r="LE266" s="358"/>
      <c r="LF266" s="1784"/>
      <c r="LG266" s="358"/>
      <c r="LH266" s="358"/>
      <c r="LI266" s="358"/>
      <c r="LJ266" s="358"/>
      <c r="LK266" s="1784"/>
      <c r="LL266" s="358"/>
      <c r="LM266" s="358"/>
      <c r="LN266" s="358"/>
      <c r="LO266" s="358"/>
      <c r="LP266" s="1784"/>
      <c r="LQ266" s="358"/>
      <c r="LR266" s="358"/>
      <c r="LS266" s="358"/>
      <c r="LT266" s="358"/>
      <c r="LU266" s="1784"/>
      <c r="LV266" s="1784"/>
      <c r="LW266" s="1784"/>
      <c r="LX266" s="1784"/>
      <c r="LY266" s="1784"/>
      <c r="LZ266" s="1784"/>
      <c r="MA266" s="1784"/>
      <c r="MB266" s="1784"/>
      <c r="MC266" s="1784"/>
      <c r="MD266" s="1784"/>
      <c r="ME266" s="1784"/>
      <c r="MF266" s="1784"/>
      <c r="MG266" s="1784"/>
      <c r="MH266" s="1784"/>
      <c r="MI266" s="1784"/>
      <c r="MJ266" s="1784"/>
      <c r="MK266" s="1784"/>
      <c r="ML266" s="1784"/>
      <c r="MM266" s="1784"/>
      <c r="MN266" s="1784"/>
      <c r="MO266" s="1784"/>
      <c r="MP266" s="1784"/>
      <c r="MQ266" s="358"/>
      <c r="MR266" s="358"/>
      <c r="MS266" s="358"/>
      <c r="MT266" s="358"/>
      <c r="MU266" s="358"/>
      <c r="MV266" s="358"/>
      <c r="MW266" s="1639"/>
      <c r="MX266" s="358"/>
      <c r="MY266" s="358"/>
      <c r="MZ266" s="358"/>
      <c r="NA266" s="358"/>
      <c r="NB266" s="358"/>
      <c r="NC266" s="358"/>
      <c r="ND266" s="358"/>
      <c r="NE266" s="358"/>
      <c r="NF266" s="358"/>
      <c r="NG266" s="358"/>
      <c r="NH266" s="358"/>
      <c r="NI266" s="358"/>
      <c r="NJ266" s="358"/>
      <c r="NK266" s="358"/>
      <c r="NL266" s="358"/>
      <c r="NM266" s="1639"/>
      <c r="NN266" s="1639"/>
      <c r="NO266" s="358"/>
      <c r="NP266" s="358"/>
      <c r="NQ266" s="358"/>
      <c r="NR266" s="358"/>
      <c r="NS266" s="358"/>
      <c r="NT266" s="358"/>
      <c r="NU266" s="358"/>
      <c r="NV266" s="358"/>
      <c r="NW266" s="358"/>
      <c r="NX266" s="358"/>
      <c r="NY266" s="358"/>
      <c r="NZ266" s="358"/>
      <c r="OA266" s="358"/>
      <c r="OB266" s="358"/>
      <c r="OC266" s="358"/>
      <c r="OD266" s="358"/>
      <c r="OE266" s="358"/>
      <c r="OF266" s="358"/>
      <c r="OG266" s="358"/>
      <c r="OH266" s="358"/>
      <c r="OI266" s="358"/>
      <c r="OJ266" s="358"/>
      <c r="OK266" s="358"/>
      <c r="OL266" s="358"/>
      <c r="OM266" s="358"/>
      <c r="ON266" s="358"/>
      <c r="OO266" s="358"/>
      <c r="OP266" s="358"/>
      <c r="OQ266" s="358"/>
      <c r="OR266" s="358"/>
      <c r="OS266" s="358"/>
      <c r="OT266" s="358"/>
      <c r="OU266" s="358"/>
      <c r="OV266" s="72"/>
      <c r="OW266" s="72"/>
      <c r="OX266" s="72"/>
      <c r="OY266" s="2501"/>
      <c r="OZ266" s="2504">
        <v>262</v>
      </c>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c r="RZ266" s="72"/>
      <c r="SA266" s="72"/>
      <c r="SB266" s="72"/>
      <c r="SC266" s="72"/>
      <c r="SD266" s="72"/>
      <c r="SE266" s="72"/>
      <c r="SF266" s="72"/>
      <c r="SG266" s="72"/>
      <c r="SH266" s="72"/>
      <c r="SI266" s="72"/>
      <c r="SJ266" s="72"/>
      <c r="SK266" s="72"/>
      <c r="SL266" s="72"/>
      <c r="SM266" s="72"/>
      <c r="SN266" s="72"/>
      <c r="SO266" s="72"/>
      <c r="SP266" s="72"/>
      <c r="SQ266" s="72"/>
      <c r="SR266" s="72"/>
      <c r="SS266" s="72"/>
      <c r="ST266" s="72"/>
      <c r="SU266" s="72"/>
      <c r="SV266" s="72"/>
      <c r="SW266" s="72"/>
      <c r="SX266" s="72"/>
      <c r="SY266" s="72"/>
      <c r="SZ266" s="72"/>
      <c r="TA266" s="72"/>
      <c r="TB266" s="72"/>
      <c r="TC266" s="72"/>
      <c r="TD266" s="72"/>
      <c r="TE266" s="72"/>
      <c r="TF266" s="72"/>
      <c r="TG266" s="72"/>
      <c r="TH266" s="72"/>
    </row>
    <row r="267" spans="1:528" s="69" customFormat="1" ht="16.5" customHeight="1">
      <c r="A267" s="1"/>
      <c r="B267" s="1" t="s">
        <v>810</v>
      </c>
      <c r="C267" s="1"/>
      <c r="D267" s="7"/>
      <c r="E267" s="1"/>
      <c r="F267" s="3609"/>
      <c r="G267" s="3610"/>
      <c r="H267" s="2479" t="str">
        <f t="shared" si="697"/>
        <v/>
      </c>
      <c r="I267" s="1" t="s">
        <v>140</v>
      </c>
      <c r="K267" s="1"/>
      <c r="L267" s="3607">
        <v>39200</v>
      </c>
      <c r="M267" s="3608"/>
      <c r="N267" s="2479">
        <f t="shared" si="698"/>
        <v>245</v>
      </c>
      <c r="O267" s="3597"/>
      <c r="P267" s="3597"/>
      <c r="Q267" s="3597"/>
      <c r="R267" s="659"/>
      <c r="S267" s="3613"/>
      <c r="T267" s="3614"/>
      <c r="U267" s="3614"/>
      <c r="V267" s="3614"/>
      <c r="W267" s="3615"/>
      <c r="X267" s="356"/>
      <c r="Y267" s="358"/>
      <c r="Z267" s="358"/>
      <c r="AA267" s="358"/>
      <c r="AB267" s="358"/>
      <c r="AC267" s="356"/>
      <c r="AD267" s="358"/>
      <c r="AE267" s="358"/>
      <c r="AF267" s="358"/>
      <c r="AG267" s="358"/>
      <c r="AH267" s="356"/>
      <c r="AI267" s="358"/>
      <c r="AJ267" s="358"/>
      <c r="AK267" s="358"/>
      <c r="AL267" s="358"/>
      <c r="AM267" s="356"/>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358"/>
      <c r="JX267" s="358"/>
      <c r="JY267" s="358"/>
      <c r="JZ267" s="358"/>
      <c r="KA267" s="358"/>
      <c r="KB267" s="358"/>
      <c r="KC267" s="358"/>
      <c r="KD267" s="358"/>
      <c r="KE267" s="358"/>
      <c r="KF267" s="358"/>
      <c r="KG267" s="358"/>
      <c r="KH267" s="358"/>
      <c r="KI267" s="358"/>
      <c r="KJ267" s="358"/>
      <c r="KK267" s="358"/>
      <c r="KL267" s="358"/>
      <c r="KM267" s="358"/>
      <c r="KN267" s="358"/>
      <c r="KO267" s="358"/>
      <c r="KP267" s="358"/>
      <c r="KQ267" s="358"/>
      <c r="KR267" s="358"/>
      <c r="KS267" s="358"/>
      <c r="KT267" s="358"/>
      <c r="KU267" s="358"/>
      <c r="KV267" s="358"/>
      <c r="KW267" s="358"/>
      <c r="KX267" s="358"/>
      <c r="KY267" s="358"/>
      <c r="KZ267" s="358"/>
      <c r="LA267" s="358"/>
      <c r="LB267" s="358"/>
      <c r="LC267" s="358"/>
      <c r="LD267" s="358"/>
      <c r="LE267" s="358"/>
      <c r="LF267" s="1784"/>
      <c r="LG267" s="358"/>
      <c r="LH267" s="358"/>
      <c r="LI267" s="358"/>
      <c r="LJ267" s="358"/>
      <c r="LK267" s="1784"/>
      <c r="LL267" s="358"/>
      <c r="LM267" s="358"/>
      <c r="LN267" s="358"/>
      <c r="LO267" s="358"/>
      <c r="LP267" s="1784"/>
      <c r="LQ267" s="358"/>
      <c r="LR267" s="358"/>
      <c r="LS267" s="358"/>
      <c r="LT267" s="358"/>
      <c r="LU267" s="1784"/>
      <c r="LV267" s="1784"/>
      <c r="LW267" s="1784"/>
      <c r="LX267" s="1784"/>
      <c r="LY267" s="1784"/>
      <c r="LZ267" s="1784"/>
      <c r="MA267" s="1784"/>
      <c r="MB267" s="1784"/>
      <c r="MC267" s="1784"/>
      <c r="MD267" s="1784"/>
      <c r="ME267" s="1784"/>
      <c r="MF267" s="1784"/>
      <c r="MG267" s="1784"/>
      <c r="MH267" s="1784"/>
      <c r="MI267" s="1784"/>
      <c r="MJ267" s="1784"/>
      <c r="MK267" s="1784"/>
      <c r="ML267" s="1784"/>
      <c r="MM267" s="1784"/>
      <c r="MN267" s="1784"/>
      <c r="MO267" s="1784"/>
      <c r="MP267" s="1784"/>
      <c r="MQ267" s="358"/>
      <c r="MR267" s="358"/>
      <c r="MS267" s="358"/>
      <c r="MT267" s="358"/>
      <c r="MU267" s="358"/>
      <c r="MV267" s="358"/>
      <c r="MW267" s="1639"/>
      <c r="MX267" s="358"/>
      <c r="MY267" s="358"/>
      <c r="MZ267" s="358"/>
      <c r="NA267" s="358"/>
      <c r="NB267" s="358"/>
      <c r="NC267" s="358"/>
      <c r="ND267" s="358"/>
      <c r="NE267" s="358"/>
      <c r="NF267" s="358"/>
      <c r="NG267" s="358"/>
      <c r="NH267" s="358"/>
      <c r="NI267" s="358"/>
      <c r="NJ267" s="358"/>
      <c r="NK267" s="358"/>
      <c r="NL267" s="358"/>
      <c r="NM267" s="1639"/>
      <c r="NN267" s="1639"/>
      <c r="NO267" s="358"/>
      <c r="NP267" s="358"/>
      <c r="NQ267" s="358"/>
      <c r="NR267" s="358"/>
      <c r="NS267" s="358"/>
      <c r="NT267" s="358"/>
      <c r="NU267" s="358"/>
      <c r="NV267" s="358"/>
      <c r="NW267" s="358"/>
      <c r="NX267" s="358"/>
      <c r="NY267" s="358"/>
      <c r="NZ267" s="358"/>
      <c r="OA267" s="358"/>
      <c r="OB267" s="358"/>
      <c r="OC267" s="358"/>
      <c r="OD267" s="358"/>
      <c r="OE267" s="358"/>
      <c r="OF267" s="358"/>
      <c r="OG267" s="358"/>
      <c r="OH267" s="358"/>
      <c r="OI267" s="358"/>
      <c r="OJ267" s="358"/>
      <c r="OK267" s="358"/>
      <c r="OL267" s="358"/>
      <c r="OM267" s="358"/>
      <c r="ON267" s="358"/>
      <c r="OO267" s="358"/>
      <c r="OP267" s="358"/>
      <c r="OQ267" s="358"/>
      <c r="OR267" s="358"/>
      <c r="OS267" s="358"/>
      <c r="OT267" s="358"/>
      <c r="OU267" s="358"/>
      <c r="OV267" s="72"/>
      <c r="OW267" s="72"/>
      <c r="OX267" s="72"/>
      <c r="OY267" s="2501"/>
      <c r="OZ267" s="2504">
        <v>263</v>
      </c>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c r="RZ267" s="72"/>
      <c r="SA267" s="72"/>
      <c r="SB267" s="72"/>
      <c r="SC267" s="72"/>
      <c r="SD267" s="72"/>
      <c r="SE267" s="72"/>
      <c r="SF267" s="72"/>
      <c r="SG267" s="72"/>
      <c r="SH267" s="72"/>
      <c r="SI267" s="72"/>
      <c r="SJ267" s="72"/>
      <c r="SK267" s="72"/>
      <c r="SL267" s="72"/>
      <c r="SM267" s="72"/>
      <c r="SN267" s="72"/>
      <c r="SO267" s="72"/>
      <c r="SP267" s="72"/>
      <c r="SQ267" s="72"/>
      <c r="SR267" s="72"/>
      <c r="SS267" s="72"/>
      <c r="ST267" s="72"/>
      <c r="SU267" s="72"/>
      <c r="SV267" s="72"/>
      <c r="SW267" s="72"/>
      <c r="SX267" s="72"/>
      <c r="SY267" s="72"/>
      <c r="SZ267" s="72"/>
      <c r="TA267" s="72"/>
      <c r="TB267" s="72"/>
      <c r="TC267" s="72"/>
      <c r="TD267" s="72"/>
      <c r="TE267" s="72"/>
      <c r="TF267" s="72"/>
      <c r="TG267" s="72"/>
      <c r="TH267" s="72"/>
    </row>
    <row r="268" spans="1:528" s="69" customFormat="1" ht="16.5" customHeight="1" thickBot="1">
      <c r="A268" s="1"/>
      <c r="B268" s="3570" t="s">
        <v>46</v>
      </c>
      <c r="C268" s="3571"/>
      <c r="D268" s="3571"/>
      <c r="E268" s="3572"/>
      <c r="F268" s="3620"/>
      <c r="G268" s="3621"/>
      <c r="H268" s="2479" t="str">
        <f t="shared" si="697"/>
        <v/>
      </c>
      <c r="I268" s="3573" t="s">
        <v>46</v>
      </c>
      <c r="J268" s="3574"/>
      <c r="K268" s="3575"/>
      <c r="L268" s="3666"/>
      <c r="M268" s="3667"/>
      <c r="N268" s="2479" t="str">
        <f t="shared" si="698"/>
        <v/>
      </c>
      <c r="O268" s="3597"/>
      <c r="P268" s="3597"/>
      <c r="Q268" s="3597"/>
      <c r="R268" s="659"/>
      <c r="S268" s="3613"/>
      <c r="T268" s="3614"/>
      <c r="U268" s="3614"/>
      <c r="V268" s="3614"/>
      <c r="W268" s="3615"/>
      <c r="X268" s="356"/>
      <c r="Y268" s="358"/>
      <c r="Z268" s="358"/>
      <c r="AA268" s="358"/>
      <c r="AB268" s="358"/>
      <c r="AC268" s="356"/>
      <c r="AD268" s="358"/>
      <c r="AE268" s="358"/>
      <c r="AF268" s="358"/>
      <c r="AG268" s="358"/>
      <c r="AH268" s="356"/>
      <c r="AI268" s="358"/>
      <c r="AJ268" s="358"/>
      <c r="AK268" s="358"/>
      <c r="AL268" s="358"/>
      <c r="AM268" s="356"/>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358"/>
      <c r="JX268" s="358"/>
      <c r="JY268" s="358"/>
      <c r="JZ268" s="358"/>
      <c r="KA268" s="358"/>
      <c r="KB268" s="358"/>
      <c r="KC268" s="358"/>
      <c r="KD268" s="358"/>
      <c r="KE268" s="358"/>
      <c r="KF268" s="358"/>
      <c r="KG268" s="358"/>
      <c r="KH268" s="358"/>
      <c r="KI268" s="358"/>
      <c r="KJ268" s="358"/>
      <c r="KK268" s="358"/>
      <c r="KL268" s="358"/>
      <c r="KM268" s="358"/>
      <c r="KN268" s="358"/>
      <c r="KO268" s="358"/>
      <c r="KP268" s="358"/>
      <c r="KQ268" s="358"/>
      <c r="KR268" s="358"/>
      <c r="KS268" s="358"/>
      <c r="KT268" s="358"/>
      <c r="KU268" s="358"/>
      <c r="KV268" s="358"/>
      <c r="KW268" s="358"/>
      <c r="KX268" s="358"/>
      <c r="KY268" s="358"/>
      <c r="KZ268" s="358"/>
      <c r="LA268" s="358"/>
      <c r="LB268" s="358"/>
      <c r="LC268" s="358"/>
      <c r="LD268" s="358"/>
      <c r="LE268" s="358"/>
      <c r="LF268" s="1784"/>
      <c r="LG268" s="358"/>
      <c r="LH268" s="358"/>
      <c r="LI268" s="358"/>
      <c r="LJ268" s="358"/>
      <c r="LK268" s="1784"/>
      <c r="LL268" s="358"/>
      <c r="LM268" s="358"/>
      <c r="LN268" s="358"/>
      <c r="LO268" s="358"/>
      <c r="LP268" s="1784"/>
      <c r="LQ268" s="358"/>
      <c r="LR268" s="358"/>
      <c r="LS268" s="358"/>
      <c r="LT268" s="358"/>
      <c r="LU268" s="1784"/>
      <c r="LV268" s="1784"/>
      <c r="LW268" s="1784"/>
      <c r="LX268" s="1784"/>
      <c r="LY268" s="1784"/>
      <c r="LZ268" s="1784"/>
      <c r="MA268" s="1784"/>
      <c r="MB268" s="1784"/>
      <c r="MC268" s="1784"/>
      <c r="MD268" s="1784"/>
      <c r="ME268" s="1784"/>
      <c r="MF268" s="1784"/>
      <c r="MG268" s="1784"/>
      <c r="MH268" s="1784"/>
      <c r="MI268" s="1784"/>
      <c r="MJ268" s="1784"/>
      <c r="MK268" s="1784"/>
      <c r="ML268" s="1784"/>
      <c r="MM268" s="1784"/>
      <c r="MN268" s="1784"/>
      <c r="MO268" s="1784"/>
      <c r="MP268" s="1784"/>
      <c r="MQ268" s="358"/>
      <c r="MR268" s="358"/>
      <c r="MS268" s="358"/>
      <c r="MT268" s="358"/>
      <c r="MU268" s="358"/>
      <c r="MV268" s="358"/>
      <c r="MW268" s="1639"/>
      <c r="MX268" s="358"/>
      <c r="MY268" s="358"/>
      <c r="MZ268" s="358"/>
      <c r="NA268" s="358"/>
      <c r="NB268" s="358"/>
      <c r="NC268" s="358"/>
      <c r="ND268" s="358"/>
      <c r="NE268" s="358"/>
      <c r="NF268" s="358"/>
      <c r="NG268" s="358"/>
      <c r="NH268" s="358"/>
      <c r="NI268" s="358"/>
      <c r="NJ268" s="358"/>
      <c r="NK268" s="358"/>
      <c r="NL268" s="358"/>
      <c r="NM268" s="1639"/>
      <c r="NN268" s="1639"/>
      <c r="NO268" s="358"/>
      <c r="NP268" s="358"/>
      <c r="NQ268" s="358"/>
      <c r="NR268" s="358"/>
      <c r="NS268" s="358"/>
      <c r="NT268" s="358"/>
      <c r="NU268" s="358"/>
      <c r="NV268" s="358"/>
      <c r="NW268" s="358"/>
      <c r="NX268" s="358"/>
      <c r="NY268" s="358"/>
      <c r="NZ268" s="358"/>
      <c r="OA268" s="358"/>
      <c r="OB268" s="358"/>
      <c r="OC268" s="358"/>
      <c r="OD268" s="358"/>
      <c r="OE268" s="358"/>
      <c r="OF268" s="358"/>
      <c r="OG268" s="358"/>
      <c r="OH268" s="358"/>
      <c r="OI268" s="358"/>
      <c r="OJ268" s="358"/>
      <c r="OK268" s="358"/>
      <c r="OL268" s="358"/>
      <c r="OM268" s="358"/>
      <c r="ON268" s="358"/>
      <c r="OO268" s="358"/>
      <c r="OP268" s="358"/>
      <c r="OQ268" s="358"/>
      <c r="OR268" s="358"/>
      <c r="OS268" s="358"/>
      <c r="OT268" s="358"/>
      <c r="OU268" s="358"/>
      <c r="OV268" s="72"/>
      <c r="OW268" s="72"/>
      <c r="OX268" s="72"/>
      <c r="OY268" s="2501" t="s">
        <v>4340</v>
      </c>
      <c r="OZ268" s="2506">
        <v>264</v>
      </c>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c r="RZ268" s="72"/>
      <c r="SA268" s="72"/>
      <c r="SB268" s="72"/>
      <c r="SC268" s="72"/>
      <c r="SD268" s="72"/>
      <c r="SE268" s="72"/>
      <c r="SF268" s="72"/>
      <c r="SG268" s="72"/>
      <c r="SH268" s="72"/>
      <c r="SI268" s="72"/>
      <c r="SJ268" s="72"/>
      <c r="SK268" s="72"/>
      <c r="SL268" s="72"/>
      <c r="SM268" s="72"/>
      <c r="SN268" s="72"/>
      <c r="SO268" s="72"/>
      <c r="SP268" s="72"/>
      <c r="SQ268" s="72"/>
      <c r="SR268" s="72"/>
      <c r="SS268" s="72"/>
      <c r="ST268" s="72"/>
      <c r="SU268" s="72"/>
      <c r="SV268" s="72"/>
      <c r="SW268" s="72"/>
      <c r="SX268" s="72"/>
      <c r="SY268" s="72"/>
      <c r="SZ268" s="72"/>
      <c r="TA268" s="72"/>
      <c r="TB268" s="72"/>
      <c r="TC268" s="72"/>
      <c r="TD268" s="72"/>
      <c r="TE268" s="72"/>
      <c r="TF268" s="72"/>
      <c r="TG268" s="72"/>
      <c r="TH268" s="72"/>
    </row>
    <row r="269" spans="1:528" s="69" customFormat="1" ht="16.5" customHeight="1" thickTop="1" thickBot="1">
      <c r="A269" s="1"/>
      <c r="B269" s="4"/>
      <c r="D269" s="1"/>
      <c r="E269" s="8" t="s">
        <v>184</v>
      </c>
      <c r="F269" s="3576">
        <f>SUM(F261:G268)</f>
        <v>125000</v>
      </c>
      <c r="G269" s="3577"/>
      <c r="H269" s="2479">
        <f t="shared" si="697"/>
        <v>781.25</v>
      </c>
      <c r="K269" s="8" t="s">
        <v>184</v>
      </c>
      <c r="L269" s="3578">
        <f>SUM(L265:L268)</f>
        <v>418188</v>
      </c>
      <c r="M269" s="3579"/>
      <c r="N269" s="2479">
        <f t="shared" si="698"/>
        <v>2613.6750000000002</v>
      </c>
      <c r="O269" s="4" t="s">
        <v>2024</v>
      </c>
      <c r="P269" s="1"/>
      <c r="Q269" s="325">
        <f>Q250+Q256</f>
        <v>1298842</v>
      </c>
      <c r="R269" s="659"/>
      <c r="S269" s="3580"/>
      <c r="T269" s="3581"/>
      <c r="U269" s="3581"/>
      <c r="V269" s="3581"/>
      <c r="W269" s="3582"/>
      <c r="X269" s="356"/>
      <c r="Y269" s="358"/>
      <c r="Z269" s="358"/>
      <c r="AA269" s="358"/>
      <c r="AB269" s="358"/>
      <c r="AC269" s="356"/>
      <c r="AD269" s="358"/>
      <c r="AE269" s="358"/>
      <c r="AF269" s="358"/>
      <c r="AG269" s="358"/>
      <c r="AH269" s="356"/>
      <c r="AI269" s="358"/>
      <c r="AJ269" s="358"/>
      <c r="AK269" s="358"/>
      <c r="AL269" s="358"/>
      <c r="AM269" s="356"/>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358"/>
      <c r="JX269" s="358"/>
      <c r="JY269" s="358"/>
      <c r="JZ269" s="358"/>
      <c r="KA269" s="358"/>
      <c r="KB269" s="358"/>
      <c r="KC269" s="358"/>
      <c r="KD269" s="358"/>
      <c r="KE269" s="358"/>
      <c r="KF269" s="358"/>
      <c r="KG269" s="358"/>
      <c r="KH269" s="358"/>
      <c r="KI269" s="358"/>
      <c r="KJ269" s="358"/>
      <c r="KK269" s="358"/>
      <c r="KL269" s="358"/>
      <c r="KM269" s="358"/>
      <c r="KN269" s="358"/>
      <c r="KO269" s="358"/>
      <c r="KP269" s="358"/>
      <c r="KQ269" s="358"/>
      <c r="KR269" s="358"/>
      <c r="KS269" s="358"/>
      <c r="KT269" s="358"/>
      <c r="KU269" s="358"/>
      <c r="KV269" s="358"/>
      <c r="KW269" s="358"/>
      <c r="KX269" s="358"/>
      <c r="KY269" s="358"/>
      <c r="KZ269" s="358"/>
      <c r="LA269" s="358"/>
      <c r="LB269" s="358"/>
      <c r="LC269" s="358"/>
      <c r="LD269" s="358"/>
      <c r="LE269" s="358"/>
      <c r="LF269" s="1784"/>
      <c r="LG269" s="358"/>
      <c r="LH269" s="358"/>
      <c r="LI269" s="358"/>
      <c r="LJ269" s="358"/>
      <c r="LK269" s="1784"/>
      <c r="LL269" s="358"/>
      <c r="LM269" s="358"/>
      <c r="LN269" s="358"/>
      <c r="LO269" s="358"/>
      <c r="LP269" s="1784"/>
      <c r="LQ269" s="358"/>
      <c r="LR269" s="358"/>
      <c r="LS269" s="358"/>
      <c r="LT269" s="358"/>
      <c r="LU269" s="1784"/>
      <c r="LV269" s="1784"/>
      <c r="LW269" s="1784"/>
      <c r="LX269" s="1784"/>
      <c r="LY269" s="1784"/>
      <c r="LZ269" s="1784"/>
      <c r="MA269" s="1784"/>
      <c r="MB269" s="1784"/>
      <c r="MC269" s="1784"/>
      <c r="MD269" s="1784"/>
      <c r="ME269" s="1784"/>
      <c r="MF269" s="1784"/>
      <c r="MG269" s="1784"/>
      <c r="MH269" s="1784"/>
      <c r="MI269" s="1784"/>
      <c r="MJ269" s="1784"/>
      <c r="MK269" s="1784"/>
      <c r="ML269" s="1784"/>
      <c r="MM269" s="1784"/>
      <c r="MN269" s="1784"/>
      <c r="MO269" s="1784"/>
      <c r="MP269" s="1784"/>
      <c r="MQ269" s="358"/>
      <c r="MR269" s="358"/>
      <c r="MS269" s="358"/>
      <c r="MT269" s="358"/>
      <c r="MU269" s="358"/>
      <c r="MV269" s="358"/>
      <c r="MW269" s="1639"/>
      <c r="MX269" s="358"/>
      <c r="MY269" s="358"/>
      <c r="MZ269" s="358"/>
      <c r="NA269" s="358"/>
      <c r="NB269" s="358"/>
      <c r="NC269" s="358"/>
      <c r="ND269" s="358"/>
      <c r="NE269" s="358"/>
      <c r="NF269" s="358"/>
      <c r="NG269" s="358"/>
      <c r="NH269" s="358"/>
      <c r="NI269" s="358"/>
      <c r="NJ269" s="358"/>
      <c r="NK269" s="358"/>
      <c r="NL269" s="358"/>
      <c r="NM269" s="1639"/>
      <c r="NN269" s="1639"/>
      <c r="NO269" s="358"/>
      <c r="NP269" s="358"/>
      <c r="NQ269" s="358"/>
      <c r="NR269" s="358"/>
      <c r="NS269" s="358"/>
      <c r="NT269" s="358"/>
      <c r="NU269" s="358"/>
      <c r="NV269" s="358"/>
      <c r="NW269" s="358"/>
      <c r="NX269" s="358"/>
      <c r="NY269" s="358"/>
      <c r="NZ269" s="358"/>
      <c r="OA269" s="358"/>
      <c r="OB269" s="358"/>
      <c r="OC269" s="358"/>
      <c r="OD269" s="358"/>
      <c r="OE269" s="358"/>
      <c r="OF269" s="358"/>
      <c r="OG269" s="358"/>
      <c r="OH269" s="358"/>
      <c r="OI269" s="358"/>
      <c r="OJ269" s="358"/>
      <c r="OK269" s="358"/>
      <c r="OL269" s="358"/>
      <c r="OM269" s="358"/>
      <c r="ON269" s="358"/>
      <c r="OO269" s="358"/>
      <c r="OP269" s="358"/>
      <c r="OQ269" s="358"/>
      <c r="OR269" s="358"/>
      <c r="OS269" s="358"/>
      <c r="OT269" s="358"/>
      <c r="OU269" s="358"/>
      <c r="OV269" s="72"/>
      <c r="OW269" s="72"/>
      <c r="OX269" s="72"/>
      <c r="OY269" s="2501"/>
      <c r="OZ269" s="2504">
        <v>265</v>
      </c>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c r="RZ269" s="72"/>
      <c r="SA269" s="72"/>
      <c r="SB269" s="72"/>
      <c r="SC269" s="72"/>
      <c r="SD269" s="72"/>
      <c r="SE269" s="72"/>
      <c r="SF269" s="72"/>
      <c r="SG269" s="72"/>
      <c r="SH269" s="72"/>
      <c r="SI269" s="72"/>
      <c r="SJ269" s="72"/>
      <c r="SK269" s="72"/>
      <c r="SL269" s="72"/>
      <c r="SM269" s="72"/>
      <c r="SN269" s="72"/>
      <c r="SO269" s="72"/>
      <c r="SP269" s="72"/>
      <c r="SQ269" s="72"/>
      <c r="SR269" s="72"/>
      <c r="SS269" s="72"/>
      <c r="ST269" s="72"/>
      <c r="SU269" s="72"/>
      <c r="SV269" s="72"/>
      <c r="SW269" s="72"/>
      <c r="SX269" s="72"/>
      <c r="SY269" s="72"/>
      <c r="SZ269" s="72"/>
      <c r="TA269" s="72"/>
      <c r="TB269" s="72"/>
      <c r="TC269" s="72"/>
      <c r="TD269" s="72"/>
      <c r="TE269" s="72"/>
      <c r="TF269" s="72"/>
      <c r="TG269" s="72"/>
      <c r="TH269" s="72"/>
    </row>
    <row r="270" spans="1:528" s="69" customFormat="1" ht="6" customHeight="1">
      <c r="A270" s="1"/>
      <c r="B270" s="4"/>
      <c r="C270" s="8"/>
      <c r="D270" s="1"/>
      <c r="E270" s="1"/>
      <c r="F270" s="9"/>
      <c r="G270" s="9"/>
      <c r="H270" s="1"/>
      <c r="I270" s="1"/>
      <c r="J270" s="1"/>
      <c r="K270" s="9"/>
      <c r="L270" s="1"/>
      <c r="M270" s="1"/>
      <c r="N270" s="1"/>
      <c r="X270" s="356"/>
      <c r="Y270" s="358"/>
      <c r="Z270" s="358"/>
      <c r="AA270" s="358"/>
      <c r="AB270" s="358"/>
      <c r="AC270" s="356"/>
      <c r="AD270" s="358"/>
      <c r="AE270" s="358"/>
      <c r="AF270" s="358"/>
      <c r="AG270" s="358"/>
      <c r="AH270" s="356"/>
      <c r="AI270" s="358"/>
      <c r="AJ270" s="358"/>
      <c r="AK270" s="358"/>
      <c r="AL270" s="358"/>
      <c r="AM270" s="356"/>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358"/>
      <c r="JX270" s="358"/>
      <c r="JY270" s="358"/>
      <c r="JZ270" s="358"/>
      <c r="KA270" s="358"/>
      <c r="KB270" s="358"/>
      <c r="KC270" s="358"/>
      <c r="KD270" s="358"/>
      <c r="KE270" s="358"/>
      <c r="KF270" s="358"/>
      <c r="KG270" s="358"/>
      <c r="KH270" s="358"/>
      <c r="KI270" s="358"/>
      <c r="KJ270" s="358"/>
      <c r="KK270" s="358"/>
      <c r="KL270" s="358"/>
      <c r="KM270" s="358"/>
      <c r="KN270" s="358"/>
      <c r="KO270" s="358"/>
      <c r="KP270" s="358"/>
      <c r="KQ270" s="358"/>
      <c r="KR270" s="358"/>
      <c r="KS270" s="358"/>
      <c r="KT270" s="358"/>
      <c r="KU270" s="358"/>
      <c r="KV270" s="358"/>
      <c r="KW270" s="358"/>
      <c r="KX270" s="358"/>
      <c r="KY270" s="358"/>
      <c r="KZ270" s="358"/>
      <c r="LA270" s="358"/>
      <c r="LB270" s="358"/>
      <c r="LC270" s="358"/>
      <c r="LD270" s="358"/>
      <c r="LE270" s="358"/>
      <c r="LF270" s="1784"/>
      <c r="LG270" s="358"/>
      <c r="LH270" s="358"/>
      <c r="LI270" s="358"/>
      <c r="LJ270" s="358"/>
      <c r="LK270" s="1784"/>
      <c r="LL270" s="358"/>
      <c r="LM270" s="358"/>
      <c r="LN270" s="358"/>
      <c r="LO270" s="358"/>
      <c r="LP270" s="1784"/>
      <c r="LQ270" s="358"/>
      <c r="LR270" s="358"/>
      <c r="LS270" s="358"/>
      <c r="LT270" s="358"/>
      <c r="LU270" s="1784"/>
      <c r="LV270" s="1784"/>
      <c r="LW270" s="1784"/>
      <c r="LX270" s="1784"/>
      <c r="LY270" s="1784"/>
      <c r="LZ270" s="1784"/>
      <c r="MA270" s="1784"/>
      <c r="MB270" s="1784"/>
      <c r="MC270" s="1784"/>
      <c r="MD270" s="1784"/>
      <c r="ME270" s="1784"/>
      <c r="MF270" s="1784"/>
      <c r="MG270" s="1784"/>
      <c r="MH270" s="1784"/>
      <c r="MI270" s="1784"/>
      <c r="MJ270" s="1784"/>
      <c r="MK270" s="1784"/>
      <c r="ML270" s="1784"/>
      <c r="MM270" s="1784"/>
      <c r="MN270" s="1784"/>
      <c r="MO270" s="1784"/>
      <c r="MP270" s="1784"/>
      <c r="MQ270" s="358"/>
      <c r="MR270" s="358"/>
      <c r="MS270" s="358"/>
      <c r="MT270" s="358"/>
      <c r="MU270" s="358"/>
      <c r="MV270" s="358"/>
      <c r="MW270" s="1639"/>
      <c r="MX270" s="358"/>
      <c r="MY270" s="358"/>
      <c r="MZ270" s="358"/>
      <c r="NA270" s="358"/>
      <c r="NB270" s="358"/>
      <c r="NC270" s="358"/>
      <c r="ND270" s="358"/>
      <c r="NE270" s="358"/>
      <c r="NF270" s="358"/>
      <c r="NG270" s="358"/>
      <c r="NH270" s="358"/>
      <c r="NI270" s="358"/>
      <c r="NJ270" s="358"/>
      <c r="NK270" s="358"/>
      <c r="NL270" s="358"/>
      <c r="NM270" s="1639"/>
      <c r="NN270" s="1639"/>
      <c r="NO270" s="358"/>
      <c r="NP270" s="358"/>
      <c r="NQ270" s="358"/>
      <c r="NR270" s="358"/>
      <c r="NS270" s="358"/>
      <c r="NT270" s="358"/>
      <c r="NU270" s="358"/>
      <c r="NV270" s="358"/>
      <c r="NW270" s="358"/>
      <c r="NX270" s="358"/>
      <c r="NY270" s="358"/>
      <c r="NZ270" s="358"/>
      <c r="OA270" s="358"/>
      <c r="OB270" s="358"/>
      <c r="OC270" s="358"/>
      <c r="OD270" s="358"/>
      <c r="OE270" s="358"/>
      <c r="OF270" s="358"/>
      <c r="OG270" s="358"/>
      <c r="OH270" s="358"/>
      <c r="OI270" s="358"/>
      <c r="OJ270" s="358"/>
      <c r="OK270" s="358"/>
      <c r="OL270" s="358"/>
      <c r="OM270" s="358"/>
      <c r="ON270" s="358"/>
      <c r="OO270" s="358"/>
      <c r="OP270" s="358"/>
      <c r="OQ270" s="358"/>
      <c r="OR270" s="358"/>
      <c r="OS270" s="358"/>
      <c r="OT270" s="358"/>
      <c r="OU270" s="358"/>
      <c r="OV270" s="72"/>
      <c r="OW270" s="72"/>
      <c r="OX270" s="72"/>
      <c r="OY270" s="2501"/>
      <c r="OZ270" s="2503">
        <v>266</v>
      </c>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c r="RZ270" s="72"/>
      <c r="SA270" s="72"/>
      <c r="SB270" s="72"/>
      <c r="SC270" s="72"/>
      <c r="SD270" s="72"/>
      <c r="SE270" s="72"/>
      <c r="SF270" s="72"/>
      <c r="SG270" s="72"/>
      <c r="SH270" s="72"/>
      <c r="SI270" s="72"/>
      <c r="SJ270" s="72"/>
      <c r="SK270" s="72"/>
      <c r="SL270" s="72"/>
      <c r="SM270" s="72"/>
      <c r="SN270" s="72"/>
      <c r="SO270" s="72"/>
      <c r="SP270" s="72"/>
      <c r="SQ270" s="72"/>
      <c r="SR270" s="72"/>
      <c r="SS270" s="72"/>
      <c r="ST270" s="72"/>
      <c r="SU270" s="72"/>
      <c r="SV270" s="72"/>
      <c r="SW270" s="72"/>
      <c r="SX270" s="72"/>
      <c r="SY270" s="72"/>
      <c r="SZ270" s="72"/>
      <c r="TA270" s="72"/>
      <c r="TB270" s="72"/>
      <c r="TC270" s="72"/>
      <c r="TD270" s="72"/>
      <c r="TE270" s="72"/>
      <c r="TF270" s="72"/>
      <c r="TG270" s="72"/>
      <c r="TH270" s="72"/>
    </row>
    <row r="271" spans="1:528" s="69" customFormat="1" ht="15.6" customHeight="1">
      <c r="A271" s="1"/>
      <c r="B271" s="4"/>
      <c r="C271" s="8"/>
      <c r="D271" s="1"/>
      <c r="E271" s="1"/>
      <c r="F271" s="9"/>
      <c r="G271" s="9"/>
      <c r="H271" s="1"/>
      <c r="I271" s="1"/>
      <c r="J271" s="1"/>
      <c r="K271" s="9"/>
      <c r="L271" s="1"/>
      <c r="M271" s="1"/>
      <c r="N271" s="1"/>
      <c r="R271" s="657"/>
      <c r="X271" s="356"/>
      <c r="Y271" s="358"/>
      <c r="Z271" s="358"/>
      <c r="AA271" s="358"/>
      <c r="AB271" s="358"/>
      <c r="AC271" s="356"/>
      <c r="AD271" s="358"/>
      <c r="AE271" s="358"/>
      <c r="AF271" s="358"/>
      <c r="AG271" s="358"/>
      <c r="AH271" s="356"/>
      <c r="AI271" s="358"/>
      <c r="AJ271" s="358"/>
      <c r="AK271" s="358"/>
      <c r="AL271" s="358"/>
      <c r="AM271" s="356"/>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358"/>
      <c r="JX271" s="358"/>
      <c r="JY271" s="358"/>
      <c r="JZ271" s="358"/>
      <c r="KA271" s="358"/>
      <c r="KB271" s="358"/>
      <c r="KC271" s="358"/>
      <c r="KD271" s="358"/>
      <c r="KE271" s="358"/>
      <c r="KF271" s="358"/>
      <c r="KG271" s="358"/>
      <c r="KH271" s="358"/>
      <c r="KI271" s="358"/>
      <c r="KJ271" s="358"/>
      <c r="KK271" s="358"/>
      <c r="KL271" s="358"/>
      <c r="KM271" s="358"/>
      <c r="KN271" s="358"/>
      <c r="KO271" s="358"/>
      <c r="KP271" s="358"/>
      <c r="KQ271" s="358"/>
      <c r="KR271" s="358"/>
      <c r="KS271" s="358"/>
      <c r="KT271" s="358"/>
      <c r="KU271" s="358"/>
      <c r="KV271" s="358"/>
      <c r="KW271" s="358"/>
      <c r="KX271" s="358"/>
      <c r="KY271" s="358"/>
      <c r="KZ271" s="358"/>
      <c r="LA271" s="358"/>
      <c r="LB271" s="358"/>
      <c r="LC271" s="358"/>
      <c r="LD271" s="358"/>
      <c r="LE271" s="358"/>
      <c r="LF271" s="1784"/>
      <c r="LG271" s="358"/>
      <c r="LH271" s="358"/>
      <c r="LI271" s="358"/>
      <c r="LJ271" s="358"/>
      <c r="LK271" s="1784"/>
      <c r="LL271" s="358"/>
      <c r="LM271" s="358"/>
      <c r="LN271" s="358"/>
      <c r="LO271" s="358"/>
      <c r="LP271" s="1784"/>
      <c r="LQ271" s="358"/>
      <c r="LR271" s="358"/>
      <c r="LS271" s="358"/>
      <c r="LT271" s="358"/>
      <c r="LU271" s="1784"/>
      <c r="LV271" s="1784"/>
      <c r="LW271" s="1784"/>
      <c r="LX271" s="1784"/>
      <c r="LY271" s="1784"/>
      <c r="LZ271" s="1784"/>
      <c r="MA271" s="1784"/>
      <c r="MB271" s="1784"/>
      <c r="MC271" s="1784"/>
      <c r="MD271" s="1784"/>
      <c r="ME271" s="1784"/>
      <c r="MF271" s="1784"/>
      <c r="MG271" s="1784"/>
      <c r="MH271" s="1784"/>
      <c r="MI271" s="1784"/>
      <c r="MJ271" s="1784"/>
      <c r="MK271" s="1784"/>
      <c r="ML271" s="1784"/>
      <c r="MM271" s="1784"/>
      <c r="MN271" s="1784"/>
      <c r="MO271" s="1784"/>
      <c r="MP271" s="1784"/>
      <c r="MQ271" s="358"/>
      <c r="MR271" s="358"/>
      <c r="MS271" s="358"/>
      <c r="MT271" s="358"/>
      <c r="MU271" s="358"/>
      <c r="MV271" s="358"/>
      <c r="MW271" s="1639"/>
      <c r="MX271" s="358"/>
      <c r="MY271" s="358"/>
      <c r="MZ271" s="358"/>
      <c r="NA271" s="358"/>
      <c r="NB271" s="358"/>
      <c r="NC271" s="358"/>
      <c r="ND271" s="358"/>
      <c r="NE271" s="358"/>
      <c r="NF271" s="358"/>
      <c r="NG271" s="358"/>
      <c r="NH271" s="358"/>
      <c r="NI271" s="358"/>
      <c r="NJ271" s="358"/>
      <c r="NK271" s="358"/>
      <c r="NL271" s="358"/>
      <c r="NM271" s="1639"/>
      <c r="NN271" s="1639"/>
      <c r="NO271" s="358"/>
      <c r="NP271" s="358"/>
      <c r="NQ271" s="358"/>
      <c r="NR271" s="358"/>
      <c r="NS271" s="358"/>
      <c r="NT271" s="358"/>
      <c r="NU271" s="358"/>
      <c r="NV271" s="358"/>
      <c r="NW271" s="358"/>
      <c r="NX271" s="358"/>
      <c r="NY271" s="358"/>
      <c r="NZ271" s="358"/>
      <c r="OA271" s="358"/>
      <c r="OB271" s="358"/>
      <c r="OC271" s="358"/>
      <c r="OD271" s="358"/>
      <c r="OE271" s="358"/>
      <c r="OF271" s="358"/>
      <c r="OG271" s="358"/>
      <c r="OH271" s="358"/>
      <c r="OI271" s="358"/>
      <c r="OJ271" s="358"/>
      <c r="OK271" s="358"/>
      <c r="OL271" s="358"/>
      <c r="OM271" s="358"/>
      <c r="ON271" s="358"/>
      <c r="OO271" s="358"/>
      <c r="OP271" s="358"/>
      <c r="OQ271" s="358"/>
      <c r="OR271" s="358"/>
      <c r="OS271" s="358"/>
      <c r="OT271" s="358"/>
      <c r="OU271" s="358"/>
      <c r="OV271" s="72"/>
      <c r="OW271" s="72"/>
      <c r="OX271" s="72"/>
      <c r="OY271" s="2501"/>
      <c r="OZ271" s="2504">
        <v>267</v>
      </c>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c r="RZ271" s="72"/>
      <c r="SA271" s="72"/>
      <c r="SB271" s="72"/>
      <c r="SC271" s="72"/>
      <c r="SD271" s="72"/>
      <c r="SE271" s="72"/>
      <c r="SF271" s="72"/>
      <c r="SG271" s="72"/>
      <c r="SH271" s="72"/>
      <c r="SI271" s="72"/>
      <c r="SJ271" s="72"/>
      <c r="SK271" s="72"/>
      <c r="SL271" s="72"/>
      <c r="SM271" s="72"/>
      <c r="SN271" s="72"/>
      <c r="SO271" s="72"/>
      <c r="SP271" s="72"/>
      <c r="SQ271" s="72"/>
      <c r="SR271" s="72"/>
      <c r="SS271" s="72"/>
      <c r="ST271" s="72"/>
      <c r="SU271" s="72"/>
      <c r="SV271" s="72"/>
      <c r="SW271" s="72"/>
      <c r="SX271" s="72"/>
      <c r="SY271" s="72"/>
      <c r="SZ271" s="72"/>
      <c r="TA271" s="72"/>
      <c r="TB271" s="72"/>
      <c r="TC271" s="72"/>
      <c r="TD271" s="72"/>
      <c r="TE271" s="72"/>
      <c r="TF271" s="72"/>
      <c r="TG271" s="72"/>
      <c r="TH271" s="72"/>
    </row>
    <row r="272" spans="1:528" s="69" customFormat="1" ht="15" customHeight="1">
      <c r="A272" s="1"/>
      <c r="B272" s="4"/>
      <c r="C272" s="8"/>
      <c r="D272" s="1"/>
      <c r="E272" s="1"/>
      <c r="F272" s="9"/>
      <c r="G272" s="9"/>
      <c r="H272" s="1"/>
      <c r="I272" s="1"/>
      <c r="J272" s="1"/>
      <c r="K272" s="9"/>
      <c r="L272" s="1"/>
      <c r="M272" s="1"/>
      <c r="N272" s="1"/>
      <c r="O272" s="4"/>
      <c r="P272" s="1"/>
      <c r="Q272" s="657"/>
      <c r="R272" s="657"/>
      <c r="X272" s="356"/>
      <c r="Y272" s="358"/>
      <c r="Z272" s="358"/>
      <c r="AA272" s="358"/>
      <c r="AB272" s="358"/>
      <c r="AC272" s="356"/>
      <c r="AD272" s="358"/>
      <c r="AE272" s="358"/>
      <c r="AF272" s="358"/>
      <c r="AG272" s="358"/>
      <c r="AH272" s="356"/>
      <c r="AI272" s="358"/>
      <c r="AJ272" s="358"/>
      <c r="AK272" s="358"/>
      <c r="AL272" s="358"/>
      <c r="AM272" s="356"/>
      <c r="AN272" s="358"/>
      <c r="AO272" s="358"/>
      <c r="AP272" s="358"/>
      <c r="AQ272" s="358"/>
      <c r="AR272" s="358"/>
      <c r="AS272" s="358"/>
      <c r="AT272" s="358"/>
      <c r="AU272" s="358"/>
      <c r="AV272" s="358"/>
      <c r="AW272" s="358"/>
      <c r="AX272" s="358"/>
      <c r="AY272" s="358"/>
      <c r="AZ272" s="358"/>
      <c r="BA272" s="358"/>
      <c r="BB272" s="358"/>
      <c r="BC272" s="358"/>
      <c r="BD272" s="358"/>
      <c r="BE272" s="358"/>
      <c r="BF272" s="358"/>
      <c r="BG272" s="358"/>
      <c r="BH272" s="358"/>
      <c r="BI272" s="358"/>
      <c r="BJ272" s="358"/>
      <c r="BK272" s="358"/>
      <c r="BL272" s="358"/>
      <c r="BM272" s="358"/>
      <c r="BN272" s="358"/>
      <c r="BO272" s="358"/>
      <c r="BP272" s="358"/>
      <c r="BQ272" s="358"/>
      <c r="BR272" s="358"/>
      <c r="BS272" s="358"/>
      <c r="BT272" s="358"/>
      <c r="BU272" s="358"/>
      <c r="BV272" s="358"/>
      <c r="BW272" s="358"/>
      <c r="BX272" s="358"/>
      <c r="BY272" s="358"/>
      <c r="BZ272" s="358"/>
      <c r="CA272" s="358"/>
      <c r="CB272" s="358"/>
      <c r="CC272" s="358"/>
      <c r="CD272" s="358"/>
      <c r="CE272" s="358"/>
      <c r="CF272" s="358"/>
      <c r="CG272" s="358"/>
      <c r="CH272" s="358"/>
      <c r="CI272" s="358"/>
      <c r="CJ272" s="358"/>
      <c r="CK272" s="358"/>
      <c r="CL272" s="358"/>
      <c r="CM272" s="358"/>
      <c r="CN272" s="358"/>
      <c r="CO272" s="358"/>
      <c r="CP272" s="358"/>
      <c r="CQ272" s="358"/>
      <c r="CR272" s="358"/>
      <c r="CS272" s="358"/>
      <c r="CT272" s="358"/>
      <c r="CU272" s="358"/>
      <c r="CV272" s="358"/>
      <c r="CW272" s="358"/>
      <c r="CX272" s="358"/>
      <c r="CY272" s="358"/>
      <c r="CZ272" s="358"/>
      <c r="DA272" s="358"/>
      <c r="DB272" s="358"/>
      <c r="DC272" s="358"/>
      <c r="DD272" s="358"/>
      <c r="DE272" s="358"/>
      <c r="DF272" s="358"/>
      <c r="DG272" s="358"/>
      <c r="DH272" s="358"/>
      <c r="DI272" s="358"/>
      <c r="DJ272" s="358"/>
      <c r="DK272" s="358"/>
      <c r="DL272" s="358"/>
      <c r="DM272" s="358"/>
      <c r="DN272" s="358"/>
      <c r="DO272" s="358"/>
      <c r="DP272" s="358"/>
      <c r="DQ272" s="358"/>
      <c r="DR272" s="358"/>
      <c r="DS272" s="358"/>
      <c r="DT272" s="358"/>
      <c r="DU272" s="358"/>
      <c r="DV272" s="358"/>
      <c r="DW272" s="358"/>
      <c r="DX272" s="358"/>
      <c r="DY272" s="358"/>
      <c r="DZ272" s="358"/>
      <c r="EA272" s="358"/>
      <c r="EB272" s="358"/>
      <c r="EC272" s="358"/>
      <c r="ED272" s="358"/>
      <c r="EE272" s="358"/>
      <c r="EF272" s="358"/>
      <c r="EG272" s="358"/>
      <c r="EH272" s="358"/>
      <c r="EI272" s="358"/>
      <c r="EJ272" s="358"/>
      <c r="EK272" s="358"/>
      <c r="EL272" s="358"/>
      <c r="EM272" s="358"/>
      <c r="EN272" s="358"/>
      <c r="EO272" s="358"/>
      <c r="EP272" s="358"/>
      <c r="EQ272" s="358"/>
      <c r="ER272" s="358"/>
      <c r="ES272" s="358"/>
      <c r="ET272" s="358"/>
      <c r="EU272" s="358"/>
      <c r="EV272" s="358"/>
      <c r="EW272" s="358"/>
      <c r="EX272" s="358"/>
      <c r="EY272" s="358"/>
      <c r="EZ272" s="358"/>
      <c r="FA272" s="358"/>
      <c r="FB272" s="358"/>
      <c r="FC272" s="358"/>
      <c r="FD272" s="358"/>
      <c r="FE272" s="358"/>
      <c r="FF272" s="358"/>
      <c r="FG272" s="358"/>
      <c r="FH272" s="358"/>
      <c r="FI272" s="358"/>
      <c r="FJ272" s="358"/>
      <c r="FK272" s="358"/>
      <c r="FL272" s="358"/>
      <c r="FM272" s="358"/>
      <c r="FN272" s="358"/>
      <c r="FO272" s="358"/>
      <c r="FP272" s="358"/>
      <c r="FQ272" s="358"/>
      <c r="FR272" s="358"/>
      <c r="FS272" s="358"/>
      <c r="FT272" s="358"/>
      <c r="FU272" s="358"/>
      <c r="FV272" s="358"/>
      <c r="FW272" s="358"/>
      <c r="FX272" s="358"/>
      <c r="FY272" s="358"/>
      <c r="FZ272" s="358"/>
      <c r="GA272" s="358"/>
      <c r="GB272" s="358"/>
      <c r="GC272" s="358"/>
      <c r="GD272" s="358"/>
      <c r="GE272" s="358"/>
      <c r="GF272" s="358"/>
      <c r="GG272" s="358"/>
      <c r="GH272" s="358"/>
      <c r="GI272" s="358"/>
      <c r="GJ272" s="358"/>
      <c r="GK272" s="358"/>
      <c r="GL272" s="358"/>
      <c r="GM272" s="358"/>
      <c r="GN272" s="358"/>
      <c r="GO272" s="358"/>
      <c r="GP272" s="358"/>
      <c r="GQ272" s="358"/>
      <c r="GR272" s="358"/>
      <c r="GS272" s="358"/>
      <c r="GT272" s="358"/>
      <c r="GU272" s="358"/>
      <c r="GV272" s="358"/>
      <c r="GW272" s="358"/>
      <c r="GX272" s="358"/>
      <c r="GY272" s="358"/>
      <c r="GZ272" s="358"/>
      <c r="HA272" s="358"/>
      <c r="HB272" s="358"/>
      <c r="HC272" s="358"/>
      <c r="HD272" s="358"/>
      <c r="HE272" s="358"/>
      <c r="HF272" s="358"/>
      <c r="HG272" s="358"/>
      <c r="HH272" s="358"/>
      <c r="HI272" s="358"/>
      <c r="HJ272" s="358"/>
      <c r="HK272" s="358"/>
      <c r="HL272" s="358"/>
      <c r="HM272" s="358"/>
      <c r="HN272" s="358"/>
      <c r="HO272" s="358"/>
      <c r="HP272" s="358"/>
      <c r="HQ272" s="358"/>
      <c r="HR272" s="358"/>
      <c r="HS272" s="358"/>
      <c r="HT272" s="358"/>
      <c r="HU272" s="358"/>
      <c r="HV272" s="358"/>
      <c r="HW272" s="358"/>
      <c r="HX272" s="358"/>
      <c r="HY272" s="358"/>
      <c r="HZ272" s="358"/>
      <c r="IA272" s="358"/>
      <c r="IB272" s="358"/>
      <c r="IC272" s="358"/>
      <c r="ID272" s="358"/>
      <c r="IE272" s="358"/>
      <c r="IF272" s="358"/>
      <c r="IG272" s="358"/>
      <c r="IH272" s="358"/>
      <c r="II272" s="358"/>
      <c r="IJ272" s="358"/>
      <c r="IK272" s="358"/>
      <c r="IL272" s="358"/>
      <c r="IM272" s="358"/>
      <c r="IN272" s="358"/>
      <c r="IO272" s="358"/>
      <c r="IP272" s="358"/>
      <c r="IQ272" s="358"/>
      <c r="IR272" s="358"/>
      <c r="IS272" s="358"/>
      <c r="IT272" s="358"/>
      <c r="IU272" s="358"/>
      <c r="IV272" s="358"/>
      <c r="IW272" s="358"/>
      <c r="IX272" s="358"/>
      <c r="IY272" s="358"/>
      <c r="IZ272" s="358"/>
      <c r="JA272" s="358"/>
      <c r="JB272" s="358"/>
      <c r="JC272" s="358"/>
      <c r="JD272" s="358"/>
      <c r="JE272" s="358"/>
      <c r="JF272" s="358"/>
      <c r="JG272" s="358"/>
      <c r="JH272" s="358"/>
      <c r="JI272" s="358"/>
      <c r="JJ272" s="358"/>
      <c r="JK272" s="358"/>
      <c r="JL272" s="358"/>
      <c r="JM272" s="358"/>
      <c r="JN272" s="358"/>
      <c r="JO272" s="358"/>
      <c r="JP272" s="358"/>
      <c r="JQ272" s="358"/>
      <c r="JR272" s="358"/>
      <c r="JS272" s="358"/>
      <c r="JT272" s="358"/>
      <c r="JU272" s="358"/>
      <c r="JV272" s="358"/>
      <c r="JW272" s="358"/>
      <c r="JX272" s="358"/>
      <c r="JY272" s="358"/>
      <c r="JZ272" s="358"/>
      <c r="KA272" s="358"/>
      <c r="KB272" s="358"/>
      <c r="KC272" s="358"/>
      <c r="KD272" s="358"/>
      <c r="KE272" s="358"/>
      <c r="KF272" s="358"/>
      <c r="KG272" s="358"/>
      <c r="KH272" s="358"/>
      <c r="KI272" s="358"/>
      <c r="KJ272" s="358"/>
      <c r="KK272" s="358"/>
      <c r="KL272" s="358"/>
      <c r="KM272" s="358"/>
      <c r="KN272" s="358"/>
      <c r="KO272" s="358"/>
      <c r="KP272" s="358"/>
      <c r="KQ272" s="358"/>
      <c r="KR272" s="358"/>
      <c r="KS272" s="358"/>
      <c r="KT272" s="358"/>
      <c r="KU272" s="358"/>
      <c r="KV272" s="358"/>
      <c r="KW272" s="358"/>
      <c r="KX272" s="358"/>
      <c r="KY272" s="358"/>
      <c r="KZ272" s="358"/>
      <c r="LA272" s="358"/>
      <c r="LB272" s="358"/>
      <c r="LC272" s="358"/>
      <c r="LD272" s="358"/>
      <c r="LE272" s="358"/>
      <c r="LF272" s="1784"/>
      <c r="LG272" s="358"/>
      <c r="LH272" s="358"/>
      <c r="LI272" s="358"/>
      <c r="LJ272" s="358"/>
      <c r="LK272" s="1784"/>
      <c r="LL272" s="358"/>
      <c r="LM272" s="358"/>
      <c r="LN272" s="358"/>
      <c r="LO272" s="358"/>
      <c r="LP272" s="1784"/>
      <c r="LQ272" s="358"/>
      <c r="LR272" s="358"/>
      <c r="LS272" s="358"/>
      <c r="LT272" s="358"/>
      <c r="LU272" s="1784"/>
      <c r="LV272" s="1784"/>
      <c r="LW272" s="1784"/>
      <c r="LX272" s="1784"/>
      <c r="LY272" s="1784"/>
      <c r="LZ272" s="1784"/>
      <c r="MA272" s="1784"/>
      <c r="MB272" s="1784"/>
      <c r="MC272" s="1784"/>
      <c r="MD272" s="1784"/>
      <c r="ME272" s="1784"/>
      <c r="MF272" s="1784"/>
      <c r="MG272" s="1784"/>
      <c r="MH272" s="1784"/>
      <c r="MI272" s="1784"/>
      <c r="MJ272" s="1784"/>
      <c r="MK272" s="1784"/>
      <c r="ML272" s="1784"/>
      <c r="MM272" s="1784"/>
      <c r="MN272" s="1784"/>
      <c r="MO272" s="1784"/>
      <c r="MP272" s="1784"/>
      <c r="MQ272" s="358"/>
      <c r="MR272" s="358"/>
      <c r="MS272" s="358"/>
      <c r="MT272" s="358"/>
      <c r="MU272" s="358"/>
      <c r="MV272" s="358"/>
      <c r="MW272" s="1639"/>
      <c r="MX272" s="358"/>
      <c r="MY272" s="358"/>
      <c r="MZ272" s="358"/>
      <c r="NA272" s="358"/>
      <c r="NB272" s="358"/>
      <c r="NC272" s="358"/>
      <c r="ND272" s="358"/>
      <c r="NE272" s="358"/>
      <c r="NF272" s="358"/>
      <c r="NG272" s="358"/>
      <c r="NH272" s="358"/>
      <c r="NI272" s="358"/>
      <c r="NJ272" s="358"/>
      <c r="NK272" s="358"/>
      <c r="NL272" s="358"/>
      <c r="NM272" s="1639"/>
      <c r="NN272" s="1639"/>
      <c r="NO272" s="358"/>
      <c r="NP272" s="358"/>
      <c r="NQ272" s="358"/>
      <c r="NR272" s="358"/>
      <c r="NS272" s="358"/>
      <c r="NT272" s="358"/>
      <c r="NU272" s="358"/>
      <c r="NV272" s="358"/>
      <c r="NW272" s="358"/>
      <c r="NX272" s="358"/>
      <c r="NY272" s="358"/>
      <c r="NZ272" s="358"/>
      <c r="OA272" s="358"/>
      <c r="OB272" s="358"/>
      <c r="OC272" s="358"/>
      <c r="OD272" s="358"/>
      <c r="OE272" s="358"/>
      <c r="OF272" s="358"/>
      <c r="OG272" s="358"/>
      <c r="OH272" s="358"/>
      <c r="OI272" s="358"/>
      <c r="OJ272" s="358"/>
      <c r="OK272" s="358"/>
      <c r="OL272" s="358"/>
      <c r="OM272" s="358"/>
      <c r="ON272" s="358"/>
      <c r="OO272" s="358"/>
      <c r="OP272" s="358"/>
      <c r="OQ272" s="358"/>
      <c r="OR272" s="358"/>
      <c r="OS272" s="358"/>
      <c r="OT272" s="358"/>
      <c r="OU272" s="358"/>
      <c r="OV272" s="72"/>
      <c r="OW272" s="72"/>
      <c r="OX272" s="72"/>
      <c r="OY272" s="2501"/>
      <c r="OZ272" s="2504">
        <v>268</v>
      </c>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c r="RZ272" s="72"/>
      <c r="SA272" s="72"/>
      <c r="SB272" s="72"/>
      <c r="SC272" s="72"/>
      <c r="SD272" s="72"/>
      <c r="SE272" s="72"/>
      <c r="SF272" s="72"/>
      <c r="SG272" s="72"/>
      <c r="SH272" s="72"/>
      <c r="SI272" s="72"/>
      <c r="SJ272" s="72"/>
      <c r="SK272" s="72"/>
      <c r="SL272" s="72"/>
      <c r="SM272" s="72"/>
      <c r="SN272" s="72"/>
      <c r="SO272" s="72"/>
      <c r="SP272" s="72"/>
      <c r="SQ272" s="72"/>
      <c r="SR272" s="72"/>
      <c r="SS272" s="72"/>
      <c r="ST272" s="72"/>
      <c r="SU272" s="72"/>
      <c r="SV272" s="72"/>
      <c r="SW272" s="72"/>
      <c r="SX272" s="72"/>
      <c r="SY272" s="72"/>
      <c r="SZ272" s="72"/>
      <c r="TA272" s="72"/>
      <c r="TB272" s="72"/>
      <c r="TC272" s="72"/>
      <c r="TD272" s="72"/>
      <c r="TE272" s="72"/>
      <c r="TF272" s="72"/>
      <c r="TG272" s="72"/>
      <c r="TH272" s="72"/>
    </row>
    <row r="273" spans="1:528" s="69" customFormat="1" ht="15" customHeight="1">
      <c r="A273" s="10" t="s">
        <v>3284</v>
      </c>
      <c r="B273" s="4" t="s">
        <v>3747</v>
      </c>
      <c r="C273" s="8"/>
      <c r="D273" s="1"/>
      <c r="E273" s="1"/>
      <c r="H273" s="9"/>
      <c r="R273" s="657"/>
      <c r="S273" s="3585"/>
      <c r="T273" s="3586"/>
      <c r="U273" s="3586"/>
      <c r="V273" s="3586"/>
      <c r="W273" s="3587"/>
      <c r="X273" s="356"/>
      <c r="Y273" s="358"/>
      <c r="Z273" s="358"/>
      <c r="AA273" s="358"/>
      <c r="AB273" s="358"/>
      <c r="AC273" s="356"/>
      <c r="AD273" s="358"/>
      <c r="AE273" s="358"/>
      <c r="AF273" s="358"/>
      <c r="AG273" s="358"/>
      <c r="AH273" s="356"/>
      <c r="AI273" s="358"/>
      <c r="AJ273" s="358"/>
      <c r="AK273" s="358"/>
      <c r="AL273" s="358"/>
      <c r="AM273" s="356"/>
      <c r="AN273" s="358"/>
      <c r="AO273" s="358"/>
      <c r="AP273" s="358"/>
      <c r="AQ273" s="358"/>
      <c r="AR273" s="358"/>
      <c r="AS273" s="358"/>
      <c r="AT273" s="358"/>
      <c r="AU273" s="358"/>
      <c r="AV273" s="358"/>
      <c r="AW273" s="358"/>
      <c r="AX273" s="358"/>
      <c r="AY273" s="358"/>
      <c r="AZ273" s="358"/>
      <c r="BA273" s="358"/>
      <c r="BB273" s="358"/>
      <c r="BC273" s="358"/>
      <c r="BD273" s="358"/>
      <c r="BE273" s="358"/>
      <c r="BF273" s="358"/>
      <c r="BG273" s="358"/>
      <c r="BH273" s="358"/>
      <c r="BI273" s="358"/>
      <c r="BJ273" s="358"/>
      <c r="BK273" s="358"/>
      <c r="BL273" s="358"/>
      <c r="BM273" s="358"/>
      <c r="BN273" s="358"/>
      <c r="BO273" s="358"/>
      <c r="BP273" s="358"/>
      <c r="BQ273" s="358"/>
      <c r="BR273" s="358"/>
      <c r="BS273" s="358"/>
      <c r="BT273" s="358"/>
      <c r="BU273" s="358"/>
      <c r="BV273" s="358"/>
      <c r="BW273" s="358"/>
      <c r="BX273" s="358"/>
      <c r="BY273" s="358"/>
      <c r="BZ273" s="358"/>
      <c r="CA273" s="358"/>
      <c r="CB273" s="358"/>
      <c r="CC273" s="358"/>
      <c r="CD273" s="358"/>
      <c r="CE273" s="358"/>
      <c r="CF273" s="358"/>
      <c r="CG273" s="358"/>
      <c r="CH273" s="358"/>
      <c r="CI273" s="358"/>
      <c r="CJ273" s="358"/>
      <c r="CK273" s="358"/>
      <c r="CL273" s="358"/>
      <c r="CM273" s="358"/>
      <c r="CN273" s="358"/>
      <c r="CO273" s="358"/>
      <c r="CP273" s="358"/>
      <c r="CQ273" s="358"/>
      <c r="CR273" s="358"/>
      <c r="CS273" s="358"/>
      <c r="CT273" s="358"/>
      <c r="CU273" s="358"/>
      <c r="CV273" s="358"/>
      <c r="CW273" s="358"/>
      <c r="CX273" s="358"/>
      <c r="CY273" s="358"/>
      <c r="CZ273" s="358"/>
      <c r="DA273" s="358"/>
      <c r="DB273" s="358"/>
      <c r="DC273" s="358"/>
      <c r="DD273" s="358"/>
      <c r="DE273" s="358"/>
      <c r="DF273" s="358"/>
      <c r="DG273" s="358"/>
      <c r="DH273" s="358"/>
      <c r="DI273" s="358"/>
      <c r="DJ273" s="358"/>
      <c r="DK273" s="358"/>
      <c r="DL273" s="358"/>
      <c r="DM273" s="358"/>
      <c r="DN273" s="358"/>
      <c r="DO273" s="358"/>
      <c r="DP273" s="358"/>
      <c r="DQ273" s="358"/>
      <c r="DR273" s="358"/>
      <c r="DS273" s="358"/>
      <c r="DT273" s="358"/>
      <c r="DU273" s="358"/>
      <c r="DV273" s="358"/>
      <c r="DW273" s="358"/>
      <c r="DX273" s="358"/>
      <c r="DY273" s="358"/>
      <c r="DZ273" s="358"/>
      <c r="EA273" s="358"/>
      <c r="EB273" s="358"/>
      <c r="EC273" s="358"/>
      <c r="ED273" s="358"/>
      <c r="EE273" s="358"/>
      <c r="EF273" s="358"/>
      <c r="EG273" s="358"/>
      <c r="EH273" s="358"/>
      <c r="EI273" s="358"/>
      <c r="EJ273" s="358"/>
      <c r="EK273" s="358"/>
      <c r="EL273" s="358"/>
      <c r="EM273" s="358"/>
      <c r="EN273" s="358"/>
      <c r="EO273" s="358"/>
      <c r="EP273" s="358"/>
      <c r="EQ273" s="358"/>
      <c r="ER273" s="358"/>
      <c r="ES273" s="358"/>
      <c r="ET273" s="358"/>
      <c r="EU273" s="358"/>
      <c r="EV273" s="358"/>
      <c r="EW273" s="358"/>
      <c r="EX273" s="358"/>
      <c r="EY273" s="358"/>
      <c r="EZ273" s="358"/>
      <c r="FA273" s="358"/>
      <c r="FB273" s="358"/>
      <c r="FC273" s="358"/>
      <c r="FD273" s="358"/>
      <c r="FE273" s="358"/>
      <c r="FF273" s="358"/>
      <c r="FG273" s="358"/>
      <c r="FH273" s="358"/>
      <c r="FI273" s="358"/>
      <c r="FJ273" s="358"/>
      <c r="FK273" s="358"/>
      <c r="FL273" s="358"/>
      <c r="FM273" s="358"/>
      <c r="FN273" s="358"/>
      <c r="FO273" s="358"/>
      <c r="FP273" s="358"/>
      <c r="FQ273" s="358"/>
      <c r="FR273" s="358"/>
      <c r="FS273" s="358"/>
      <c r="FT273" s="358"/>
      <c r="FU273" s="358"/>
      <c r="FV273" s="358"/>
      <c r="FW273" s="358"/>
      <c r="FX273" s="358"/>
      <c r="FY273" s="358"/>
      <c r="FZ273" s="358"/>
      <c r="GA273" s="358"/>
      <c r="GB273" s="358"/>
      <c r="GC273" s="358"/>
      <c r="GD273" s="358"/>
      <c r="GE273" s="358"/>
      <c r="GF273" s="358"/>
      <c r="GG273" s="358"/>
      <c r="GH273" s="358"/>
      <c r="GI273" s="358"/>
      <c r="GJ273" s="358"/>
      <c r="GK273" s="358"/>
      <c r="GL273" s="358"/>
      <c r="GM273" s="358"/>
      <c r="GN273" s="358"/>
      <c r="GO273" s="358"/>
      <c r="GP273" s="358"/>
      <c r="GQ273" s="358"/>
      <c r="GR273" s="358"/>
      <c r="GS273" s="358"/>
      <c r="GT273" s="358"/>
      <c r="GU273" s="358"/>
      <c r="GV273" s="358"/>
      <c r="GW273" s="358"/>
      <c r="GX273" s="358"/>
      <c r="GY273" s="358"/>
      <c r="GZ273" s="358"/>
      <c r="HA273" s="358"/>
      <c r="HB273" s="358"/>
      <c r="HC273" s="358"/>
      <c r="HD273" s="358"/>
      <c r="HE273" s="358"/>
      <c r="HF273" s="358"/>
      <c r="HG273" s="358"/>
      <c r="HH273" s="358"/>
      <c r="HI273" s="358"/>
      <c r="HJ273" s="358"/>
      <c r="HK273" s="358"/>
      <c r="HL273" s="358"/>
      <c r="HM273" s="358"/>
      <c r="HN273" s="358"/>
      <c r="HO273" s="358"/>
      <c r="HP273" s="358"/>
      <c r="HQ273" s="358"/>
      <c r="HR273" s="358"/>
      <c r="HS273" s="358"/>
      <c r="HT273" s="358"/>
      <c r="HU273" s="358"/>
      <c r="HV273" s="358"/>
      <c r="HW273" s="358"/>
      <c r="HX273" s="358"/>
      <c r="HY273" s="358"/>
      <c r="HZ273" s="358"/>
      <c r="IA273" s="358"/>
      <c r="IB273" s="358"/>
      <c r="IC273" s="358"/>
      <c r="ID273" s="358"/>
      <c r="IE273" s="358"/>
      <c r="IF273" s="358"/>
      <c r="IG273" s="358"/>
      <c r="IH273" s="358"/>
      <c r="II273" s="358"/>
      <c r="IJ273" s="358"/>
      <c r="IK273" s="358"/>
      <c r="IL273" s="358"/>
      <c r="IM273" s="358"/>
      <c r="IN273" s="358"/>
      <c r="IO273" s="358"/>
      <c r="IP273" s="358"/>
      <c r="IQ273" s="358"/>
      <c r="IR273" s="358"/>
      <c r="IS273" s="358"/>
      <c r="IT273" s="358"/>
      <c r="IU273" s="358"/>
      <c r="IV273" s="358"/>
      <c r="IW273" s="358"/>
      <c r="IX273" s="358"/>
      <c r="IY273" s="358"/>
      <c r="IZ273" s="358"/>
      <c r="JA273" s="358"/>
      <c r="JB273" s="358"/>
      <c r="JC273" s="358"/>
      <c r="JD273" s="358"/>
      <c r="JE273" s="358"/>
      <c r="JF273" s="358"/>
      <c r="JG273" s="358"/>
      <c r="JH273" s="358"/>
      <c r="JI273" s="358"/>
      <c r="JJ273" s="358"/>
      <c r="JK273" s="358"/>
      <c r="JL273" s="358"/>
      <c r="JM273" s="358"/>
      <c r="JN273" s="358"/>
      <c r="JO273" s="358"/>
      <c r="JP273" s="358"/>
      <c r="JQ273" s="358"/>
      <c r="JR273" s="358"/>
      <c r="JS273" s="358"/>
      <c r="JT273" s="358"/>
      <c r="JU273" s="358"/>
      <c r="JV273" s="358"/>
      <c r="JW273" s="358"/>
      <c r="JX273" s="358"/>
      <c r="JY273" s="358"/>
      <c r="JZ273" s="358"/>
      <c r="KA273" s="358"/>
      <c r="KB273" s="358"/>
      <c r="KC273" s="358"/>
      <c r="KD273" s="358"/>
      <c r="KE273" s="358"/>
      <c r="KF273" s="358"/>
      <c r="KG273" s="358"/>
      <c r="KH273" s="358"/>
      <c r="KI273" s="358"/>
      <c r="KJ273" s="358"/>
      <c r="KK273" s="358"/>
      <c r="KL273" s="358"/>
      <c r="KM273" s="358"/>
      <c r="KN273" s="358"/>
      <c r="KO273" s="358"/>
      <c r="KP273" s="358"/>
      <c r="KQ273" s="358"/>
      <c r="KR273" s="358"/>
      <c r="KS273" s="358"/>
      <c r="KT273" s="358"/>
      <c r="KU273" s="358"/>
      <c r="KV273" s="358"/>
      <c r="KW273" s="358"/>
      <c r="KX273" s="358"/>
      <c r="KY273" s="358"/>
      <c r="KZ273" s="358"/>
      <c r="LA273" s="358"/>
      <c r="LB273" s="358"/>
      <c r="LC273" s="358"/>
      <c r="LD273" s="358"/>
      <c r="LE273" s="358"/>
      <c r="LF273" s="1784"/>
      <c r="LG273" s="358"/>
      <c r="LH273" s="358"/>
      <c r="LI273" s="358"/>
      <c r="LJ273" s="358"/>
      <c r="LK273" s="1784"/>
      <c r="LL273" s="358"/>
      <c r="LM273" s="358"/>
      <c r="LN273" s="358"/>
      <c r="LO273" s="358"/>
      <c r="LP273" s="1784"/>
      <c r="LQ273" s="358"/>
      <c r="LR273" s="358"/>
      <c r="LS273" s="358"/>
      <c r="LT273" s="358"/>
      <c r="LU273" s="1784"/>
      <c r="LV273" s="1784"/>
      <c r="LW273" s="1784"/>
      <c r="LX273" s="1784"/>
      <c r="LY273" s="1784"/>
      <c r="LZ273" s="1784"/>
      <c r="MA273" s="1784"/>
      <c r="MB273" s="1784"/>
      <c r="MC273" s="1784"/>
      <c r="MD273" s="1784"/>
      <c r="ME273" s="1784"/>
      <c r="MF273" s="1784"/>
      <c r="MG273" s="1784"/>
      <c r="MH273" s="1784"/>
      <c r="MI273" s="1784"/>
      <c r="MJ273" s="1784"/>
      <c r="MK273" s="1784"/>
      <c r="ML273" s="1784"/>
      <c r="MM273" s="1784"/>
      <c r="MN273" s="1784"/>
      <c r="MO273" s="1784"/>
      <c r="MP273" s="1784"/>
      <c r="MQ273" s="358"/>
      <c r="MR273" s="358"/>
      <c r="MS273" s="358"/>
      <c r="MT273" s="358"/>
      <c r="MU273" s="358"/>
      <c r="MV273" s="358"/>
      <c r="MW273" s="1639"/>
      <c r="MX273" s="358"/>
      <c r="MY273" s="358"/>
      <c r="MZ273" s="358"/>
      <c r="NA273" s="358"/>
      <c r="NB273" s="358"/>
      <c r="NC273" s="358"/>
      <c r="ND273" s="358"/>
      <c r="NE273" s="358"/>
      <c r="NF273" s="358"/>
      <c r="NG273" s="358"/>
      <c r="NH273" s="358"/>
      <c r="NI273" s="358"/>
      <c r="NJ273" s="358"/>
      <c r="NK273" s="358"/>
      <c r="NL273" s="358"/>
      <c r="NM273" s="1639"/>
      <c r="NN273" s="1639"/>
      <c r="NO273" s="358"/>
      <c r="NP273" s="358"/>
      <c r="NQ273" s="358"/>
      <c r="NR273" s="358"/>
      <c r="NS273" s="358"/>
      <c r="NT273" s="358"/>
      <c r="NU273" s="358"/>
      <c r="NV273" s="358"/>
      <c r="NW273" s="358"/>
      <c r="NX273" s="358"/>
      <c r="NY273" s="358"/>
      <c r="NZ273" s="358"/>
      <c r="OA273" s="358"/>
      <c r="OB273" s="358"/>
      <c r="OC273" s="358"/>
      <c r="OD273" s="358"/>
      <c r="OE273" s="358"/>
      <c r="OF273" s="358"/>
      <c r="OG273" s="358"/>
      <c r="OH273" s="358"/>
      <c r="OI273" s="358"/>
      <c r="OJ273" s="358"/>
      <c r="OK273" s="358"/>
      <c r="OL273" s="358"/>
      <c r="OM273" s="358"/>
      <c r="ON273" s="358"/>
      <c r="OO273" s="358"/>
      <c r="OP273" s="358"/>
      <c r="OQ273" s="358"/>
      <c r="OR273" s="358"/>
      <c r="OS273" s="358"/>
      <c r="OT273" s="358"/>
      <c r="OU273" s="358"/>
      <c r="OV273" s="72"/>
      <c r="OW273" s="72"/>
      <c r="OX273" s="72"/>
      <c r="OY273" s="2501"/>
      <c r="OZ273" s="2503">
        <v>269</v>
      </c>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c r="RZ273" s="72"/>
      <c r="SA273" s="72"/>
      <c r="SB273" s="72"/>
      <c r="SC273" s="72"/>
      <c r="SD273" s="72"/>
      <c r="SE273" s="72"/>
      <c r="SF273" s="72"/>
      <c r="SG273" s="72"/>
      <c r="SH273" s="72"/>
      <c r="SI273" s="72"/>
      <c r="SJ273" s="72"/>
      <c r="SK273" s="72"/>
      <c r="SL273" s="72"/>
      <c r="SM273" s="72"/>
      <c r="SN273" s="72"/>
      <c r="SO273" s="72"/>
      <c r="SP273" s="72"/>
      <c r="SQ273" s="72"/>
      <c r="SR273" s="72"/>
      <c r="SS273" s="72"/>
      <c r="ST273" s="72"/>
      <c r="SU273" s="72"/>
      <c r="SV273" s="72"/>
      <c r="SW273" s="72"/>
      <c r="SX273" s="72"/>
      <c r="SY273" s="72"/>
      <c r="SZ273" s="72"/>
      <c r="TA273" s="72"/>
      <c r="TB273" s="72"/>
      <c r="TC273" s="72"/>
      <c r="TD273" s="72"/>
      <c r="TE273" s="72"/>
      <c r="TF273" s="72"/>
      <c r="TG273" s="72"/>
      <c r="TH273" s="72"/>
    </row>
    <row r="274" spans="1:528" s="69" customFormat="1" ht="12" customHeight="1" thickBot="1">
      <c r="A274" s="1"/>
      <c r="B274" s="4"/>
      <c r="C274" s="8"/>
      <c r="D274" s="1"/>
      <c r="E274" s="1"/>
      <c r="F274" s="9"/>
      <c r="G274" s="9"/>
      <c r="H274" s="1"/>
      <c r="I274" s="1"/>
      <c r="J274" s="1"/>
      <c r="K274" s="9"/>
      <c r="L274" s="1"/>
      <c r="M274" s="1"/>
      <c r="N274" s="1"/>
      <c r="O274" s="4"/>
      <c r="P274" s="1"/>
      <c r="Q274" s="657"/>
      <c r="R274" s="657"/>
      <c r="X274" s="356"/>
      <c r="Y274" s="358"/>
      <c r="Z274" s="358"/>
      <c r="AA274" s="358"/>
      <c r="AB274" s="358"/>
      <c r="AC274" s="356"/>
      <c r="AD274" s="358"/>
      <c r="AE274" s="358"/>
      <c r="AF274" s="358"/>
      <c r="AG274" s="358"/>
      <c r="AH274" s="356"/>
      <c r="AI274" s="358"/>
      <c r="AJ274" s="358"/>
      <c r="AK274" s="358"/>
      <c r="AL274" s="358"/>
      <c r="AM274" s="356"/>
      <c r="AN274" s="358"/>
      <c r="AO274" s="358"/>
      <c r="AP274" s="358"/>
      <c r="AQ274" s="358"/>
      <c r="AR274" s="358"/>
      <c r="AS274" s="358"/>
      <c r="AT274" s="358"/>
      <c r="AU274" s="358"/>
      <c r="AV274" s="358"/>
      <c r="AW274" s="358"/>
      <c r="AX274" s="358"/>
      <c r="AY274" s="358"/>
      <c r="AZ274" s="358"/>
      <c r="BA274" s="358"/>
      <c r="BB274" s="358"/>
      <c r="BC274" s="358"/>
      <c r="BD274" s="358"/>
      <c r="BE274" s="358"/>
      <c r="BF274" s="358"/>
      <c r="BG274" s="358"/>
      <c r="BH274" s="358"/>
      <c r="BI274" s="358"/>
      <c r="BJ274" s="358"/>
      <c r="BK274" s="358"/>
      <c r="BL274" s="358"/>
      <c r="BM274" s="358"/>
      <c r="BN274" s="358"/>
      <c r="BO274" s="358"/>
      <c r="BP274" s="358"/>
      <c r="BQ274" s="358"/>
      <c r="BR274" s="358"/>
      <c r="BS274" s="358"/>
      <c r="BT274" s="358"/>
      <c r="BU274" s="358"/>
      <c r="BV274" s="358"/>
      <c r="BW274" s="358"/>
      <c r="BX274" s="358"/>
      <c r="BY274" s="358"/>
      <c r="BZ274" s="358"/>
      <c r="CA274" s="358"/>
      <c r="CB274" s="358"/>
      <c r="CC274" s="358"/>
      <c r="CD274" s="358"/>
      <c r="CE274" s="358"/>
      <c r="CF274" s="358"/>
      <c r="CG274" s="358"/>
      <c r="CH274" s="358"/>
      <c r="CI274" s="358"/>
      <c r="CJ274" s="358"/>
      <c r="CK274" s="358"/>
      <c r="CL274" s="358"/>
      <c r="CM274" s="358"/>
      <c r="CN274" s="358"/>
      <c r="CO274" s="358"/>
      <c r="CP274" s="358"/>
      <c r="CQ274" s="358"/>
      <c r="CR274" s="358"/>
      <c r="CS274" s="358"/>
      <c r="CT274" s="358"/>
      <c r="CU274" s="358"/>
      <c r="CV274" s="358"/>
      <c r="CW274" s="358"/>
      <c r="CX274" s="358"/>
      <c r="CY274" s="358"/>
      <c r="CZ274" s="358"/>
      <c r="DA274" s="358"/>
      <c r="DB274" s="358"/>
      <c r="DC274" s="358"/>
      <c r="DD274" s="358"/>
      <c r="DE274" s="358"/>
      <c r="DF274" s="358"/>
      <c r="DG274" s="358"/>
      <c r="DH274" s="358"/>
      <c r="DI274" s="358"/>
      <c r="DJ274" s="358"/>
      <c r="DK274" s="358"/>
      <c r="DL274" s="358"/>
      <c r="DM274" s="358"/>
      <c r="DN274" s="358"/>
      <c r="DO274" s="358"/>
      <c r="DP274" s="358"/>
      <c r="DQ274" s="358"/>
      <c r="DR274" s="358"/>
      <c r="DS274" s="358"/>
      <c r="DT274" s="358"/>
      <c r="DU274" s="358"/>
      <c r="DV274" s="358"/>
      <c r="DW274" s="358"/>
      <c r="DX274" s="358"/>
      <c r="DY274" s="358"/>
      <c r="DZ274" s="358"/>
      <c r="EA274" s="358"/>
      <c r="EB274" s="358"/>
      <c r="EC274" s="358"/>
      <c r="ED274" s="358"/>
      <c r="EE274" s="358"/>
      <c r="EF274" s="358"/>
      <c r="EG274" s="358"/>
      <c r="EH274" s="358"/>
      <c r="EI274" s="358"/>
      <c r="EJ274" s="358"/>
      <c r="EK274" s="358"/>
      <c r="EL274" s="358"/>
      <c r="EM274" s="358"/>
      <c r="EN274" s="358"/>
      <c r="EO274" s="358"/>
      <c r="EP274" s="358"/>
      <c r="EQ274" s="358"/>
      <c r="ER274" s="358"/>
      <c r="ES274" s="358"/>
      <c r="ET274" s="358"/>
      <c r="EU274" s="358"/>
      <c r="EV274" s="358"/>
      <c r="EW274" s="358"/>
      <c r="EX274" s="358"/>
      <c r="EY274" s="358"/>
      <c r="EZ274" s="358"/>
      <c r="FA274" s="358"/>
      <c r="FB274" s="358"/>
      <c r="FC274" s="358"/>
      <c r="FD274" s="358"/>
      <c r="FE274" s="358"/>
      <c r="FF274" s="358"/>
      <c r="FG274" s="358"/>
      <c r="FH274" s="358"/>
      <c r="FI274" s="358"/>
      <c r="FJ274" s="358"/>
      <c r="FK274" s="358"/>
      <c r="FL274" s="358"/>
      <c r="FM274" s="358"/>
      <c r="FN274" s="358"/>
      <c r="FO274" s="358"/>
      <c r="FP274" s="358"/>
      <c r="FQ274" s="358"/>
      <c r="FR274" s="358"/>
      <c r="FS274" s="358"/>
      <c r="FT274" s="358"/>
      <c r="FU274" s="358"/>
      <c r="FV274" s="358"/>
      <c r="FW274" s="358"/>
      <c r="FX274" s="358"/>
      <c r="FY274" s="358"/>
      <c r="FZ274" s="358"/>
      <c r="GA274" s="358"/>
      <c r="GB274" s="358"/>
      <c r="GC274" s="358"/>
      <c r="GD274" s="358"/>
      <c r="GE274" s="358"/>
      <c r="GF274" s="358"/>
      <c r="GG274" s="358"/>
      <c r="GH274" s="358"/>
      <c r="GI274" s="358"/>
      <c r="GJ274" s="358"/>
      <c r="GK274" s="358"/>
      <c r="GL274" s="358"/>
      <c r="GM274" s="358"/>
      <c r="GN274" s="358"/>
      <c r="GO274" s="358"/>
      <c r="GP274" s="358"/>
      <c r="GQ274" s="358"/>
      <c r="GR274" s="358"/>
      <c r="GS274" s="358"/>
      <c r="GT274" s="358"/>
      <c r="GU274" s="358"/>
      <c r="GV274" s="358"/>
      <c r="GW274" s="358"/>
      <c r="GX274" s="358"/>
      <c r="GY274" s="358"/>
      <c r="GZ274" s="358"/>
      <c r="HA274" s="358"/>
      <c r="HB274" s="358"/>
      <c r="HC274" s="358"/>
      <c r="HD274" s="358"/>
      <c r="HE274" s="358"/>
      <c r="HF274" s="358"/>
      <c r="HG274" s="358"/>
      <c r="HH274" s="358"/>
      <c r="HI274" s="358"/>
      <c r="HJ274" s="358"/>
      <c r="HK274" s="358"/>
      <c r="HL274" s="358"/>
      <c r="HM274" s="358"/>
      <c r="HN274" s="358"/>
      <c r="HO274" s="358"/>
      <c r="HP274" s="358"/>
      <c r="HQ274" s="358"/>
      <c r="HR274" s="358"/>
      <c r="HS274" s="358"/>
      <c r="HT274" s="358"/>
      <c r="HU274" s="358"/>
      <c r="HV274" s="358"/>
      <c r="HW274" s="358"/>
      <c r="HX274" s="358"/>
      <c r="HY274" s="358"/>
      <c r="HZ274" s="358"/>
      <c r="IA274" s="358"/>
      <c r="IB274" s="358"/>
      <c r="IC274" s="358"/>
      <c r="ID274" s="358"/>
      <c r="IE274" s="358"/>
      <c r="IF274" s="358"/>
      <c r="IG274" s="358"/>
      <c r="IH274" s="358"/>
      <c r="II274" s="358"/>
      <c r="IJ274" s="358"/>
      <c r="IK274" s="358"/>
      <c r="IL274" s="358"/>
      <c r="IM274" s="358"/>
      <c r="IN274" s="358"/>
      <c r="IO274" s="358"/>
      <c r="IP274" s="358"/>
      <c r="IQ274" s="358"/>
      <c r="IR274" s="358"/>
      <c r="IS274" s="358"/>
      <c r="IT274" s="358"/>
      <c r="IU274" s="358"/>
      <c r="IV274" s="358"/>
      <c r="IW274" s="358"/>
      <c r="IX274" s="358"/>
      <c r="IY274" s="358"/>
      <c r="IZ274" s="358"/>
      <c r="JA274" s="358"/>
      <c r="JB274" s="358"/>
      <c r="JC274" s="358"/>
      <c r="JD274" s="358"/>
      <c r="JE274" s="358"/>
      <c r="JF274" s="358"/>
      <c r="JG274" s="358"/>
      <c r="JH274" s="358"/>
      <c r="JI274" s="358"/>
      <c r="JJ274" s="358"/>
      <c r="JK274" s="358"/>
      <c r="JL274" s="358"/>
      <c r="JM274" s="358"/>
      <c r="JN274" s="358"/>
      <c r="JO274" s="358"/>
      <c r="JP274" s="358"/>
      <c r="JQ274" s="358"/>
      <c r="JR274" s="358"/>
      <c r="JS274" s="358"/>
      <c r="JT274" s="358"/>
      <c r="JU274" s="358"/>
      <c r="JV274" s="358"/>
      <c r="JW274" s="358"/>
      <c r="JX274" s="358"/>
      <c r="JY274" s="358"/>
      <c r="JZ274" s="358"/>
      <c r="KA274" s="358"/>
      <c r="KB274" s="358"/>
      <c r="KC274" s="358"/>
      <c r="KD274" s="358"/>
      <c r="KE274" s="358"/>
      <c r="KF274" s="358"/>
      <c r="KG274" s="358"/>
      <c r="KH274" s="358"/>
      <c r="KI274" s="358"/>
      <c r="KJ274" s="358"/>
      <c r="KK274" s="358"/>
      <c r="KL274" s="358"/>
      <c r="KM274" s="358"/>
      <c r="KN274" s="358"/>
      <c r="KO274" s="358"/>
      <c r="KP274" s="358"/>
      <c r="KQ274" s="358"/>
      <c r="KR274" s="358"/>
      <c r="KS274" s="358"/>
      <c r="KT274" s="358"/>
      <c r="KU274" s="358"/>
      <c r="KV274" s="358"/>
      <c r="KW274" s="358"/>
      <c r="KX274" s="358"/>
      <c r="KY274" s="358"/>
      <c r="KZ274" s="358"/>
      <c r="LA274" s="358"/>
      <c r="LB274" s="358"/>
      <c r="LC274" s="358"/>
      <c r="LD274" s="358"/>
      <c r="LE274" s="358"/>
      <c r="LF274" s="1784"/>
      <c r="LG274" s="358"/>
      <c r="LH274" s="358"/>
      <c r="LI274" s="358"/>
      <c r="LJ274" s="358"/>
      <c r="LK274" s="1784"/>
      <c r="LL274" s="358"/>
      <c r="LM274" s="358"/>
      <c r="LN274" s="358"/>
      <c r="LO274" s="358"/>
      <c r="LP274" s="1784"/>
      <c r="LQ274" s="358"/>
      <c r="LR274" s="358"/>
      <c r="LS274" s="358"/>
      <c r="LT274" s="358"/>
      <c r="LU274" s="1784"/>
      <c r="LV274" s="1784"/>
      <c r="LW274" s="1784"/>
      <c r="LX274" s="1784"/>
      <c r="LY274" s="1784"/>
      <c r="LZ274" s="1784"/>
      <c r="MA274" s="1784"/>
      <c r="MB274" s="1784"/>
      <c r="MC274" s="1784"/>
      <c r="MD274" s="1784"/>
      <c r="ME274" s="1784"/>
      <c r="MF274" s="1784"/>
      <c r="MG274" s="1784"/>
      <c r="MH274" s="1784"/>
      <c r="MI274" s="1784"/>
      <c r="MJ274" s="1784"/>
      <c r="MK274" s="1784"/>
      <c r="ML274" s="1784"/>
      <c r="MM274" s="1784"/>
      <c r="MN274" s="1784"/>
      <c r="MO274" s="1784"/>
      <c r="MP274" s="1784"/>
      <c r="MQ274" s="358"/>
      <c r="MR274" s="358"/>
      <c r="MS274" s="358"/>
      <c r="MT274" s="358"/>
      <c r="MU274" s="358"/>
      <c r="MV274" s="358"/>
      <c r="MW274" s="1639"/>
      <c r="MX274" s="358"/>
      <c r="MY274" s="358"/>
      <c r="MZ274" s="358"/>
      <c r="NA274" s="358"/>
      <c r="NB274" s="358"/>
      <c r="NC274" s="358"/>
      <c r="ND274" s="358"/>
      <c r="NE274" s="358"/>
      <c r="NF274" s="358"/>
      <c r="NG274" s="358"/>
      <c r="NH274" s="358"/>
      <c r="NI274" s="358"/>
      <c r="NJ274" s="358"/>
      <c r="NK274" s="358"/>
      <c r="NL274" s="358"/>
      <c r="NM274" s="1639"/>
      <c r="NN274" s="1639"/>
      <c r="NO274" s="358"/>
      <c r="NP274" s="358"/>
      <c r="NQ274" s="358"/>
      <c r="NR274" s="358"/>
      <c r="NS274" s="358"/>
      <c r="NT274" s="358"/>
      <c r="NU274" s="358"/>
      <c r="NV274" s="358"/>
      <c r="NW274" s="358"/>
      <c r="NX274" s="358"/>
      <c r="NY274" s="358"/>
      <c r="NZ274" s="358"/>
      <c r="OA274" s="358"/>
      <c r="OB274" s="358"/>
      <c r="OC274" s="358"/>
      <c r="OD274" s="358"/>
      <c r="OE274" s="358"/>
      <c r="OF274" s="358"/>
      <c r="OG274" s="358"/>
      <c r="OH274" s="358"/>
      <c r="OI274" s="358"/>
      <c r="OJ274" s="358"/>
      <c r="OK274" s="358"/>
      <c r="OL274" s="358"/>
      <c r="OM274" s="358"/>
      <c r="ON274" s="358"/>
      <c r="OO274" s="358"/>
      <c r="OP274" s="358"/>
      <c r="OQ274" s="358"/>
      <c r="OR274" s="358"/>
      <c r="OS274" s="358"/>
      <c r="OT274" s="358"/>
      <c r="OU274" s="358"/>
      <c r="OV274" s="72"/>
      <c r="OW274" s="72"/>
      <c r="OX274" s="72"/>
      <c r="OY274" s="2501"/>
      <c r="OZ274" s="2504">
        <v>270</v>
      </c>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c r="RZ274" s="72"/>
      <c r="SA274" s="72"/>
      <c r="SB274" s="72"/>
      <c r="SC274" s="72"/>
      <c r="SD274" s="72"/>
      <c r="SE274" s="72"/>
      <c r="SF274" s="72"/>
      <c r="SG274" s="72"/>
      <c r="SH274" s="72"/>
      <c r="SI274" s="72"/>
      <c r="SJ274" s="72"/>
      <c r="SK274" s="72"/>
      <c r="SL274" s="72"/>
      <c r="SM274" s="72"/>
      <c r="SN274" s="72"/>
      <c r="SO274" s="72"/>
      <c r="SP274" s="72"/>
      <c r="SQ274" s="72"/>
      <c r="SR274" s="72"/>
      <c r="SS274" s="72"/>
      <c r="ST274" s="72"/>
      <c r="SU274" s="72"/>
      <c r="SV274" s="72"/>
      <c r="SW274" s="72"/>
      <c r="SX274" s="72"/>
      <c r="SY274" s="72"/>
      <c r="SZ274" s="72"/>
      <c r="TA274" s="72"/>
      <c r="TB274" s="72"/>
      <c r="TC274" s="72"/>
      <c r="TD274" s="72"/>
      <c r="TE274" s="72"/>
      <c r="TF274" s="72"/>
      <c r="TG274" s="72"/>
      <c r="TH274" s="72"/>
    </row>
    <row r="275" spans="1:528" s="69" customFormat="1" ht="16.5" customHeight="1" thickBot="1">
      <c r="A275" s="1"/>
      <c r="B275" s="1156" t="s">
        <v>3748</v>
      </c>
      <c r="C275" s="8"/>
      <c r="D275" s="1"/>
      <c r="E275" s="1"/>
      <c r="F275" s="3583"/>
      <c r="G275" s="3584"/>
      <c r="H275" s="1"/>
      <c r="I275" s="1213" t="s">
        <v>3775</v>
      </c>
      <c r="J275" s="1"/>
      <c r="K275" s="9"/>
      <c r="L275" s="3583"/>
      <c r="M275" s="3584"/>
      <c r="N275" s="1"/>
      <c r="O275" s="4" t="s">
        <v>3750</v>
      </c>
      <c r="P275" s="1"/>
      <c r="Q275" s="1176">
        <f>F275*L275</f>
        <v>0</v>
      </c>
      <c r="R275" s="657"/>
      <c r="X275" s="356"/>
      <c r="Y275" s="358"/>
      <c r="Z275" s="358"/>
      <c r="AA275" s="358"/>
      <c r="AB275" s="358"/>
      <c r="AC275" s="356"/>
      <c r="AD275" s="358"/>
      <c r="AE275" s="358"/>
      <c r="AF275" s="358"/>
      <c r="AG275" s="358"/>
      <c r="AH275" s="356"/>
      <c r="AI275" s="358"/>
      <c r="AJ275" s="358"/>
      <c r="AK275" s="358"/>
      <c r="AL275" s="358"/>
      <c r="AM275" s="356"/>
      <c r="AN275" s="358"/>
      <c r="AO275" s="358"/>
      <c r="AP275" s="358"/>
      <c r="AQ275" s="358"/>
      <c r="AR275" s="358"/>
      <c r="AS275" s="358"/>
      <c r="AT275" s="358"/>
      <c r="AU275" s="358"/>
      <c r="AV275" s="358"/>
      <c r="AW275" s="358"/>
      <c r="AX275" s="358"/>
      <c r="AY275" s="358"/>
      <c r="AZ275" s="358"/>
      <c r="BA275" s="358"/>
      <c r="BB275" s="358"/>
      <c r="BC275" s="358"/>
      <c r="BD275" s="358"/>
      <c r="BE275" s="358"/>
      <c r="BF275" s="358"/>
      <c r="BG275" s="358"/>
      <c r="BH275" s="358"/>
      <c r="BI275" s="358"/>
      <c r="BJ275" s="358"/>
      <c r="BK275" s="358"/>
      <c r="BL275" s="358"/>
      <c r="BM275" s="358"/>
      <c r="BN275" s="358"/>
      <c r="BO275" s="358"/>
      <c r="BP275" s="358"/>
      <c r="BQ275" s="358"/>
      <c r="BR275" s="358"/>
      <c r="BS275" s="358"/>
      <c r="BT275" s="358"/>
      <c r="BU275" s="358"/>
      <c r="BV275" s="358"/>
      <c r="BW275" s="358"/>
      <c r="BX275" s="358"/>
      <c r="BY275" s="358"/>
      <c r="BZ275" s="358"/>
      <c r="CA275" s="358"/>
      <c r="CB275" s="358"/>
      <c r="CC275" s="358"/>
      <c r="CD275" s="358"/>
      <c r="CE275" s="358"/>
      <c r="CF275" s="358"/>
      <c r="CG275" s="358"/>
      <c r="CH275" s="358"/>
      <c r="CI275" s="358"/>
      <c r="CJ275" s="358"/>
      <c r="CK275" s="358"/>
      <c r="CL275" s="358"/>
      <c r="CM275" s="358"/>
      <c r="CN275" s="358"/>
      <c r="CO275" s="358"/>
      <c r="CP275" s="358"/>
      <c r="CQ275" s="358"/>
      <c r="CR275" s="358"/>
      <c r="CS275" s="358"/>
      <c r="CT275" s="358"/>
      <c r="CU275" s="358"/>
      <c r="CV275" s="358"/>
      <c r="CW275" s="358"/>
      <c r="CX275" s="358"/>
      <c r="CY275" s="358"/>
      <c r="CZ275" s="358"/>
      <c r="DA275" s="358"/>
      <c r="DB275" s="358"/>
      <c r="DC275" s="358"/>
      <c r="DD275" s="358"/>
      <c r="DE275" s="358"/>
      <c r="DF275" s="358"/>
      <c r="DG275" s="358"/>
      <c r="DH275" s="358"/>
      <c r="DI275" s="358"/>
      <c r="DJ275" s="358"/>
      <c r="DK275" s="358"/>
      <c r="DL275" s="358"/>
      <c r="DM275" s="358"/>
      <c r="DN275" s="358"/>
      <c r="DO275" s="358"/>
      <c r="DP275" s="358"/>
      <c r="DQ275" s="358"/>
      <c r="DR275" s="358"/>
      <c r="DS275" s="358"/>
      <c r="DT275" s="358"/>
      <c r="DU275" s="358"/>
      <c r="DV275" s="358"/>
      <c r="DW275" s="358"/>
      <c r="DX275" s="358"/>
      <c r="DY275" s="358"/>
      <c r="DZ275" s="358"/>
      <c r="EA275" s="358"/>
      <c r="EB275" s="358"/>
      <c r="EC275" s="358"/>
      <c r="ED275" s="358"/>
      <c r="EE275" s="358"/>
      <c r="EF275" s="358"/>
      <c r="EG275" s="358"/>
      <c r="EH275" s="358"/>
      <c r="EI275" s="358"/>
      <c r="EJ275" s="358"/>
      <c r="EK275" s="358"/>
      <c r="EL275" s="358"/>
      <c r="EM275" s="358"/>
      <c r="EN275" s="358"/>
      <c r="EO275" s="358"/>
      <c r="EP275" s="358"/>
      <c r="EQ275" s="358"/>
      <c r="ER275" s="358"/>
      <c r="ES275" s="358"/>
      <c r="ET275" s="358"/>
      <c r="EU275" s="358"/>
      <c r="EV275" s="358"/>
      <c r="EW275" s="358"/>
      <c r="EX275" s="358"/>
      <c r="EY275" s="358"/>
      <c r="EZ275" s="358"/>
      <c r="FA275" s="358"/>
      <c r="FB275" s="358"/>
      <c r="FC275" s="358"/>
      <c r="FD275" s="358"/>
      <c r="FE275" s="358"/>
      <c r="FF275" s="358"/>
      <c r="FG275" s="358"/>
      <c r="FH275" s="358"/>
      <c r="FI275" s="358"/>
      <c r="FJ275" s="358"/>
      <c r="FK275" s="358"/>
      <c r="FL275" s="358"/>
      <c r="FM275" s="358"/>
      <c r="FN275" s="358"/>
      <c r="FO275" s="358"/>
      <c r="FP275" s="358"/>
      <c r="FQ275" s="358"/>
      <c r="FR275" s="358"/>
      <c r="FS275" s="358"/>
      <c r="FT275" s="358"/>
      <c r="FU275" s="358"/>
      <c r="FV275" s="358"/>
      <c r="FW275" s="358"/>
      <c r="FX275" s="358"/>
      <c r="FY275" s="358"/>
      <c r="FZ275" s="358"/>
      <c r="GA275" s="358"/>
      <c r="GB275" s="358"/>
      <c r="GC275" s="358"/>
      <c r="GD275" s="358"/>
      <c r="GE275" s="358"/>
      <c r="GF275" s="358"/>
      <c r="GG275" s="358"/>
      <c r="GH275" s="358"/>
      <c r="GI275" s="358"/>
      <c r="GJ275" s="358"/>
      <c r="GK275" s="358"/>
      <c r="GL275" s="358"/>
      <c r="GM275" s="358"/>
      <c r="GN275" s="358"/>
      <c r="GO275" s="358"/>
      <c r="GP275" s="358"/>
      <c r="GQ275" s="358"/>
      <c r="GR275" s="358"/>
      <c r="GS275" s="358"/>
      <c r="GT275" s="358"/>
      <c r="GU275" s="358"/>
      <c r="GV275" s="358"/>
      <c r="GW275" s="358"/>
      <c r="GX275" s="358"/>
      <c r="GY275" s="358"/>
      <c r="GZ275" s="358"/>
      <c r="HA275" s="358"/>
      <c r="HB275" s="358"/>
      <c r="HC275" s="358"/>
      <c r="HD275" s="358"/>
      <c r="HE275" s="358"/>
      <c r="HF275" s="358"/>
      <c r="HG275" s="358"/>
      <c r="HH275" s="358"/>
      <c r="HI275" s="358"/>
      <c r="HJ275" s="358"/>
      <c r="HK275" s="358"/>
      <c r="HL275" s="358"/>
      <c r="HM275" s="358"/>
      <c r="HN275" s="358"/>
      <c r="HO275" s="358"/>
      <c r="HP275" s="358"/>
      <c r="HQ275" s="358"/>
      <c r="HR275" s="358"/>
      <c r="HS275" s="358"/>
      <c r="HT275" s="358"/>
      <c r="HU275" s="358"/>
      <c r="HV275" s="358"/>
      <c r="HW275" s="358"/>
      <c r="HX275" s="358"/>
      <c r="HY275" s="358"/>
      <c r="HZ275" s="358"/>
      <c r="IA275" s="358"/>
      <c r="IB275" s="358"/>
      <c r="IC275" s="358"/>
      <c r="ID275" s="358"/>
      <c r="IE275" s="358"/>
      <c r="IF275" s="358"/>
      <c r="IG275" s="358"/>
      <c r="IH275" s="358"/>
      <c r="II275" s="358"/>
      <c r="IJ275" s="358"/>
      <c r="IK275" s="358"/>
      <c r="IL275" s="358"/>
      <c r="IM275" s="358"/>
      <c r="IN275" s="358"/>
      <c r="IO275" s="358"/>
      <c r="IP275" s="358"/>
      <c r="IQ275" s="358"/>
      <c r="IR275" s="358"/>
      <c r="IS275" s="358"/>
      <c r="IT275" s="358"/>
      <c r="IU275" s="358"/>
      <c r="IV275" s="358"/>
      <c r="IW275" s="358"/>
      <c r="IX275" s="358"/>
      <c r="IY275" s="358"/>
      <c r="IZ275" s="358"/>
      <c r="JA275" s="358"/>
      <c r="JB275" s="358"/>
      <c r="JC275" s="358"/>
      <c r="JD275" s="358"/>
      <c r="JE275" s="358"/>
      <c r="JF275" s="358"/>
      <c r="JG275" s="358"/>
      <c r="JH275" s="358"/>
      <c r="JI275" s="358"/>
      <c r="JJ275" s="358"/>
      <c r="JK275" s="358"/>
      <c r="JL275" s="358"/>
      <c r="JM275" s="358"/>
      <c r="JN275" s="358"/>
      <c r="JO275" s="358"/>
      <c r="JP275" s="358"/>
      <c r="JQ275" s="358"/>
      <c r="JR275" s="358"/>
      <c r="JS275" s="358"/>
      <c r="JT275" s="358"/>
      <c r="JU275" s="358"/>
      <c r="JV275" s="358"/>
      <c r="JW275" s="358"/>
      <c r="JX275" s="358"/>
      <c r="JY275" s="358"/>
      <c r="JZ275" s="358"/>
      <c r="KA275" s="358"/>
      <c r="KB275" s="358"/>
      <c r="KC275" s="358"/>
      <c r="KD275" s="358"/>
      <c r="KE275" s="358"/>
      <c r="KF275" s="358"/>
      <c r="KG275" s="358"/>
      <c r="KH275" s="358"/>
      <c r="KI275" s="358"/>
      <c r="KJ275" s="358"/>
      <c r="KK275" s="358"/>
      <c r="KL275" s="358"/>
      <c r="KM275" s="358"/>
      <c r="KN275" s="358"/>
      <c r="KO275" s="358"/>
      <c r="KP275" s="358"/>
      <c r="KQ275" s="358"/>
      <c r="KR275" s="358"/>
      <c r="KS275" s="358"/>
      <c r="KT275" s="358"/>
      <c r="KU275" s="358"/>
      <c r="KV275" s="358"/>
      <c r="KW275" s="358"/>
      <c r="KX275" s="358"/>
      <c r="KY275" s="358"/>
      <c r="KZ275" s="358"/>
      <c r="LA275" s="358"/>
      <c r="LB275" s="358"/>
      <c r="LC275" s="358"/>
      <c r="LD275" s="358"/>
      <c r="LE275" s="358"/>
      <c r="LF275" s="1784"/>
      <c r="LG275" s="358"/>
      <c r="LH275" s="358"/>
      <c r="LI275" s="358"/>
      <c r="LJ275" s="358"/>
      <c r="LK275" s="1784"/>
      <c r="LL275" s="358"/>
      <c r="LM275" s="358"/>
      <c r="LN275" s="358"/>
      <c r="LO275" s="358"/>
      <c r="LP275" s="1784"/>
      <c r="LQ275" s="358"/>
      <c r="LR275" s="358"/>
      <c r="LS275" s="358"/>
      <c r="LT275" s="358"/>
      <c r="LU275" s="1784"/>
      <c r="LV275" s="1784"/>
      <c r="LW275" s="1784"/>
      <c r="LX275" s="1784"/>
      <c r="LY275" s="1784"/>
      <c r="LZ275" s="1784"/>
      <c r="MA275" s="1784"/>
      <c r="MB275" s="1784"/>
      <c r="MC275" s="1784"/>
      <c r="MD275" s="1784"/>
      <c r="ME275" s="1784"/>
      <c r="MF275" s="1784"/>
      <c r="MG275" s="1784"/>
      <c r="MH275" s="1784"/>
      <c r="MI275" s="1784"/>
      <c r="MJ275" s="1784"/>
      <c r="MK275" s="1784"/>
      <c r="ML275" s="1784"/>
      <c r="MM275" s="1784"/>
      <c r="MN275" s="1784"/>
      <c r="MO275" s="1784"/>
      <c r="MP275" s="1784"/>
      <c r="MQ275" s="358"/>
      <c r="MR275" s="358"/>
      <c r="MS275" s="358"/>
      <c r="MT275" s="358"/>
      <c r="MU275" s="358"/>
      <c r="MV275" s="358"/>
      <c r="MW275" s="1639"/>
      <c r="MX275" s="358"/>
      <c r="MY275" s="358"/>
      <c r="MZ275" s="358"/>
      <c r="NA275" s="358"/>
      <c r="NB275" s="358"/>
      <c r="NC275" s="358"/>
      <c r="ND275" s="358"/>
      <c r="NE275" s="358"/>
      <c r="NF275" s="358"/>
      <c r="NG275" s="358"/>
      <c r="NH275" s="358"/>
      <c r="NI275" s="358"/>
      <c r="NJ275" s="358"/>
      <c r="NK275" s="358"/>
      <c r="NL275" s="358"/>
      <c r="NM275" s="1639"/>
      <c r="NN275" s="1639"/>
      <c r="NO275" s="358"/>
      <c r="NP275" s="358"/>
      <c r="NQ275" s="358"/>
      <c r="NR275" s="358"/>
      <c r="NS275" s="358"/>
      <c r="NT275" s="358"/>
      <c r="NU275" s="358"/>
      <c r="NV275" s="358"/>
      <c r="NW275" s="358"/>
      <c r="NX275" s="358"/>
      <c r="NY275" s="358"/>
      <c r="NZ275" s="358"/>
      <c r="OA275" s="358"/>
      <c r="OB275" s="358"/>
      <c r="OC275" s="358"/>
      <c r="OD275" s="358"/>
      <c r="OE275" s="358"/>
      <c r="OF275" s="358"/>
      <c r="OG275" s="358"/>
      <c r="OH275" s="358"/>
      <c r="OI275" s="358"/>
      <c r="OJ275" s="358"/>
      <c r="OK275" s="358"/>
      <c r="OL275" s="358"/>
      <c r="OM275" s="358"/>
      <c r="ON275" s="358"/>
      <c r="OO275" s="358"/>
      <c r="OP275" s="358"/>
      <c r="OQ275" s="358"/>
      <c r="OR275" s="358"/>
      <c r="OS275" s="358"/>
      <c r="OT275" s="358"/>
      <c r="OU275" s="358"/>
      <c r="OV275" s="72"/>
      <c r="OW275" s="72"/>
      <c r="OX275" s="72"/>
      <c r="OY275" s="2501"/>
      <c r="OZ275" s="2504">
        <v>271</v>
      </c>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c r="RZ275" s="72"/>
      <c r="SA275" s="72"/>
      <c r="SB275" s="72"/>
      <c r="SC275" s="72"/>
      <c r="SD275" s="72"/>
      <c r="SE275" s="72"/>
      <c r="SF275" s="72"/>
      <c r="SG275" s="72"/>
      <c r="SH275" s="72"/>
      <c r="SI275" s="72"/>
      <c r="SJ275" s="72"/>
      <c r="SK275" s="72"/>
      <c r="SL275" s="72"/>
      <c r="SM275" s="72"/>
      <c r="SN275" s="72"/>
      <c r="SO275" s="72"/>
      <c r="SP275" s="72"/>
      <c r="SQ275" s="72"/>
      <c r="SR275" s="72"/>
      <c r="SS275" s="72"/>
      <c r="ST275" s="72"/>
      <c r="SU275" s="72"/>
      <c r="SV275" s="72"/>
      <c r="SW275" s="72"/>
      <c r="SX275" s="72"/>
      <c r="SY275" s="72"/>
      <c r="SZ275" s="72"/>
      <c r="TA275" s="72"/>
      <c r="TB275" s="72"/>
      <c r="TC275" s="72"/>
      <c r="TD275" s="72"/>
      <c r="TE275" s="72"/>
      <c r="TF275" s="72"/>
      <c r="TG275" s="72"/>
      <c r="TH275" s="72"/>
    </row>
    <row r="276" spans="1:528" s="69" customFormat="1" ht="12" customHeight="1">
      <c r="A276" s="1"/>
      <c r="B276" s="4"/>
      <c r="C276" s="8"/>
      <c r="D276" s="1"/>
      <c r="E276" s="1"/>
      <c r="F276" s="9"/>
      <c r="G276" s="9"/>
      <c r="H276" s="1"/>
      <c r="I276" s="1"/>
      <c r="J276" s="1"/>
      <c r="K276" s="9"/>
      <c r="L276" s="1"/>
      <c r="M276" s="1"/>
      <c r="N276" s="1"/>
      <c r="O276" s="4"/>
      <c r="P276" s="1"/>
      <c r="Q276" s="657"/>
      <c r="R276" s="657"/>
      <c r="X276" s="356"/>
      <c r="Y276" s="358"/>
      <c r="Z276" s="358"/>
      <c r="AA276" s="358"/>
      <c r="AB276" s="358"/>
      <c r="AC276" s="356"/>
      <c r="AD276" s="358"/>
      <c r="AE276" s="358"/>
      <c r="AF276" s="358"/>
      <c r="AG276" s="358"/>
      <c r="AH276" s="356"/>
      <c r="AI276" s="358"/>
      <c r="AJ276" s="358"/>
      <c r="AK276" s="358"/>
      <c r="AL276" s="358"/>
      <c r="AM276" s="356"/>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358"/>
      <c r="JX276" s="358"/>
      <c r="JY276" s="358"/>
      <c r="JZ276" s="358"/>
      <c r="KA276" s="358"/>
      <c r="KB276" s="358"/>
      <c r="KC276" s="358"/>
      <c r="KD276" s="358"/>
      <c r="KE276" s="358"/>
      <c r="KF276" s="358"/>
      <c r="KG276" s="358"/>
      <c r="KH276" s="358"/>
      <c r="KI276" s="358"/>
      <c r="KJ276" s="358"/>
      <c r="KK276" s="358"/>
      <c r="KL276" s="358"/>
      <c r="KM276" s="358"/>
      <c r="KN276" s="358"/>
      <c r="KO276" s="358"/>
      <c r="KP276" s="358"/>
      <c r="KQ276" s="358"/>
      <c r="KR276" s="358"/>
      <c r="KS276" s="358"/>
      <c r="KT276" s="358"/>
      <c r="KU276" s="358"/>
      <c r="KV276" s="358"/>
      <c r="KW276" s="358"/>
      <c r="KX276" s="358"/>
      <c r="KY276" s="358"/>
      <c r="KZ276" s="358"/>
      <c r="LA276" s="358"/>
      <c r="LB276" s="358"/>
      <c r="LC276" s="358"/>
      <c r="LD276" s="358"/>
      <c r="LE276" s="358"/>
      <c r="LF276" s="1784"/>
      <c r="LG276" s="358"/>
      <c r="LH276" s="358"/>
      <c r="LI276" s="358"/>
      <c r="LJ276" s="358"/>
      <c r="LK276" s="1784"/>
      <c r="LL276" s="358"/>
      <c r="LM276" s="358"/>
      <c r="LN276" s="358"/>
      <c r="LO276" s="358"/>
      <c r="LP276" s="1784"/>
      <c r="LQ276" s="358"/>
      <c r="LR276" s="358"/>
      <c r="LS276" s="358"/>
      <c r="LT276" s="358"/>
      <c r="LU276" s="1784"/>
      <c r="LV276" s="1784"/>
      <c r="LW276" s="1784"/>
      <c r="LX276" s="1784"/>
      <c r="LY276" s="1784"/>
      <c r="LZ276" s="1784"/>
      <c r="MA276" s="1784"/>
      <c r="MB276" s="1784"/>
      <c r="MC276" s="1784"/>
      <c r="MD276" s="1784"/>
      <c r="ME276" s="1784"/>
      <c r="MF276" s="1784"/>
      <c r="MG276" s="1784"/>
      <c r="MH276" s="1784"/>
      <c r="MI276" s="1784"/>
      <c r="MJ276" s="1784"/>
      <c r="MK276" s="1784"/>
      <c r="ML276" s="1784"/>
      <c r="MM276" s="1784"/>
      <c r="MN276" s="1784"/>
      <c r="MO276" s="1784"/>
      <c r="MP276" s="1784"/>
      <c r="MQ276" s="358"/>
      <c r="MR276" s="358"/>
      <c r="MS276" s="358"/>
      <c r="MT276" s="358"/>
      <c r="MU276" s="358"/>
      <c r="MV276" s="358"/>
      <c r="MW276" s="1639"/>
      <c r="MX276" s="358"/>
      <c r="MY276" s="358"/>
      <c r="MZ276" s="358"/>
      <c r="NA276" s="358"/>
      <c r="NB276" s="358"/>
      <c r="NC276" s="358"/>
      <c r="ND276" s="358"/>
      <c r="NE276" s="358"/>
      <c r="NF276" s="358"/>
      <c r="NG276" s="358"/>
      <c r="NH276" s="358"/>
      <c r="NI276" s="358"/>
      <c r="NJ276" s="358"/>
      <c r="NK276" s="358"/>
      <c r="NL276" s="358"/>
      <c r="NM276" s="1639"/>
      <c r="NN276" s="1639"/>
      <c r="NO276" s="358"/>
      <c r="NP276" s="358"/>
      <c r="NQ276" s="358"/>
      <c r="NR276" s="358"/>
      <c r="NS276" s="358"/>
      <c r="NT276" s="358"/>
      <c r="NU276" s="358"/>
      <c r="NV276" s="358"/>
      <c r="NW276" s="358"/>
      <c r="NX276" s="358"/>
      <c r="NY276" s="358"/>
      <c r="NZ276" s="358"/>
      <c r="OA276" s="358"/>
      <c r="OB276" s="358"/>
      <c r="OC276" s="358"/>
      <c r="OD276" s="358"/>
      <c r="OE276" s="358"/>
      <c r="OF276" s="358"/>
      <c r="OG276" s="358"/>
      <c r="OH276" s="358"/>
      <c r="OI276" s="358"/>
      <c r="OJ276" s="358"/>
      <c r="OK276" s="358"/>
      <c r="OL276" s="358"/>
      <c r="OM276" s="358"/>
      <c r="ON276" s="358"/>
      <c r="OO276" s="358"/>
      <c r="OP276" s="358"/>
      <c r="OQ276" s="358"/>
      <c r="OR276" s="358"/>
      <c r="OS276" s="358"/>
      <c r="OT276" s="358"/>
      <c r="OU276" s="358"/>
      <c r="OV276" s="72"/>
      <c r="OW276" s="72"/>
      <c r="OX276" s="72"/>
      <c r="OY276" s="2501"/>
      <c r="OZ276" s="2504">
        <v>272</v>
      </c>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c r="RZ276" s="72"/>
      <c r="SA276" s="72"/>
      <c r="SB276" s="72"/>
      <c r="SC276" s="72"/>
      <c r="SD276" s="72"/>
      <c r="SE276" s="72"/>
      <c r="SF276" s="72"/>
      <c r="SG276" s="72"/>
      <c r="SH276" s="72"/>
      <c r="SI276" s="72"/>
      <c r="SJ276" s="72"/>
      <c r="SK276" s="72"/>
      <c r="SL276" s="72"/>
      <c r="SM276" s="72"/>
      <c r="SN276" s="72"/>
      <c r="SO276" s="72"/>
      <c r="SP276" s="72"/>
      <c r="SQ276" s="72"/>
      <c r="SR276" s="72"/>
      <c r="SS276" s="72"/>
      <c r="ST276" s="72"/>
      <c r="SU276" s="72"/>
      <c r="SV276" s="72"/>
      <c r="SW276" s="72"/>
      <c r="SX276" s="72"/>
      <c r="SY276" s="72"/>
      <c r="SZ276" s="72"/>
      <c r="TA276" s="72"/>
      <c r="TB276" s="72"/>
      <c r="TC276" s="72"/>
      <c r="TD276" s="72"/>
      <c r="TE276" s="72"/>
      <c r="TF276" s="72"/>
      <c r="TG276" s="72"/>
      <c r="TH276" s="72"/>
    </row>
    <row r="277" spans="1:528" s="69" customFormat="1" ht="16.5" customHeight="1">
      <c r="A277" s="1"/>
      <c r="B277" s="72" t="s">
        <v>3776</v>
      </c>
      <c r="C277" s="8"/>
      <c r="D277" s="1"/>
      <c r="E277" s="1"/>
      <c r="F277" s="9"/>
      <c r="G277" s="9"/>
      <c r="H277" s="1"/>
      <c r="I277" s="1"/>
      <c r="L277" s="3592" t="s">
        <v>1641</v>
      </c>
      <c r="M277" s="3593"/>
      <c r="P277" s="1"/>
      <c r="R277" s="657"/>
      <c r="S277" s="3585"/>
      <c r="T277" s="3586"/>
      <c r="U277" s="3586"/>
      <c r="V277" s="3586"/>
      <c r="W277" s="3587"/>
      <c r="X277" s="356"/>
      <c r="Y277" s="358"/>
      <c r="Z277" s="358"/>
      <c r="AA277" s="358"/>
      <c r="AB277" s="358"/>
      <c r="AC277" s="356"/>
      <c r="AD277" s="358"/>
      <c r="AE277" s="358"/>
      <c r="AF277" s="358"/>
      <c r="AG277" s="358"/>
      <c r="AH277" s="356"/>
      <c r="AI277" s="358"/>
      <c r="AJ277" s="358"/>
      <c r="AK277" s="358"/>
      <c r="AL277" s="358"/>
      <c r="AM277" s="356"/>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358"/>
      <c r="JX277" s="358"/>
      <c r="JY277" s="358"/>
      <c r="JZ277" s="358"/>
      <c r="KA277" s="358"/>
      <c r="KB277" s="358"/>
      <c r="KC277" s="358"/>
      <c r="KD277" s="358"/>
      <c r="KE277" s="358"/>
      <c r="KF277" s="358"/>
      <c r="KG277" s="358"/>
      <c r="KH277" s="358"/>
      <c r="KI277" s="358"/>
      <c r="KJ277" s="358"/>
      <c r="KK277" s="358"/>
      <c r="KL277" s="358"/>
      <c r="KM277" s="358"/>
      <c r="KN277" s="358"/>
      <c r="KO277" s="358"/>
      <c r="KP277" s="358"/>
      <c r="KQ277" s="358"/>
      <c r="KR277" s="358"/>
      <c r="KS277" s="358"/>
      <c r="KT277" s="358"/>
      <c r="KU277" s="358"/>
      <c r="KV277" s="358"/>
      <c r="KW277" s="358"/>
      <c r="KX277" s="358"/>
      <c r="KY277" s="358"/>
      <c r="KZ277" s="358"/>
      <c r="LA277" s="358"/>
      <c r="LB277" s="358"/>
      <c r="LC277" s="358"/>
      <c r="LD277" s="358"/>
      <c r="LE277" s="358"/>
      <c r="LF277" s="1784"/>
      <c r="LG277" s="358"/>
      <c r="LH277" s="358"/>
      <c r="LI277" s="358"/>
      <c r="LJ277" s="358"/>
      <c r="LK277" s="1784"/>
      <c r="LL277" s="358"/>
      <c r="LM277" s="358"/>
      <c r="LN277" s="358"/>
      <c r="LO277" s="358"/>
      <c r="LP277" s="1784"/>
      <c r="LQ277" s="358"/>
      <c r="LR277" s="358"/>
      <c r="LS277" s="358"/>
      <c r="LT277" s="358"/>
      <c r="LU277" s="1784"/>
      <c r="LV277" s="1784"/>
      <c r="LW277" s="1784"/>
      <c r="LX277" s="1784"/>
      <c r="LY277" s="1784"/>
      <c r="LZ277" s="1784"/>
      <c r="MA277" s="1784"/>
      <c r="MB277" s="1784"/>
      <c r="MC277" s="1784"/>
      <c r="MD277" s="1784"/>
      <c r="ME277" s="1784"/>
      <c r="MF277" s="1784"/>
      <c r="MG277" s="1784"/>
      <c r="MH277" s="1784"/>
      <c r="MI277" s="1784"/>
      <c r="MJ277" s="1784"/>
      <c r="MK277" s="1784"/>
      <c r="ML277" s="1784"/>
      <c r="MM277" s="1784"/>
      <c r="MN277" s="1784"/>
      <c r="MO277" s="1784"/>
      <c r="MP277" s="1784"/>
      <c r="MQ277" s="358"/>
      <c r="MR277" s="358"/>
      <c r="MS277" s="358"/>
      <c r="MT277" s="358"/>
      <c r="MU277" s="358"/>
      <c r="MV277" s="358"/>
      <c r="MW277" s="1639"/>
      <c r="MX277" s="358"/>
      <c r="MY277" s="358"/>
      <c r="MZ277" s="358"/>
      <c r="NA277" s="358"/>
      <c r="NB277" s="358"/>
      <c r="NC277" s="358"/>
      <c r="ND277" s="358"/>
      <c r="NE277" s="358"/>
      <c r="NF277" s="358"/>
      <c r="NG277" s="358"/>
      <c r="NH277" s="358"/>
      <c r="NI277" s="358"/>
      <c r="NJ277" s="358"/>
      <c r="NK277" s="358"/>
      <c r="NL277" s="358"/>
      <c r="NM277" s="1639"/>
      <c r="NN277" s="1639"/>
      <c r="NO277" s="358"/>
      <c r="NP277" s="358"/>
      <c r="NQ277" s="358"/>
      <c r="NR277" s="358"/>
      <c r="NS277" s="358"/>
      <c r="NT277" s="358"/>
      <c r="NU277" s="358"/>
      <c r="NV277" s="358"/>
      <c r="NW277" s="358"/>
      <c r="NX277" s="358"/>
      <c r="NY277" s="358"/>
      <c r="NZ277" s="358"/>
      <c r="OA277" s="358"/>
      <c r="OB277" s="358"/>
      <c r="OC277" s="358"/>
      <c r="OD277" s="358"/>
      <c r="OE277" s="358"/>
      <c r="OF277" s="358"/>
      <c r="OG277" s="358"/>
      <c r="OH277" s="358"/>
      <c r="OI277" s="358"/>
      <c r="OJ277" s="358"/>
      <c r="OK277" s="358"/>
      <c r="OL277" s="358"/>
      <c r="OM277" s="358"/>
      <c r="ON277" s="358"/>
      <c r="OO277" s="358"/>
      <c r="OP277" s="358"/>
      <c r="OQ277" s="358"/>
      <c r="OR277" s="358"/>
      <c r="OS277" s="358"/>
      <c r="OT277" s="358"/>
      <c r="OU277" s="358"/>
      <c r="OV277" s="72"/>
      <c r="OW277" s="72"/>
      <c r="OX277" s="72"/>
      <c r="OY277" s="2501" t="s">
        <v>4341</v>
      </c>
      <c r="OZ277" s="2504">
        <v>273</v>
      </c>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c r="RZ277" s="72"/>
      <c r="SA277" s="72"/>
      <c r="SB277" s="72"/>
      <c r="SC277" s="72"/>
      <c r="SD277" s="72"/>
      <c r="SE277" s="72"/>
      <c r="SF277" s="72"/>
      <c r="SG277" s="72"/>
      <c r="SH277" s="72"/>
      <c r="SI277" s="72"/>
      <c r="SJ277" s="72"/>
      <c r="SK277" s="72"/>
      <c r="SL277" s="72"/>
      <c r="SM277" s="72"/>
      <c r="SN277" s="72"/>
      <c r="SO277" s="72"/>
      <c r="SP277" s="72"/>
      <c r="SQ277" s="72"/>
      <c r="SR277" s="72"/>
      <c r="SS277" s="72"/>
      <c r="ST277" s="72"/>
      <c r="SU277" s="72"/>
      <c r="SV277" s="72"/>
      <c r="SW277" s="72"/>
      <c r="SX277" s="72"/>
      <c r="SY277" s="72"/>
      <c r="SZ277" s="72"/>
      <c r="TA277" s="72"/>
      <c r="TB277" s="72"/>
      <c r="TC277" s="72"/>
      <c r="TD277" s="72"/>
      <c r="TE277" s="72"/>
      <c r="TF277" s="72"/>
      <c r="TG277" s="72"/>
      <c r="TH277" s="72"/>
    </row>
    <row r="278" spans="1:528" s="69" customFormat="1" ht="16.5" customHeight="1">
      <c r="A278" s="1"/>
      <c r="B278" s="4"/>
      <c r="C278" s="8"/>
      <c r="D278" s="1"/>
      <c r="E278" s="1"/>
      <c r="F278" s="9"/>
      <c r="G278" s="9"/>
      <c r="H278" s="1"/>
      <c r="I278" s="1156" t="s">
        <v>5072</v>
      </c>
      <c r="K278" s="9"/>
      <c r="L278" s="3590" t="s">
        <v>1641</v>
      </c>
      <c r="M278" s="3591"/>
      <c r="N278" s="1"/>
      <c r="O278" s="4"/>
      <c r="P278" s="1"/>
      <c r="Q278" s="657"/>
      <c r="R278" s="657"/>
      <c r="X278" s="356"/>
      <c r="Y278" s="358"/>
      <c r="Z278" s="358"/>
      <c r="AA278" s="358"/>
      <c r="AB278" s="358"/>
      <c r="AC278" s="356"/>
      <c r="AD278" s="358"/>
      <c r="AE278" s="358"/>
      <c r="AF278" s="358"/>
      <c r="AG278" s="358"/>
      <c r="AH278" s="356"/>
      <c r="AI278" s="358"/>
      <c r="AJ278" s="358"/>
      <c r="AK278" s="358"/>
      <c r="AL278" s="358"/>
      <c r="AM278" s="356"/>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358"/>
      <c r="JX278" s="358"/>
      <c r="JY278" s="358"/>
      <c r="JZ278" s="358"/>
      <c r="KA278" s="358"/>
      <c r="KB278" s="358"/>
      <c r="KC278" s="358"/>
      <c r="KD278" s="358"/>
      <c r="KE278" s="358"/>
      <c r="KF278" s="358"/>
      <c r="KG278" s="358"/>
      <c r="KH278" s="358"/>
      <c r="KI278" s="358"/>
      <c r="KJ278" s="358"/>
      <c r="KK278" s="358"/>
      <c r="KL278" s="358"/>
      <c r="KM278" s="358"/>
      <c r="KN278" s="358"/>
      <c r="KO278" s="358"/>
      <c r="KP278" s="358"/>
      <c r="KQ278" s="358"/>
      <c r="KR278" s="358"/>
      <c r="KS278" s="358"/>
      <c r="KT278" s="358"/>
      <c r="KU278" s="358"/>
      <c r="KV278" s="358"/>
      <c r="KW278" s="358"/>
      <c r="KX278" s="358"/>
      <c r="KY278" s="358"/>
      <c r="KZ278" s="358"/>
      <c r="LA278" s="358"/>
      <c r="LB278" s="358"/>
      <c r="LC278" s="358"/>
      <c r="LD278" s="358"/>
      <c r="LE278" s="358"/>
      <c r="LF278" s="1784"/>
      <c r="LG278" s="358"/>
      <c r="LH278" s="358"/>
      <c r="LI278" s="358"/>
      <c r="LJ278" s="358"/>
      <c r="LK278" s="1784"/>
      <c r="LL278" s="358"/>
      <c r="LM278" s="358"/>
      <c r="LN278" s="358"/>
      <c r="LO278" s="358"/>
      <c r="LP278" s="1784"/>
      <c r="LQ278" s="358"/>
      <c r="LR278" s="358"/>
      <c r="LS278" s="358"/>
      <c r="LT278" s="358"/>
      <c r="LU278" s="1784"/>
      <c r="LV278" s="1784"/>
      <c r="LW278" s="1784"/>
      <c r="LX278" s="1784"/>
      <c r="LY278" s="1784"/>
      <c r="LZ278" s="1784"/>
      <c r="MA278" s="1784"/>
      <c r="MB278" s="1784"/>
      <c r="MC278" s="1784"/>
      <c r="MD278" s="1784"/>
      <c r="ME278" s="1784"/>
      <c r="MF278" s="1784"/>
      <c r="MG278" s="1784"/>
      <c r="MH278" s="1784"/>
      <c r="MI278" s="1784"/>
      <c r="MJ278" s="1784"/>
      <c r="MK278" s="1784"/>
      <c r="ML278" s="1784"/>
      <c r="MM278" s="1784"/>
      <c r="MN278" s="1784"/>
      <c r="MO278" s="1784"/>
      <c r="MP278" s="1784"/>
      <c r="MQ278" s="358"/>
      <c r="MR278" s="358"/>
      <c r="MS278" s="358"/>
      <c r="MT278" s="358"/>
      <c r="MU278" s="358"/>
      <c r="MV278" s="358"/>
      <c r="MW278" s="1639"/>
      <c r="MX278" s="358"/>
      <c r="MY278" s="358"/>
      <c r="MZ278" s="358"/>
      <c r="NA278" s="358"/>
      <c r="NB278" s="358"/>
      <c r="NC278" s="358"/>
      <c r="ND278" s="358"/>
      <c r="NE278" s="358"/>
      <c r="NF278" s="358"/>
      <c r="NG278" s="358"/>
      <c r="NH278" s="358"/>
      <c r="NI278" s="358"/>
      <c r="NJ278" s="358"/>
      <c r="NK278" s="358"/>
      <c r="NL278" s="358"/>
      <c r="NM278" s="1639"/>
      <c r="NN278" s="1639"/>
      <c r="NO278" s="358"/>
      <c r="NP278" s="358"/>
      <c r="NQ278" s="358"/>
      <c r="NR278" s="358"/>
      <c r="NS278" s="358"/>
      <c r="NT278" s="358"/>
      <c r="NU278" s="358"/>
      <c r="NV278" s="358"/>
      <c r="NW278" s="358"/>
      <c r="NX278" s="358"/>
      <c r="NY278" s="358"/>
      <c r="NZ278" s="358"/>
      <c r="OA278" s="358"/>
      <c r="OB278" s="358"/>
      <c r="OC278" s="358"/>
      <c r="OD278" s="358"/>
      <c r="OE278" s="358"/>
      <c r="OF278" s="358"/>
      <c r="OG278" s="358"/>
      <c r="OH278" s="358"/>
      <c r="OI278" s="358"/>
      <c r="OJ278" s="358"/>
      <c r="OK278" s="358"/>
      <c r="OL278" s="358"/>
      <c r="OM278" s="358"/>
      <c r="ON278" s="358"/>
      <c r="OO278" s="358"/>
      <c r="OP278" s="358"/>
      <c r="OQ278" s="358"/>
      <c r="OR278" s="358"/>
      <c r="OS278" s="358"/>
      <c r="OT278" s="358"/>
      <c r="OU278" s="358"/>
      <c r="OV278" s="72"/>
      <c r="OW278" s="72"/>
      <c r="OX278" s="72"/>
      <c r="OY278" s="2501"/>
      <c r="OZ278" s="2504">
        <v>274</v>
      </c>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c r="RZ278" s="72"/>
      <c r="SA278" s="72"/>
      <c r="SB278" s="72"/>
      <c r="SC278" s="72"/>
      <c r="SD278" s="72"/>
      <c r="SE278" s="72"/>
      <c r="SF278" s="72"/>
      <c r="SG278" s="72"/>
      <c r="SH278" s="72"/>
      <c r="SI278" s="72"/>
      <c r="SJ278" s="72"/>
      <c r="SK278" s="72"/>
      <c r="SL278" s="72"/>
      <c r="SM278" s="72"/>
      <c r="SN278" s="72"/>
      <c r="SO278" s="72"/>
      <c r="SP278" s="72"/>
      <c r="SQ278" s="72"/>
      <c r="SR278" s="72"/>
      <c r="SS278" s="72"/>
      <c r="ST278" s="72"/>
      <c r="SU278" s="72"/>
      <c r="SV278" s="72"/>
      <c r="SW278" s="72"/>
      <c r="SX278" s="72"/>
      <c r="SY278" s="72"/>
      <c r="SZ278" s="72"/>
      <c r="TA278" s="72"/>
      <c r="TB278" s="72"/>
      <c r="TC278" s="72"/>
      <c r="TD278" s="72"/>
      <c r="TE278" s="72"/>
      <c r="TF278" s="72"/>
      <c r="TG278" s="72"/>
      <c r="TH278" s="72"/>
    </row>
    <row r="279" spans="1:528" s="69" customFormat="1" ht="16.5" customHeight="1">
      <c r="A279" s="1"/>
      <c r="B279" s="4"/>
      <c r="C279" s="8"/>
      <c r="D279" s="1"/>
      <c r="E279" s="1"/>
      <c r="F279" s="9"/>
      <c r="G279" s="9"/>
      <c r="H279" s="1"/>
      <c r="I279" s="1213" t="s">
        <v>5076</v>
      </c>
      <c r="K279" s="9"/>
      <c r="L279" s="3588"/>
      <c r="M279" s="3589"/>
      <c r="N279" s="1"/>
      <c r="O279" s="4"/>
      <c r="P279" s="1"/>
      <c r="Q279" s="657"/>
      <c r="R279" s="657"/>
      <c r="X279" s="356"/>
      <c r="Y279" s="358"/>
      <c r="Z279" s="358"/>
      <c r="AA279" s="358"/>
      <c r="AB279" s="358"/>
      <c r="AC279" s="356"/>
      <c r="AD279" s="358"/>
      <c r="AE279" s="358"/>
      <c r="AF279" s="358"/>
      <c r="AG279" s="358"/>
      <c r="AH279" s="356"/>
      <c r="AI279" s="358"/>
      <c r="AJ279" s="358"/>
      <c r="AK279" s="358"/>
      <c r="AL279" s="358"/>
      <c r="AM279" s="356"/>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358"/>
      <c r="JX279" s="358"/>
      <c r="JY279" s="358"/>
      <c r="JZ279" s="358"/>
      <c r="KA279" s="358"/>
      <c r="KB279" s="358"/>
      <c r="KC279" s="358"/>
      <c r="KD279" s="358"/>
      <c r="KE279" s="358"/>
      <c r="KF279" s="358"/>
      <c r="KG279" s="358"/>
      <c r="KH279" s="358"/>
      <c r="KI279" s="358"/>
      <c r="KJ279" s="358"/>
      <c r="KK279" s="358"/>
      <c r="KL279" s="358"/>
      <c r="KM279" s="358"/>
      <c r="KN279" s="358"/>
      <c r="KO279" s="358"/>
      <c r="KP279" s="358"/>
      <c r="KQ279" s="358"/>
      <c r="KR279" s="358"/>
      <c r="KS279" s="358"/>
      <c r="KT279" s="358"/>
      <c r="KU279" s="358"/>
      <c r="KV279" s="358"/>
      <c r="KW279" s="358"/>
      <c r="KX279" s="358"/>
      <c r="KY279" s="358"/>
      <c r="KZ279" s="358"/>
      <c r="LA279" s="358"/>
      <c r="LB279" s="358"/>
      <c r="LC279" s="358"/>
      <c r="LD279" s="358"/>
      <c r="LE279" s="358"/>
      <c r="LF279" s="1784"/>
      <c r="LG279" s="358"/>
      <c r="LH279" s="358"/>
      <c r="LI279" s="358"/>
      <c r="LJ279" s="358"/>
      <c r="LK279" s="1784"/>
      <c r="LL279" s="358"/>
      <c r="LM279" s="358"/>
      <c r="LN279" s="358"/>
      <c r="LO279" s="358"/>
      <c r="LP279" s="1784"/>
      <c r="LQ279" s="358"/>
      <c r="LR279" s="358"/>
      <c r="LS279" s="358"/>
      <c r="LT279" s="358"/>
      <c r="LU279" s="1784"/>
      <c r="LV279" s="1784"/>
      <c r="LW279" s="1784"/>
      <c r="LX279" s="1784"/>
      <c r="LY279" s="1784"/>
      <c r="LZ279" s="1784"/>
      <c r="MA279" s="1784"/>
      <c r="MB279" s="1784"/>
      <c r="MC279" s="1784"/>
      <c r="MD279" s="1784"/>
      <c r="ME279" s="1784"/>
      <c r="MF279" s="1784"/>
      <c r="MG279" s="1784"/>
      <c r="MH279" s="1784"/>
      <c r="MI279" s="1784"/>
      <c r="MJ279" s="1784"/>
      <c r="MK279" s="1784"/>
      <c r="ML279" s="1784"/>
      <c r="MM279" s="1784"/>
      <c r="MN279" s="1784"/>
      <c r="MO279" s="1784"/>
      <c r="MP279" s="1784"/>
      <c r="MQ279" s="358"/>
      <c r="MR279" s="358"/>
      <c r="MS279" s="358"/>
      <c r="MT279" s="358"/>
      <c r="MU279" s="358"/>
      <c r="MV279" s="358"/>
      <c r="MW279" s="1639"/>
      <c r="MX279" s="358"/>
      <c r="MY279" s="358"/>
      <c r="MZ279" s="358"/>
      <c r="NA279" s="358"/>
      <c r="NB279" s="358"/>
      <c r="NC279" s="358"/>
      <c r="ND279" s="358"/>
      <c r="NE279" s="358"/>
      <c r="NF279" s="358"/>
      <c r="NG279" s="358"/>
      <c r="NH279" s="358"/>
      <c r="NI279" s="358"/>
      <c r="NJ279" s="358"/>
      <c r="NK279" s="358"/>
      <c r="NL279" s="358"/>
      <c r="NM279" s="1639"/>
      <c r="NN279" s="1639"/>
      <c r="NO279" s="358"/>
      <c r="NP279" s="358"/>
      <c r="NQ279" s="358"/>
      <c r="NR279" s="358"/>
      <c r="NS279" s="358"/>
      <c r="NT279" s="358"/>
      <c r="NU279" s="358"/>
      <c r="NV279" s="358"/>
      <c r="NW279" s="358"/>
      <c r="NX279" s="358"/>
      <c r="NY279" s="358"/>
      <c r="NZ279" s="358"/>
      <c r="OA279" s="358"/>
      <c r="OB279" s="358"/>
      <c r="OC279" s="358"/>
      <c r="OD279" s="358"/>
      <c r="OE279" s="358"/>
      <c r="OF279" s="358"/>
      <c r="OG279" s="358"/>
      <c r="OH279" s="358"/>
      <c r="OI279" s="358"/>
      <c r="OJ279" s="358"/>
      <c r="OK279" s="358"/>
      <c r="OL279" s="358"/>
      <c r="OM279" s="358"/>
      <c r="ON279" s="358"/>
      <c r="OO279" s="358"/>
      <c r="OP279" s="358"/>
      <c r="OQ279" s="358"/>
      <c r="OR279" s="358"/>
      <c r="OS279" s="358"/>
      <c r="OT279" s="358"/>
      <c r="OU279" s="358"/>
      <c r="OV279" s="72"/>
      <c r="OW279" s="72"/>
      <c r="OX279" s="72"/>
      <c r="OY279" s="2501"/>
      <c r="OZ279" s="2506">
        <v>275</v>
      </c>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c r="RZ279" s="72"/>
      <c r="SA279" s="72"/>
      <c r="SB279" s="72"/>
      <c r="SC279" s="72"/>
      <c r="SD279" s="72"/>
      <c r="SE279" s="72"/>
      <c r="SF279" s="72"/>
      <c r="SG279" s="72"/>
      <c r="SH279" s="72"/>
      <c r="SI279" s="72"/>
      <c r="SJ279" s="72"/>
      <c r="SK279" s="72"/>
      <c r="SL279" s="72"/>
      <c r="SM279" s="72"/>
      <c r="SN279" s="72"/>
      <c r="SO279" s="72"/>
      <c r="SP279" s="72"/>
      <c r="SQ279" s="72"/>
      <c r="SR279" s="72"/>
      <c r="SS279" s="72"/>
      <c r="ST279" s="72"/>
      <c r="SU279" s="72"/>
      <c r="SV279" s="72"/>
      <c r="SW279" s="72"/>
      <c r="SX279" s="72"/>
      <c r="SY279" s="72"/>
      <c r="SZ279" s="72"/>
      <c r="TA279" s="72"/>
      <c r="TB279" s="72"/>
      <c r="TC279" s="72"/>
      <c r="TD279" s="72"/>
      <c r="TE279" s="72"/>
      <c r="TF279" s="72"/>
      <c r="TG279" s="72"/>
      <c r="TH279" s="72"/>
    </row>
    <row r="280" spans="1:528" s="69" customFormat="1" ht="16.5" customHeight="1">
      <c r="A280" s="1"/>
      <c r="B280" s="4"/>
      <c r="C280" s="8"/>
      <c r="D280" s="1"/>
      <c r="E280" s="1"/>
      <c r="F280" s="9"/>
      <c r="G280" s="9"/>
      <c r="H280" s="1"/>
      <c r="I280" s="72" t="s">
        <v>3777</v>
      </c>
      <c r="K280" s="9"/>
      <c r="L280" s="3594"/>
      <c r="M280" s="3595"/>
      <c r="N280" s="1"/>
      <c r="O280" s="4"/>
      <c r="P280" s="1"/>
      <c r="Q280" s="657"/>
      <c r="R280" s="657"/>
      <c r="X280" s="356"/>
      <c r="Y280" s="358"/>
      <c r="Z280" s="358"/>
      <c r="AA280" s="358"/>
      <c r="AB280" s="358"/>
      <c r="AC280" s="356"/>
      <c r="AD280" s="358"/>
      <c r="AE280" s="358"/>
      <c r="AF280" s="358"/>
      <c r="AG280" s="358"/>
      <c r="AH280" s="356"/>
      <c r="AI280" s="358"/>
      <c r="AJ280" s="358"/>
      <c r="AK280" s="358"/>
      <c r="AL280" s="358"/>
      <c r="AM280" s="356"/>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358"/>
      <c r="JX280" s="358"/>
      <c r="JY280" s="358"/>
      <c r="JZ280" s="358"/>
      <c r="KA280" s="358"/>
      <c r="KB280" s="358"/>
      <c r="KC280" s="358"/>
      <c r="KD280" s="358"/>
      <c r="KE280" s="358"/>
      <c r="KF280" s="358"/>
      <c r="KG280" s="358"/>
      <c r="KH280" s="358"/>
      <c r="KI280" s="358"/>
      <c r="KJ280" s="358"/>
      <c r="KK280" s="358"/>
      <c r="KL280" s="358"/>
      <c r="KM280" s="358"/>
      <c r="KN280" s="358"/>
      <c r="KO280" s="358"/>
      <c r="KP280" s="358"/>
      <c r="KQ280" s="358"/>
      <c r="KR280" s="358"/>
      <c r="KS280" s="358"/>
      <c r="KT280" s="358"/>
      <c r="KU280" s="358"/>
      <c r="KV280" s="358"/>
      <c r="KW280" s="358"/>
      <c r="KX280" s="358"/>
      <c r="KY280" s="358"/>
      <c r="KZ280" s="358"/>
      <c r="LA280" s="358"/>
      <c r="LB280" s="358"/>
      <c r="LC280" s="358"/>
      <c r="LD280" s="358"/>
      <c r="LE280" s="358"/>
      <c r="LF280" s="1784"/>
      <c r="LG280" s="358"/>
      <c r="LH280" s="358"/>
      <c r="LI280" s="358"/>
      <c r="LJ280" s="358"/>
      <c r="LK280" s="1784"/>
      <c r="LL280" s="358"/>
      <c r="LM280" s="358"/>
      <c r="LN280" s="358"/>
      <c r="LO280" s="358"/>
      <c r="LP280" s="1784"/>
      <c r="LQ280" s="358"/>
      <c r="LR280" s="358"/>
      <c r="LS280" s="358"/>
      <c r="LT280" s="358"/>
      <c r="LU280" s="1784"/>
      <c r="LV280" s="1784"/>
      <c r="LW280" s="1784"/>
      <c r="LX280" s="1784"/>
      <c r="LY280" s="1784"/>
      <c r="LZ280" s="1784"/>
      <c r="MA280" s="1784"/>
      <c r="MB280" s="1784"/>
      <c r="MC280" s="1784"/>
      <c r="MD280" s="1784"/>
      <c r="ME280" s="1784"/>
      <c r="MF280" s="1784"/>
      <c r="MG280" s="1784"/>
      <c r="MH280" s="1784"/>
      <c r="MI280" s="1784"/>
      <c r="MJ280" s="1784"/>
      <c r="MK280" s="1784"/>
      <c r="ML280" s="1784"/>
      <c r="MM280" s="1784"/>
      <c r="MN280" s="1784"/>
      <c r="MO280" s="1784"/>
      <c r="MP280" s="1784"/>
      <c r="MQ280" s="358"/>
      <c r="MR280" s="358"/>
      <c r="MS280" s="358"/>
      <c r="MT280" s="358"/>
      <c r="MU280" s="358"/>
      <c r="MV280" s="358"/>
      <c r="MW280" s="1639"/>
      <c r="MX280" s="358"/>
      <c r="MY280" s="358"/>
      <c r="MZ280" s="358"/>
      <c r="NA280" s="358"/>
      <c r="NB280" s="358"/>
      <c r="NC280" s="358"/>
      <c r="ND280" s="358"/>
      <c r="NE280" s="358"/>
      <c r="NF280" s="358"/>
      <c r="NG280" s="358"/>
      <c r="NH280" s="358"/>
      <c r="NI280" s="358"/>
      <c r="NJ280" s="358"/>
      <c r="NK280" s="358"/>
      <c r="NL280" s="358"/>
      <c r="NM280" s="1639"/>
      <c r="NN280" s="1639"/>
      <c r="NO280" s="358"/>
      <c r="NP280" s="358"/>
      <c r="NQ280" s="358"/>
      <c r="NR280" s="358"/>
      <c r="NS280" s="358"/>
      <c r="NT280" s="358"/>
      <c r="NU280" s="358"/>
      <c r="NV280" s="358"/>
      <c r="NW280" s="358"/>
      <c r="NX280" s="358"/>
      <c r="NY280" s="358"/>
      <c r="NZ280" s="358"/>
      <c r="OA280" s="358"/>
      <c r="OB280" s="358"/>
      <c r="OC280" s="358"/>
      <c r="OD280" s="358"/>
      <c r="OE280" s="358"/>
      <c r="OF280" s="358"/>
      <c r="OG280" s="358"/>
      <c r="OH280" s="358"/>
      <c r="OI280" s="358"/>
      <c r="OJ280" s="358"/>
      <c r="OK280" s="358"/>
      <c r="OL280" s="358"/>
      <c r="OM280" s="358"/>
      <c r="ON280" s="358"/>
      <c r="OO280" s="358"/>
      <c r="OP280" s="358"/>
      <c r="OQ280" s="358"/>
      <c r="OR280" s="358"/>
      <c r="OS280" s="358"/>
      <c r="OT280" s="358"/>
      <c r="OU280" s="358"/>
      <c r="OV280" s="72"/>
      <c r="OW280" s="72"/>
      <c r="OX280" s="72"/>
      <c r="OY280" s="2501"/>
      <c r="OZ280" s="2504">
        <v>276</v>
      </c>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c r="RZ280" s="72"/>
      <c r="SA280" s="72"/>
      <c r="SB280" s="72"/>
      <c r="SC280" s="72"/>
      <c r="SD280" s="72"/>
      <c r="SE280" s="72"/>
      <c r="SF280" s="72"/>
      <c r="SG280" s="72"/>
      <c r="SH280" s="72"/>
      <c r="SI280" s="72"/>
      <c r="SJ280" s="72"/>
      <c r="SK280" s="72"/>
      <c r="SL280" s="72"/>
      <c r="SM280" s="72"/>
      <c r="SN280" s="72"/>
      <c r="SO280" s="72"/>
      <c r="SP280" s="72"/>
      <c r="SQ280" s="72"/>
      <c r="SR280" s="72"/>
      <c r="SS280" s="72"/>
      <c r="ST280" s="72"/>
      <c r="SU280" s="72"/>
      <c r="SV280" s="72"/>
      <c r="SW280" s="72"/>
      <c r="SX280" s="72"/>
      <c r="SY280" s="72"/>
      <c r="SZ280" s="72"/>
      <c r="TA280" s="72"/>
      <c r="TB280" s="72"/>
      <c r="TC280" s="72"/>
      <c r="TD280" s="72"/>
      <c r="TE280" s="72"/>
      <c r="TF280" s="72"/>
      <c r="TG280" s="72"/>
      <c r="TH280" s="72"/>
    </row>
    <row r="281" spans="1:528" s="69" customFormat="1" ht="16.5" customHeight="1">
      <c r="A281" s="1"/>
      <c r="B281" s="4"/>
      <c r="C281" s="8"/>
      <c r="D281" s="1"/>
      <c r="E281" s="1"/>
      <c r="F281" s="9"/>
      <c r="G281" s="9"/>
      <c r="H281" s="1"/>
      <c r="I281" s="1"/>
      <c r="J281" s="1"/>
      <c r="K281" s="9"/>
      <c r="L281" s="1"/>
      <c r="M281" s="1"/>
      <c r="N281" s="1"/>
      <c r="O281" s="4"/>
      <c r="P281" s="1"/>
      <c r="Q281" s="657"/>
      <c r="R281" s="657"/>
      <c r="X281" s="356"/>
      <c r="Y281" s="358"/>
      <c r="Z281" s="358"/>
      <c r="AA281" s="358"/>
      <c r="AB281" s="358"/>
      <c r="AC281" s="356"/>
      <c r="AD281" s="358"/>
      <c r="AE281" s="358"/>
      <c r="AF281" s="358"/>
      <c r="AG281" s="358"/>
      <c r="AH281" s="356"/>
      <c r="AI281" s="358"/>
      <c r="AJ281" s="358"/>
      <c r="AK281" s="358"/>
      <c r="AL281" s="358"/>
      <c r="AM281" s="356"/>
      <c r="AN281" s="358"/>
      <c r="AO281" s="358"/>
      <c r="AP281" s="358"/>
      <c r="AQ281" s="358"/>
      <c r="AR281" s="358"/>
      <c r="AS281" s="358"/>
      <c r="AT281" s="358"/>
      <c r="AU281" s="358"/>
      <c r="AV281" s="358"/>
      <c r="AW281" s="358"/>
      <c r="AX281" s="358"/>
      <c r="AY281" s="358"/>
      <c r="AZ281" s="358"/>
      <c r="BA281" s="358"/>
      <c r="BB281" s="358"/>
      <c r="BC281" s="358"/>
      <c r="BD281" s="358"/>
      <c r="BE281" s="358"/>
      <c r="BF281" s="358"/>
      <c r="BG281" s="358"/>
      <c r="BH281" s="358"/>
      <c r="BI281" s="358"/>
      <c r="BJ281" s="358"/>
      <c r="BK281" s="358"/>
      <c r="BL281" s="358"/>
      <c r="BM281" s="358"/>
      <c r="BN281" s="358"/>
      <c r="BO281" s="358"/>
      <c r="BP281" s="358"/>
      <c r="BQ281" s="358"/>
      <c r="BR281" s="358"/>
      <c r="BS281" s="358"/>
      <c r="BT281" s="358"/>
      <c r="BU281" s="358"/>
      <c r="BV281" s="358"/>
      <c r="BW281" s="358"/>
      <c r="BX281" s="358"/>
      <c r="BY281" s="358"/>
      <c r="BZ281" s="358"/>
      <c r="CA281" s="358"/>
      <c r="CB281" s="358"/>
      <c r="CC281" s="358"/>
      <c r="CD281" s="358"/>
      <c r="CE281" s="358"/>
      <c r="CF281" s="358"/>
      <c r="CG281" s="358"/>
      <c r="CH281" s="358"/>
      <c r="CI281" s="358"/>
      <c r="CJ281" s="358"/>
      <c r="CK281" s="358"/>
      <c r="CL281" s="358"/>
      <c r="CM281" s="358"/>
      <c r="CN281" s="358"/>
      <c r="CO281" s="358"/>
      <c r="CP281" s="358"/>
      <c r="CQ281" s="358"/>
      <c r="CR281" s="358"/>
      <c r="CS281" s="358"/>
      <c r="CT281" s="358"/>
      <c r="CU281" s="358"/>
      <c r="CV281" s="358"/>
      <c r="CW281" s="358"/>
      <c r="CX281" s="358"/>
      <c r="CY281" s="358"/>
      <c r="CZ281" s="358"/>
      <c r="DA281" s="358"/>
      <c r="DB281" s="358"/>
      <c r="DC281" s="358"/>
      <c r="DD281" s="358"/>
      <c r="DE281" s="358"/>
      <c r="DF281" s="358"/>
      <c r="DG281" s="358"/>
      <c r="DH281" s="358"/>
      <c r="DI281" s="358"/>
      <c r="DJ281" s="358"/>
      <c r="DK281" s="358"/>
      <c r="DL281" s="358"/>
      <c r="DM281" s="358"/>
      <c r="DN281" s="358"/>
      <c r="DO281" s="358"/>
      <c r="DP281" s="358"/>
      <c r="DQ281" s="358"/>
      <c r="DR281" s="358"/>
      <c r="DS281" s="358"/>
      <c r="DT281" s="358"/>
      <c r="DU281" s="358"/>
      <c r="DV281" s="358"/>
      <c r="DW281" s="358"/>
      <c r="DX281" s="358"/>
      <c r="DY281" s="358"/>
      <c r="DZ281" s="358"/>
      <c r="EA281" s="358"/>
      <c r="EB281" s="358"/>
      <c r="EC281" s="358"/>
      <c r="ED281" s="358"/>
      <c r="EE281" s="358"/>
      <c r="EF281" s="358"/>
      <c r="EG281" s="358"/>
      <c r="EH281" s="358"/>
      <c r="EI281" s="358"/>
      <c r="EJ281" s="358"/>
      <c r="EK281" s="358"/>
      <c r="EL281" s="358"/>
      <c r="EM281" s="358"/>
      <c r="EN281" s="358"/>
      <c r="EO281" s="358"/>
      <c r="EP281" s="358"/>
      <c r="EQ281" s="358"/>
      <c r="ER281" s="358"/>
      <c r="ES281" s="358"/>
      <c r="ET281" s="358"/>
      <c r="EU281" s="358"/>
      <c r="EV281" s="358"/>
      <c r="EW281" s="358"/>
      <c r="EX281" s="358"/>
      <c r="EY281" s="358"/>
      <c r="EZ281" s="358"/>
      <c r="FA281" s="358"/>
      <c r="FB281" s="358"/>
      <c r="FC281" s="358"/>
      <c r="FD281" s="358"/>
      <c r="FE281" s="358"/>
      <c r="FF281" s="358"/>
      <c r="FG281" s="358"/>
      <c r="FH281" s="358"/>
      <c r="FI281" s="358"/>
      <c r="FJ281" s="358"/>
      <c r="FK281" s="358"/>
      <c r="FL281" s="358"/>
      <c r="FM281" s="358"/>
      <c r="FN281" s="358"/>
      <c r="FO281" s="358"/>
      <c r="FP281" s="358"/>
      <c r="FQ281" s="358"/>
      <c r="FR281" s="358"/>
      <c r="FS281" s="358"/>
      <c r="FT281" s="358"/>
      <c r="FU281" s="358"/>
      <c r="FV281" s="358"/>
      <c r="FW281" s="358"/>
      <c r="FX281" s="358"/>
      <c r="FY281" s="358"/>
      <c r="FZ281" s="358"/>
      <c r="GA281" s="358"/>
      <c r="GB281" s="358"/>
      <c r="GC281" s="358"/>
      <c r="GD281" s="358"/>
      <c r="GE281" s="358"/>
      <c r="GF281" s="358"/>
      <c r="GG281" s="358"/>
      <c r="GH281" s="358"/>
      <c r="GI281" s="358"/>
      <c r="GJ281" s="358"/>
      <c r="GK281" s="358"/>
      <c r="GL281" s="358"/>
      <c r="GM281" s="358"/>
      <c r="GN281" s="358"/>
      <c r="GO281" s="358"/>
      <c r="GP281" s="358"/>
      <c r="GQ281" s="358"/>
      <c r="GR281" s="358"/>
      <c r="GS281" s="358"/>
      <c r="GT281" s="358"/>
      <c r="GU281" s="358"/>
      <c r="GV281" s="358"/>
      <c r="GW281" s="358"/>
      <c r="GX281" s="358"/>
      <c r="GY281" s="358"/>
      <c r="GZ281" s="358"/>
      <c r="HA281" s="358"/>
      <c r="HB281" s="358"/>
      <c r="HC281" s="358"/>
      <c r="HD281" s="358"/>
      <c r="HE281" s="358"/>
      <c r="HF281" s="358"/>
      <c r="HG281" s="358"/>
      <c r="HH281" s="358"/>
      <c r="HI281" s="358"/>
      <c r="HJ281" s="358"/>
      <c r="HK281" s="358"/>
      <c r="HL281" s="358"/>
      <c r="HM281" s="358"/>
      <c r="HN281" s="358"/>
      <c r="HO281" s="358"/>
      <c r="HP281" s="358"/>
      <c r="HQ281" s="358"/>
      <c r="HR281" s="358"/>
      <c r="HS281" s="358"/>
      <c r="HT281" s="358"/>
      <c r="HU281" s="358"/>
      <c r="HV281" s="358"/>
      <c r="HW281" s="358"/>
      <c r="HX281" s="358"/>
      <c r="HY281" s="358"/>
      <c r="HZ281" s="358"/>
      <c r="IA281" s="358"/>
      <c r="IB281" s="358"/>
      <c r="IC281" s="358"/>
      <c r="ID281" s="358"/>
      <c r="IE281" s="358"/>
      <c r="IF281" s="358"/>
      <c r="IG281" s="358"/>
      <c r="IH281" s="358"/>
      <c r="II281" s="358"/>
      <c r="IJ281" s="358"/>
      <c r="IK281" s="358"/>
      <c r="IL281" s="358"/>
      <c r="IM281" s="358"/>
      <c r="IN281" s="358"/>
      <c r="IO281" s="358"/>
      <c r="IP281" s="358"/>
      <c r="IQ281" s="358"/>
      <c r="IR281" s="358"/>
      <c r="IS281" s="358"/>
      <c r="IT281" s="358"/>
      <c r="IU281" s="358"/>
      <c r="IV281" s="358"/>
      <c r="IW281" s="358"/>
      <c r="IX281" s="358"/>
      <c r="IY281" s="358"/>
      <c r="IZ281" s="358"/>
      <c r="JA281" s="358"/>
      <c r="JB281" s="358"/>
      <c r="JC281" s="358"/>
      <c r="JD281" s="358"/>
      <c r="JE281" s="358"/>
      <c r="JF281" s="358"/>
      <c r="JG281" s="358"/>
      <c r="JH281" s="358"/>
      <c r="JI281" s="358"/>
      <c r="JJ281" s="358"/>
      <c r="JK281" s="358"/>
      <c r="JL281" s="358"/>
      <c r="JM281" s="358"/>
      <c r="JN281" s="358"/>
      <c r="JO281" s="358"/>
      <c r="JP281" s="358"/>
      <c r="JQ281" s="358"/>
      <c r="JR281" s="358"/>
      <c r="JS281" s="358"/>
      <c r="JT281" s="358"/>
      <c r="JU281" s="358"/>
      <c r="JV281" s="358"/>
      <c r="JW281" s="358"/>
      <c r="JX281" s="358"/>
      <c r="JY281" s="358"/>
      <c r="JZ281" s="358"/>
      <c r="KA281" s="358"/>
      <c r="KB281" s="358"/>
      <c r="KC281" s="358"/>
      <c r="KD281" s="358"/>
      <c r="KE281" s="358"/>
      <c r="KF281" s="358"/>
      <c r="KG281" s="358"/>
      <c r="KH281" s="358"/>
      <c r="KI281" s="358"/>
      <c r="KJ281" s="358"/>
      <c r="KK281" s="358"/>
      <c r="KL281" s="358"/>
      <c r="KM281" s="358"/>
      <c r="KN281" s="358"/>
      <c r="KO281" s="358"/>
      <c r="KP281" s="358"/>
      <c r="KQ281" s="358"/>
      <c r="KR281" s="358"/>
      <c r="KS281" s="358"/>
      <c r="KT281" s="358"/>
      <c r="KU281" s="358"/>
      <c r="KV281" s="358"/>
      <c r="KW281" s="358"/>
      <c r="KX281" s="358"/>
      <c r="KY281" s="358"/>
      <c r="KZ281" s="358"/>
      <c r="LA281" s="358"/>
      <c r="LB281" s="358"/>
      <c r="LC281" s="358"/>
      <c r="LD281" s="358"/>
      <c r="LE281" s="358"/>
      <c r="LF281" s="1784"/>
      <c r="LG281" s="358"/>
      <c r="LH281" s="358"/>
      <c r="LI281" s="358"/>
      <c r="LJ281" s="358"/>
      <c r="LK281" s="1784"/>
      <c r="LL281" s="358"/>
      <c r="LM281" s="358"/>
      <c r="LN281" s="358"/>
      <c r="LO281" s="358"/>
      <c r="LP281" s="1784"/>
      <c r="LQ281" s="358"/>
      <c r="LR281" s="358"/>
      <c r="LS281" s="358"/>
      <c r="LT281" s="358"/>
      <c r="LU281" s="1784"/>
      <c r="LV281" s="1784"/>
      <c r="LW281" s="1784"/>
      <c r="LX281" s="1784"/>
      <c r="LY281" s="1784"/>
      <c r="LZ281" s="1784"/>
      <c r="MA281" s="1784"/>
      <c r="MB281" s="1784"/>
      <c r="MC281" s="1784"/>
      <c r="MD281" s="1784"/>
      <c r="ME281" s="1784"/>
      <c r="MF281" s="1784"/>
      <c r="MG281" s="1784"/>
      <c r="MH281" s="1784"/>
      <c r="MI281" s="1784"/>
      <c r="MJ281" s="1784"/>
      <c r="MK281" s="1784"/>
      <c r="ML281" s="1784"/>
      <c r="MM281" s="1784"/>
      <c r="MN281" s="1784"/>
      <c r="MO281" s="1784"/>
      <c r="MP281" s="1784"/>
      <c r="MQ281" s="358"/>
      <c r="MR281" s="358"/>
      <c r="MS281" s="358"/>
      <c r="MT281" s="358"/>
      <c r="MU281" s="358"/>
      <c r="MV281" s="358"/>
      <c r="MW281" s="1639"/>
      <c r="MX281" s="358"/>
      <c r="MY281" s="358"/>
      <c r="MZ281" s="358"/>
      <c r="NA281" s="358"/>
      <c r="NB281" s="358"/>
      <c r="NC281" s="358"/>
      <c r="ND281" s="358"/>
      <c r="NE281" s="358"/>
      <c r="NF281" s="358"/>
      <c r="NG281" s="358"/>
      <c r="NH281" s="358"/>
      <c r="NI281" s="358"/>
      <c r="NJ281" s="358"/>
      <c r="NK281" s="358"/>
      <c r="NL281" s="358"/>
      <c r="NM281" s="1639"/>
      <c r="NN281" s="1639"/>
      <c r="NO281" s="358"/>
      <c r="NP281" s="358"/>
      <c r="NQ281" s="358"/>
      <c r="NR281" s="358"/>
      <c r="NS281" s="358"/>
      <c r="NT281" s="358"/>
      <c r="NU281" s="358"/>
      <c r="NV281" s="358"/>
      <c r="NW281" s="358"/>
      <c r="NX281" s="358"/>
      <c r="NY281" s="358"/>
      <c r="NZ281" s="358"/>
      <c r="OA281" s="358"/>
      <c r="OB281" s="358"/>
      <c r="OC281" s="358"/>
      <c r="OD281" s="358"/>
      <c r="OE281" s="358"/>
      <c r="OF281" s="358"/>
      <c r="OG281" s="358"/>
      <c r="OH281" s="358"/>
      <c r="OI281" s="358"/>
      <c r="OJ281" s="358"/>
      <c r="OK281" s="358"/>
      <c r="OL281" s="358"/>
      <c r="OM281" s="358"/>
      <c r="ON281" s="358"/>
      <c r="OO281" s="358"/>
      <c r="OP281" s="358"/>
      <c r="OQ281" s="358"/>
      <c r="OR281" s="358"/>
      <c r="OS281" s="358"/>
      <c r="OT281" s="358"/>
      <c r="OU281" s="358"/>
      <c r="OV281" s="72"/>
      <c r="OW281" s="72"/>
      <c r="OX281" s="72"/>
      <c r="OY281" s="2501"/>
      <c r="OZ281" s="2504">
        <v>277</v>
      </c>
      <c r="PA281" s="72"/>
      <c r="PB281" s="72"/>
      <c r="PC281" s="72"/>
      <c r="PD281" s="72"/>
      <c r="PE281" s="72"/>
      <c r="PF281" s="72"/>
      <c r="PG281" s="72"/>
      <c r="PH281" s="72"/>
      <c r="PI281" s="72"/>
      <c r="PJ281" s="72"/>
      <c r="PK281" s="72"/>
      <c r="PL281" s="72"/>
      <c r="PM281" s="72"/>
      <c r="PN281" s="72"/>
      <c r="PO281" s="72"/>
      <c r="PP281" s="72"/>
      <c r="PQ281" s="72"/>
      <c r="PR281" s="72"/>
      <c r="PS281" s="72"/>
      <c r="PT281" s="72"/>
      <c r="PU281" s="72"/>
      <c r="PV281" s="72"/>
      <c r="PW281" s="72"/>
      <c r="PX281" s="72"/>
      <c r="PY281" s="72"/>
      <c r="PZ281" s="72"/>
      <c r="QA281" s="72"/>
      <c r="QB281" s="72"/>
      <c r="QC281" s="72"/>
      <c r="QD281" s="72"/>
      <c r="QE281" s="72"/>
      <c r="QF281" s="72"/>
      <c r="QG281" s="72"/>
      <c r="QH281" s="72"/>
      <c r="QI281" s="72"/>
      <c r="QJ281" s="72"/>
      <c r="QK281" s="72"/>
      <c r="QL281" s="72"/>
      <c r="QM281" s="72"/>
      <c r="QN281" s="72"/>
      <c r="QO281" s="72"/>
      <c r="QP281" s="72"/>
      <c r="QQ281" s="72"/>
      <c r="QR281" s="72"/>
      <c r="QS281" s="72"/>
      <c r="QT281" s="72"/>
      <c r="QU281" s="72"/>
      <c r="QV281" s="72"/>
      <c r="QW281" s="72"/>
      <c r="QX281" s="72"/>
      <c r="QY281" s="72"/>
      <c r="QZ281" s="72"/>
      <c r="RA281" s="72"/>
      <c r="RB281" s="72"/>
      <c r="RC281" s="72"/>
      <c r="RD281" s="72"/>
      <c r="RE281" s="72"/>
      <c r="RF281" s="72"/>
      <c r="RG281" s="72"/>
      <c r="RH281" s="72"/>
      <c r="RI281" s="72"/>
      <c r="RJ281" s="72"/>
      <c r="RK281" s="72"/>
      <c r="RL281" s="72"/>
      <c r="RM281" s="72"/>
      <c r="RN281" s="72"/>
      <c r="RO281" s="72"/>
      <c r="RP281" s="72"/>
      <c r="RQ281" s="72"/>
      <c r="RR281" s="72"/>
      <c r="RS281" s="72"/>
      <c r="RT281" s="72"/>
      <c r="RU281" s="72"/>
      <c r="RV281" s="72"/>
      <c r="RW281" s="72"/>
      <c r="RX281" s="72"/>
      <c r="RY281" s="72"/>
      <c r="RZ281" s="72"/>
      <c r="SA281" s="72"/>
      <c r="SB281" s="72"/>
      <c r="SC281" s="72"/>
      <c r="SD281" s="72"/>
      <c r="SE281" s="72"/>
      <c r="SF281" s="72"/>
      <c r="SG281" s="72"/>
      <c r="SH281" s="72"/>
      <c r="SI281" s="72"/>
      <c r="SJ281" s="72"/>
      <c r="SK281" s="72"/>
      <c r="SL281" s="72"/>
      <c r="SM281" s="72"/>
      <c r="SN281" s="72"/>
      <c r="SO281" s="72"/>
      <c r="SP281" s="72"/>
      <c r="SQ281" s="72"/>
      <c r="SR281" s="72"/>
      <c r="SS281" s="72"/>
      <c r="ST281" s="72"/>
      <c r="SU281" s="72"/>
      <c r="SV281" s="72"/>
      <c r="SW281" s="72"/>
      <c r="SX281" s="72"/>
      <c r="SY281" s="72"/>
      <c r="SZ281" s="72"/>
      <c r="TA281" s="72"/>
      <c r="TB281" s="72"/>
      <c r="TC281" s="72"/>
      <c r="TD281" s="72"/>
      <c r="TE281" s="72"/>
      <c r="TF281" s="72"/>
      <c r="TG281" s="72"/>
      <c r="TH281" s="72"/>
    </row>
    <row r="282" spans="1:528" ht="12" customHeight="1">
      <c r="A282" s="10" t="s">
        <v>3746</v>
      </c>
      <c r="B282" s="10" t="s">
        <v>529</v>
      </c>
      <c r="N282" s="10" t="s">
        <v>4535</v>
      </c>
      <c r="O282" s="10"/>
      <c r="OY282" s="2501"/>
      <c r="OZ282" s="2503">
        <v>278</v>
      </c>
    </row>
    <row r="283" spans="1:528" ht="409.5" customHeight="1">
      <c r="A283" s="3568" t="s">
        <v>5251</v>
      </c>
      <c r="B283" s="3568"/>
      <c r="C283" s="3568"/>
      <c r="D283" s="3568"/>
      <c r="E283" s="3568"/>
      <c r="F283" s="3568"/>
      <c r="G283" s="3568"/>
      <c r="H283" s="3568"/>
      <c r="I283" s="3568"/>
      <c r="J283" s="3568"/>
      <c r="K283" s="3568"/>
      <c r="L283" s="3568"/>
      <c r="M283" s="3568"/>
      <c r="N283" s="3569"/>
      <c r="O283" s="3569"/>
      <c r="P283" s="3569"/>
      <c r="Q283" s="3569"/>
      <c r="R283" s="3028" t="s">
        <v>3283</v>
      </c>
      <c r="S283" s="3024"/>
      <c r="T283" s="3024"/>
      <c r="U283" s="3024"/>
      <c r="OY283" s="2501"/>
      <c r="OZ283" s="2504">
        <v>279</v>
      </c>
    </row>
    <row r="284" spans="1:528" ht="11.25" customHeight="1">
      <c r="OY284" s="2501"/>
      <c r="OZ284" s="2504">
        <v>280</v>
      </c>
    </row>
    <row r="285" spans="1:528" ht="12" customHeight="1">
      <c r="OY285" s="2501"/>
      <c r="OZ285" s="2504">
        <v>281</v>
      </c>
    </row>
    <row r="286" spans="1:528" ht="12" customHeight="1">
      <c r="OY286" s="2501"/>
      <c r="OZ286" s="2504">
        <v>282</v>
      </c>
    </row>
    <row r="287" spans="1:528" ht="14.1" customHeight="1">
      <c r="OY287" s="2501"/>
      <c r="OZ287" s="2504">
        <v>283</v>
      </c>
    </row>
    <row r="288" spans="1:528" s="69" customFormat="1" ht="14.1" customHeight="1">
      <c r="A288" s="1"/>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358"/>
      <c r="JX288" s="358"/>
      <c r="JY288" s="358"/>
      <c r="JZ288" s="358"/>
      <c r="KA288" s="358"/>
      <c r="KB288" s="358"/>
      <c r="KC288" s="358"/>
      <c r="KD288" s="358"/>
      <c r="KE288" s="358"/>
      <c r="KF288" s="358"/>
      <c r="KG288" s="358"/>
      <c r="KH288" s="358"/>
      <c r="KI288" s="358"/>
      <c r="KJ288" s="358"/>
      <c r="KK288" s="358"/>
      <c r="KL288" s="358"/>
      <c r="KM288" s="358"/>
      <c r="KN288" s="358"/>
      <c r="KO288" s="358"/>
      <c r="KP288" s="358"/>
      <c r="KQ288" s="358"/>
      <c r="KR288" s="358"/>
      <c r="KS288" s="358"/>
      <c r="KT288" s="358"/>
      <c r="KU288" s="358"/>
      <c r="KV288" s="358"/>
      <c r="KW288" s="358"/>
      <c r="KX288" s="358"/>
      <c r="KY288" s="358"/>
      <c r="KZ288" s="358"/>
      <c r="LA288" s="358"/>
      <c r="LB288" s="358"/>
      <c r="LC288" s="358"/>
      <c r="LD288" s="358"/>
      <c r="LE288" s="358"/>
      <c r="LF288" s="1784"/>
      <c r="LG288" s="358"/>
      <c r="LH288" s="358"/>
      <c r="LI288" s="358"/>
      <c r="LJ288" s="358"/>
      <c r="LK288" s="1784"/>
      <c r="LL288" s="358"/>
      <c r="LM288" s="358"/>
      <c r="LN288" s="358"/>
      <c r="LO288" s="358"/>
      <c r="LP288" s="1784"/>
      <c r="LQ288" s="358"/>
      <c r="LR288" s="358"/>
      <c r="LS288" s="358"/>
      <c r="LT288" s="358"/>
      <c r="LU288" s="1784"/>
      <c r="LV288" s="1784"/>
      <c r="LW288" s="1784"/>
      <c r="LX288" s="1784"/>
      <c r="LY288" s="1784"/>
      <c r="LZ288" s="1784"/>
      <c r="MA288" s="1784"/>
      <c r="MB288" s="1784"/>
      <c r="MC288" s="1784"/>
      <c r="MD288" s="1784"/>
      <c r="ME288" s="1784"/>
      <c r="MF288" s="1784"/>
      <c r="MG288" s="1784"/>
      <c r="MH288" s="1784"/>
      <c r="MI288" s="1784"/>
      <c r="MJ288" s="1784"/>
      <c r="MK288" s="1784"/>
      <c r="ML288" s="1784"/>
      <c r="MM288" s="1784"/>
      <c r="MN288" s="1784"/>
      <c r="MO288" s="1784"/>
      <c r="MP288" s="1784"/>
      <c r="MQ288" s="358"/>
      <c r="MR288" s="358"/>
      <c r="MS288" s="358"/>
      <c r="MT288" s="358"/>
      <c r="MU288" s="358"/>
      <c r="MV288" s="358"/>
      <c r="MW288" s="1639"/>
      <c r="MX288" s="358"/>
      <c r="MY288" s="358"/>
      <c r="MZ288" s="358"/>
      <c r="NA288" s="358"/>
      <c r="NB288" s="358"/>
      <c r="NC288" s="358"/>
      <c r="ND288" s="358"/>
      <c r="NE288" s="358"/>
      <c r="NF288" s="358"/>
      <c r="NG288" s="358"/>
      <c r="NH288" s="358"/>
      <c r="NI288" s="358"/>
      <c r="NJ288" s="358"/>
      <c r="NK288" s="358"/>
      <c r="NL288" s="358"/>
      <c r="NM288" s="1639"/>
      <c r="NN288" s="1639"/>
      <c r="NO288" s="358"/>
      <c r="NP288" s="358"/>
      <c r="NQ288" s="358"/>
      <c r="NR288" s="358"/>
      <c r="NS288" s="358"/>
      <c r="NT288" s="358"/>
      <c r="NU288" s="358"/>
      <c r="NV288" s="358"/>
      <c r="NW288" s="358"/>
      <c r="NX288" s="358"/>
      <c r="NY288" s="358"/>
      <c r="NZ288" s="358"/>
      <c r="OA288" s="358"/>
      <c r="OB288" s="358"/>
      <c r="OC288" s="358"/>
      <c r="OD288" s="358"/>
      <c r="OE288" s="358"/>
      <c r="OF288" s="358"/>
      <c r="OG288" s="358"/>
      <c r="OH288" s="358"/>
      <c r="OI288" s="358"/>
      <c r="OJ288" s="358"/>
      <c r="OK288" s="358"/>
      <c r="OL288" s="358"/>
      <c r="OM288" s="358"/>
      <c r="ON288" s="358"/>
      <c r="OO288" s="358"/>
      <c r="OP288" s="358"/>
      <c r="OQ288" s="358"/>
      <c r="OR288" s="358"/>
      <c r="OS288" s="358"/>
      <c r="OT288" s="358"/>
      <c r="OU288" s="358"/>
      <c r="OV288" s="72"/>
      <c r="OW288" s="72"/>
      <c r="OX288" s="72"/>
      <c r="OY288" s="2499"/>
      <c r="OZ288" s="2506">
        <v>284</v>
      </c>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c r="RZ288" s="72"/>
      <c r="SA288" s="72"/>
      <c r="SB288" s="72"/>
      <c r="SC288" s="72"/>
      <c r="SD288" s="72"/>
      <c r="SE288" s="72"/>
      <c r="SF288" s="72"/>
      <c r="SG288" s="72"/>
      <c r="SH288" s="72"/>
      <c r="SI288" s="72"/>
      <c r="SJ288" s="72"/>
      <c r="SK288" s="72"/>
      <c r="SL288" s="72"/>
      <c r="SM288" s="72"/>
      <c r="SN288" s="72"/>
      <c r="SO288" s="72"/>
      <c r="SP288" s="72"/>
      <c r="SQ288" s="72"/>
      <c r="SR288" s="72"/>
      <c r="SS288" s="72"/>
      <c r="ST288" s="72"/>
      <c r="SU288" s="72"/>
      <c r="SV288" s="72"/>
      <c r="SW288" s="72"/>
      <c r="SX288" s="72"/>
      <c r="SY288" s="72"/>
      <c r="SZ288" s="72"/>
      <c r="TA288" s="72"/>
      <c r="TB288" s="72"/>
      <c r="TC288" s="72"/>
      <c r="TD288" s="72"/>
      <c r="TE288" s="72"/>
      <c r="TF288" s="72"/>
      <c r="TG288" s="72"/>
      <c r="TH288" s="72"/>
    </row>
    <row r="289" spans="1:528" s="69" customFormat="1" ht="14.1" customHeight="1">
      <c r="A289" s="1"/>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358"/>
      <c r="JX289" s="358"/>
      <c r="JY289" s="358"/>
      <c r="JZ289" s="358"/>
      <c r="KA289" s="358"/>
      <c r="KB289" s="358"/>
      <c r="KC289" s="358"/>
      <c r="KD289" s="358"/>
      <c r="KE289" s="358"/>
      <c r="KF289" s="358"/>
      <c r="KG289" s="358"/>
      <c r="KH289" s="358"/>
      <c r="KI289" s="358"/>
      <c r="KJ289" s="358"/>
      <c r="KK289" s="358"/>
      <c r="KL289" s="358"/>
      <c r="KM289" s="358"/>
      <c r="KN289" s="358"/>
      <c r="KO289" s="358"/>
      <c r="KP289" s="358"/>
      <c r="KQ289" s="358"/>
      <c r="KR289" s="358"/>
      <c r="KS289" s="358"/>
      <c r="KT289" s="358"/>
      <c r="KU289" s="358"/>
      <c r="KV289" s="358"/>
      <c r="KW289" s="358"/>
      <c r="KX289" s="358"/>
      <c r="KY289" s="358"/>
      <c r="KZ289" s="358"/>
      <c r="LA289" s="358"/>
      <c r="LB289" s="358"/>
      <c r="LC289" s="358"/>
      <c r="LD289" s="358"/>
      <c r="LE289" s="358"/>
      <c r="LF289" s="1784"/>
      <c r="LG289" s="358"/>
      <c r="LH289" s="358"/>
      <c r="LI289" s="358"/>
      <c r="LJ289" s="358"/>
      <c r="LK289" s="1784"/>
      <c r="LL289" s="358"/>
      <c r="LM289" s="358"/>
      <c r="LN289" s="358"/>
      <c r="LO289" s="358"/>
      <c r="LP289" s="1784"/>
      <c r="LQ289" s="358"/>
      <c r="LR289" s="358"/>
      <c r="LS289" s="358"/>
      <c r="LT289" s="358"/>
      <c r="LU289" s="1784"/>
      <c r="LV289" s="1784"/>
      <c r="LW289" s="1784"/>
      <c r="LX289" s="1784"/>
      <c r="LY289" s="1784"/>
      <c r="LZ289" s="1784"/>
      <c r="MA289" s="1784"/>
      <c r="MB289" s="1784"/>
      <c r="MC289" s="1784"/>
      <c r="MD289" s="1784"/>
      <c r="ME289" s="1784"/>
      <c r="MF289" s="1784"/>
      <c r="MG289" s="1784"/>
      <c r="MH289" s="1784"/>
      <c r="MI289" s="1784"/>
      <c r="MJ289" s="1784"/>
      <c r="MK289" s="1784"/>
      <c r="ML289" s="1784"/>
      <c r="MM289" s="1784"/>
      <c r="MN289" s="1784"/>
      <c r="MO289" s="1784"/>
      <c r="MP289" s="1784"/>
      <c r="MQ289" s="358"/>
      <c r="MR289" s="358"/>
      <c r="MS289" s="358"/>
      <c r="MT289" s="358"/>
      <c r="MU289" s="358"/>
      <c r="MV289" s="358"/>
      <c r="MW289" s="1639"/>
      <c r="MX289" s="358"/>
      <c r="MY289" s="358"/>
      <c r="MZ289" s="358"/>
      <c r="NA289" s="358"/>
      <c r="NB289" s="358"/>
      <c r="NC289" s="358"/>
      <c r="ND289" s="358"/>
      <c r="NE289" s="358"/>
      <c r="NF289" s="358"/>
      <c r="NG289" s="358"/>
      <c r="NH289" s="358"/>
      <c r="NI289" s="358"/>
      <c r="NJ289" s="358"/>
      <c r="NK289" s="358"/>
      <c r="NL289" s="358"/>
      <c r="NM289" s="1639"/>
      <c r="NN289" s="1639"/>
      <c r="NO289" s="358"/>
      <c r="NP289" s="358"/>
      <c r="NQ289" s="358"/>
      <c r="NR289" s="358"/>
      <c r="NS289" s="358"/>
      <c r="NT289" s="358"/>
      <c r="NU289" s="358"/>
      <c r="NV289" s="358"/>
      <c r="NW289" s="358"/>
      <c r="NX289" s="358"/>
      <c r="NY289" s="358"/>
      <c r="NZ289" s="358"/>
      <c r="OA289" s="358"/>
      <c r="OB289" s="358"/>
      <c r="OC289" s="358"/>
      <c r="OD289" s="358"/>
      <c r="OE289" s="358"/>
      <c r="OF289" s="358"/>
      <c r="OG289" s="358"/>
      <c r="OH289" s="358"/>
      <c r="OI289" s="358"/>
      <c r="OJ289" s="358"/>
      <c r="OK289" s="358"/>
      <c r="OL289" s="358"/>
      <c r="OM289" s="358"/>
      <c r="ON289" s="358"/>
      <c r="OO289" s="358"/>
      <c r="OP289" s="358"/>
      <c r="OQ289" s="358"/>
      <c r="OR289" s="358"/>
      <c r="OS289" s="358"/>
      <c r="OT289" s="358"/>
      <c r="OU289" s="358"/>
      <c r="OV289" s="72"/>
      <c r="OW289" s="72"/>
      <c r="OX289" s="72"/>
      <c r="OY289" s="2499"/>
      <c r="OZ289" s="2504">
        <v>285</v>
      </c>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c r="RZ289" s="72"/>
      <c r="SA289" s="72"/>
      <c r="SB289" s="72"/>
      <c r="SC289" s="72"/>
      <c r="SD289" s="72"/>
      <c r="SE289" s="72"/>
      <c r="SF289" s="72"/>
      <c r="SG289" s="72"/>
      <c r="SH289" s="72"/>
      <c r="SI289" s="72"/>
      <c r="SJ289" s="72"/>
      <c r="SK289" s="72"/>
      <c r="SL289" s="72"/>
      <c r="SM289" s="72"/>
      <c r="SN289" s="72"/>
      <c r="SO289" s="72"/>
      <c r="SP289" s="72"/>
      <c r="SQ289" s="72"/>
      <c r="SR289" s="72"/>
      <c r="SS289" s="72"/>
      <c r="ST289" s="72"/>
      <c r="SU289" s="72"/>
      <c r="SV289" s="72"/>
      <c r="SW289" s="72"/>
      <c r="SX289" s="72"/>
      <c r="SY289" s="72"/>
      <c r="SZ289" s="72"/>
      <c r="TA289" s="72"/>
      <c r="TB289" s="72"/>
      <c r="TC289" s="72"/>
      <c r="TD289" s="72"/>
      <c r="TE289" s="72"/>
      <c r="TF289" s="72"/>
      <c r="TG289" s="72"/>
      <c r="TH289" s="72"/>
    </row>
    <row r="290" spans="1:528" s="69" customFormat="1" ht="14.1" customHeight="1">
      <c r="A290" s="1"/>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358"/>
      <c r="JX290" s="358"/>
      <c r="JY290" s="358"/>
      <c r="JZ290" s="358"/>
      <c r="KA290" s="358"/>
      <c r="KB290" s="358"/>
      <c r="KC290" s="358"/>
      <c r="KD290" s="358"/>
      <c r="KE290" s="358"/>
      <c r="KF290" s="358"/>
      <c r="KG290" s="358"/>
      <c r="KH290" s="358"/>
      <c r="KI290" s="358"/>
      <c r="KJ290" s="358"/>
      <c r="KK290" s="358"/>
      <c r="KL290" s="358"/>
      <c r="KM290" s="358"/>
      <c r="KN290" s="358"/>
      <c r="KO290" s="358"/>
      <c r="KP290" s="358"/>
      <c r="KQ290" s="358"/>
      <c r="KR290" s="358"/>
      <c r="KS290" s="358"/>
      <c r="KT290" s="358"/>
      <c r="KU290" s="358"/>
      <c r="KV290" s="358"/>
      <c r="KW290" s="358"/>
      <c r="KX290" s="358"/>
      <c r="KY290" s="358"/>
      <c r="KZ290" s="358"/>
      <c r="LA290" s="358"/>
      <c r="LB290" s="358"/>
      <c r="LC290" s="358"/>
      <c r="LD290" s="358"/>
      <c r="LE290" s="358"/>
      <c r="LF290" s="1784"/>
      <c r="LG290" s="358"/>
      <c r="LH290" s="358"/>
      <c r="LI290" s="358"/>
      <c r="LJ290" s="358"/>
      <c r="LK290" s="1784"/>
      <c r="LL290" s="358"/>
      <c r="LM290" s="358"/>
      <c r="LN290" s="358"/>
      <c r="LO290" s="358"/>
      <c r="LP290" s="1784"/>
      <c r="LQ290" s="358"/>
      <c r="LR290" s="358"/>
      <c r="LS290" s="358"/>
      <c r="LT290" s="358"/>
      <c r="LU290" s="1784"/>
      <c r="LV290" s="1784"/>
      <c r="LW290" s="1784"/>
      <c r="LX290" s="1784"/>
      <c r="LY290" s="1784"/>
      <c r="LZ290" s="1784"/>
      <c r="MA290" s="1784"/>
      <c r="MB290" s="1784"/>
      <c r="MC290" s="1784"/>
      <c r="MD290" s="1784"/>
      <c r="ME290" s="1784"/>
      <c r="MF290" s="1784"/>
      <c r="MG290" s="1784"/>
      <c r="MH290" s="1784"/>
      <c r="MI290" s="1784"/>
      <c r="MJ290" s="1784"/>
      <c r="MK290" s="1784"/>
      <c r="ML290" s="1784"/>
      <c r="MM290" s="1784"/>
      <c r="MN290" s="1784"/>
      <c r="MO290" s="1784"/>
      <c r="MP290" s="1784"/>
      <c r="MQ290" s="358"/>
      <c r="MR290" s="358"/>
      <c r="MS290" s="358"/>
      <c r="MT290" s="358"/>
      <c r="MU290" s="358"/>
      <c r="MV290" s="358"/>
      <c r="MW290" s="1639"/>
      <c r="MX290" s="358"/>
      <c r="MY290" s="358"/>
      <c r="MZ290" s="358"/>
      <c r="NA290" s="358"/>
      <c r="NB290" s="358"/>
      <c r="NC290" s="358"/>
      <c r="ND290" s="358"/>
      <c r="NE290" s="358"/>
      <c r="NF290" s="358"/>
      <c r="NG290" s="358"/>
      <c r="NH290" s="358"/>
      <c r="NI290" s="358"/>
      <c r="NJ290" s="358"/>
      <c r="NK290" s="358"/>
      <c r="NL290" s="358"/>
      <c r="NM290" s="1639"/>
      <c r="NN290" s="1639"/>
      <c r="NO290" s="358"/>
      <c r="NP290" s="358"/>
      <c r="NQ290" s="358"/>
      <c r="NR290" s="358"/>
      <c r="NS290" s="358"/>
      <c r="NT290" s="358"/>
      <c r="NU290" s="358"/>
      <c r="NV290" s="358"/>
      <c r="NW290" s="358"/>
      <c r="NX290" s="358"/>
      <c r="NY290" s="358"/>
      <c r="NZ290" s="358"/>
      <c r="OA290" s="358"/>
      <c r="OB290" s="358"/>
      <c r="OC290" s="358"/>
      <c r="OD290" s="358"/>
      <c r="OE290" s="358"/>
      <c r="OF290" s="358"/>
      <c r="OG290" s="358"/>
      <c r="OH290" s="358"/>
      <c r="OI290" s="358"/>
      <c r="OJ290" s="358"/>
      <c r="OK290" s="358"/>
      <c r="OL290" s="358"/>
      <c r="OM290" s="358"/>
      <c r="ON290" s="358"/>
      <c r="OO290" s="358"/>
      <c r="OP290" s="358"/>
      <c r="OQ290" s="358"/>
      <c r="OR290" s="358"/>
      <c r="OS290" s="358"/>
      <c r="OT290" s="358"/>
      <c r="OU290" s="358"/>
      <c r="OV290" s="72"/>
      <c r="OW290" s="72"/>
      <c r="OX290" s="72"/>
      <c r="OY290" s="2499"/>
      <c r="OZ290" s="2503">
        <v>286</v>
      </c>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c r="RZ290" s="72"/>
      <c r="SA290" s="72"/>
      <c r="SB290" s="72"/>
      <c r="SC290" s="72"/>
      <c r="SD290" s="72"/>
      <c r="SE290" s="72"/>
      <c r="SF290" s="72"/>
      <c r="SG290" s="72"/>
      <c r="SH290" s="72"/>
      <c r="SI290" s="72"/>
      <c r="SJ290" s="72"/>
      <c r="SK290" s="72"/>
      <c r="SL290" s="72"/>
      <c r="SM290" s="72"/>
      <c r="SN290" s="72"/>
      <c r="SO290" s="72"/>
      <c r="SP290" s="72"/>
      <c r="SQ290" s="72"/>
      <c r="SR290" s="72"/>
      <c r="SS290" s="72"/>
      <c r="ST290" s="72"/>
      <c r="SU290" s="72"/>
      <c r="SV290" s="72"/>
      <c r="SW290" s="72"/>
      <c r="SX290" s="72"/>
      <c r="SY290" s="72"/>
      <c r="SZ290" s="72"/>
      <c r="TA290" s="72"/>
      <c r="TB290" s="72"/>
      <c r="TC290" s="72"/>
      <c r="TD290" s="72"/>
      <c r="TE290" s="72"/>
      <c r="TF290" s="72"/>
      <c r="TG290" s="72"/>
      <c r="TH290" s="72"/>
    </row>
    <row r="291" spans="1:528" s="69" customFormat="1" ht="14.1" customHeight="1">
      <c r="A291" s="25"/>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358"/>
      <c r="JX291" s="358"/>
      <c r="JY291" s="358"/>
      <c r="JZ291" s="358"/>
      <c r="KA291" s="358"/>
      <c r="KB291" s="358"/>
      <c r="KC291" s="358"/>
      <c r="KD291" s="358"/>
      <c r="KE291" s="358"/>
      <c r="KF291" s="358"/>
      <c r="KG291" s="358"/>
      <c r="KH291" s="358"/>
      <c r="KI291" s="358"/>
      <c r="KJ291" s="358"/>
      <c r="KK291" s="358"/>
      <c r="KL291" s="358"/>
      <c r="KM291" s="358"/>
      <c r="KN291" s="358"/>
      <c r="KO291" s="358"/>
      <c r="KP291" s="358"/>
      <c r="KQ291" s="358"/>
      <c r="KR291" s="358"/>
      <c r="KS291" s="358"/>
      <c r="KT291" s="358"/>
      <c r="KU291" s="358"/>
      <c r="KV291" s="358"/>
      <c r="KW291" s="358"/>
      <c r="KX291" s="358"/>
      <c r="KY291" s="358"/>
      <c r="KZ291" s="358"/>
      <c r="LA291" s="358"/>
      <c r="LB291" s="358"/>
      <c r="LC291" s="358"/>
      <c r="LD291" s="358"/>
      <c r="LE291" s="358"/>
      <c r="LF291" s="1784"/>
      <c r="LG291" s="358"/>
      <c r="LH291" s="358"/>
      <c r="LI291" s="358"/>
      <c r="LJ291" s="358"/>
      <c r="LK291" s="1784"/>
      <c r="LL291" s="358"/>
      <c r="LM291" s="358"/>
      <c r="LN291" s="358"/>
      <c r="LO291" s="358"/>
      <c r="LP291" s="1784"/>
      <c r="LQ291" s="358"/>
      <c r="LR291" s="358"/>
      <c r="LS291" s="358"/>
      <c r="LT291" s="358"/>
      <c r="LU291" s="1784"/>
      <c r="LV291" s="1784"/>
      <c r="LW291" s="1784"/>
      <c r="LX291" s="1784"/>
      <c r="LY291" s="1784"/>
      <c r="LZ291" s="1784"/>
      <c r="MA291" s="1784"/>
      <c r="MB291" s="1784"/>
      <c r="MC291" s="1784"/>
      <c r="MD291" s="1784"/>
      <c r="ME291" s="1784"/>
      <c r="MF291" s="1784"/>
      <c r="MG291" s="1784"/>
      <c r="MH291" s="1784"/>
      <c r="MI291" s="1784"/>
      <c r="MJ291" s="1784"/>
      <c r="MK291" s="1784"/>
      <c r="ML291" s="1784"/>
      <c r="MM291" s="1784"/>
      <c r="MN291" s="1784"/>
      <c r="MO291" s="1784"/>
      <c r="MP291" s="1784"/>
      <c r="MQ291" s="358"/>
      <c r="MR291" s="358"/>
      <c r="MS291" s="358"/>
      <c r="MT291" s="358"/>
      <c r="MU291" s="358"/>
      <c r="MV291" s="358"/>
      <c r="MW291" s="1639"/>
      <c r="MX291" s="358"/>
      <c r="MY291" s="358"/>
      <c r="MZ291" s="358"/>
      <c r="NA291" s="358"/>
      <c r="NB291" s="358"/>
      <c r="NC291" s="358"/>
      <c r="ND291" s="358"/>
      <c r="NE291" s="358"/>
      <c r="NF291" s="358"/>
      <c r="NG291" s="358"/>
      <c r="NH291" s="358"/>
      <c r="NI291" s="358"/>
      <c r="NJ291" s="358"/>
      <c r="NK291" s="358"/>
      <c r="NL291" s="358"/>
      <c r="NM291" s="1639"/>
      <c r="NN291" s="1639"/>
      <c r="NO291" s="358"/>
      <c r="NP291" s="358"/>
      <c r="NQ291" s="358"/>
      <c r="NR291" s="358"/>
      <c r="NS291" s="358"/>
      <c r="NT291" s="358"/>
      <c r="NU291" s="358"/>
      <c r="NV291" s="358"/>
      <c r="NW291" s="358"/>
      <c r="NX291" s="358"/>
      <c r="NY291" s="358"/>
      <c r="NZ291" s="358"/>
      <c r="OA291" s="358"/>
      <c r="OB291" s="358"/>
      <c r="OC291" s="358"/>
      <c r="OD291" s="358"/>
      <c r="OE291" s="358"/>
      <c r="OF291" s="358"/>
      <c r="OG291" s="358"/>
      <c r="OH291" s="358"/>
      <c r="OI291" s="358"/>
      <c r="OJ291" s="358"/>
      <c r="OK291" s="358"/>
      <c r="OL291" s="358"/>
      <c r="OM291" s="358"/>
      <c r="ON291" s="358"/>
      <c r="OO291" s="358"/>
      <c r="OP291" s="358"/>
      <c r="OQ291" s="358"/>
      <c r="OR291" s="358"/>
      <c r="OS291" s="358"/>
      <c r="OT291" s="358"/>
      <c r="OU291" s="358"/>
      <c r="OV291" s="72"/>
      <c r="OW291" s="72"/>
      <c r="OX291" s="72"/>
      <c r="OY291" s="2499"/>
      <c r="OZ291" s="2504">
        <v>287</v>
      </c>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c r="RZ291" s="72"/>
      <c r="SA291" s="72"/>
      <c r="SB291" s="72"/>
      <c r="SC291" s="72"/>
      <c r="SD291" s="72"/>
      <c r="SE291" s="72"/>
      <c r="SF291" s="72"/>
      <c r="SG291" s="72"/>
      <c r="SH291" s="72"/>
      <c r="SI291" s="72"/>
      <c r="SJ291" s="72"/>
      <c r="SK291" s="72"/>
      <c r="SL291" s="72"/>
      <c r="SM291" s="72"/>
      <c r="SN291" s="72"/>
      <c r="SO291" s="72"/>
      <c r="SP291" s="72"/>
      <c r="SQ291" s="72"/>
      <c r="SR291" s="72"/>
      <c r="SS291" s="72"/>
      <c r="ST291" s="72"/>
      <c r="SU291" s="72"/>
      <c r="SV291" s="72"/>
      <c r="SW291" s="72"/>
      <c r="SX291" s="72"/>
      <c r="SY291" s="72"/>
      <c r="SZ291" s="72"/>
      <c r="TA291" s="72"/>
      <c r="TB291" s="72"/>
      <c r="TC291" s="72"/>
      <c r="TD291" s="72"/>
      <c r="TE291" s="72"/>
      <c r="TF291" s="72"/>
      <c r="TG291" s="72"/>
      <c r="TH291" s="72"/>
    </row>
    <row r="292" spans="1:528" s="69" customFormat="1" ht="14.1" customHeight="1">
      <c r="A292" s="25"/>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358"/>
      <c r="JX292" s="358"/>
      <c r="JY292" s="358"/>
      <c r="JZ292" s="358"/>
      <c r="KA292" s="358"/>
      <c r="KB292" s="358"/>
      <c r="KC292" s="358"/>
      <c r="KD292" s="358"/>
      <c r="KE292" s="358"/>
      <c r="KF292" s="358"/>
      <c r="KG292" s="358"/>
      <c r="KH292" s="358"/>
      <c r="KI292" s="358"/>
      <c r="KJ292" s="358"/>
      <c r="KK292" s="358"/>
      <c r="KL292" s="358"/>
      <c r="KM292" s="358"/>
      <c r="KN292" s="358"/>
      <c r="KO292" s="358"/>
      <c r="KP292" s="358"/>
      <c r="KQ292" s="358"/>
      <c r="KR292" s="358"/>
      <c r="KS292" s="358"/>
      <c r="KT292" s="358"/>
      <c r="KU292" s="358"/>
      <c r="KV292" s="358"/>
      <c r="KW292" s="358"/>
      <c r="KX292" s="358"/>
      <c r="KY292" s="358"/>
      <c r="KZ292" s="358"/>
      <c r="LA292" s="358"/>
      <c r="LB292" s="358"/>
      <c r="LC292" s="358"/>
      <c r="LD292" s="358"/>
      <c r="LE292" s="358"/>
      <c r="LF292" s="1784"/>
      <c r="LG292" s="358"/>
      <c r="LH292" s="358"/>
      <c r="LI292" s="358"/>
      <c r="LJ292" s="358"/>
      <c r="LK292" s="1784"/>
      <c r="LL292" s="358"/>
      <c r="LM292" s="358"/>
      <c r="LN292" s="358"/>
      <c r="LO292" s="358"/>
      <c r="LP292" s="1784"/>
      <c r="LQ292" s="358"/>
      <c r="LR292" s="358"/>
      <c r="LS292" s="358"/>
      <c r="LT292" s="358"/>
      <c r="LU292" s="1784"/>
      <c r="LV292" s="1784"/>
      <c r="LW292" s="1784"/>
      <c r="LX292" s="1784"/>
      <c r="LY292" s="1784"/>
      <c r="LZ292" s="1784"/>
      <c r="MA292" s="1784"/>
      <c r="MB292" s="1784"/>
      <c r="MC292" s="1784"/>
      <c r="MD292" s="1784"/>
      <c r="ME292" s="1784"/>
      <c r="MF292" s="1784"/>
      <c r="MG292" s="1784"/>
      <c r="MH292" s="1784"/>
      <c r="MI292" s="1784"/>
      <c r="MJ292" s="1784"/>
      <c r="MK292" s="1784"/>
      <c r="ML292" s="1784"/>
      <c r="MM292" s="1784"/>
      <c r="MN292" s="1784"/>
      <c r="MO292" s="1784"/>
      <c r="MP292" s="1784"/>
      <c r="MQ292" s="358"/>
      <c r="MR292" s="358"/>
      <c r="MS292" s="358"/>
      <c r="MT292" s="358"/>
      <c r="MU292" s="358"/>
      <c r="MV292" s="358"/>
      <c r="MW292" s="1639"/>
      <c r="MX292" s="358"/>
      <c r="MY292" s="358"/>
      <c r="MZ292" s="358"/>
      <c r="NA292" s="358"/>
      <c r="NB292" s="358"/>
      <c r="NC292" s="358"/>
      <c r="ND292" s="358"/>
      <c r="NE292" s="358"/>
      <c r="NF292" s="358"/>
      <c r="NG292" s="358"/>
      <c r="NH292" s="358"/>
      <c r="NI292" s="358"/>
      <c r="NJ292" s="358"/>
      <c r="NK292" s="358"/>
      <c r="NL292" s="358"/>
      <c r="NM292" s="1639"/>
      <c r="NN292" s="1639"/>
      <c r="NO292" s="358"/>
      <c r="NP292" s="358"/>
      <c r="NQ292" s="358"/>
      <c r="NR292" s="358"/>
      <c r="NS292" s="358"/>
      <c r="NT292" s="358"/>
      <c r="NU292" s="358"/>
      <c r="NV292" s="358"/>
      <c r="NW292" s="358"/>
      <c r="NX292" s="358"/>
      <c r="NY292" s="358"/>
      <c r="NZ292" s="358"/>
      <c r="OA292" s="358"/>
      <c r="OB292" s="358"/>
      <c r="OC292" s="358"/>
      <c r="OD292" s="358"/>
      <c r="OE292" s="358"/>
      <c r="OF292" s="358"/>
      <c r="OG292" s="358"/>
      <c r="OH292" s="358"/>
      <c r="OI292" s="358"/>
      <c r="OJ292" s="358"/>
      <c r="OK292" s="358"/>
      <c r="OL292" s="358"/>
      <c r="OM292" s="358"/>
      <c r="ON292" s="358"/>
      <c r="OO292" s="358"/>
      <c r="OP292" s="358"/>
      <c r="OQ292" s="358"/>
      <c r="OR292" s="358"/>
      <c r="OS292" s="358"/>
      <c r="OT292" s="358"/>
      <c r="OU292" s="358"/>
      <c r="OV292" s="72"/>
      <c r="OW292" s="72"/>
      <c r="OX292" s="72"/>
      <c r="OY292" s="2499"/>
      <c r="OZ292" s="2504">
        <v>288</v>
      </c>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c r="RZ292" s="72"/>
      <c r="SA292" s="72"/>
      <c r="SB292" s="72"/>
      <c r="SC292" s="72"/>
      <c r="SD292" s="72"/>
      <c r="SE292" s="72"/>
      <c r="SF292" s="72"/>
      <c r="SG292" s="72"/>
      <c r="SH292" s="72"/>
      <c r="SI292" s="72"/>
      <c r="SJ292" s="72"/>
      <c r="SK292" s="72"/>
      <c r="SL292" s="72"/>
      <c r="SM292" s="72"/>
      <c r="SN292" s="72"/>
      <c r="SO292" s="72"/>
      <c r="SP292" s="72"/>
      <c r="SQ292" s="72"/>
      <c r="SR292" s="72"/>
      <c r="SS292" s="72"/>
      <c r="ST292" s="72"/>
      <c r="SU292" s="72"/>
      <c r="SV292" s="72"/>
      <c r="SW292" s="72"/>
      <c r="SX292" s="72"/>
      <c r="SY292" s="72"/>
      <c r="SZ292" s="72"/>
      <c r="TA292" s="72"/>
      <c r="TB292" s="72"/>
      <c r="TC292" s="72"/>
      <c r="TD292" s="72"/>
      <c r="TE292" s="72"/>
      <c r="TF292" s="72"/>
      <c r="TG292" s="72"/>
      <c r="TH292" s="72"/>
    </row>
    <row r="293" spans="1:528" s="69" customFormat="1" ht="14.1" customHeight="1">
      <c r="A293" s="119"/>
      <c r="B293" s="1"/>
      <c r="C293" s="1"/>
      <c r="D293" s="1"/>
      <c r="E293" s="1"/>
      <c r="F293" s="1"/>
      <c r="G293" s="1"/>
      <c r="H293" s="1"/>
      <c r="I293" s="1"/>
      <c r="J293" s="1"/>
      <c r="K293" s="1"/>
      <c r="L293" s="1"/>
      <c r="M293" s="1"/>
      <c r="N293" s="1"/>
      <c r="O293" s="1"/>
      <c r="P293" s="1"/>
      <c r="X293" s="358"/>
      <c r="Y293" s="358"/>
      <c r="Z293" s="358"/>
      <c r="AA293" s="358"/>
      <c r="AB293" s="358"/>
      <c r="AC293" s="358"/>
      <c r="AD293" s="358"/>
      <c r="AE293" s="358"/>
      <c r="AF293" s="358"/>
      <c r="AG293" s="358"/>
      <c r="AH293" s="358"/>
      <c r="AI293" s="358"/>
      <c r="AJ293" s="358"/>
      <c r="AK293" s="358"/>
      <c r="AL293" s="358"/>
      <c r="AM293" s="358"/>
      <c r="AN293" s="358"/>
      <c r="AO293" s="358"/>
      <c r="AP293" s="358"/>
      <c r="AQ293" s="358"/>
      <c r="AR293" s="358"/>
      <c r="AS293" s="358"/>
      <c r="AT293" s="358"/>
      <c r="AU293" s="358"/>
      <c r="AV293" s="358"/>
      <c r="AW293" s="358"/>
      <c r="AX293" s="358"/>
      <c r="AY293" s="358"/>
      <c r="AZ293" s="358"/>
      <c r="BA293" s="358"/>
      <c r="BB293" s="358"/>
      <c r="BC293" s="358"/>
      <c r="BD293" s="358"/>
      <c r="BE293" s="358"/>
      <c r="BF293" s="358"/>
      <c r="BG293" s="358"/>
      <c r="BH293" s="358"/>
      <c r="BI293" s="358"/>
      <c r="BJ293" s="358"/>
      <c r="BK293" s="358"/>
      <c r="BL293" s="358"/>
      <c r="BM293" s="358"/>
      <c r="BN293" s="358"/>
      <c r="BO293" s="358"/>
      <c r="BP293" s="358"/>
      <c r="BQ293" s="358"/>
      <c r="BR293" s="358"/>
      <c r="BS293" s="358"/>
      <c r="BT293" s="358"/>
      <c r="BU293" s="358"/>
      <c r="BV293" s="358"/>
      <c r="BW293" s="358"/>
      <c r="BX293" s="358"/>
      <c r="BY293" s="358"/>
      <c r="BZ293" s="358"/>
      <c r="CA293" s="358"/>
      <c r="CB293" s="358"/>
      <c r="CC293" s="358"/>
      <c r="CD293" s="358"/>
      <c r="CE293" s="358"/>
      <c r="CF293" s="358"/>
      <c r="CG293" s="358"/>
      <c r="CH293" s="358"/>
      <c r="CI293" s="358"/>
      <c r="CJ293" s="358"/>
      <c r="CK293" s="358"/>
      <c r="CL293" s="358"/>
      <c r="CM293" s="358"/>
      <c r="CN293" s="358"/>
      <c r="CO293" s="358"/>
      <c r="CP293" s="358"/>
      <c r="CQ293" s="358"/>
      <c r="CR293" s="358"/>
      <c r="CS293" s="358"/>
      <c r="CT293" s="358"/>
      <c r="CU293" s="358"/>
      <c r="CV293" s="358"/>
      <c r="CW293" s="358"/>
      <c r="CX293" s="358"/>
      <c r="CY293" s="358"/>
      <c r="CZ293" s="358"/>
      <c r="DA293" s="358"/>
      <c r="DB293" s="358"/>
      <c r="DC293" s="358"/>
      <c r="DD293" s="358"/>
      <c r="DE293" s="358"/>
      <c r="DF293" s="358"/>
      <c r="DG293" s="358"/>
      <c r="DH293" s="358"/>
      <c r="DI293" s="358"/>
      <c r="DJ293" s="358"/>
      <c r="DK293" s="358"/>
      <c r="DL293" s="358"/>
      <c r="DM293" s="358"/>
      <c r="DN293" s="358"/>
      <c r="DO293" s="358"/>
      <c r="DP293" s="358"/>
      <c r="DQ293" s="358"/>
      <c r="DR293" s="358"/>
      <c r="DS293" s="358"/>
      <c r="DT293" s="358"/>
      <c r="DU293" s="358"/>
      <c r="DV293" s="358"/>
      <c r="DW293" s="358"/>
      <c r="DX293" s="358"/>
      <c r="DY293" s="358"/>
      <c r="DZ293" s="358"/>
      <c r="EA293" s="358"/>
      <c r="EB293" s="358"/>
      <c r="EC293" s="358"/>
      <c r="ED293" s="358"/>
      <c r="EE293" s="358"/>
      <c r="EF293" s="358"/>
      <c r="EG293" s="358"/>
      <c r="EH293" s="358"/>
      <c r="EI293" s="358"/>
      <c r="EJ293" s="358"/>
      <c r="EK293" s="358"/>
      <c r="EL293" s="358"/>
      <c r="EM293" s="358"/>
      <c r="EN293" s="358"/>
      <c r="EO293" s="358"/>
      <c r="EP293" s="358"/>
      <c r="EQ293" s="358"/>
      <c r="ER293" s="358"/>
      <c r="ES293" s="358"/>
      <c r="ET293" s="358"/>
      <c r="EU293" s="358"/>
      <c r="EV293" s="358"/>
      <c r="EW293" s="358"/>
      <c r="EX293" s="358"/>
      <c r="EY293" s="358"/>
      <c r="EZ293" s="358"/>
      <c r="FA293" s="358"/>
      <c r="FB293" s="358"/>
      <c r="FC293" s="358"/>
      <c r="FD293" s="358"/>
      <c r="FE293" s="358"/>
      <c r="FF293" s="358"/>
      <c r="FG293" s="358"/>
      <c r="FH293" s="358"/>
      <c r="FI293" s="358"/>
      <c r="FJ293" s="358"/>
      <c r="FK293" s="358"/>
      <c r="FL293" s="358"/>
      <c r="FM293" s="358"/>
      <c r="FN293" s="358"/>
      <c r="FO293" s="358"/>
      <c r="FP293" s="358"/>
      <c r="FQ293" s="358"/>
      <c r="FR293" s="358"/>
      <c r="FS293" s="358"/>
      <c r="FT293" s="358"/>
      <c r="FU293" s="358"/>
      <c r="FV293" s="358"/>
      <c r="FW293" s="358"/>
      <c r="FX293" s="358"/>
      <c r="FY293" s="358"/>
      <c r="FZ293" s="358"/>
      <c r="GA293" s="358"/>
      <c r="GB293" s="358"/>
      <c r="GC293" s="358"/>
      <c r="GD293" s="358"/>
      <c r="GE293" s="358"/>
      <c r="GF293" s="358"/>
      <c r="GG293" s="358"/>
      <c r="GH293" s="358"/>
      <c r="GI293" s="358"/>
      <c r="GJ293" s="358"/>
      <c r="GK293" s="358"/>
      <c r="GL293" s="358"/>
      <c r="GM293" s="358"/>
      <c r="GN293" s="358"/>
      <c r="GO293" s="358"/>
      <c r="GP293" s="358"/>
      <c r="GQ293" s="358"/>
      <c r="GR293" s="358"/>
      <c r="GS293" s="358"/>
      <c r="GT293" s="358"/>
      <c r="GU293" s="358"/>
      <c r="GV293" s="358"/>
      <c r="GW293" s="358"/>
      <c r="GX293" s="358"/>
      <c r="GY293" s="358"/>
      <c r="GZ293" s="358"/>
      <c r="HA293" s="358"/>
      <c r="HB293" s="358"/>
      <c r="HC293" s="358"/>
      <c r="HD293" s="358"/>
      <c r="HE293" s="358"/>
      <c r="HF293" s="358"/>
      <c r="HG293" s="358"/>
      <c r="HH293" s="358"/>
      <c r="HI293" s="358"/>
      <c r="HJ293" s="358"/>
      <c r="HK293" s="358"/>
      <c r="HL293" s="358"/>
      <c r="HM293" s="358"/>
      <c r="HN293" s="358"/>
      <c r="HO293" s="358"/>
      <c r="HP293" s="358"/>
      <c r="HQ293" s="358"/>
      <c r="HR293" s="358"/>
      <c r="HS293" s="358"/>
      <c r="HT293" s="358"/>
      <c r="HU293" s="358"/>
      <c r="HV293" s="358"/>
      <c r="HW293" s="358"/>
      <c r="HX293" s="358"/>
      <c r="HY293" s="358"/>
      <c r="HZ293" s="358"/>
      <c r="IA293" s="358"/>
      <c r="IB293" s="358"/>
      <c r="IC293" s="358"/>
      <c r="ID293" s="358"/>
      <c r="IE293" s="358"/>
      <c r="IF293" s="358"/>
      <c r="IG293" s="358"/>
      <c r="IH293" s="358"/>
      <c r="II293" s="358"/>
      <c r="IJ293" s="358"/>
      <c r="IK293" s="358"/>
      <c r="IL293" s="358"/>
      <c r="IM293" s="358"/>
      <c r="IN293" s="358"/>
      <c r="IO293" s="358"/>
      <c r="IP293" s="358"/>
      <c r="IQ293" s="358"/>
      <c r="IR293" s="358"/>
      <c r="IS293" s="358"/>
      <c r="IT293" s="358"/>
      <c r="IU293" s="358"/>
      <c r="IV293" s="358"/>
      <c r="IW293" s="358"/>
      <c r="IX293" s="358"/>
      <c r="IY293" s="358"/>
      <c r="IZ293" s="358"/>
      <c r="JA293" s="358"/>
      <c r="JB293" s="358"/>
      <c r="JC293" s="358"/>
      <c r="JD293" s="358"/>
      <c r="JE293" s="358"/>
      <c r="JF293" s="358"/>
      <c r="JG293" s="358"/>
      <c r="JH293" s="358"/>
      <c r="JI293" s="358"/>
      <c r="JJ293" s="358"/>
      <c r="JK293" s="358"/>
      <c r="JL293" s="358"/>
      <c r="JM293" s="358"/>
      <c r="JN293" s="358"/>
      <c r="JO293" s="358"/>
      <c r="JP293" s="358"/>
      <c r="JQ293" s="358"/>
      <c r="JR293" s="358"/>
      <c r="JS293" s="358"/>
      <c r="JT293" s="358"/>
      <c r="JU293" s="358"/>
      <c r="JV293" s="358"/>
      <c r="JW293" s="358"/>
      <c r="JX293" s="358"/>
      <c r="JY293" s="358"/>
      <c r="JZ293" s="358"/>
      <c r="KA293" s="358"/>
      <c r="KB293" s="358"/>
      <c r="KC293" s="358"/>
      <c r="KD293" s="358"/>
      <c r="KE293" s="358"/>
      <c r="KF293" s="358"/>
      <c r="KG293" s="358"/>
      <c r="KH293" s="358"/>
      <c r="KI293" s="358"/>
      <c r="KJ293" s="358"/>
      <c r="KK293" s="358"/>
      <c r="KL293" s="358"/>
      <c r="KM293" s="358"/>
      <c r="KN293" s="358"/>
      <c r="KO293" s="358"/>
      <c r="KP293" s="358"/>
      <c r="KQ293" s="358"/>
      <c r="KR293" s="358"/>
      <c r="KS293" s="358"/>
      <c r="KT293" s="358"/>
      <c r="KU293" s="358"/>
      <c r="KV293" s="358"/>
      <c r="KW293" s="358"/>
      <c r="KX293" s="358"/>
      <c r="KY293" s="358"/>
      <c r="KZ293" s="358"/>
      <c r="LA293" s="358"/>
      <c r="LB293" s="358"/>
      <c r="LC293" s="358"/>
      <c r="LD293" s="358"/>
      <c r="LE293" s="358"/>
      <c r="LF293" s="1784"/>
      <c r="LG293" s="358"/>
      <c r="LH293" s="358"/>
      <c r="LI293" s="358"/>
      <c r="LJ293" s="358"/>
      <c r="LK293" s="1784"/>
      <c r="LL293" s="358"/>
      <c r="LM293" s="358"/>
      <c r="LN293" s="358"/>
      <c r="LO293" s="358"/>
      <c r="LP293" s="1784"/>
      <c r="LQ293" s="358"/>
      <c r="LR293" s="358"/>
      <c r="LS293" s="358"/>
      <c r="LT293" s="358"/>
      <c r="LU293" s="1784"/>
      <c r="LV293" s="1784"/>
      <c r="LW293" s="1784"/>
      <c r="LX293" s="1784"/>
      <c r="LY293" s="1784"/>
      <c r="LZ293" s="1784"/>
      <c r="MA293" s="1784"/>
      <c r="MB293" s="1784"/>
      <c r="MC293" s="1784"/>
      <c r="MD293" s="1784"/>
      <c r="ME293" s="1784"/>
      <c r="MF293" s="1784"/>
      <c r="MG293" s="1784"/>
      <c r="MH293" s="1784"/>
      <c r="MI293" s="1784"/>
      <c r="MJ293" s="1784"/>
      <c r="MK293" s="1784"/>
      <c r="ML293" s="1784"/>
      <c r="MM293" s="1784"/>
      <c r="MN293" s="1784"/>
      <c r="MO293" s="1784"/>
      <c r="MP293" s="1784"/>
      <c r="MQ293" s="358"/>
      <c r="MR293" s="358"/>
      <c r="MS293" s="358"/>
      <c r="MT293" s="358"/>
      <c r="MU293" s="358"/>
      <c r="MV293" s="358"/>
      <c r="MW293" s="1639"/>
      <c r="MX293" s="358"/>
      <c r="MY293" s="358"/>
      <c r="MZ293" s="358"/>
      <c r="NA293" s="358"/>
      <c r="NB293" s="358"/>
      <c r="NC293" s="358"/>
      <c r="ND293" s="358"/>
      <c r="NE293" s="358"/>
      <c r="NF293" s="358"/>
      <c r="NG293" s="358"/>
      <c r="NH293" s="358"/>
      <c r="NI293" s="358"/>
      <c r="NJ293" s="358"/>
      <c r="NK293" s="358"/>
      <c r="NL293" s="358"/>
      <c r="NM293" s="1639"/>
      <c r="NN293" s="1639"/>
      <c r="NO293" s="358"/>
      <c r="NP293" s="358"/>
      <c r="NQ293" s="358"/>
      <c r="NR293" s="358"/>
      <c r="NS293" s="358"/>
      <c r="NT293" s="358"/>
      <c r="NU293" s="358"/>
      <c r="NV293" s="358"/>
      <c r="NW293" s="358"/>
      <c r="NX293" s="358"/>
      <c r="NY293" s="358"/>
      <c r="NZ293" s="358"/>
      <c r="OA293" s="358"/>
      <c r="OB293" s="358"/>
      <c r="OC293" s="358"/>
      <c r="OD293" s="358"/>
      <c r="OE293" s="358"/>
      <c r="OF293" s="358"/>
      <c r="OG293" s="358"/>
      <c r="OH293" s="358"/>
      <c r="OI293" s="358"/>
      <c r="OJ293" s="358"/>
      <c r="OK293" s="358"/>
      <c r="OL293" s="358"/>
      <c r="OM293" s="358"/>
      <c r="ON293" s="358"/>
      <c r="OO293" s="358"/>
      <c r="OP293" s="358"/>
      <c r="OQ293" s="358"/>
      <c r="OR293" s="358"/>
      <c r="OS293" s="358"/>
      <c r="OT293" s="358"/>
      <c r="OU293" s="358"/>
      <c r="OV293" s="72"/>
      <c r="OW293" s="72"/>
      <c r="OX293" s="72"/>
      <c r="OY293" s="2499"/>
      <c r="OZ293" s="2503">
        <v>289</v>
      </c>
      <c r="PA293" s="72"/>
      <c r="PB293" s="72"/>
      <c r="PC293" s="72"/>
      <c r="PD293" s="72"/>
      <c r="PE293" s="72"/>
      <c r="PF293" s="72"/>
      <c r="PG293" s="72"/>
      <c r="PH293" s="72"/>
      <c r="PI293" s="72"/>
      <c r="PJ293" s="72"/>
      <c r="PK293" s="72"/>
      <c r="PL293" s="72"/>
      <c r="PM293" s="72"/>
      <c r="PN293" s="72"/>
      <c r="PO293" s="72"/>
      <c r="PP293" s="72"/>
      <c r="PQ293" s="72"/>
      <c r="PR293" s="72"/>
      <c r="PS293" s="72"/>
      <c r="PT293" s="72"/>
      <c r="PU293" s="72"/>
      <c r="PV293" s="72"/>
      <c r="PW293" s="72"/>
      <c r="PX293" s="72"/>
      <c r="PY293" s="72"/>
      <c r="PZ293" s="72"/>
      <c r="QA293" s="72"/>
      <c r="QB293" s="72"/>
      <c r="QC293" s="72"/>
      <c r="QD293" s="72"/>
      <c r="QE293" s="72"/>
      <c r="QF293" s="72"/>
      <c r="QG293" s="72"/>
      <c r="QH293" s="72"/>
      <c r="QI293" s="72"/>
      <c r="QJ293" s="72"/>
      <c r="QK293" s="72"/>
      <c r="QL293" s="72"/>
      <c r="QM293" s="72"/>
      <c r="QN293" s="72"/>
      <c r="QO293" s="72"/>
      <c r="QP293" s="72"/>
      <c r="QQ293" s="72"/>
      <c r="QR293" s="72"/>
      <c r="QS293" s="72"/>
      <c r="QT293" s="72"/>
      <c r="QU293" s="72"/>
      <c r="QV293" s="72"/>
      <c r="QW293" s="72"/>
      <c r="QX293" s="72"/>
      <c r="QY293" s="72"/>
      <c r="QZ293" s="72"/>
      <c r="RA293" s="72"/>
      <c r="RB293" s="72"/>
      <c r="RC293" s="72"/>
      <c r="RD293" s="72"/>
      <c r="RE293" s="72"/>
      <c r="RF293" s="72"/>
      <c r="RG293" s="72"/>
      <c r="RH293" s="72"/>
      <c r="RI293" s="72"/>
      <c r="RJ293" s="72"/>
      <c r="RK293" s="72"/>
      <c r="RL293" s="72"/>
      <c r="RM293" s="72"/>
      <c r="RN293" s="72"/>
      <c r="RO293" s="72"/>
      <c r="RP293" s="72"/>
      <c r="RQ293" s="72"/>
      <c r="RR293" s="72"/>
      <c r="RS293" s="72"/>
      <c r="RT293" s="72"/>
      <c r="RU293" s="72"/>
      <c r="RV293" s="72"/>
      <c r="RW293" s="72"/>
      <c r="RX293" s="72"/>
      <c r="RY293" s="72"/>
      <c r="RZ293" s="72"/>
      <c r="SA293" s="72"/>
      <c r="SB293" s="72"/>
      <c r="SC293" s="72"/>
      <c r="SD293" s="72"/>
      <c r="SE293" s="72"/>
      <c r="SF293" s="72"/>
      <c r="SG293" s="72"/>
      <c r="SH293" s="72"/>
      <c r="SI293" s="72"/>
      <c r="SJ293" s="72"/>
      <c r="SK293" s="72"/>
      <c r="SL293" s="72"/>
      <c r="SM293" s="72"/>
      <c r="SN293" s="72"/>
      <c r="SO293" s="72"/>
      <c r="SP293" s="72"/>
      <c r="SQ293" s="72"/>
      <c r="SR293" s="72"/>
      <c r="SS293" s="72"/>
      <c r="ST293" s="72"/>
      <c r="SU293" s="72"/>
      <c r="SV293" s="72"/>
      <c r="SW293" s="72"/>
      <c r="SX293" s="72"/>
      <c r="SY293" s="72"/>
      <c r="SZ293" s="72"/>
      <c r="TA293" s="72"/>
      <c r="TB293" s="72"/>
      <c r="TC293" s="72"/>
      <c r="TD293" s="72"/>
      <c r="TE293" s="72"/>
      <c r="TF293" s="72"/>
      <c r="TG293" s="72"/>
      <c r="TH293" s="72"/>
    </row>
    <row r="294" spans="1:528" s="69" customFormat="1" ht="14.1" customHeight="1">
      <c r="A294" s="1"/>
      <c r="B294" s="1"/>
      <c r="C294" s="1"/>
      <c r="D294" s="1"/>
      <c r="E294" s="1"/>
      <c r="F294" s="1"/>
      <c r="G294" s="1"/>
      <c r="H294" s="1"/>
      <c r="I294" s="1"/>
      <c r="J294" s="1"/>
      <c r="K294" s="1"/>
      <c r="L294" s="1"/>
      <c r="M294" s="1"/>
      <c r="N294" s="1"/>
      <c r="O294" s="1"/>
      <c r="P294" s="1"/>
      <c r="X294" s="358"/>
      <c r="Y294" s="358"/>
      <c r="Z294" s="358"/>
      <c r="AA294" s="358"/>
      <c r="AB294" s="358"/>
      <c r="AC294" s="358"/>
      <c r="AD294" s="358"/>
      <c r="AE294" s="358"/>
      <c r="AF294" s="358"/>
      <c r="AG294" s="358"/>
      <c r="AH294" s="358"/>
      <c r="AI294" s="358"/>
      <c r="AJ294" s="358"/>
      <c r="AK294" s="358"/>
      <c r="AL294" s="358"/>
      <c r="AM294" s="358"/>
      <c r="AN294" s="358"/>
      <c r="AO294" s="358"/>
      <c r="AP294" s="358"/>
      <c r="AQ294" s="358"/>
      <c r="AR294" s="358"/>
      <c r="AS294" s="358"/>
      <c r="AT294" s="358"/>
      <c r="AU294" s="358"/>
      <c r="AV294" s="358"/>
      <c r="AW294" s="358"/>
      <c r="AX294" s="358"/>
      <c r="AY294" s="358"/>
      <c r="AZ294" s="358"/>
      <c r="BA294" s="358"/>
      <c r="BB294" s="358"/>
      <c r="BC294" s="358"/>
      <c r="BD294" s="358"/>
      <c r="BE294" s="358"/>
      <c r="BF294" s="358"/>
      <c r="BG294" s="358"/>
      <c r="BH294" s="358"/>
      <c r="BI294" s="358"/>
      <c r="BJ294" s="358"/>
      <c r="BK294" s="358"/>
      <c r="BL294" s="358"/>
      <c r="BM294" s="358"/>
      <c r="BN294" s="358"/>
      <c r="BO294" s="358"/>
      <c r="BP294" s="358"/>
      <c r="BQ294" s="358"/>
      <c r="BR294" s="358"/>
      <c r="BS294" s="358"/>
      <c r="BT294" s="358"/>
      <c r="BU294" s="358"/>
      <c r="BV294" s="358"/>
      <c r="BW294" s="358"/>
      <c r="BX294" s="358"/>
      <c r="BY294" s="358"/>
      <c r="BZ294" s="358"/>
      <c r="CA294" s="358"/>
      <c r="CB294" s="358"/>
      <c r="CC294" s="358"/>
      <c r="CD294" s="358"/>
      <c r="CE294" s="358"/>
      <c r="CF294" s="358"/>
      <c r="CG294" s="358"/>
      <c r="CH294" s="358"/>
      <c r="CI294" s="358"/>
      <c r="CJ294" s="358"/>
      <c r="CK294" s="358"/>
      <c r="CL294" s="358"/>
      <c r="CM294" s="358"/>
      <c r="CN294" s="358"/>
      <c r="CO294" s="358"/>
      <c r="CP294" s="358"/>
      <c r="CQ294" s="358"/>
      <c r="CR294" s="358"/>
      <c r="CS294" s="358"/>
      <c r="CT294" s="358"/>
      <c r="CU294" s="358"/>
      <c r="CV294" s="358"/>
      <c r="CW294" s="358"/>
      <c r="CX294" s="358"/>
      <c r="CY294" s="358"/>
      <c r="CZ294" s="358"/>
      <c r="DA294" s="358"/>
      <c r="DB294" s="358"/>
      <c r="DC294" s="358"/>
      <c r="DD294" s="358"/>
      <c r="DE294" s="358"/>
      <c r="DF294" s="358"/>
      <c r="DG294" s="358"/>
      <c r="DH294" s="358"/>
      <c r="DI294" s="358"/>
      <c r="DJ294" s="358"/>
      <c r="DK294" s="358"/>
      <c r="DL294" s="358"/>
      <c r="DM294" s="358"/>
      <c r="DN294" s="358"/>
      <c r="DO294" s="358"/>
      <c r="DP294" s="358"/>
      <c r="DQ294" s="358"/>
      <c r="DR294" s="358"/>
      <c r="DS294" s="358"/>
      <c r="DT294" s="358"/>
      <c r="DU294" s="358"/>
      <c r="DV294" s="358"/>
      <c r="DW294" s="358"/>
      <c r="DX294" s="358"/>
      <c r="DY294" s="358"/>
      <c r="DZ294" s="358"/>
      <c r="EA294" s="358"/>
      <c r="EB294" s="358"/>
      <c r="EC294" s="358"/>
      <c r="ED294" s="358"/>
      <c r="EE294" s="358"/>
      <c r="EF294" s="358"/>
      <c r="EG294" s="358"/>
      <c r="EH294" s="358"/>
      <c r="EI294" s="358"/>
      <c r="EJ294" s="358"/>
      <c r="EK294" s="358"/>
      <c r="EL294" s="358"/>
      <c r="EM294" s="358"/>
      <c r="EN294" s="358"/>
      <c r="EO294" s="358"/>
      <c r="EP294" s="358"/>
      <c r="EQ294" s="358"/>
      <c r="ER294" s="358"/>
      <c r="ES294" s="358"/>
      <c r="ET294" s="358"/>
      <c r="EU294" s="358"/>
      <c r="EV294" s="358"/>
      <c r="EW294" s="358"/>
      <c r="EX294" s="358"/>
      <c r="EY294" s="358"/>
      <c r="EZ294" s="358"/>
      <c r="FA294" s="358"/>
      <c r="FB294" s="358"/>
      <c r="FC294" s="358"/>
      <c r="FD294" s="358"/>
      <c r="FE294" s="358"/>
      <c r="FF294" s="358"/>
      <c r="FG294" s="358"/>
      <c r="FH294" s="358"/>
      <c r="FI294" s="358"/>
      <c r="FJ294" s="358"/>
      <c r="FK294" s="358"/>
      <c r="FL294" s="358"/>
      <c r="FM294" s="358"/>
      <c r="FN294" s="358"/>
      <c r="FO294" s="358"/>
      <c r="FP294" s="358"/>
      <c r="FQ294" s="358"/>
      <c r="FR294" s="358"/>
      <c r="FS294" s="358"/>
      <c r="FT294" s="358"/>
      <c r="FU294" s="358"/>
      <c r="FV294" s="358"/>
      <c r="FW294" s="358"/>
      <c r="FX294" s="358"/>
      <c r="FY294" s="358"/>
      <c r="FZ294" s="358"/>
      <c r="GA294" s="358"/>
      <c r="GB294" s="358"/>
      <c r="GC294" s="358"/>
      <c r="GD294" s="358"/>
      <c r="GE294" s="358"/>
      <c r="GF294" s="358"/>
      <c r="GG294" s="358"/>
      <c r="GH294" s="358"/>
      <c r="GI294" s="358"/>
      <c r="GJ294" s="358"/>
      <c r="GK294" s="358"/>
      <c r="GL294" s="358"/>
      <c r="GM294" s="358"/>
      <c r="GN294" s="358"/>
      <c r="GO294" s="358"/>
      <c r="GP294" s="358"/>
      <c r="GQ294" s="358"/>
      <c r="GR294" s="358"/>
      <c r="GS294" s="358"/>
      <c r="GT294" s="358"/>
      <c r="GU294" s="358"/>
      <c r="GV294" s="358"/>
      <c r="GW294" s="358"/>
      <c r="GX294" s="358"/>
      <c r="GY294" s="358"/>
      <c r="GZ294" s="358"/>
      <c r="HA294" s="358"/>
      <c r="HB294" s="358"/>
      <c r="HC294" s="358"/>
      <c r="HD294" s="358"/>
      <c r="HE294" s="358"/>
      <c r="HF294" s="358"/>
      <c r="HG294" s="358"/>
      <c r="HH294" s="358"/>
      <c r="HI294" s="358"/>
      <c r="HJ294" s="358"/>
      <c r="HK294" s="358"/>
      <c r="HL294" s="358"/>
      <c r="HM294" s="358"/>
      <c r="HN294" s="358"/>
      <c r="HO294" s="358"/>
      <c r="HP294" s="358"/>
      <c r="HQ294" s="358"/>
      <c r="HR294" s="358"/>
      <c r="HS294" s="358"/>
      <c r="HT294" s="358"/>
      <c r="HU294" s="358"/>
      <c r="HV294" s="358"/>
      <c r="HW294" s="358"/>
      <c r="HX294" s="358"/>
      <c r="HY294" s="358"/>
      <c r="HZ294" s="358"/>
      <c r="IA294" s="358"/>
      <c r="IB294" s="358"/>
      <c r="IC294" s="358"/>
      <c r="ID294" s="358"/>
      <c r="IE294" s="358"/>
      <c r="IF294" s="358"/>
      <c r="IG294" s="358"/>
      <c r="IH294" s="358"/>
      <c r="II294" s="358"/>
      <c r="IJ294" s="358"/>
      <c r="IK294" s="358"/>
      <c r="IL294" s="358"/>
      <c r="IM294" s="358"/>
      <c r="IN294" s="358"/>
      <c r="IO294" s="358"/>
      <c r="IP294" s="358"/>
      <c r="IQ294" s="358"/>
      <c r="IR294" s="358"/>
      <c r="IS294" s="358"/>
      <c r="IT294" s="358"/>
      <c r="IU294" s="358"/>
      <c r="IV294" s="358"/>
      <c r="IW294" s="358"/>
      <c r="IX294" s="358"/>
      <c r="IY294" s="358"/>
      <c r="IZ294" s="358"/>
      <c r="JA294" s="358"/>
      <c r="JB294" s="358"/>
      <c r="JC294" s="358"/>
      <c r="JD294" s="358"/>
      <c r="JE294" s="358"/>
      <c r="JF294" s="358"/>
      <c r="JG294" s="358"/>
      <c r="JH294" s="358"/>
      <c r="JI294" s="358"/>
      <c r="JJ294" s="358"/>
      <c r="JK294" s="358"/>
      <c r="JL294" s="358"/>
      <c r="JM294" s="358"/>
      <c r="JN294" s="358"/>
      <c r="JO294" s="358"/>
      <c r="JP294" s="358"/>
      <c r="JQ294" s="358"/>
      <c r="JR294" s="358"/>
      <c r="JS294" s="358"/>
      <c r="JT294" s="358"/>
      <c r="JU294" s="358"/>
      <c r="JV294" s="358"/>
      <c r="JW294" s="358"/>
      <c r="JX294" s="358"/>
      <c r="JY294" s="358"/>
      <c r="JZ294" s="358"/>
      <c r="KA294" s="358"/>
      <c r="KB294" s="358"/>
      <c r="KC294" s="358"/>
      <c r="KD294" s="358"/>
      <c r="KE294" s="358"/>
      <c r="KF294" s="358"/>
      <c r="KG294" s="358"/>
      <c r="KH294" s="358"/>
      <c r="KI294" s="358"/>
      <c r="KJ294" s="358"/>
      <c r="KK294" s="358"/>
      <c r="KL294" s="358"/>
      <c r="KM294" s="358"/>
      <c r="KN294" s="358"/>
      <c r="KO294" s="358"/>
      <c r="KP294" s="358"/>
      <c r="KQ294" s="358"/>
      <c r="KR294" s="358"/>
      <c r="KS294" s="358"/>
      <c r="KT294" s="358"/>
      <c r="KU294" s="358"/>
      <c r="KV294" s="358"/>
      <c r="KW294" s="358"/>
      <c r="KX294" s="358"/>
      <c r="KY294" s="358"/>
      <c r="KZ294" s="358"/>
      <c r="LA294" s="358"/>
      <c r="LB294" s="358"/>
      <c r="LC294" s="358"/>
      <c r="LD294" s="358"/>
      <c r="LE294" s="358"/>
      <c r="LF294" s="1784"/>
      <c r="LG294" s="358"/>
      <c r="LH294" s="358"/>
      <c r="LI294" s="358"/>
      <c r="LJ294" s="358"/>
      <c r="LK294" s="1784"/>
      <c r="LL294" s="358"/>
      <c r="LM294" s="358"/>
      <c r="LN294" s="358"/>
      <c r="LO294" s="358"/>
      <c r="LP294" s="1784"/>
      <c r="LQ294" s="358"/>
      <c r="LR294" s="358"/>
      <c r="LS294" s="358"/>
      <c r="LT294" s="358"/>
      <c r="LU294" s="1784"/>
      <c r="LV294" s="1784"/>
      <c r="LW294" s="1784"/>
      <c r="LX294" s="1784"/>
      <c r="LY294" s="1784"/>
      <c r="LZ294" s="1784"/>
      <c r="MA294" s="1784"/>
      <c r="MB294" s="1784"/>
      <c r="MC294" s="1784"/>
      <c r="MD294" s="1784"/>
      <c r="ME294" s="1784"/>
      <c r="MF294" s="1784"/>
      <c r="MG294" s="1784"/>
      <c r="MH294" s="1784"/>
      <c r="MI294" s="1784"/>
      <c r="MJ294" s="1784"/>
      <c r="MK294" s="1784"/>
      <c r="ML294" s="1784"/>
      <c r="MM294" s="1784"/>
      <c r="MN294" s="1784"/>
      <c r="MO294" s="1784"/>
      <c r="MP294" s="1784"/>
      <c r="MQ294" s="358"/>
      <c r="MR294" s="358"/>
      <c r="MS294" s="358"/>
      <c r="MT294" s="358"/>
      <c r="MU294" s="358"/>
      <c r="MV294" s="358"/>
      <c r="MW294" s="1639"/>
      <c r="MX294" s="358"/>
      <c r="MY294" s="358"/>
      <c r="MZ294" s="358"/>
      <c r="NA294" s="358"/>
      <c r="NB294" s="358"/>
      <c r="NC294" s="358"/>
      <c r="ND294" s="358"/>
      <c r="NE294" s="358"/>
      <c r="NF294" s="358"/>
      <c r="NG294" s="358"/>
      <c r="NH294" s="358"/>
      <c r="NI294" s="358"/>
      <c r="NJ294" s="358"/>
      <c r="NK294" s="358"/>
      <c r="NL294" s="358"/>
      <c r="NM294" s="1639"/>
      <c r="NN294" s="1639"/>
      <c r="NO294" s="358"/>
      <c r="NP294" s="358"/>
      <c r="NQ294" s="358"/>
      <c r="NR294" s="358"/>
      <c r="NS294" s="358"/>
      <c r="NT294" s="358"/>
      <c r="NU294" s="358"/>
      <c r="NV294" s="358"/>
      <c r="NW294" s="358"/>
      <c r="NX294" s="358"/>
      <c r="NY294" s="358"/>
      <c r="NZ294" s="358"/>
      <c r="OA294" s="358"/>
      <c r="OB294" s="358"/>
      <c r="OC294" s="358"/>
      <c r="OD294" s="358"/>
      <c r="OE294" s="358"/>
      <c r="OF294" s="358"/>
      <c r="OG294" s="358"/>
      <c r="OH294" s="358"/>
      <c r="OI294" s="358"/>
      <c r="OJ294" s="358"/>
      <c r="OK294" s="358"/>
      <c r="OL294" s="358"/>
      <c r="OM294" s="358"/>
      <c r="ON294" s="358"/>
      <c r="OO294" s="358"/>
      <c r="OP294" s="358"/>
      <c r="OQ294" s="358"/>
      <c r="OR294" s="358"/>
      <c r="OS294" s="358"/>
      <c r="OT294" s="358"/>
      <c r="OU294" s="358"/>
      <c r="OV294" s="72"/>
      <c r="OW294" s="72"/>
      <c r="OX294" s="72"/>
      <c r="OY294" s="2501"/>
      <c r="OZ294" s="2504"/>
      <c r="PA294" s="72"/>
      <c r="PB294" s="72"/>
      <c r="PC294" s="72"/>
      <c r="PD294" s="72"/>
      <c r="PE294" s="72"/>
      <c r="PF294" s="72"/>
      <c r="PG294" s="72"/>
      <c r="PH294" s="72"/>
      <c r="PI294" s="72"/>
      <c r="PJ294" s="72"/>
      <c r="PK294" s="72"/>
      <c r="PL294" s="72"/>
      <c r="PM294" s="72"/>
      <c r="PN294" s="72"/>
      <c r="PO294" s="72"/>
      <c r="PP294" s="72"/>
      <c r="PQ294" s="72"/>
      <c r="PR294" s="72"/>
      <c r="PS294" s="72"/>
      <c r="PT294" s="72"/>
      <c r="PU294" s="72"/>
      <c r="PV294" s="72"/>
      <c r="PW294" s="72"/>
      <c r="PX294" s="72"/>
      <c r="PY294" s="72"/>
      <c r="PZ294" s="72"/>
      <c r="QA294" s="72"/>
      <c r="QB294" s="72"/>
      <c r="QC294" s="72"/>
      <c r="QD294" s="72"/>
      <c r="QE294" s="72"/>
      <c r="QF294" s="72"/>
      <c r="QG294" s="72"/>
      <c r="QH294" s="72"/>
      <c r="QI294" s="72"/>
      <c r="QJ294" s="72"/>
      <c r="QK294" s="72"/>
      <c r="QL294" s="72"/>
      <c r="QM294" s="72"/>
      <c r="QN294" s="72"/>
      <c r="QO294" s="72"/>
      <c r="QP294" s="72"/>
      <c r="QQ294" s="72"/>
      <c r="QR294" s="72"/>
      <c r="QS294" s="72"/>
      <c r="QT294" s="72"/>
      <c r="QU294" s="72"/>
      <c r="QV294" s="72"/>
      <c r="QW294" s="72"/>
      <c r="QX294" s="72"/>
      <c r="QY294" s="72"/>
      <c r="QZ294" s="72"/>
      <c r="RA294" s="72"/>
      <c r="RB294" s="72"/>
      <c r="RC294" s="72"/>
      <c r="RD294" s="72"/>
      <c r="RE294" s="72"/>
      <c r="RF294" s="72"/>
      <c r="RG294" s="72"/>
      <c r="RH294" s="72"/>
      <c r="RI294" s="72"/>
      <c r="RJ294" s="72"/>
      <c r="RK294" s="72"/>
      <c r="RL294" s="72"/>
      <c r="RM294" s="72"/>
      <c r="RN294" s="72"/>
      <c r="RO294" s="72"/>
      <c r="RP294" s="72"/>
      <c r="RQ294" s="72"/>
      <c r="RR294" s="72"/>
      <c r="RS294" s="72"/>
      <c r="RT294" s="72"/>
      <c r="RU294" s="72"/>
      <c r="RV294" s="72"/>
      <c r="RW294" s="72"/>
      <c r="RX294" s="72"/>
      <c r="RY294" s="72"/>
      <c r="RZ294" s="72"/>
      <c r="SA294" s="72"/>
      <c r="SB294" s="72"/>
      <c r="SC294" s="72"/>
      <c r="SD294" s="72"/>
      <c r="SE294" s="72"/>
      <c r="SF294" s="72"/>
      <c r="SG294" s="72"/>
      <c r="SH294" s="72"/>
      <c r="SI294" s="72"/>
      <c r="SJ294" s="72"/>
      <c r="SK294" s="72"/>
      <c r="SL294" s="72"/>
      <c r="SM294" s="72"/>
      <c r="SN294" s="72"/>
      <c r="SO294" s="72"/>
      <c r="SP294" s="72"/>
      <c r="SQ294" s="72"/>
      <c r="SR294" s="72"/>
      <c r="SS294" s="72"/>
      <c r="ST294" s="72"/>
      <c r="SU294" s="72"/>
      <c r="SV294" s="72"/>
      <c r="SW294" s="72"/>
      <c r="SX294" s="72"/>
      <c r="SY294" s="72"/>
      <c r="SZ294" s="72"/>
      <c r="TA294" s="72"/>
      <c r="TB294" s="72"/>
      <c r="TC294" s="72"/>
      <c r="TD294" s="72"/>
      <c r="TE294" s="72"/>
      <c r="TF294" s="72"/>
      <c r="TG294" s="72"/>
      <c r="TH294" s="72"/>
    </row>
    <row r="295" spans="1:528" ht="14.1" customHeight="1">
      <c r="OY295" s="2501"/>
    </row>
    <row r="296" spans="1:528" ht="14.1" customHeight="1">
      <c r="OY296" s="2501"/>
    </row>
    <row r="297" spans="1:528" ht="14.1" customHeight="1">
      <c r="OY297" s="2501"/>
    </row>
    <row r="298" spans="1:528" ht="14.1" customHeight="1">
      <c r="OY298" s="2501"/>
    </row>
    <row r="299" spans="1:528" s="69" customFormat="1" ht="14.1" customHeight="1">
      <c r="A299" s="25"/>
      <c r="B299" s="1"/>
      <c r="C299" s="1"/>
      <c r="D299" s="1"/>
      <c r="E299" s="1"/>
      <c r="F299" s="1"/>
      <c r="G299" s="1"/>
      <c r="H299" s="1"/>
      <c r="I299" s="1"/>
      <c r="J299" s="1"/>
      <c r="K299" s="1"/>
      <c r="L299" s="1"/>
      <c r="M299" s="1"/>
      <c r="N299" s="1"/>
      <c r="O299" s="1"/>
      <c r="P299" s="1"/>
      <c r="X299" s="358"/>
      <c r="Y299" s="358"/>
      <c r="Z299" s="358"/>
      <c r="AA299" s="358"/>
      <c r="AB299" s="358"/>
      <c r="AC299" s="358"/>
      <c r="AD299" s="358"/>
      <c r="AE299" s="358"/>
      <c r="AF299" s="358"/>
      <c r="AG299" s="358"/>
      <c r="AH299" s="358"/>
      <c r="AI299" s="358"/>
      <c r="AJ299" s="358"/>
      <c r="AK299" s="358"/>
      <c r="AL299" s="358"/>
      <c r="AM299" s="358"/>
      <c r="AN299" s="358"/>
      <c r="AO299" s="358"/>
      <c r="AP299" s="358"/>
      <c r="AQ299" s="358"/>
      <c r="AR299" s="358"/>
      <c r="AS299" s="358"/>
      <c r="AT299" s="358"/>
      <c r="AU299" s="358"/>
      <c r="AV299" s="358"/>
      <c r="AW299" s="358"/>
      <c r="AX299" s="358"/>
      <c r="AY299" s="358"/>
      <c r="AZ299" s="358"/>
      <c r="BA299" s="358"/>
      <c r="BB299" s="358"/>
      <c r="BC299" s="358"/>
      <c r="BD299" s="358"/>
      <c r="BE299" s="358"/>
      <c r="BF299" s="358"/>
      <c r="BG299" s="358"/>
      <c r="BH299" s="358"/>
      <c r="BI299" s="358"/>
      <c r="BJ299" s="358"/>
      <c r="BK299" s="358"/>
      <c r="BL299" s="358"/>
      <c r="BM299" s="358"/>
      <c r="BN299" s="358"/>
      <c r="BO299" s="358"/>
      <c r="BP299" s="358"/>
      <c r="BQ299" s="358"/>
      <c r="BR299" s="358"/>
      <c r="BS299" s="358"/>
      <c r="BT299" s="358"/>
      <c r="BU299" s="358"/>
      <c r="BV299" s="358"/>
      <c r="BW299" s="358"/>
      <c r="BX299" s="358"/>
      <c r="BY299" s="358"/>
      <c r="BZ299" s="358"/>
      <c r="CA299" s="358"/>
      <c r="CB299" s="358"/>
      <c r="CC299" s="358"/>
      <c r="CD299" s="358"/>
      <c r="CE299" s="358"/>
      <c r="CF299" s="358"/>
      <c r="CG299" s="358"/>
      <c r="CH299" s="358"/>
      <c r="CI299" s="358"/>
      <c r="CJ299" s="358"/>
      <c r="CK299" s="358"/>
      <c r="CL299" s="358"/>
      <c r="CM299" s="358"/>
      <c r="CN299" s="358"/>
      <c r="CO299" s="358"/>
      <c r="CP299" s="358"/>
      <c r="CQ299" s="358"/>
      <c r="CR299" s="358"/>
      <c r="CS299" s="358"/>
      <c r="CT299" s="358"/>
      <c r="CU299" s="358"/>
      <c r="CV299" s="358"/>
      <c r="CW299" s="358"/>
      <c r="CX299" s="358"/>
      <c r="CY299" s="358"/>
      <c r="CZ299" s="358"/>
      <c r="DA299" s="358"/>
      <c r="DB299" s="358"/>
      <c r="DC299" s="358"/>
      <c r="DD299" s="358"/>
      <c r="DE299" s="358"/>
      <c r="DF299" s="358"/>
      <c r="DG299" s="358"/>
      <c r="DH299" s="358"/>
      <c r="DI299" s="358"/>
      <c r="DJ299" s="358"/>
      <c r="DK299" s="358"/>
      <c r="DL299" s="358"/>
      <c r="DM299" s="358"/>
      <c r="DN299" s="358"/>
      <c r="DO299" s="358"/>
      <c r="DP299" s="358"/>
      <c r="DQ299" s="358"/>
      <c r="DR299" s="358"/>
      <c r="DS299" s="358"/>
      <c r="DT299" s="358"/>
      <c r="DU299" s="358"/>
      <c r="DV299" s="358"/>
      <c r="DW299" s="358"/>
      <c r="DX299" s="358"/>
      <c r="DY299" s="358"/>
      <c r="DZ299" s="358"/>
      <c r="EA299" s="358"/>
      <c r="EB299" s="358"/>
      <c r="EC299" s="358"/>
      <c r="ED299" s="358"/>
      <c r="EE299" s="358"/>
      <c r="EF299" s="358"/>
      <c r="EG299" s="358"/>
      <c r="EH299" s="358"/>
      <c r="EI299" s="358"/>
      <c r="EJ299" s="358"/>
      <c r="EK299" s="358"/>
      <c r="EL299" s="358"/>
      <c r="EM299" s="358"/>
      <c r="EN299" s="358"/>
      <c r="EO299" s="358"/>
      <c r="EP299" s="358"/>
      <c r="EQ299" s="358"/>
      <c r="ER299" s="358"/>
      <c r="ES299" s="358"/>
      <c r="ET299" s="358"/>
      <c r="EU299" s="358"/>
      <c r="EV299" s="358"/>
      <c r="EW299" s="358"/>
      <c r="EX299" s="358"/>
      <c r="EY299" s="358"/>
      <c r="EZ299" s="358"/>
      <c r="FA299" s="358"/>
      <c r="FB299" s="358"/>
      <c r="FC299" s="358"/>
      <c r="FD299" s="358"/>
      <c r="FE299" s="358"/>
      <c r="FF299" s="358"/>
      <c r="FG299" s="358"/>
      <c r="FH299" s="358"/>
      <c r="FI299" s="358"/>
      <c r="FJ299" s="358"/>
      <c r="FK299" s="358"/>
      <c r="FL299" s="358"/>
      <c r="FM299" s="358"/>
      <c r="FN299" s="358"/>
      <c r="FO299" s="358"/>
      <c r="FP299" s="358"/>
      <c r="FQ299" s="358"/>
      <c r="FR299" s="358"/>
      <c r="FS299" s="358"/>
      <c r="FT299" s="358"/>
      <c r="FU299" s="358"/>
      <c r="FV299" s="358"/>
      <c r="FW299" s="358"/>
      <c r="FX299" s="358"/>
      <c r="FY299" s="358"/>
      <c r="FZ299" s="358"/>
      <c r="GA299" s="358"/>
      <c r="GB299" s="358"/>
      <c r="GC299" s="358"/>
      <c r="GD299" s="358"/>
      <c r="GE299" s="358"/>
      <c r="GF299" s="358"/>
      <c r="GG299" s="358"/>
      <c r="GH299" s="358"/>
      <c r="GI299" s="358"/>
      <c r="GJ299" s="358"/>
      <c r="GK299" s="358"/>
      <c r="GL299" s="358"/>
      <c r="GM299" s="358"/>
      <c r="GN299" s="358"/>
      <c r="GO299" s="358"/>
      <c r="GP299" s="358"/>
      <c r="GQ299" s="358"/>
      <c r="GR299" s="358"/>
      <c r="GS299" s="358"/>
      <c r="GT299" s="358"/>
      <c r="GU299" s="358"/>
      <c r="GV299" s="358"/>
      <c r="GW299" s="358"/>
      <c r="GX299" s="358"/>
      <c r="GY299" s="358"/>
      <c r="GZ299" s="358"/>
      <c r="HA299" s="358"/>
      <c r="HB299" s="358"/>
      <c r="HC299" s="358"/>
      <c r="HD299" s="358"/>
      <c r="HE299" s="358"/>
      <c r="HF299" s="358"/>
      <c r="HG299" s="358"/>
      <c r="HH299" s="358"/>
      <c r="HI299" s="358"/>
      <c r="HJ299" s="358"/>
      <c r="HK299" s="358"/>
      <c r="HL299" s="358"/>
      <c r="HM299" s="358"/>
      <c r="HN299" s="358"/>
      <c r="HO299" s="358"/>
      <c r="HP299" s="358"/>
      <c r="HQ299" s="358"/>
      <c r="HR299" s="358"/>
      <c r="HS299" s="358"/>
      <c r="HT299" s="358"/>
      <c r="HU299" s="358"/>
      <c r="HV299" s="358"/>
      <c r="HW299" s="358"/>
      <c r="HX299" s="358"/>
      <c r="HY299" s="358"/>
      <c r="HZ299" s="358"/>
      <c r="IA299" s="358"/>
      <c r="IB299" s="358"/>
      <c r="IC299" s="358"/>
      <c r="ID299" s="358"/>
      <c r="IE299" s="358"/>
      <c r="IF299" s="358"/>
      <c r="IG299" s="358"/>
      <c r="IH299" s="358"/>
      <c r="II299" s="358"/>
      <c r="IJ299" s="358"/>
      <c r="IK299" s="358"/>
      <c r="IL299" s="358"/>
      <c r="IM299" s="358"/>
      <c r="IN299" s="358"/>
      <c r="IO299" s="358"/>
      <c r="IP299" s="358"/>
      <c r="IQ299" s="358"/>
      <c r="IR299" s="358"/>
      <c r="IS299" s="358"/>
      <c r="IT299" s="358"/>
      <c r="IU299" s="358"/>
      <c r="IV299" s="358"/>
      <c r="IW299" s="358"/>
      <c r="IX299" s="358"/>
      <c r="IY299" s="358"/>
      <c r="IZ299" s="358"/>
      <c r="JA299" s="358"/>
      <c r="JB299" s="358"/>
      <c r="JC299" s="358"/>
      <c r="JD299" s="358"/>
      <c r="JE299" s="358"/>
      <c r="JF299" s="358"/>
      <c r="JG299" s="358"/>
      <c r="JH299" s="358"/>
      <c r="JI299" s="358"/>
      <c r="JJ299" s="358"/>
      <c r="JK299" s="358"/>
      <c r="JL299" s="358"/>
      <c r="JM299" s="358"/>
      <c r="JN299" s="358"/>
      <c r="JO299" s="358"/>
      <c r="JP299" s="358"/>
      <c r="JQ299" s="358"/>
      <c r="JR299" s="358"/>
      <c r="JS299" s="358"/>
      <c r="JT299" s="358"/>
      <c r="JU299" s="358"/>
      <c r="JV299" s="358"/>
      <c r="JW299" s="358"/>
      <c r="JX299" s="358"/>
      <c r="JY299" s="358"/>
      <c r="JZ299" s="358"/>
      <c r="KA299" s="358"/>
      <c r="KB299" s="358"/>
      <c r="KC299" s="358"/>
      <c r="KD299" s="358"/>
      <c r="KE299" s="358"/>
      <c r="KF299" s="358"/>
      <c r="KG299" s="358"/>
      <c r="KH299" s="358"/>
      <c r="KI299" s="358"/>
      <c r="KJ299" s="358"/>
      <c r="KK299" s="358"/>
      <c r="KL299" s="358"/>
      <c r="KM299" s="358"/>
      <c r="KN299" s="358"/>
      <c r="KO299" s="358"/>
      <c r="KP299" s="358"/>
      <c r="KQ299" s="358"/>
      <c r="KR299" s="358"/>
      <c r="KS299" s="358"/>
      <c r="KT299" s="358"/>
      <c r="KU299" s="358"/>
      <c r="KV299" s="358"/>
      <c r="KW299" s="358"/>
      <c r="KX299" s="358"/>
      <c r="KY299" s="358"/>
      <c r="KZ299" s="358"/>
      <c r="LA299" s="358"/>
      <c r="LB299" s="358"/>
      <c r="LC299" s="358"/>
      <c r="LD299" s="358"/>
      <c r="LE299" s="358"/>
      <c r="LF299" s="1784"/>
      <c r="LG299" s="358"/>
      <c r="LH299" s="358"/>
      <c r="LI299" s="358"/>
      <c r="LJ299" s="358"/>
      <c r="LK299" s="1784"/>
      <c r="LL299" s="358"/>
      <c r="LM299" s="358"/>
      <c r="LN299" s="358"/>
      <c r="LO299" s="358"/>
      <c r="LP299" s="1784"/>
      <c r="LQ299" s="358"/>
      <c r="LR299" s="358"/>
      <c r="LS299" s="358"/>
      <c r="LT299" s="358"/>
      <c r="LU299" s="1784"/>
      <c r="LV299" s="1784"/>
      <c r="LW299" s="1784"/>
      <c r="LX299" s="1784"/>
      <c r="LY299" s="1784"/>
      <c r="LZ299" s="1784"/>
      <c r="MA299" s="1784"/>
      <c r="MB299" s="1784"/>
      <c r="MC299" s="1784"/>
      <c r="MD299" s="1784"/>
      <c r="ME299" s="1784"/>
      <c r="MF299" s="1784"/>
      <c r="MG299" s="1784"/>
      <c r="MH299" s="1784"/>
      <c r="MI299" s="1784"/>
      <c r="MJ299" s="1784"/>
      <c r="MK299" s="1784"/>
      <c r="ML299" s="1784"/>
      <c r="MM299" s="1784"/>
      <c r="MN299" s="1784"/>
      <c r="MO299" s="1784"/>
      <c r="MP299" s="1784"/>
      <c r="MQ299" s="358"/>
      <c r="MR299" s="358"/>
      <c r="MS299" s="358"/>
      <c r="MT299" s="358"/>
      <c r="MU299" s="358"/>
      <c r="MV299" s="358"/>
      <c r="MW299" s="1639"/>
      <c r="MX299" s="358"/>
      <c r="MY299" s="358"/>
      <c r="MZ299" s="358"/>
      <c r="NA299" s="358"/>
      <c r="NB299" s="358"/>
      <c r="NC299" s="358"/>
      <c r="ND299" s="358"/>
      <c r="NE299" s="358"/>
      <c r="NF299" s="358"/>
      <c r="NG299" s="358"/>
      <c r="NH299" s="358"/>
      <c r="NI299" s="358"/>
      <c r="NJ299" s="358"/>
      <c r="NK299" s="358"/>
      <c r="NL299" s="358"/>
      <c r="NM299" s="1639"/>
      <c r="NN299" s="1639"/>
      <c r="NO299" s="358"/>
      <c r="NP299" s="358"/>
      <c r="NQ299" s="358"/>
      <c r="NR299" s="358"/>
      <c r="NS299" s="358"/>
      <c r="NT299" s="358"/>
      <c r="NU299" s="358"/>
      <c r="NV299" s="358"/>
      <c r="NW299" s="358"/>
      <c r="NX299" s="358"/>
      <c r="NY299" s="358"/>
      <c r="NZ299" s="358"/>
      <c r="OA299" s="358"/>
      <c r="OB299" s="358"/>
      <c r="OC299" s="358"/>
      <c r="OD299" s="358"/>
      <c r="OE299" s="358"/>
      <c r="OF299" s="358"/>
      <c r="OG299" s="358"/>
      <c r="OH299" s="358"/>
      <c r="OI299" s="358"/>
      <c r="OJ299" s="358"/>
      <c r="OK299" s="358"/>
      <c r="OL299" s="358"/>
      <c r="OM299" s="358"/>
      <c r="ON299" s="358"/>
      <c r="OO299" s="358"/>
      <c r="OP299" s="358"/>
      <c r="OQ299" s="358"/>
      <c r="OR299" s="358"/>
      <c r="OS299" s="358"/>
      <c r="OT299" s="358"/>
      <c r="OU299" s="358"/>
      <c r="OV299" s="72"/>
      <c r="OW299" s="72"/>
      <c r="OX299" s="72"/>
      <c r="OY299" s="2501"/>
      <c r="OZ299" s="2504"/>
      <c r="PA299" s="72"/>
      <c r="PB299" s="72"/>
      <c r="PC299" s="72"/>
      <c r="PD299" s="72"/>
      <c r="PE299" s="72"/>
      <c r="PF299" s="72"/>
      <c r="PG299" s="72"/>
      <c r="PH299" s="72"/>
      <c r="PI299" s="72"/>
      <c r="PJ299" s="72"/>
      <c r="PK299" s="72"/>
      <c r="PL299" s="72"/>
      <c r="PM299" s="72"/>
      <c r="PN299" s="72"/>
      <c r="PO299" s="72"/>
      <c r="PP299" s="72"/>
      <c r="PQ299" s="72"/>
      <c r="PR299" s="72"/>
      <c r="PS299" s="72"/>
      <c r="PT299" s="72"/>
      <c r="PU299" s="72"/>
      <c r="PV299" s="72"/>
      <c r="PW299" s="72"/>
      <c r="PX299" s="72"/>
      <c r="PY299" s="72"/>
      <c r="PZ299" s="72"/>
      <c r="QA299" s="72"/>
      <c r="QB299" s="72"/>
      <c r="QC299" s="72"/>
      <c r="QD299" s="72"/>
      <c r="QE299" s="72"/>
      <c r="QF299" s="72"/>
      <c r="QG299" s="72"/>
      <c r="QH299" s="72"/>
      <c r="QI299" s="72"/>
      <c r="QJ299" s="72"/>
      <c r="QK299" s="72"/>
      <c r="QL299" s="72"/>
      <c r="QM299" s="72"/>
      <c r="QN299" s="72"/>
      <c r="QO299" s="72"/>
      <c r="QP299" s="72"/>
      <c r="QQ299" s="72"/>
      <c r="QR299" s="72"/>
      <c r="QS299" s="72"/>
      <c r="QT299" s="72"/>
      <c r="QU299" s="72"/>
      <c r="QV299" s="72"/>
      <c r="QW299" s="72"/>
      <c r="QX299" s="72"/>
      <c r="QY299" s="72"/>
      <c r="QZ299" s="72"/>
      <c r="RA299" s="72"/>
      <c r="RB299" s="72"/>
      <c r="RC299" s="72"/>
      <c r="RD299" s="72"/>
      <c r="RE299" s="72"/>
      <c r="RF299" s="72"/>
      <c r="RG299" s="72"/>
      <c r="RH299" s="72"/>
      <c r="RI299" s="72"/>
      <c r="RJ299" s="72"/>
      <c r="RK299" s="72"/>
      <c r="RL299" s="72"/>
      <c r="RM299" s="72"/>
      <c r="RN299" s="72"/>
      <c r="RO299" s="72"/>
      <c r="RP299" s="72"/>
      <c r="RQ299" s="72"/>
      <c r="RR299" s="72"/>
      <c r="RS299" s="72"/>
      <c r="RT299" s="72"/>
      <c r="RU299" s="72"/>
      <c r="RV299" s="72"/>
      <c r="RW299" s="72"/>
      <c r="RX299" s="72"/>
      <c r="RY299" s="72"/>
      <c r="RZ299" s="72"/>
      <c r="SA299" s="72"/>
      <c r="SB299" s="72"/>
      <c r="SC299" s="72"/>
      <c r="SD299" s="72"/>
      <c r="SE299" s="72"/>
      <c r="SF299" s="72"/>
      <c r="SG299" s="72"/>
      <c r="SH299" s="72"/>
      <c r="SI299" s="72"/>
      <c r="SJ299" s="72"/>
      <c r="SK299" s="72"/>
      <c r="SL299" s="72"/>
      <c r="SM299" s="72"/>
      <c r="SN299" s="72"/>
      <c r="SO299" s="72"/>
      <c r="SP299" s="72"/>
      <c r="SQ299" s="72"/>
      <c r="SR299" s="72"/>
      <c r="SS299" s="72"/>
      <c r="ST299" s="72"/>
      <c r="SU299" s="72"/>
      <c r="SV299" s="72"/>
      <c r="SW299" s="72"/>
      <c r="SX299" s="72"/>
      <c r="SY299" s="72"/>
      <c r="SZ299" s="72"/>
      <c r="TA299" s="72"/>
      <c r="TB299" s="72"/>
      <c r="TC299" s="72"/>
      <c r="TD299" s="72"/>
      <c r="TE299" s="72"/>
      <c r="TF299" s="72"/>
      <c r="TG299" s="72"/>
      <c r="TH299" s="72"/>
    </row>
    <row r="300" spans="1:528" s="69" customFormat="1" ht="14.1" customHeight="1">
      <c r="A300" s="25"/>
      <c r="B300" s="1"/>
      <c r="C300" s="1"/>
      <c r="D300" s="1"/>
      <c r="E300" s="1"/>
      <c r="F300" s="1"/>
      <c r="G300" s="1"/>
      <c r="H300" s="1"/>
      <c r="I300" s="1"/>
      <c r="J300" s="1"/>
      <c r="K300" s="1"/>
      <c r="L300" s="1"/>
      <c r="M300" s="1"/>
      <c r="N300" s="1"/>
      <c r="O300" s="1"/>
      <c r="P300" s="1"/>
      <c r="X300" s="358"/>
      <c r="Y300" s="358"/>
      <c r="Z300" s="358"/>
      <c r="AA300" s="358"/>
      <c r="AB300" s="358"/>
      <c r="AC300" s="358"/>
      <c r="AD300" s="358"/>
      <c r="AE300" s="358"/>
      <c r="AF300" s="358"/>
      <c r="AG300" s="358"/>
      <c r="AH300" s="358"/>
      <c r="AI300" s="358"/>
      <c r="AJ300" s="358"/>
      <c r="AK300" s="358"/>
      <c r="AL300" s="358"/>
      <c r="AM300" s="358"/>
      <c r="AN300" s="358"/>
      <c r="AO300" s="358"/>
      <c r="AP300" s="358"/>
      <c r="AQ300" s="358"/>
      <c r="AR300" s="358"/>
      <c r="AS300" s="358"/>
      <c r="AT300" s="358"/>
      <c r="AU300" s="358"/>
      <c r="AV300" s="358"/>
      <c r="AW300" s="358"/>
      <c r="AX300" s="358"/>
      <c r="AY300" s="358"/>
      <c r="AZ300" s="358"/>
      <c r="BA300" s="358"/>
      <c r="BB300" s="358"/>
      <c r="BC300" s="358"/>
      <c r="BD300" s="358"/>
      <c r="BE300" s="358"/>
      <c r="BF300" s="358"/>
      <c r="BG300" s="358"/>
      <c r="BH300" s="358"/>
      <c r="BI300" s="358"/>
      <c r="BJ300" s="358"/>
      <c r="BK300" s="358"/>
      <c r="BL300" s="358"/>
      <c r="BM300" s="358"/>
      <c r="BN300" s="358"/>
      <c r="BO300" s="358"/>
      <c r="BP300" s="358"/>
      <c r="BQ300" s="358"/>
      <c r="BR300" s="358"/>
      <c r="BS300" s="358"/>
      <c r="BT300" s="358"/>
      <c r="BU300" s="358"/>
      <c r="BV300" s="358"/>
      <c r="BW300" s="358"/>
      <c r="BX300" s="358"/>
      <c r="BY300" s="358"/>
      <c r="BZ300" s="358"/>
      <c r="CA300" s="358"/>
      <c r="CB300" s="358"/>
      <c r="CC300" s="358"/>
      <c r="CD300" s="358"/>
      <c r="CE300" s="358"/>
      <c r="CF300" s="358"/>
      <c r="CG300" s="358"/>
      <c r="CH300" s="358"/>
      <c r="CI300" s="358"/>
      <c r="CJ300" s="358"/>
      <c r="CK300" s="358"/>
      <c r="CL300" s="358"/>
      <c r="CM300" s="358"/>
      <c r="CN300" s="358"/>
      <c r="CO300" s="358"/>
      <c r="CP300" s="358"/>
      <c r="CQ300" s="358"/>
      <c r="CR300" s="358"/>
      <c r="CS300" s="358"/>
      <c r="CT300" s="358"/>
      <c r="CU300" s="358"/>
      <c r="CV300" s="358"/>
      <c r="CW300" s="358"/>
      <c r="CX300" s="358"/>
      <c r="CY300" s="358"/>
      <c r="CZ300" s="358"/>
      <c r="DA300" s="358"/>
      <c r="DB300" s="358"/>
      <c r="DC300" s="358"/>
      <c r="DD300" s="358"/>
      <c r="DE300" s="358"/>
      <c r="DF300" s="358"/>
      <c r="DG300" s="358"/>
      <c r="DH300" s="358"/>
      <c r="DI300" s="358"/>
      <c r="DJ300" s="358"/>
      <c r="DK300" s="358"/>
      <c r="DL300" s="358"/>
      <c r="DM300" s="358"/>
      <c r="DN300" s="358"/>
      <c r="DO300" s="358"/>
      <c r="DP300" s="358"/>
      <c r="DQ300" s="358"/>
      <c r="DR300" s="358"/>
      <c r="DS300" s="358"/>
      <c r="DT300" s="358"/>
      <c r="DU300" s="358"/>
      <c r="DV300" s="358"/>
      <c r="DW300" s="358"/>
      <c r="DX300" s="358"/>
      <c r="DY300" s="358"/>
      <c r="DZ300" s="358"/>
      <c r="EA300" s="358"/>
      <c r="EB300" s="358"/>
      <c r="EC300" s="358"/>
      <c r="ED300" s="358"/>
      <c r="EE300" s="358"/>
      <c r="EF300" s="358"/>
      <c r="EG300" s="358"/>
      <c r="EH300" s="358"/>
      <c r="EI300" s="358"/>
      <c r="EJ300" s="358"/>
      <c r="EK300" s="358"/>
      <c r="EL300" s="358"/>
      <c r="EM300" s="358"/>
      <c r="EN300" s="358"/>
      <c r="EO300" s="358"/>
      <c r="EP300" s="358"/>
      <c r="EQ300" s="358"/>
      <c r="ER300" s="358"/>
      <c r="ES300" s="358"/>
      <c r="ET300" s="358"/>
      <c r="EU300" s="358"/>
      <c r="EV300" s="358"/>
      <c r="EW300" s="358"/>
      <c r="EX300" s="358"/>
      <c r="EY300" s="358"/>
      <c r="EZ300" s="358"/>
      <c r="FA300" s="358"/>
      <c r="FB300" s="358"/>
      <c r="FC300" s="358"/>
      <c r="FD300" s="358"/>
      <c r="FE300" s="358"/>
      <c r="FF300" s="358"/>
      <c r="FG300" s="358"/>
      <c r="FH300" s="358"/>
      <c r="FI300" s="358"/>
      <c r="FJ300" s="358"/>
      <c r="FK300" s="358"/>
      <c r="FL300" s="358"/>
      <c r="FM300" s="358"/>
      <c r="FN300" s="358"/>
      <c r="FO300" s="358"/>
      <c r="FP300" s="358"/>
      <c r="FQ300" s="358"/>
      <c r="FR300" s="358"/>
      <c r="FS300" s="358"/>
      <c r="FT300" s="358"/>
      <c r="FU300" s="358"/>
      <c r="FV300" s="358"/>
      <c r="FW300" s="358"/>
      <c r="FX300" s="358"/>
      <c r="FY300" s="358"/>
      <c r="FZ300" s="358"/>
      <c r="GA300" s="358"/>
      <c r="GB300" s="358"/>
      <c r="GC300" s="358"/>
      <c r="GD300" s="358"/>
      <c r="GE300" s="358"/>
      <c r="GF300" s="358"/>
      <c r="GG300" s="358"/>
      <c r="GH300" s="358"/>
      <c r="GI300" s="358"/>
      <c r="GJ300" s="358"/>
      <c r="GK300" s="358"/>
      <c r="GL300" s="358"/>
      <c r="GM300" s="358"/>
      <c r="GN300" s="358"/>
      <c r="GO300" s="358"/>
      <c r="GP300" s="358"/>
      <c r="GQ300" s="358"/>
      <c r="GR300" s="358"/>
      <c r="GS300" s="358"/>
      <c r="GT300" s="358"/>
      <c r="GU300" s="358"/>
      <c r="GV300" s="358"/>
      <c r="GW300" s="358"/>
      <c r="GX300" s="358"/>
      <c r="GY300" s="358"/>
      <c r="GZ300" s="358"/>
      <c r="HA300" s="358"/>
      <c r="HB300" s="358"/>
      <c r="HC300" s="358"/>
      <c r="HD300" s="358"/>
      <c r="HE300" s="358"/>
      <c r="HF300" s="358"/>
      <c r="HG300" s="358"/>
      <c r="HH300" s="358"/>
      <c r="HI300" s="358"/>
      <c r="HJ300" s="358"/>
      <c r="HK300" s="358"/>
      <c r="HL300" s="358"/>
      <c r="HM300" s="358"/>
      <c r="HN300" s="358"/>
      <c r="HO300" s="358"/>
      <c r="HP300" s="358"/>
      <c r="HQ300" s="358"/>
      <c r="HR300" s="358"/>
      <c r="HS300" s="358"/>
      <c r="HT300" s="358"/>
      <c r="HU300" s="358"/>
      <c r="HV300" s="358"/>
      <c r="HW300" s="358"/>
      <c r="HX300" s="358"/>
      <c r="HY300" s="358"/>
      <c r="HZ300" s="358"/>
      <c r="IA300" s="358"/>
      <c r="IB300" s="358"/>
      <c r="IC300" s="358"/>
      <c r="ID300" s="358"/>
      <c r="IE300" s="358"/>
      <c r="IF300" s="358"/>
      <c r="IG300" s="358"/>
      <c r="IH300" s="358"/>
      <c r="II300" s="358"/>
      <c r="IJ300" s="358"/>
      <c r="IK300" s="358"/>
      <c r="IL300" s="358"/>
      <c r="IM300" s="358"/>
      <c r="IN300" s="358"/>
      <c r="IO300" s="358"/>
      <c r="IP300" s="358"/>
      <c r="IQ300" s="358"/>
      <c r="IR300" s="358"/>
      <c r="IS300" s="358"/>
      <c r="IT300" s="358"/>
      <c r="IU300" s="358"/>
      <c r="IV300" s="358"/>
      <c r="IW300" s="358"/>
      <c r="IX300" s="358"/>
      <c r="IY300" s="358"/>
      <c r="IZ300" s="358"/>
      <c r="JA300" s="358"/>
      <c r="JB300" s="358"/>
      <c r="JC300" s="358"/>
      <c r="JD300" s="358"/>
      <c r="JE300" s="358"/>
      <c r="JF300" s="358"/>
      <c r="JG300" s="358"/>
      <c r="JH300" s="358"/>
      <c r="JI300" s="358"/>
      <c r="JJ300" s="358"/>
      <c r="JK300" s="358"/>
      <c r="JL300" s="358"/>
      <c r="JM300" s="358"/>
      <c r="JN300" s="358"/>
      <c r="JO300" s="358"/>
      <c r="JP300" s="358"/>
      <c r="JQ300" s="358"/>
      <c r="JR300" s="358"/>
      <c r="JS300" s="358"/>
      <c r="JT300" s="358"/>
      <c r="JU300" s="358"/>
      <c r="JV300" s="358"/>
      <c r="JW300" s="358"/>
      <c r="JX300" s="358"/>
      <c r="JY300" s="358"/>
      <c r="JZ300" s="358"/>
      <c r="KA300" s="358"/>
      <c r="KB300" s="358"/>
      <c r="KC300" s="358"/>
      <c r="KD300" s="358"/>
      <c r="KE300" s="358"/>
      <c r="KF300" s="358"/>
      <c r="KG300" s="358"/>
      <c r="KH300" s="358"/>
      <c r="KI300" s="358"/>
      <c r="KJ300" s="358"/>
      <c r="KK300" s="358"/>
      <c r="KL300" s="358"/>
      <c r="KM300" s="358"/>
      <c r="KN300" s="358"/>
      <c r="KO300" s="358"/>
      <c r="KP300" s="358"/>
      <c r="KQ300" s="358"/>
      <c r="KR300" s="358"/>
      <c r="KS300" s="358"/>
      <c r="KT300" s="358"/>
      <c r="KU300" s="358"/>
      <c r="KV300" s="358"/>
      <c r="KW300" s="358"/>
      <c r="KX300" s="358"/>
      <c r="KY300" s="358"/>
      <c r="KZ300" s="358"/>
      <c r="LA300" s="358"/>
      <c r="LB300" s="358"/>
      <c r="LC300" s="358"/>
      <c r="LD300" s="358"/>
      <c r="LE300" s="358"/>
      <c r="LF300" s="1784"/>
      <c r="LG300" s="358"/>
      <c r="LH300" s="358"/>
      <c r="LI300" s="358"/>
      <c r="LJ300" s="358"/>
      <c r="LK300" s="1784"/>
      <c r="LL300" s="358"/>
      <c r="LM300" s="358"/>
      <c r="LN300" s="358"/>
      <c r="LO300" s="358"/>
      <c r="LP300" s="1784"/>
      <c r="LQ300" s="358"/>
      <c r="LR300" s="358"/>
      <c r="LS300" s="358"/>
      <c r="LT300" s="358"/>
      <c r="LU300" s="1784"/>
      <c r="LV300" s="1784"/>
      <c r="LW300" s="1784"/>
      <c r="LX300" s="1784"/>
      <c r="LY300" s="1784"/>
      <c r="LZ300" s="1784"/>
      <c r="MA300" s="1784"/>
      <c r="MB300" s="1784"/>
      <c r="MC300" s="1784"/>
      <c r="MD300" s="1784"/>
      <c r="ME300" s="1784"/>
      <c r="MF300" s="1784"/>
      <c r="MG300" s="1784"/>
      <c r="MH300" s="1784"/>
      <c r="MI300" s="1784"/>
      <c r="MJ300" s="1784"/>
      <c r="MK300" s="1784"/>
      <c r="ML300" s="1784"/>
      <c r="MM300" s="1784"/>
      <c r="MN300" s="1784"/>
      <c r="MO300" s="1784"/>
      <c r="MP300" s="1784"/>
      <c r="MQ300" s="358"/>
      <c r="MR300" s="358"/>
      <c r="MS300" s="358"/>
      <c r="MT300" s="358"/>
      <c r="MU300" s="358"/>
      <c r="MV300" s="358"/>
      <c r="MW300" s="1639"/>
      <c r="MX300" s="358"/>
      <c r="MY300" s="358"/>
      <c r="MZ300" s="358"/>
      <c r="NA300" s="358"/>
      <c r="NB300" s="358"/>
      <c r="NC300" s="358"/>
      <c r="ND300" s="358"/>
      <c r="NE300" s="358"/>
      <c r="NF300" s="358"/>
      <c r="NG300" s="358"/>
      <c r="NH300" s="358"/>
      <c r="NI300" s="358"/>
      <c r="NJ300" s="358"/>
      <c r="NK300" s="358"/>
      <c r="NL300" s="358"/>
      <c r="NM300" s="1639"/>
      <c r="NN300" s="1639"/>
      <c r="NO300" s="358"/>
      <c r="NP300" s="358"/>
      <c r="NQ300" s="358"/>
      <c r="NR300" s="358"/>
      <c r="NS300" s="358"/>
      <c r="NT300" s="358"/>
      <c r="NU300" s="358"/>
      <c r="NV300" s="358"/>
      <c r="NW300" s="358"/>
      <c r="NX300" s="358"/>
      <c r="NY300" s="358"/>
      <c r="NZ300" s="358"/>
      <c r="OA300" s="358"/>
      <c r="OB300" s="358"/>
      <c r="OC300" s="358"/>
      <c r="OD300" s="358"/>
      <c r="OE300" s="358"/>
      <c r="OF300" s="358"/>
      <c r="OG300" s="358"/>
      <c r="OH300" s="358"/>
      <c r="OI300" s="358"/>
      <c r="OJ300" s="358"/>
      <c r="OK300" s="358"/>
      <c r="OL300" s="358"/>
      <c r="OM300" s="358"/>
      <c r="ON300" s="358"/>
      <c r="OO300" s="358"/>
      <c r="OP300" s="358"/>
      <c r="OQ300" s="358"/>
      <c r="OR300" s="358"/>
      <c r="OS300" s="358"/>
      <c r="OT300" s="358"/>
      <c r="OU300" s="358"/>
      <c r="OV300" s="72"/>
      <c r="OW300" s="72"/>
      <c r="OX300" s="72"/>
      <c r="OY300" s="2501"/>
      <c r="OZ300" s="2504"/>
      <c r="PA300" s="72"/>
      <c r="PB300" s="72"/>
      <c r="PC300" s="72"/>
      <c r="PD300" s="72"/>
      <c r="PE300" s="72"/>
      <c r="PF300" s="72"/>
      <c r="PG300" s="72"/>
      <c r="PH300" s="72"/>
      <c r="PI300" s="72"/>
      <c r="PJ300" s="72"/>
      <c r="PK300" s="72"/>
      <c r="PL300" s="72"/>
      <c r="PM300" s="72"/>
      <c r="PN300" s="72"/>
      <c r="PO300" s="72"/>
      <c r="PP300" s="72"/>
      <c r="PQ300" s="72"/>
      <c r="PR300" s="72"/>
      <c r="PS300" s="72"/>
      <c r="PT300" s="72"/>
      <c r="PU300" s="72"/>
      <c r="PV300" s="72"/>
      <c r="PW300" s="72"/>
      <c r="PX300" s="72"/>
      <c r="PY300" s="72"/>
      <c r="PZ300" s="72"/>
      <c r="QA300" s="72"/>
      <c r="QB300" s="72"/>
      <c r="QC300" s="72"/>
      <c r="QD300" s="72"/>
      <c r="QE300" s="72"/>
      <c r="QF300" s="72"/>
      <c r="QG300" s="72"/>
      <c r="QH300" s="72"/>
      <c r="QI300" s="72"/>
      <c r="QJ300" s="72"/>
      <c r="QK300" s="72"/>
      <c r="QL300" s="72"/>
      <c r="QM300" s="72"/>
      <c r="QN300" s="72"/>
      <c r="QO300" s="72"/>
      <c r="QP300" s="72"/>
      <c r="QQ300" s="72"/>
      <c r="QR300" s="72"/>
      <c r="QS300" s="72"/>
      <c r="QT300" s="72"/>
      <c r="QU300" s="72"/>
      <c r="QV300" s="72"/>
      <c r="QW300" s="72"/>
      <c r="QX300" s="72"/>
      <c r="QY300" s="72"/>
      <c r="QZ300" s="72"/>
      <c r="RA300" s="72"/>
      <c r="RB300" s="72"/>
      <c r="RC300" s="72"/>
      <c r="RD300" s="72"/>
      <c r="RE300" s="72"/>
      <c r="RF300" s="72"/>
      <c r="RG300" s="72"/>
      <c r="RH300" s="72"/>
      <c r="RI300" s="72"/>
      <c r="RJ300" s="72"/>
      <c r="RK300" s="72"/>
      <c r="RL300" s="72"/>
      <c r="RM300" s="72"/>
      <c r="RN300" s="72"/>
      <c r="RO300" s="72"/>
      <c r="RP300" s="72"/>
      <c r="RQ300" s="72"/>
      <c r="RR300" s="72"/>
      <c r="RS300" s="72"/>
      <c r="RT300" s="72"/>
      <c r="RU300" s="72"/>
      <c r="RV300" s="72"/>
      <c r="RW300" s="72"/>
      <c r="RX300" s="72"/>
      <c r="RY300" s="72"/>
      <c r="RZ300" s="72"/>
      <c r="SA300" s="72"/>
      <c r="SB300" s="72"/>
      <c r="SC300" s="72"/>
      <c r="SD300" s="72"/>
      <c r="SE300" s="72"/>
      <c r="SF300" s="72"/>
      <c r="SG300" s="72"/>
      <c r="SH300" s="72"/>
      <c r="SI300" s="72"/>
      <c r="SJ300" s="72"/>
      <c r="SK300" s="72"/>
      <c r="SL300" s="72"/>
      <c r="SM300" s="72"/>
      <c r="SN300" s="72"/>
      <c r="SO300" s="72"/>
      <c r="SP300" s="72"/>
      <c r="SQ300" s="72"/>
      <c r="SR300" s="72"/>
      <c r="SS300" s="72"/>
      <c r="ST300" s="72"/>
      <c r="SU300" s="72"/>
      <c r="SV300" s="72"/>
      <c r="SW300" s="72"/>
      <c r="SX300" s="72"/>
      <c r="SY300" s="72"/>
      <c r="SZ300" s="72"/>
      <c r="TA300" s="72"/>
      <c r="TB300" s="72"/>
      <c r="TC300" s="72"/>
      <c r="TD300" s="72"/>
      <c r="TE300" s="72"/>
      <c r="TF300" s="72"/>
      <c r="TG300" s="72"/>
      <c r="TH300" s="72"/>
    </row>
    <row r="301" spans="1:528" s="69" customFormat="1" ht="14.1" customHeight="1">
      <c r="A301" s="119"/>
      <c r="B301" s="1"/>
      <c r="C301" s="1"/>
      <c r="D301" s="1"/>
      <c r="E301" s="1"/>
      <c r="F301" s="1"/>
      <c r="G301" s="1"/>
      <c r="H301" s="1"/>
      <c r="I301" s="1"/>
      <c r="J301" s="1"/>
      <c r="K301" s="1"/>
      <c r="L301" s="1"/>
      <c r="M301" s="1"/>
      <c r="N301" s="1"/>
      <c r="O301" s="1"/>
      <c r="P301" s="1"/>
      <c r="X301" s="358"/>
      <c r="Y301" s="358"/>
      <c r="Z301" s="358"/>
      <c r="AA301" s="358"/>
      <c r="AB301" s="358"/>
      <c r="AC301" s="358"/>
      <c r="AD301" s="358"/>
      <c r="AE301" s="358"/>
      <c r="AF301" s="358"/>
      <c r="AG301" s="358"/>
      <c r="AH301" s="358"/>
      <c r="AI301" s="358"/>
      <c r="AJ301" s="358"/>
      <c r="AK301" s="358"/>
      <c r="AL301" s="358"/>
      <c r="AM301" s="358"/>
      <c r="AN301" s="358"/>
      <c r="AO301" s="358"/>
      <c r="AP301" s="358"/>
      <c r="AQ301" s="358"/>
      <c r="AR301" s="358"/>
      <c r="AS301" s="358"/>
      <c r="AT301" s="358"/>
      <c r="AU301" s="358"/>
      <c r="AV301" s="358"/>
      <c r="AW301" s="358"/>
      <c r="AX301" s="358"/>
      <c r="AY301" s="358"/>
      <c r="AZ301" s="358"/>
      <c r="BA301" s="358"/>
      <c r="BB301" s="358"/>
      <c r="BC301" s="358"/>
      <c r="BD301" s="358"/>
      <c r="BE301" s="358"/>
      <c r="BF301" s="358"/>
      <c r="BG301" s="358"/>
      <c r="BH301" s="358"/>
      <c r="BI301" s="358"/>
      <c r="BJ301" s="358"/>
      <c r="BK301" s="358"/>
      <c r="BL301" s="358"/>
      <c r="BM301" s="358"/>
      <c r="BN301" s="358"/>
      <c r="BO301" s="358"/>
      <c r="BP301" s="358"/>
      <c r="BQ301" s="358"/>
      <c r="BR301" s="358"/>
      <c r="BS301" s="358"/>
      <c r="BT301" s="358"/>
      <c r="BU301" s="358"/>
      <c r="BV301" s="358"/>
      <c r="BW301" s="358"/>
      <c r="BX301" s="358"/>
      <c r="BY301" s="358"/>
      <c r="BZ301" s="358"/>
      <c r="CA301" s="358"/>
      <c r="CB301" s="358"/>
      <c r="CC301" s="358"/>
      <c r="CD301" s="358"/>
      <c r="CE301" s="358"/>
      <c r="CF301" s="358"/>
      <c r="CG301" s="358"/>
      <c r="CH301" s="358"/>
      <c r="CI301" s="358"/>
      <c r="CJ301" s="358"/>
      <c r="CK301" s="358"/>
      <c r="CL301" s="358"/>
      <c r="CM301" s="358"/>
      <c r="CN301" s="358"/>
      <c r="CO301" s="358"/>
      <c r="CP301" s="358"/>
      <c r="CQ301" s="358"/>
      <c r="CR301" s="358"/>
      <c r="CS301" s="358"/>
      <c r="CT301" s="358"/>
      <c r="CU301" s="358"/>
      <c r="CV301" s="358"/>
      <c r="CW301" s="358"/>
      <c r="CX301" s="358"/>
      <c r="CY301" s="358"/>
      <c r="CZ301" s="358"/>
      <c r="DA301" s="358"/>
      <c r="DB301" s="358"/>
      <c r="DC301" s="358"/>
      <c r="DD301" s="358"/>
      <c r="DE301" s="358"/>
      <c r="DF301" s="358"/>
      <c r="DG301" s="358"/>
      <c r="DH301" s="358"/>
      <c r="DI301" s="358"/>
      <c r="DJ301" s="358"/>
      <c r="DK301" s="358"/>
      <c r="DL301" s="358"/>
      <c r="DM301" s="358"/>
      <c r="DN301" s="358"/>
      <c r="DO301" s="358"/>
      <c r="DP301" s="358"/>
      <c r="DQ301" s="358"/>
      <c r="DR301" s="358"/>
      <c r="DS301" s="358"/>
      <c r="DT301" s="358"/>
      <c r="DU301" s="358"/>
      <c r="DV301" s="358"/>
      <c r="DW301" s="358"/>
      <c r="DX301" s="358"/>
      <c r="DY301" s="358"/>
      <c r="DZ301" s="358"/>
      <c r="EA301" s="358"/>
      <c r="EB301" s="358"/>
      <c r="EC301" s="358"/>
      <c r="ED301" s="358"/>
      <c r="EE301" s="358"/>
      <c r="EF301" s="358"/>
      <c r="EG301" s="358"/>
      <c r="EH301" s="358"/>
      <c r="EI301" s="358"/>
      <c r="EJ301" s="358"/>
      <c r="EK301" s="358"/>
      <c r="EL301" s="358"/>
      <c r="EM301" s="358"/>
      <c r="EN301" s="358"/>
      <c r="EO301" s="358"/>
      <c r="EP301" s="358"/>
      <c r="EQ301" s="358"/>
      <c r="ER301" s="358"/>
      <c r="ES301" s="358"/>
      <c r="ET301" s="358"/>
      <c r="EU301" s="358"/>
      <c r="EV301" s="358"/>
      <c r="EW301" s="358"/>
      <c r="EX301" s="358"/>
      <c r="EY301" s="358"/>
      <c r="EZ301" s="358"/>
      <c r="FA301" s="358"/>
      <c r="FB301" s="358"/>
      <c r="FC301" s="358"/>
      <c r="FD301" s="358"/>
      <c r="FE301" s="358"/>
      <c r="FF301" s="358"/>
      <c r="FG301" s="358"/>
      <c r="FH301" s="358"/>
      <c r="FI301" s="358"/>
      <c r="FJ301" s="358"/>
      <c r="FK301" s="358"/>
      <c r="FL301" s="358"/>
      <c r="FM301" s="358"/>
      <c r="FN301" s="358"/>
      <c r="FO301" s="358"/>
      <c r="FP301" s="358"/>
      <c r="FQ301" s="358"/>
      <c r="FR301" s="358"/>
      <c r="FS301" s="358"/>
      <c r="FT301" s="358"/>
      <c r="FU301" s="358"/>
      <c r="FV301" s="358"/>
      <c r="FW301" s="358"/>
      <c r="FX301" s="358"/>
      <c r="FY301" s="358"/>
      <c r="FZ301" s="358"/>
      <c r="GA301" s="358"/>
      <c r="GB301" s="358"/>
      <c r="GC301" s="358"/>
      <c r="GD301" s="358"/>
      <c r="GE301" s="358"/>
      <c r="GF301" s="358"/>
      <c r="GG301" s="358"/>
      <c r="GH301" s="358"/>
      <c r="GI301" s="358"/>
      <c r="GJ301" s="358"/>
      <c r="GK301" s="358"/>
      <c r="GL301" s="358"/>
      <c r="GM301" s="358"/>
      <c r="GN301" s="358"/>
      <c r="GO301" s="358"/>
      <c r="GP301" s="358"/>
      <c r="GQ301" s="358"/>
      <c r="GR301" s="358"/>
      <c r="GS301" s="358"/>
      <c r="GT301" s="358"/>
      <c r="GU301" s="358"/>
      <c r="GV301" s="358"/>
      <c r="GW301" s="358"/>
      <c r="GX301" s="358"/>
      <c r="GY301" s="358"/>
      <c r="GZ301" s="358"/>
      <c r="HA301" s="358"/>
      <c r="HB301" s="358"/>
      <c r="HC301" s="358"/>
      <c r="HD301" s="358"/>
      <c r="HE301" s="358"/>
      <c r="HF301" s="358"/>
      <c r="HG301" s="358"/>
      <c r="HH301" s="358"/>
      <c r="HI301" s="358"/>
      <c r="HJ301" s="358"/>
      <c r="HK301" s="358"/>
      <c r="HL301" s="358"/>
      <c r="HM301" s="358"/>
      <c r="HN301" s="358"/>
      <c r="HO301" s="358"/>
      <c r="HP301" s="358"/>
      <c r="HQ301" s="358"/>
      <c r="HR301" s="358"/>
      <c r="HS301" s="358"/>
      <c r="HT301" s="358"/>
      <c r="HU301" s="358"/>
      <c r="HV301" s="358"/>
      <c r="HW301" s="358"/>
      <c r="HX301" s="358"/>
      <c r="HY301" s="358"/>
      <c r="HZ301" s="358"/>
      <c r="IA301" s="358"/>
      <c r="IB301" s="358"/>
      <c r="IC301" s="358"/>
      <c r="ID301" s="358"/>
      <c r="IE301" s="358"/>
      <c r="IF301" s="358"/>
      <c r="IG301" s="358"/>
      <c r="IH301" s="358"/>
      <c r="II301" s="358"/>
      <c r="IJ301" s="358"/>
      <c r="IK301" s="358"/>
      <c r="IL301" s="358"/>
      <c r="IM301" s="358"/>
      <c r="IN301" s="358"/>
      <c r="IO301" s="358"/>
      <c r="IP301" s="358"/>
      <c r="IQ301" s="358"/>
      <c r="IR301" s="358"/>
      <c r="IS301" s="358"/>
      <c r="IT301" s="358"/>
      <c r="IU301" s="358"/>
      <c r="IV301" s="358"/>
      <c r="IW301" s="358"/>
      <c r="IX301" s="358"/>
      <c r="IY301" s="358"/>
      <c r="IZ301" s="358"/>
      <c r="JA301" s="358"/>
      <c r="JB301" s="358"/>
      <c r="JC301" s="358"/>
      <c r="JD301" s="358"/>
      <c r="JE301" s="358"/>
      <c r="JF301" s="358"/>
      <c r="JG301" s="358"/>
      <c r="JH301" s="358"/>
      <c r="JI301" s="358"/>
      <c r="JJ301" s="358"/>
      <c r="JK301" s="358"/>
      <c r="JL301" s="358"/>
      <c r="JM301" s="358"/>
      <c r="JN301" s="358"/>
      <c r="JO301" s="358"/>
      <c r="JP301" s="358"/>
      <c r="JQ301" s="358"/>
      <c r="JR301" s="358"/>
      <c r="JS301" s="358"/>
      <c r="JT301" s="358"/>
      <c r="JU301" s="358"/>
      <c r="JV301" s="358"/>
      <c r="JW301" s="358"/>
      <c r="JX301" s="358"/>
      <c r="JY301" s="358"/>
      <c r="JZ301" s="358"/>
      <c r="KA301" s="358"/>
      <c r="KB301" s="358"/>
      <c r="KC301" s="358"/>
      <c r="KD301" s="358"/>
      <c r="KE301" s="358"/>
      <c r="KF301" s="358"/>
      <c r="KG301" s="358"/>
      <c r="KH301" s="358"/>
      <c r="KI301" s="358"/>
      <c r="KJ301" s="358"/>
      <c r="KK301" s="358"/>
      <c r="KL301" s="358"/>
      <c r="KM301" s="358"/>
      <c r="KN301" s="358"/>
      <c r="KO301" s="358"/>
      <c r="KP301" s="358"/>
      <c r="KQ301" s="358"/>
      <c r="KR301" s="358"/>
      <c r="KS301" s="358"/>
      <c r="KT301" s="358"/>
      <c r="KU301" s="358"/>
      <c r="KV301" s="358"/>
      <c r="KW301" s="358"/>
      <c r="KX301" s="358"/>
      <c r="KY301" s="358"/>
      <c r="KZ301" s="358"/>
      <c r="LA301" s="358"/>
      <c r="LB301" s="358"/>
      <c r="LC301" s="358"/>
      <c r="LD301" s="358"/>
      <c r="LE301" s="358"/>
      <c r="LF301" s="1784"/>
      <c r="LG301" s="358"/>
      <c r="LH301" s="358"/>
      <c r="LI301" s="358"/>
      <c r="LJ301" s="358"/>
      <c r="LK301" s="1784"/>
      <c r="LL301" s="358"/>
      <c r="LM301" s="358"/>
      <c r="LN301" s="358"/>
      <c r="LO301" s="358"/>
      <c r="LP301" s="1784"/>
      <c r="LQ301" s="358"/>
      <c r="LR301" s="358"/>
      <c r="LS301" s="358"/>
      <c r="LT301" s="358"/>
      <c r="LU301" s="1784"/>
      <c r="LV301" s="1784"/>
      <c r="LW301" s="1784"/>
      <c r="LX301" s="1784"/>
      <c r="LY301" s="1784"/>
      <c r="LZ301" s="1784"/>
      <c r="MA301" s="1784"/>
      <c r="MB301" s="1784"/>
      <c r="MC301" s="1784"/>
      <c r="MD301" s="1784"/>
      <c r="ME301" s="1784"/>
      <c r="MF301" s="1784"/>
      <c r="MG301" s="1784"/>
      <c r="MH301" s="1784"/>
      <c r="MI301" s="1784"/>
      <c r="MJ301" s="1784"/>
      <c r="MK301" s="1784"/>
      <c r="ML301" s="1784"/>
      <c r="MM301" s="1784"/>
      <c r="MN301" s="1784"/>
      <c r="MO301" s="1784"/>
      <c r="MP301" s="1784"/>
      <c r="MQ301" s="358"/>
      <c r="MR301" s="358"/>
      <c r="MS301" s="358"/>
      <c r="MT301" s="358"/>
      <c r="MU301" s="358"/>
      <c r="MV301" s="358"/>
      <c r="MW301" s="1639"/>
      <c r="MX301" s="358"/>
      <c r="MY301" s="358"/>
      <c r="MZ301" s="358"/>
      <c r="NA301" s="358"/>
      <c r="NB301" s="358"/>
      <c r="NC301" s="358"/>
      <c r="ND301" s="358"/>
      <c r="NE301" s="358"/>
      <c r="NF301" s="358"/>
      <c r="NG301" s="358"/>
      <c r="NH301" s="358"/>
      <c r="NI301" s="358"/>
      <c r="NJ301" s="358"/>
      <c r="NK301" s="358"/>
      <c r="NL301" s="358"/>
      <c r="NM301" s="1639"/>
      <c r="NN301" s="1639"/>
      <c r="NO301" s="358"/>
      <c r="NP301" s="358"/>
      <c r="NQ301" s="358"/>
      <c r="NR301" s="358"/>
      <c r="NS301" s="358"/>
      <c r="NT301" s="358"/>
      <c r="NU301" s="358"/>
      <c r="NV301" s="358"/>
      <c r="NW301" s="358"/>
      <c r="NX301" s="358"/>
      <c r="NY301" s="358"/>
      <c r="NZ301" s="358"/>
      <c r="OA301" s="358"/>
      <c r="OB301" s="358"/>
      <c r="OC301" s="358"/>
      <c r="OD301" s="358"/>
      <c r="OE301" s="358"/>
      <c r="OF301" s="358"/>
      <c r="OG301" s="358"/>
      <c r="OH301" s="358"/>
      <c r="OI301" s="358"/>
      <c r="OJ301" s="358"/>
      <c r="OK301" s="358"/>
      <c r="OL301" s="358"/>
      <c r="OM301" s="358"/>
      <c r="ON301" s="358"/>
      <c r="OO301" s="358"/>
      <c r="OP301" s="358"/>
      <c r="OQ301" s="358"/>
      <c r="OR301" s="358"/>
      <c r="OS301" s="358"/>
      <c r="OT301" s="358"/>
      <c r="OU301" s="358"/>
      <c r="OV301" s="72"/>
      <c r="OW301" s="72"/>
      <c r="OX301" s="72"/>
      <c r="OY301" s="2499"/>
      <c r="OZ301" s="2504"/>
      <c r="PA301" s="72"/>
      <c r="PB301" s="72"/>
      <c r="PC301" s="72"/>
      <c r="PD301" s="72"/>
      <c r="PE301" s="72"/>
      <c r="PF301" s="72"/>
      <c r="PG301" s="72"/>
      <c r="PH301" s="72"/>
      <c r="PI301" s="72"/>
      <c r="PJ301" s="72"/>
      <c r="PK301" s="72"/>
      <c r="PL301" s="72"/>
      <c r="PM301" s="72"/>
      <c r="PN301" s="72"/>
      <c r="PO301" s="72"/>
      <c r="PP301" s="72"/>
      <c r="PQ301" s="72"/>
      <c r="PR301" s="72"/>
      <c r="PS301" s="72"/>
      <c r="PT301" s="72"/>
      <c r="PU301" s="72"/>
      <c r="PV301" s="72"/>
      <c r="PW301" s="72"/>
      <c r="PX301" s="72"/>
      <c r="PY301" s="72"/>
      <c r="PZ301" s="72"/>
      <c r="QA301" s="72"/>
      <c r="QB301" s="72"/>
      <c r="QC301" s="72"/>
      <c r="QD301" s="72"/>
      <c r="QE301" s="72"/>
      <c r="QF301" s="72"/>
      <c r="QG301" s="72"/>
      <c r="QH301" s="72"/>
      <c r="QI301" s="72"/>
      <c r="QJ301" s="72"/>
      <c r="QK301" s="72"/>
      <c r="QL301" s="72"/>
      <c r="QM301" s="72"/>
      <c r="QN301" s="72"/>
      <c r="QO301" s="72"/>
      <c r="QP301" s="72"/>
      <c r="QQ301" s="72"/>
      <c r="QR301" s="72"/>
      <c r="QS301" s="72"/>
      <c r="QT301" s="72"/>
      <c r="QU301" s="72"/>
      <c r="QV301" s="72"/>
      <c r="QW301" s="72"/>
      <c r="QX301" s="72"/>
      <c r="QY301" s="72"/>
      <c r="QZ301" s="72"/>
      <c r="RA301" s="72"/>
      <c r="RB301" s="72"/>
      <c r="RC301" s="72"/>
      <c r="RD301" s="72"/>
      <c r="RE301" s="72"/>
      <c r="RF301" s="72"/>
      <c r="RG301" s="72"/>
      <c r="RH301" s="72"/>
      <c r="RI301" s="72"/>
      <c r="RJ301" s="72"/>
      <c r="RK301" s="72"/>
      <c r="RL301" s="72"/>
      <c r="RM301" s="72"/>
      <c r="RN301" s="72"/>
      <c r="RO301" s="72"/>
      <c r="RP301" s="72"/>
      <c r="RQ301" s="72"/>
      <c r="RR301" s="72"/>
      <c r="RS301" s="72"/>
      <c r="RT301" s="72"/>
      <c r="RU301" s="72"/>
      <c r="RV301" s="72"/>
      <c r="RW301" s="72"/>
      <c r="RX301" s="72"/>
      <c r="RY301" s="72"/>
      <c r="RZ301" s="72"/>
      <c r="SA301" s="72"/>
      <c r="SB301" s="72"/>
      <c r="SC301" s="72"/>
      <c r="SD301" s="72"/>
      <c r="SE301" s="72"/>
      <c r="SF301" s="72"/>
      <c r="SG301" s="72"/>
      <c r="SH301" s="72"/>
      <c r="SI301" s="72"/>
      <c r="SJ301" s="72"/>
      <c r="SK301" s="72"/>
      <c r="SL301" s="72"/>
      <c r="SM301" s="72"/>
      <c r="SN301" s="72"/>
      <c r="SO301" s="72"/>
      <c r="SP301" s="72"/>
      <c r="SQ301" s="72"/>
      <c r="SR301" s="72"/>
      <c r="SS301" s="72"/>
      <c r="ST301" s="72"/>
      <c r="SU301" s="72"/>
      <c r="SV301" s="72"/>
      <c r="SW301" s="72"/>
      <c r="SX301" s="72"/>
      <c r="SY301" s="72"/>
      <c r="SZ301" s="72"/>
      <c r="TA301" s="72"/>
      <c r="TB301" s="72"/>
      <c r="TC301" s="72"/>
      <c r="TD301" s="72"/>
      <c r="TE301" s="72"/>
      <c r="TF301" s="72"/>
      <c r="TG301" s="72"/>
      <c r="TH301" s="72"/>
    </row>
    <row r="302" spans="1:528" s="69" customFormat="1" ht="14.1" customHeight="1">
      <c r="A302" s="1"/>
      <c r="B302" s="1"/>
      <c r="C302" s="1"/>
      <c r="D302" s="1"/>
      <c r="E302" s="1"/>
      <c r="F302" s="1"/>
      <c r="G302" s="1"/>
      <c r="H302" s="1"/>
      <c r="I302" s="1"/>
      <c r="J302" s="1"/>
      <c r="K302" s="1"/>
      <c r="L302" s="1"/>
      <c r="M302" s="1"/>
      <c r="N302" s="1"/>
      <c r="O302" s="1"/>
      <c r="P302" s="1"/>
      <c r="X302" s="358"/>
      <c r="Y302" s="358"/>
      <c r="Z302" s="358"/>
      <c r="AA302" s="358"/>
      <c r="AB302" s="358"/>
      <c r="AC302" s="358"/>
      <c r="AD302" s="358"/>
      <c r="AE302" s="358"/>
      <c r="AF302" s="358"/>
      <c r="AG302" s="358"/>
      <c r="AH302" s="358"/>
      <c r="AI302" s="358"/>
      <c r="AJ302" s="358"/>
      <c r="AK302" s="358"/>
      <c r="AL302" s="358"/>
      <c r="AM302" s="358"/>
      <c r="AN302" s="358"/>
      <c r="AO302" s="358"/>
      <c r="AP302" s="358"/>
      <c r="AQ302" s="358"/>
      <c r="AR302" s="358"/>
      <c r="AS302" s="358"/>
      <c r="AT302" s="358"/>
      <c r="AU302" s="358"/>
      <c r="AV302" s="358"/>
      <c r="AW302" s="358"/>
      <c r="AX302" s="358"/>
      <c r="AY302" s="358"/>
      <c r="AZ302" s="358"/>
      <c r="BA302" s="358"/>
      <c r="BB302" s="358"/>
      <c r="BC302" s="358"/>
      <c r="BD302" s="358"/>
      <c r="BE302" s="358"/>
      <c r="BF302" s="358"/>
      <c r="BG302" s="358"/>
      <c r="BH302" s="358"/>
      <c r="BI302" s="358"/>
      <c r="BJ302" s="358"/>
      <c r="BK302" s="358"/>
      <c r="BL302" s="358"/>
      <c r="BM302" s="358"/>
      <c r="BN302" s="358"/>
      <c r="BO302" s="358"/>
      <c r="BP302" s="358"/>
      <c r="BQ302" s="358"/>
      <c r="BR302" s="358"/>
      <c r="BS302" s="358"/>
      <c r="BT302" s="358"/>
      <c r="BU302" s="358"/>
      <c r="BV302" s="358"/>
      <c r="BW302" s="358"/>
      <c r="BX302" s="358"/>
      <c r="BY302" s="358"/>
      <c r="BZ302" s="358"/>
      <c r="CA302" s="358"/>
      <c r="CB302" s="358"/>
      <c r="CC302" s="358"/>
      <c r="CD302" s="358"/>
      <c r="CE302" s="358"/>
      <c r="CF302" s="358"/>
      <c r="CG302" s="358"/>
      <c r="CH302" s="358"/>
      <c r="CI302" s="358"/>
      <c r="CJ302" s="358"/>
      <c r="CK302" s="358"/>
      <c r="CL302" s="358"/>
      <c r="CM302" s="358"/>
      <c r="CN302" s="358"/>
      <c r="CO302" s="358"/>
      <c r="CP302" s="358"/>
      <c r="CQ302" s="358"/>
      <c r="CR302" s="358"/>
      <c r="CS302" s="358"/>
      <c r="CT302" s="358"/>
      <c r="CU302" s="358"/>
      <c r="CV302" s="358"/>
      <c r="CW302" s="358"/>
      <c r="CX302" s="358"/>
      <c r="CY302" s="358"/>
      <c r="CZ302" s="358"/>
      <c r="DA302" s="358"/>
      <c r="DB302" s="358"/>
      <c r="DC302" s="358"/>
      <c r="DD302" s="358"/>
      <c r="DE302" s="358"/>
      <c r="DF302" s="358"/>
      <c r="DG302" s="358"/>
      <c r="DH302" s="358"/>
      <c r="DI302" s="358"/>
      <c r="DJ302" s="358"/>
      <c r="DK302" s="358"/>
      <c r="DL302" s="358"/>
      <c r="DM302" s="358"/>
      <c r="DN302" s="358"/>
      <c r="DO302" s="358"/>
      <c r="DP302" s="358"/>
      <c r="DQ302" s="358"/>
      <c r="DR302" s="358"/>
      <c r="DS302" s="358"/>
      <c r="DT302" s="358"/>
      <c r="DU302" s="358"/>
      <c r="DV302" s="358"/>
      <c r="DW302" s="358"/>
      <c r="DX302" s="358"/>
      <c r="DY302" s="358"/>
      <c r="DZ302" s="358"/>
      <c r="EA302" s="358"/>
      <c r="EB302" s="358"/>
      <c r="EC302" s="358"/>
      <c r="ED302" s="358"/>
      <c r="EE302" s="358"/>
      <c r="EF302" s="358"/>
      <c r="EG302" s="358"/>
      <c r="EH302" s="358"/>
      <c r="EI302" s="358"/>
      <c r="EJ302" s="358"/>
      <c r="EK302" s="358"/>
      <c r="EL302" s="358"/>
      <c r="EM302" s="358"/>
      <c r="EN302" s="358"/>
      <c r="EO302" s="358"/>
      <c r="EP302" s="358"/>
      <c r="EQ302" s="358"/>
      <c r="ER302" s="358"/>
      <c r="ES302" s="358"/>
      <c r="ET302" s="358"/>
      <c r="EU302" s="358"/>
      <c r="EV302" s="358"/>
      <c r="EW302" s="358"/>
      <c r="EX302" s="358"/>
      <c r="EY302" s="358"/>
      <c r="EZ302" s="358"/>
      <c r="FA302" s="358"/>
      <c r="FB302" s="358"/>
      <c r="FC302" s="358"/>
      <c r="FD302" s="358"/>
      <c r="FE302" s="358"/>
      <c r="FF302" s="358"/>
      <c r="FG302" s="358"/>
      <c r="FH302" s="358"/>
      <c r="FI302" s="358"/>
      <c r="FJ302" s="358"/>
      <c r="FK302" s="358"/>
      <c r="FL302" s="358"/>
      <c r="FM302" s="358"/>
      <c r="FN302" s="358"/>
      <c r="FO302" s="358"/>
      <c r="FP302" s="358"/>
      <c r="FQ302" s="358"/>
      <c r="FR302" s="358"/>
      <c r="FS302" s="358"/>
      <c r="FT302" s="358"/>
      <c r="FU302" s="358"/>
      <c r="FV302" s="358"/>
      <c r="FW302" s="358"/>
      <c r="FX302" s="358"/>
      <c r="FY302" s="358"/>
      <c r="FZ302" s="358"/>
      <c r="GA302" s="358"/>
      <c r="GB302" s="358"/>
      <c r="GC302" s="358"/>
      <c r="GD302" s="358"/>
      <c r="GE302" s="358"/>
      <c r="GF302" s="358"/>
      <c r="GG302" s="358"/>
      <c r="GH302" s="358"/>
      <c r="GI302" s="358"/>
      <c r="GJ302" s="358"/>
      <c r="GK302" s="358"/>
      <c r="GL302" s="358"/>
      <c r="GM302" s="358"/>
      <c r="GN302" s="358"/>
      <c r="GO302" s="358"/>
      <c r="GP302" s="358"/>
      <c r="GQ302" s="358"/>
      <c r="GR302" s="358"/>
      <c r="GS302" s="358"/>
      <c r="GT302" s="358"/>
      <c r="GU302" s="358"/>
      <c r="GV302" s="358"/>
      <c r="GW302" s="358"/>
      <c r="GX302" s="358"/>
      <c r="GY302" s="358"/>
      <c r="GZ302" s="358"/>
      <c r="HA302" s="358"/>
      <c r="HB302" s="358"/>
      <c r="HC302" s="358"/>
      <c r="HD302" s="358"/>
      <c r="HE302" s="358"/>
      <c r="HF302" s="358"/>
      <c r="HG302" s="358"/>
      <c r="HH302" s="358"/>
      <c r="HI302" s="358"/>
      <c r="HJ302" s="358"/>
      <c r="HK302" s="358"/>
      <c r="HL302" s="358"/>
      <c r="HM302" s="358"/>
      <c r="HN302" s="358"/>
      <c r="HO302" s="358"/>
      <c r="HP302" s="358"/>
      <c r="HQ302" s="358"/>
      <c r="HR302" s="358"/>
      <c r="HS302" s="358"/>
      <c r="HT302" s="358"/>
      <c r="HU302" s="358"/>
      <c r="HV302" s="358"/>
      <c r="HW302" s="358"/>
      <c r="HX302" s="358"/>
      <c r="HY302" s="358"/>
      <c r="HZ302" s="358"/>
      <c r="IA302" s="358"/>
      <c r="IB302" s="358"/>
      <c r="IC302" s="358"/>
      <c r="ID302" s="358"/>
      <c r="IE302" s="358"/>
      <c r="IF302" s="358"/>
      <c r="IG302" s="358"/>
      <c r="IH302" s="358"/>
      <c r="II302" s="358"/>
      <c r="IJ302" s="358"/>
      <c r="IK302" s="358"/>
      <c r="IL302" s="358"/>
      <c r="IM302" s="358"/>
      <c r="IN302" s="358"/>
      <c r="IO302" s="358"/>
      <c r="IP302" s="358"/>
      <c r="IQ302" s="358"/>
      <c r="IR302" s="358"/>
      <c r="IS302" s="358"/>
      <c r="IT302" s="358"/>
      <c r="IU302" s="358"/>
      <c r="IV302" s="358"/>
      <c r="IW302" s="358"/>
      <c r="IX302" s="358"/>
      <c r="IY302" s="358"/>
      <c r="IZ302" s="358"/>
      <c r="JA302" s="358"/>
      <c r="JB302" s="358"/>
      <c r="JC302" s="358"/>
      <c r="JD302" s="358"/>
      <c r="JE302" s="358"/>
      <c r="JF302" s="358"/>
      <c r="JG302" s="358"/>
      <c r="JH302" s="358"/>
      <c r="JI302" s="358"/>
      <c r="JJ302" s="358"/>
      <c r="JK302" s="358"/>
      <c r="JL302" s="358"/>
      <c r="JM302" s="358"/>
      <c r="JN302" s="358"/>
      <c r="JO302" s="358"/>
      <c r="JP302" s="358"/>
      <c r="JQ302" s="358"/>
      <c r="JR302" s="358"/>
      <c r="JS302" s="358"/>
      <c r="JT302" s="358"/>
      <c r="JU302" s="358"/>
      <c r="JV302" s="358"/>
      <c r="JW302" s="358"/>
      <c r="JX302" s="358"/>
      <c r="JY302" s="358"/>
      <c r="JZ302" s="358"/>
      <c r="KA302" s="358"/>
      <c r="KB302" s="358"/>
      <c r="KC302" s="358"/>
      <c r="KD302" s="358"/>
      <c r="KE302" s="358"/>
      <c r="KF302" s="358"/>
      <c r="KG302" s="358"/>
      <c r="KH302" s="358"/>
      <c r="KI302" s="358"/>
      <c r="KJ302" s="358"/>
      <c r="KK302" s="358"/>
      <c r="KL302" s="358"/>
      <c r="KM302" s="358"/>
      <c r="KN302" s="358"/>
      <c r="KO302" s="358"/>
      <c r="KP302" s="358"/>
      <c r="KQ302" s="358"/>
      <c r="KR302" s="358"/>
      <c r="KS302" s="358"/>
      <c r="KT302" s="358"/>
      <c r="KU302" s="358"/>
      <c r="KV302" s="358"/>
      <c r="KW302" s="358"/>
      <c r="KX302" s="358"/>
      <c r="KY302" s="358"/>
      <c r="KZ302" s="358"/>
      <c r="LA302" s="358"/>
      <c r="LB302" s="358"/>
      <c r="LC302" s="358"/>
      <c r="LD302" s="358"/>
      <c r="LE302" s="358"/>
      <c r="LF302" s="1784"/>
      <c r="LG302" s="358"/>
      <c r="LH302" s="358"/>
      <c r="LI302" s="358"/>
      <c r="LJ302" s="358"/>
      <c r="LK302" s="1784"/>
      <c r="LL302" s="358"/>
      <c r="LM302" s="358"/>
      <c r="LN302" s="358"/>
      <c r="LO302" s="358"/>
      <c r="LP302" s="1784"/>
      <c r="LQ302" s="358"/>
      <c r="LR302" s="358"/>
      <c r="LS302" s="358"/>
      <c r="LT302" s="358"/>
      <c r="LU302" s="1784"/>
      <c r="LV302" s="1784"/>
      <c r="LW302" s="1784"/>
      <c r="LX302" s="1784"/>
      <c r="LY302" s="1784"/>
      <c r="LZ302" s="1784"/>
      <c r="MA302" s="1784"/>
      <c r="MB302" s="1784"/>
      <c r="MC302" s="1784"/>
      <c r="MD302" s="1784"/>
      <c r="ME302" s="1784"/>
      <c r="MF302" s="1784"/>
      <c r="MG302" s="1784"/>
      <c r="MH302" s="1784"/>
      <c r="MI302" s="1784"/>
      <c r="MJ302" s="1784"/>
      <c r="MK302" s="1784"/>
      <c r="ML302" s="1784"/>
      <c r="MM302" s="1784"/>
      <c r="MN302" s="1784"/>
      <c r="MO302" s="1784"/>
      <c r="MP302" s="1784"/>
      <c r="MQ302" s="358"/>
      <c r="MR302" s="358"/>
      <c r="MS302" s="358"/>
      <c r="MT302" s="358"/>
      <c r="MU302" s="358"/>
      <c r="MV302" s="358"/>
      <c r="MW302" s="1639"/>
      <c r="MX302" s="358"/>
      <c r="MY302" s="358"/>
      <c r="MZ302" s="358"/>
      <c r="NA302" s="358"/>
      <c r="NB302" s="358"/>
      <c r="NC302" s="358"/>
      <c r="ND302" s="358"/>
      <c r="NE302" s="358"/>
      <c r="NF302" s="358"/>
      <c r="NG302" s="358"/>
      <c r="NH302" s="358"/>
      <c r="NI302" s="358"/>
      <c r="NJ302" s="358"/>
      <c r="NK302" s="358"/>
      <c r="NL302" s="358"/>
      <c r="NM302" s="1639"/>
      <c r="NN302" s="1639"/>
      <c r="NO302" s="358"/>
      <c r="NP302" s="358"/>
      <c r="NQ302" s="358"/>
      <c r="NR302" s="358"/>
      <c r="NS302" s="358"/>
      <c r="NT302" s="358"/>
      <c r="NU302" s="358"/>
      <c r="NV302" s="358"/>
      <c r="NW302" s="358"/>
      <c r="NX302" s="358"/>
      <c r="NY302" s="358"/>
      <c r="NZ302" s="358"/>
      <c r="OA302" s="358"/>
      <c r="OB302" s="358"/>
      <c r="OC302" s="358"/>
      <c r="OD302" s="358"/>
      <c r="OE302" s="358"/>
      <c r="OF302" s="358"/>
      <c r="OG302" s="358"/>
      <c r="OH302" s="358"/>
      <c r="OI302" s="358"/>
      <c r="OJ302" s="358"/>
      <c r="OK302" s="358"/>
      <c r="OL302" s="358"/>
      <c r="OM302" s="358"/>
      <c r="ON302" s="358"/>
      <c r="OO302" s="358"/>
      <c r="OP302" s="358"/>
      <c r="OQ302" s="358"/>
      <c r="OR302" s="358"/>
      <c r="OS302" s="358"/>
      <c r="OT302" s="358"/>
      <c r="OU302" s="358"/>
      <c r="OV302" s="72"/>
      <c r="OW302" s="72"/>
      <c r="OX302" s="72"/>
      <c r="OY302" s="2499"/>
      <c r="OZ302" s="2504"/>
      <c r="PA302" s="72"/>
      <c r="PB302" s="72"/>
      <c r="PC302" s="72"/>
      <c r="PD302" s="72"/>
      <c r="PE302" s="72"/>
      <c r="PF302" s="72"/>
      <c r="PG302" s="72"/>
      <c r="PH302" s="72"/>
      <c r="PI302" s="72"/>
      <c r="PJ302" s="72"/>
      <c r="PK302" s="72"/>
      <c r="PL302" s="72"/>
      <c r="PM302" s="72"/>
      <c r="PN302" s="72"/>
      <c r="PO302" s="72"/>
      <c r="PP302" s="72"/>
      <c r="PQ302" s="72"/>
      <c r="PR302" s="72"/>
      <c r="PS302" s="72"/>
      <c r="PT302" s="72"/>
      <c r="PU302" s="72"/>
      <c r="PV302" s="72"/>
      <c r="PW302" s="72"/>
      <c r="PX302" s="72"/>
      <c r="PY302" s="72"/>
      <c r="PZ302" s="72"/>
      <c r="QA302" s="72"/>
      <c r="QB302" s="72"/>
      <c r="QC302" s="72"/>
      <c r="QD302" s="72"/>
      <c r="QE302" s="72"/>
      <c r="QF302" s="72"/>
      <c r="QG302" s="72"/>
      <c r="QH302" s="72"/>
      <c r="QI302" s="72"/>
      <c r="QJ302" s="72"/>
      <c r="QK302" s="72"/>
      <c r="QL302" s="72"/>
      <c r="QM302" s="72"/>
      <c r="QN302" s="72"/>
      <c r="QO302" s="72"/>
      <c r="QP302" s="72"/>
      <c r="QQ302" s="72"/>
      <c r="QR302" s="72"/>
      <c r="QS302" s="72"/>
      <c r="QT302" s="72"/>
      <c r="QU302" s="72"/>
      <c r="QV302" s="72"/>
      <c r="QW302" s="72"/>
      <c r="QX302" s="72"/>
      <c r="QY302" s="72"/>
      <c r="QZ302" s="72"/>
      <c r="RA302" s="72"/>
      <c r="RB302" s="72"/>
      <c r="RC302" s="72"/>
      <c r="RD302" s="72"/>
      <c r="RE302" s="72"/>
      <c r="RF302" s="72"/>
      <c r="RG302" s="72"/>
      <c r="RH302" s="72"/>
      <c r="RI302" s="72"/>
      <c r="RJ302" s="72"/>
      <c r="RK302" s="72"/>
      <c r="RL302" s="72"/>
      <c r="RM302" s="72"/>
      <c r="RN302" s="72"/>
      <c r="RO302" s="72"/>
      <c r="RP302" s="72"/>
      <c r="RQ302" s="72"/>
      <c r="RR302" s="72"/>
      <c r="RS302" s="72"/>
      <c r="RT302" s="72"/>
      <c r="RU302" s="72"/>
      <c r="RV302" s="72"/>
      <c r="RW302" s="72"/>
      <c r="RX302" s="72"/>
      <c r="RY302" s="72"/>
      <c r="RZ302" s="72"/>
      <c r="SA302" s="72"/>
      <c r="SB302" s="72"/>
      <c r="SC302" s="72"/>
      <c r="SD302" s="72"/>
      <c r="SE302" s="72"/>
      <c r="SF302" s="72"/>
      <c r="SG302" s="72"/>
      <c r="SH302" s="72"/>
      <c r="SI302" s="72"/>
      <c r="SJ302" s="72"/>
      <c r="SK302" s="72"/>
      <c r="SL302" s="72"/>
      <c r="SM302" s="72"/>
      <c r="SN302" s="72"/>
      <c r="SO302" s="72"/>
      <c r="SP302" s="72"/>
      <c r="SQ302" s="72"/>
      <c r="SR302" s="72"/>
      <c r="SS302" s="72"/>
      <c r="ST302" s="72"/>
      <c r="SU302" s="72"/>
      <c r="SV302" s="72"/>
      <c r="SW302" s="72"/>
      <c r="SX302" s="72"/>
      <c r="SY302" s="72"/>
      <c r="SZ302" s="72"/>
      <c r="TA302" s="72"/>
      <c r="TB302" s="72"/>
      <c r="TC302" s="72"/>
      <c r="TD302" s="72"/>
      <c r="TE302" s="72"/>
      <c r="TF302" s="72"/>
      <c r="TG302" s="72"/>
      <c r="TH302" s="72"/>
    </row>
    <row r="303" spans="1:528" s="69" customFormat="1" ht="14.1" customHeight="1">
      <c r="A303" s="1"/>
      <c r="B303" s="1"/>
      <c r="C303" s="1"/>
      <c r="D303" s="1"/>
      <c r="E303" s="1"/>
      <c r="F303" s="1"/>
      <c r="G303" s="1"/>
      <c r="H303" s="1"/>
      <c r="I303" s="1"/>
      <c r="J303" s="1"/>
      <c r="K303" s="1"/>
      <c r="L303" s="1"/>
      <c r="M303" s="1"/>
      <c r="N303" s="1"/>
      <c r="O303" s="1"/>
      <c r="P303" s="1"/>
      <c r="X303" s="358"/>
      <c r="Y303" s="358"/>
      <c r="Z303" s="358"/>
      <c r="AA303" s="358"/>
      <c r="AB303" s="358"/>
      <c r="AC303" s="358"/>
      <c r="AD303" s="358"/>
      <c r="AE303" s="358"/>
      <c r="AF303" s="358"/>
      <c r="AG303" s="358"/>
      <c r="AH303" s="358"/>
      <c r="AI303" s="358"/>
      <c r="AJ303" s="358"/>
      <c r="AK303" s="358"/>
      <c r="AL303" s="358"/>
      <c r="AM303" s="358"/>
      <c r="AN303" s="358"/>
      <c r="AO303" s="358"/>
      <c r="AP303" s="358"/>
      <c r="AQ303" s="358"/>
      <c r="AR303" s="358"/>
      <c r="AS303" s="358"/>
      <c r="AT303" s="358"/>
      <c r="AU303" s="358"/>
      <c r="AV303" s="358"/>
      <c r="AW303" s="358"/>
      <c r="AX303" s="358"/>
      <c r="AY303" s="358"/>
      <c r="AZ303" s="358"/>
      <c r="BA303" s="358"/>
      <c r="BB303" s="358"/>
      <c r="BC303" s="358"/>
      <c r="BD303" s="358"/>
      <c r="BE303" s="358"/>
      <c r="BF303" s="358"/>
      <c r="BG303" s="358"/>
      <c r="BH303" s="358"/>
      <c r="BI303" s="358"/>
      <c r="BJ303" s="358"/>
      <c r="BK303" s="358"/>
      <c r="BL303" s="358"/>
      <c r="BM303" s="358"/>
      <c r="BN303" s="358"/>
      <c r="BO303" s="358"/>
      <c r="BP303" s="358"/>
      <c r="BQ303" s="358"/>
      <c r="BR303" s="358"/>
      <c r="BS303" s="358"/>
      <c r="BT303" s="358"/>
      <c r="BU303" s="358"/>
      <c r="BV303" s="358"/>
      <c r="BW303" s="358"/>
      <c r="BX303" s="358"/>
      <c r="BY303" s="358"/>
      <c r="BZ303" s="358"/>
      <c r="CA303" s="358"/>
      <c r="CB303" s="358"/>
      <c r="CC303" s="358"/>
      <c r="CD303" s="358"/>
      <c r="CE303" s="358"/>
      <c r="CF303" s="358"/>
      <c r="CG303" s="358"/>
      <c r="CH303" s="358"/>
      <c r="CI303" s="358"/>
      <c r="CJ303" s="358"/>
      <c r="CK303" s="358"/>
      <c r="CL303" s="358"/>
      <c r="CM303" s="358"/>
      <c r="CN303" s="358"/>
      <c r="CO303" s="358"/>
      <c r="CP303" s="358"/>
      <c r="CQ303" s="358"/>
      <c r="CR303" s="358"/>
      <c r="CS303" s="358"/>
      <c r="CT303" s="358"/>
      <c r="CU303" s="358"/>
      <c r="CV303" s="358"/>
      <c r="CW303" s="358"/>
      <c r="CX303" s="358"/>
      <c r="CY303" s="358"/>
      <c r="CZ303" s="358"/>
      <c r="DA303" s="358"/>
      <c r="DB303" s="358"/>
      <c r="DC303" s="358"/>
      <c r="DD303" s="358"/>
      <c r="DE303" s="358"/>
      <c r="DF303" s="358"/>
      <c r="DG303" s="358"/>
      <c r="DH303" s="358"/>
      <c r="DI303" s="358"/>
      <c r="DJ303" s="358"/>
      <c r="DK303" s="358"/>
      <c r="DL303" s="358"/>
      <c r="DM303" s="358"/>
      <c r="DN303" s="358"/>
      <c r="DO303" s="358"/>
      <c r="DP303" s="358"/>
      <c r="DQ303" s="358"/>
      <c r="DR303" s="358"/>
      <c r="DS303" s="358"/>
      <c r="DT303" s="358"/>
      <c r="DU303" s="358"/>
      <c r="DV303" s="358"/>
      <c r="DW303" s="358"/>
      <c r="DX303" s="358"/>
      <c r="DY303" s="358"/>
      <c r="DZ303" s="358"/>
      <c r="EA303" s="358"/>
      <c r="EB303" s="358"/>
      <c r="EC303" s="358"/>
      <c r="ED303" s="358"/>
      <c r="EE303" s="358"/>
      <c r="EF303" s="358"/>
      <c r="EG303" s="358"/>
      <c r="EH303" s="358"/>
      <c r="EI303" s="358"/>
      <c r="EJ303" s="358"/>
      <c r="EK303" s="358"/>
      <c r="EL303" s="358"/>
      <c r="EM303" s="358"/>
      <c r="EN303" s="358"/>
      <c r="EO303" s="358"/>
      <c r="EP303" s="358"/>
      <c r="EQ303" s="358"/>
      <c r="ER303" s="358"/>
      <c r="ES303" s="358"/>
      <c r="ET303" s="358"/>
      <c r="EU303" s="358"/>
      <c r="EV303" s="358"/>
      <c r="EW303" s="358"/>
      <c r="EX303" s="358"/>
      <c r="EY303" s="358"/>
      <c r="EZ303" s="358"/>
      <c r="FA303" s="358"/>
      <c r="FB303" s="358"/>
      <c r="FC303" s="358"/>
      <c r="FD303" s="358"/>
      <c r="FE303" s="358"/>
      <c r="FF303" s="358"/>
      <c r="FG303" s="358"/>
      <c r="FH303" s="358"/>
      <c r="FI303" s="358"/>
      <c r="FJ303" s="358"/>
      <c r="FK303" s="358"/>
      <c r="FL303" s="358"/>
      <c r="FM303" s="358"/>
      <c r="FN303" s="358"/>
      <c r="FO303" s="358"/>
      <c r="FP303" s="358"/>
      <c r="FQ303" s="358"/>
      <c r="FR303" s="358"/>
      <c r="FS303" s="358"/>
      <c r="FT303" s="358"/>
      <c r="FU303" s="358"/>
      <c r="FV303" s="358"/>
      <c r="FW303" s="358"/>
      <c r="FX303" s="358"/>
      <c r="FY303" s="358"/>
      <c r="FZ303" s="358"/>
      <c r="GA303" s="358"/>
      <c r="GB303" s="358"/>
      <c r="GC303" s="358"/>
      <c r="GD303" s="358"/>
      <c r="GE303" s="358"/>
      <c r="GF303" s="358"/>
      <c r="GG303" s="358"/>
      <c r="GH303" s="358"/>
      <c r="GI303" s="358"/>
      <c r="GJ303" s="358"/>
      <c r="GK303" s="358"/>
      <c r="GL303" s="358"/>
      <c r="GM303" s="358"/>
      <c r="GN303" s="358"/>
      <c r="GO303" s="358"/>
      <c r="GP303" s="358"/>
      <c r="GQ303" s="358"/>
      <c r="GR303" s="358"/>
      <c r="GS303" s="358"/>
      <c r="GT303" s="358"/>
      <c r="GU303" s="358"/>
      <c r="GV303" s="358"/>
      <c r="GW303" s="358"/>
      <c r="GX303" s="358"/>
      <c r="GY303" s="358"/>
      <c r="GZ303" s="358"/>
      <c r="HA303" s="358"/>
      <c r="HB303" s="358"/>
      <c r="HC303" s="358"/>
      <c r="HD303" s="358"/>
      <c r="HE303" s="358"/>
      <c r="HF303" s="358"/>
      <c r="HG303" s="358"/>
      <c r="HH303" s="358"/>
      <c r="HI303" s="358"/>
      <c r="HJ303" s="358"/>
      <c r="HK303" s="358"/>
      <c r="HL303" s="358"/>
      <c r="HM303" s="358"/>
      <c r="HN303" s="358"/>
      <c r="HO303" s="358"/>
      <c r="HP303" s="358"/>
      <c r="HQ303" s="358"/>
      <c r="HR303" s="358"/>
      <c r="HS303" s="358"/>
      <c r="HT303" s="358"/>
      <c r="HU303" s="358"/>
      <c r="HV303" s="358"/>
      <c r="HW303" s="358"/>
      <c r="HX303" s="358"/>
      <c r="HY303" s="358"/>
      <c r="HZ303" s="358"/>
      <c r="IA303" s="358"/>
      <c r="IB303" s="358"/>
      <c r="IC303" s="358"/>
      <c r="ID303" s="358"/>
      <c r="IE303" s="358"/>
      <c r="IF303" s="358"/>
      <c r="IG303" s="358"/>
      <c r="IH303" s="358"/>
      <c r="II303" s="358"/>
      <c r="IJ303" s="358"/>
      <c r="IK303" s="358"/>
      <c r="IL303" s="358"/>
      <c r="IM303" s="358"/>
      <c r="IN303" s="358"/>
      <c r="IO303" s="358"/>
      <c r="IP303" s="358"/>
      <c r="IQ303" s="358"/>
      <c r="IR303" s="358"/>
      <c r="IS303" s="358"/>
      <c r="IT303" s="358"/>
      <c r="IU303" s="358"/>
      <c r="IV303" s="358"/>
      <c r="IW303" s="358"/>
      <c r="IX303" s="358"/>
      <c r="IY303" s="358"/>
      <c r="IZ303" s="358"/>
      <c r="JA303" s="358"/>
      <c r="JB303" s="358"/>
      <c r="JC303" s="358"/>
      <c r="JD303" s="358"/>
      <c r="JE303" s="358"/>
      <c r="JF303" s="358"/>
      <c r="JG303" s="358"/>
      <c r="JH303" s="358"/>
      <c r="JI303" s="358"/>
      <c r="JJ303" s="358"/>
      <c r="JK303" s="358"/>
      <c r="JL303" s="358"/>
      <c r="JM303" s="358"/>
      <c r="JN303" s="358"/>
      <c r="JO303" s="358"/>
      <c r="JP303" s="358"/>
      <c r="JQ303" s="358"/>
      <c r="JR303" s="358"/>
      <c r="JS303" s="358"/>
      <c r="JT303" s="358"/>
      <c r="JU303" s="358"/>
      <c r="JV303" s="358"/>
      <c r="JW303" s="358"/>
      <c r="JX303" s="358"/>
      <c r="JY303" s="358"/>
      <c r="JZ303" s="358"/>
      <c r="KA303" s="358"/>
      <c r="KB303" s="358"/>
      <c r="KC303" s="358"/>
      <c r="KD303" s="358"/>
      <c r="KE303" s="358"/>
      <c r="KF303" s="358"/>
      <c r="KG303" s="358"/>
      <c r="KH303" s="358"/>
      <c r="KI303" s="358"/>
      <c r="KJ303" s="358"/>
      <c r="KK303" s="358"/>
      <c r="KL303" s="358"/>
      <c r="KM303" s="358"/>
      <c r="KN303" s="358"/>
      <c r="KO303" s="358"/>
      <c r="KP303" s="358"/>
      <c r="KQ303" s="358"/>
      <c r="KR303" s="358"/>
      <c r="KS303" s="358"/>
      <c r="KT303" s="358"/>
      <c r="KU303" s="358"/>
      <c r="KV303" s="358"/>
      <c r="KW303" s="358"/>
      <c r="KX303" s="358"/>
      <c r="KY303" s="358"/>
      <c r="KZ303" s="358"/>
      <c r="LA303" s="358"/>
      <c r="LB303" s="358"/>
      <c r="LC303" s="358"/>
      <c r="LD303" s="358"/>
      <c r="LE303" s="358"/>
      <c r="LF303" s="1784"/>
      <c r="LG303" s="358"/>
      <c r="LH303" s="358"/>
      <c r="LI303" s="358"/>
      <c r="LJ303" s="358"/>
      <c r="LK303" s="1784"/>
      <c r="LL303" s="358"/>
      <c r="LM303" s="358"/>
      <c r="LN303" s="358"/>
      <c r="LO303" s="358"/>
      <c r="LP303" s="1784"/>
      <c r="LQ303" s="358"/>
      <c r="LR303" s="358"/>
      <c r="LS303" s="358"/>
      <c r="LT303" s="358"/>
      <c r="LU303" s="1784"/>
      <c r="LV303" s="1784"/>
      <c r="LW303" s="1784"/>
      <c r="LX303" s="1784"/>
      <c r="LY303" s="1784"/>
      <c r="LZ303" s="1784"/>
      <c r="MA303" s="1784"/>
      <c r="MB303" s="1784"/>
      <c r="MC303" s="1784"/>
      <c r="MD303" s="1784"/>
      <c r="ME303" s="1784"/>
      <c r="MF303" s="1784"/>
      <c r="MG303" s="1784"/>
      <c r="MH303" s="1784"/>
      <c r="MI303" s="1784"/>
      <c r="MJ303" s="1784"/>
      <c r="MK303" s="1784"/>
      <c r="ML303" s="1784"/>
      <c r="MM303" s="1784"/>
      <c r="MN303" s="1784"/>
      <c r="MO303" s="1784"/>
      <c r="MP303" s="1784"/>
      <c r="MQ303" s="358"/>
      <c r="MR303" s="358"/>
      <c r="MS303" s="358"/>
      <c r="MT303" s="358"/>
      <c r="MU303" s="358"/>
      <c r="MV303" s="358"/>
      <c r="MW303" s="1639"/>
      <c r="MX303" s="358"/>
      <c r="MY303" s="358"/>
      <c r="MZ303" s="358"/>
      <c r="NA303" s="358"/>
      <c r="NB303" s="358"/>
      <c r="NC303" s="358"/>
      <c r="ND303" s="358"/>
      <c r="NE303" s="358"/>
      <c r="NF303" s="358"/>
      <c r="NG303" s="358"/>
      <c r="NH303" s="358"/>
      <c r="NI303" s="358"/>
      <c r="NJ303" s="358"/>
      <c r="NK303" s="358"/>
      <c r="NL303" s="358"/>
      <c r="NM303" s="1639"/>
      <c r="NN303" s="1639"/>
      <c r="NO303" s="358"/>
      <c r="NP303" s="358"/>
      <c r="NQ303" s="358"/>
      <c r="NR303" s="358"/>
      <c r="NS303" s="358"/>
      <c r="NT303" s="358"/>
      <c r="NU303" s="358"/>
      <c r="NV303" s="358"/>
      <c r="NW303" s="358"/>
      <c r="NX303" s="358"/>
      <c r="NY303" s="358"/>
      <c r="NZ303" s="358"/>
      <c r="OA303" s="358"/>
      <c r="OB303" s="358"/>
      <c r="OC303" s="358"/>
      <c r="OD303" s="358"/>
      <c r="OE303" s="358"/>
      <c r="OF303" s="358"/>
      <c r="OG303" s="358"/>
      <c r="OH303" s="358"/>
      <c r="OI303" s="358"/>
      <c r="OJ303" s="358"/>
      <c r="OK303" s="358"/>
      <c r="OL303" s="358"/>
      <c r="OM303" s="358"/>
      <c r="ON303" s="358"/>
      <c r="OO303" s="358"/>
      <c r="OP303" s="358"/>
      <c r="OQ303" s="358"/>
      <c r="OR303" s="358"/>
      <c r="OS303" s="358"/>
      <c r="OT303" s="358"/>
      <c r="OU303" s="358"/>
      <c r="OV303" s="72"/>
      <c r="OW303" s="72"/>
      <c r="OX303" s="72"/>
      <c r="OY303" s="2499"/>
      <c r="OZ303" s="2504"/>
      <c r="PA303" s="72"/>
      <c r="PB303" s="72"/>
      <c r="PC303" s="72"/>
      <c r="PD303" s="72"/>
      <c r="PE303" s="72"/>
      <c r="PF303" s="72"/>
      <c r="PG303" s="72"/>
      <c r="PH303" s="72"/>
      <c r="PI303" s="72"/>
      <c r="PJ303" s="72"/>
      <c r="PK303" s="72"/>
      <c r="PL303" s="72"/>
      <c r="PM303" s="72"/>
      <c r="PN303" s="72"/>
      <c r="PO303" s="72"/>
      <c r="PP303" s="72"/>
      <c r="PQ303" s="72"/>
      <c r="PR303" s="72"/>
      <c r="PS303" s="72"/>
      <c r="PT303" s="72"/>
      <c r="PU303" s="72"/>
      <c r="PV303" s="72"/>
      <c r="PW303" s="72"/>
      <c r="PX303" s="72"/>
      <c r="PY303" s="72"/>
      <c r="PZ303" s="72"/>
      <c r="QA303" s="72"/>
      <c r="QB303" s="72"/>
      <c r="QC303" s="72"/>
      <c r="QD303" s="72"/>
      <c r="QE303" s="72"/>
      <c r="QF303" s="72"/>
      <c r="QG303" s="72"/>
      <c r="QH303" s="72"/>
      <c r="QI303" s="72"/>
      <c r="QJ303" s="72"/>
      <c r="QK303" s="72"/>
      <c r="QL303" s="72"/>
      <c r="QM303" s="72"/>
      <c r="QN303" s="72"/>
      <c r="QO303" s="72"/>
      <c r="QP303" s="72"/>
      <c r="QQ303" s="72"/>
      <c r="QR303" s="72"/>
      <c r="QS303" s="72"/>
      <c r="QT303" s="72"/>
      <c r="QU303" s="72"/>
      <c r="QV303" s="72"/>
      <c r="QW303" s="72"/>
      <c r="QX303" s="72"/>
      <c r="QY303" s="72"/>
      <c r="QZ303" s="72"/>
      <c r="RA303" s="72"/>
      <c r="RB303" s="72"/>
      <c r="RC303" s="72"/>
      <c r="RD303" s="72"/>
      <c r="RE303" s="72"/>
      <c r="RF303" s="72"/>
      <c r="RG303" s="72"/>
      <c r="RH303" s="72"/>
      <c r="RI303" s="72"/>
      <c r="RJ303" s="72"/>
      <c r="RK303" s="72"/>
      <c r="RL303" s="72"/>
      <c r="RM303" s="72"/>
      <c r="RN303" s="72"/>
      <c r="RO303" s="72"/>
      <c r="RP303" s="72"/>
      <c r="RQ303" s="72"/>
      <c r="RR303" s="72"/>
      <c r="RS303" s="72"/>
      <c r="RT303" s="72"/>
      <c r="RU303" s="72"/>
      <c r="RV303" s="72"/>
      <c r="RW303" s="72"/>
      <c r="RX303" s="72"/>
      <c r="RY303" s="72"/>
      <c r="RZ303" s="72"/>
      <c r="SA303" s="72"/>
      <c r="SB303" s="72"/>
      <c r="SC303" s="72"/>
      <c r="SD303" s="72"/>
      <c r="SE303" s="72"/>
      <c r="SF303" s="72"/>
      <c r="SG303" s="72"/>
      <c r="SH303" s="72"/>
      <c r="SI303" s="72"/>
      <c r="SJ303" s="72"/>
      <c r="SK303" s="72"/>
      <c r="SL303" s="72"/>
      <c r="SM303" s="72"/>
      <c r="SN303" s="72"/>
      <c r="SO303" s="72"/>
      <c r="SP303" s="72"/>
      <c r="SQ303" s="72"/>
      <c r="SR303" s="72"/>
      <c r="SS303" s="72"/>
      <c r="ST303" s="72"/>
      <c r="SU303" s="72"/>
      <c r="SV303" s="72"/>
      <c r="SW303" s="72"/>
      <c r="SX303" s="72"/>
      <c r="SY303" s="72"/>
      <c r="SZ303" s="72"/>
      <c r="TA303" s="72"/>
      <c r="TB303" s="72"/>
      <c r="TC303" s="72"/>
      <c r="TD303" s="72"/>
      <c r="TE303" s="72"/>
      <c r="TF303" s="72"/>
      <c r="TG303" s="72"/>
      <c r="TH303" s="72"/>
    </row>
    <row r="304" spans="1:528" ht="14.1" customHeight="1"/>
    <row r="305" spans="1:528" ht="14.1" customHeight="1">
      <c r="A305" s="10"/>
      <c r="OY305" s="2501"/>
    </row>
    <row r="306" spans="1:528" ht="14.1" customHeight="1">
      <c r="OY306" s="2501"/>
    </row>
    <row r="307" spans="1:528" ht="14.1" customHeight="1">
      <c r="OY307" s="2501"/>
    </row>
    <row r="308" spans="1:528" ht="14.1" customHeight="1">
      <c r="OY308" s="2501"/>
    </row>
    <row r="309" spans="1:528" ht="14.1" customHeight="1">
      <c r="OY309" s="2501"/>
    </row>
    <row r="310" spans="1:528" ht="14.1" customHeight="1"/>
    <row r="311" spans="1:528" s="69" customFormat="1" ht="14.1" customHeight="1">
      <c r="A311" s="25"/>
      <c r="B311" s="1"/>
      <c r="C311" s="1"/>
      <c r="D311" s="1"/>
      <c r="E311" s="1"/>
      <c r="F311" s="1"/>
      <c r="G311" s="1"/>
      <c r="H311" s="1"/>
      <c r="I311" s="1"/>
      <c r="J311" s="1"/>
      <c r="K311" s="1"/>
      <c r="L311" s="1"/>
      <c r="M311" s="1"/>
      <c r="N311" s="1"/>
      <c r="O311" s="1"/>
      <c r="P311" s="1"/>
      <c r="X311" s="358"/>
      <c r="Y311" s="358"/>
      <c r="Z311" s="358"/>
      <c r="AA311" s="358"/>
      <c r="AB311" s="358"/>
      <c r="AC311" s="358"/>
      <c r="AD311" s="358"/>
      <c r="AE311" s="358"/>
      <c r="AF311" s="358"/>
      <c r="AG311" s="358"/>
      <c r="AH311" s="358"/>
      <c r="AI311" s="358"/>
      <c r="AJ311" s="358"/>
      <c r="AK311" s="358"/>
      <c r="AL311" s="358"/>
      <c r="AM311" s="358"/>
      <c r="AN311" s="358"/>
      <c r="AO311" s="358"/>
      <c r="AP311" s="358"/>
      <c r="AQ311" s="358"/>
      <c r="AR311" s="358"/>
      <c r="AS311" s="358"/>
      <c r="AT311" s="358"/>
      <c r="AU311" s="358"/>
      <c r="AV311" s="358"/>
      <c r="AW311" s="358"/>
      <c r="AX311" s="358"/>
      <c r="AY311" s="358"/>
      <c r="AZ311" s="358"/>
      <c r="BA311" s="358"/>
      <c r="BB311" s="358"/>
      <c r="BC311" s="358"/>
      <c r="BD311" s="358"/>
      <c r="BE311" s="358"/>
      <c r="BF311" s="358"/>
      <c r="BG311" s="358"/>
      <c r="BH311" s="358"/>
      <c r="BI311" s="358"/>
      <c r="BJ311" s="358"/>
      <c r="BK311" s="358"/>
      <c r="BL311" s="358"/>
      <c r="BM311" s="358"/>
      <c r="BN311" s="358"/>
      <c r="BO311" s="358"/>
      <c r="BP311" s="358"/>
      <c r="BQ311" s="358"/>
      <c r="BR311" s="358"/>
      <c r="BS311" s="358"/>
      <c r="BT311" s="358"/>
      <c r="BU311" s="358"/>
      <c r="BV311" s="358"/>
      <c r="BW311" s="358"/>
      <c r="BX311" s="358"/>
      <c r="BY311" s="358"/>
      <c r="BZ311" s="358"/>
      <c r="CA311" s="358"/>
      <c r="CB311" s="358"/>
      <c r="CC311" s="358"/>
      <c r="CD311" s="358"/>
      <c r="CE311" s="358"/>
      <c r="CF311" s="358"/>
      <c r="CG311" s="358"/>
      <c r="CH311" s="358"/>
      <c r="CI311" s="358"/>
      <c r="CJ311" s="358"/>
      <c r="CK311" s="358"/>
      <c r="CL311" s="358"/>
      <c r="CM311" s="358"/>
      <c r="CN311" s="358"/>
      <c r="CO311" s="358"/>
      <c r="CP311" s="358"/>
      <c r="CQ311" s="358"/>
      <c r="CR311" s="358"/>
      <c r="CS311" s="358"/>
      <c r="CT311" s="358"/>
      <c r="CU311" s="358"/>
      <c r="CV311" s="358"/>
      <c r="CW311" s="358"/>
      <c r="CX311" s="358"/>
      <c r="CY311" s="358"/>
      <c r="CZ311" s="358"/>
      <c r="DA311" s="358"/>
      <c r="DB311" s="358"/>
      <c r="DC311" s="358"/>
      <c r="DD311" s="358"/>
      <c r="DE311" s="358"/>
      <c r="DF311" s="358"/>
      <c r="DG311" s="358"/>
      <c r="DH311" s="358"/>
      <c r="DI311" s="358"/>
      <c r="DJ311" s="358"/>
      <c r="DK311" s="358"/>
      <c r="DL311" s="358"/>
      <c r="DM311" s="358"/>
      <c r="DN311" s="358"/>
      <c r="DO311" s="358"/>
      <c r="DP311" s="358"/>
      <c r="DQ311" s="358"/>
      <c r="DR311" s="358"/>
      <c r="DS311" s="358"/>
      <c r="DT311" s="358"/>
      <c r="DU311" s="358"/>
      <c r="DV311" s="358"/>
      <c r="DW311" s="358"/>
      <c r="DX311" s="358"/>
      <c r="DY311" s="358"/>
      <c r="DZ311" s="358"/>
      <c r="EA311" s="358"/>
      <c r="EB311" s="358"/>
      <c r="EC311" s="358"/>
      <c r="ED311" s="358"/>
      <c r="EE311" s="358"/>
      <c r="EF311" s="358"/>
      <c r="EG311" s="358"/>
      <c r="EH311" s="358"/>
      <c r="EI311" s="358"/>
      <c r="EJ311" s="358"/>
      <c r="EK311" s="358"/>
      <c r="EL311" s="358"/>
      <c r="EM311" s="358"/>
      <c r="EN311" s="358"/>
      <c r="EO311" s="358"/>
      <c r="EP311" s="358"/>
      <c r="EQ311" s="358"/>
      <c r="ER311" s="358"/>
      <c r="ES311" s="358"/>
      <c r="ET311" s="358"/>
      <c r="EU311" s="358"/>
      <c r="EV311" s="358"/>
      <c r="EW311" s="358"/>
      <c r="EX311" s="358"/>
      <c r="EY311" s="358"/>
      <c r="EZ311" s="358"/>
      <c r="FA311" s="358"/>
      <c r="FB311" s="358"/>
      <c r="FC311" s="358"/>
      <c r="FD311" s="358"/>
      <c r="FE311" s="358"/>
      <c r="FF311" s="358"/>
      <c r="FG311" s="358"/>
      <c r="FH311" s="358"/>
      <c r="FI311" s="358"/>
      <c r="FJ311" s="358"/>
      <c r="FK311" s="358"/>
      <c r="FL311" s="358"/>
      <c r="FM311" s="358"/>
      <c r="FN311" s="358"/>
      <c r="FO311" s="358"/>
      <c r="FP311" s="358"/>
      <c r="FQ311" s="358"/>
      <c r="FR311" s="358"/>
      <c r="FS311" s="358"/>
      <c r="FT311" s="358"/>
      <c r="FU311" s="358"/>
      <c r="FV311" s="358"/>
      <c r="FW311" s="358"/>
      <c r="FX311" s="358"/>
      <c r="FY311" s="358"/>
      <c r="FZ311" s="358"/>
      <c r="GA311" s="358"/>
      <c r="GB311" s="358"/>
      <c r="GC311" s="358"/>
      <c r="GD311" s="358"/>
      <c r="GE311" s="358"/>
      <c r="GF311" s="358"/>
      <c r="GG311" s="358"/>
      <c r="GH311" s="358"/>
      <c r="GI311" s="358"/>
      <c r="GJ311" s="358"/>
      <c r="GK311" s="358"/>
      <c r="GL311" s="358"/>
      <c r="GM311" s="358"/>
      <c r="GN311" s="358"/>
      <c r="GO311" s="358"/>
      <c r="GP311" s="358"/>
      <c r="GQ311" s="358"/>
      <c r="GR311" s="358"/>
      <c r="GS311" s="358"/>
      <c r="GT311" s="358"/>
      <c r="GU311" s="358"/>
      <c r="GV311" s="358"/>
      <c r="GW311" s="358"/>
      <c r="GX311" s="358"/>
      <c r="GY311" s="358"/>
      <c r="GZ311" s="358"/>
      <c r="HA311" s="358"/>
      <c r="HB311" s="358"/>
      <c r="HC311" s="358"/>
      <c r="HD311" s="358"/>
      <c r="HE311" s="358"/>
      <c r="HF311" s="358"/>
      <c r="HG311" s="358"/>
      <c r="HH311" s="358"/>
      <c r="HI311" s="358"/>
      <c r="HJ311" s="358"/>
      <c r="HK311" s="358"/>
      <c r="HL311" s="358"/>
      <c r="HM311" s="358"/>
      <c r="HN311" s="358"/>
      <c r="HO311" s="358"/>
      <c r="HP311" s="358"/>
      <c r="HQ311" s="358"/>
      <c r="HR311" s="358"/>
      <c r="HS311" s="358"/>
      <c r="HT311" s="358"/>
      <c r="HU311" s="358"/>
      <c r="HV311" s="358"/>
      <c r="HW311" s="358"/>
      <c r="HX311" s="358"/>
      <c r="HY311" s="358"/>
      <c r="HZ311" s="358"/>
      <c r="IA311" s="358"/>
      <c r="IB311" s="358"/>
      <c r="IC311" s="358"/>
      <c r="ID311" s="358"/>
      <c r="IE311" s="358"/>
      <c r="IF311" s="358"/>
      <c r="IG311" s="358"/>
      <c r="IH311" s="358"/>
      <c r="II311" s="358"/>
      <c r="IJ311" s="358"/>
      <c r="IK311" s="358"/>
      <c r="IL311" s="358"/>
      <c r="IM311" s="358"/>
      <c r="IN311" s="358"/>
      <c r="IO311" s="358"/>
      <c r="IP311" s="358"/>
      <c r="IQ311" s="358"/>
      <c r="IR311" s="358"/>
      <c r="IS311" s="358"/>
      <c r="IT311" s="358"/>
      <c r="IU311" s="358"/>
      <c r="IV311" s="358"/>
      <c r="IW311" s="358"/>
      <c r="IX311" s="358"/>
      <c r="IY311" s="358"/>
      <c r="IZ311" s="358"/>
      <c r="JA311" s="358"/>
      <c r="JB311" s="358"/>
      <c r="JC311" s="358"/>
      <c r="JD311" s="358"/>
      <c r="JE311" s="358"/>
      <c r="JF311" s="358"/>
      <c r="JG311" s="358"/>
      <c r="JH311" s="358"/>
      <c r="JI311" s="358"/>
      <c r="JJ311" s="358"/>
      <c r="JK311" s="358"/>
      <c r="JL311" s="358"/>
      <c r="JM311" s="358"/>
      <c r="JN311" s="358"/>
      <c r="JO311" s="358"/>
      <c r="JP311" s="358"/>
      <c r="JQ311" s="358"/>
      <c r="JR311" s="358"/>
      <c r="JS311" s="358"/>
      <c r="JT311" s="358"/>
      <c r="JU311" s="358"/>
      <c r="JV311" s="358"/>
      <c r="JW311" s="358"/>
      <c r="JX311" s="358"/>
      <c r="JY311" s="358"/>
      <c r="JZ311" s="358"/>
      <c r="KA311" s="358"/>
      <c r="KB311" s="358"/>
      <c r="KC311" s="358"/>
      <c r="KD311" s="358"/>
      <c r="KE311" s="358"/>
      <c r="KF311" s="358"/>
      <c r="KG311" s="358"/>
      <c r="KH311" s="358"/>
      <c r="KI311" s="358"/>
      <c r="KJ311" s="358"/>
      <c r="KK311" s="358"/>
      <c r="KL311" s="358"/>
      <c r="KM311" s="358"/>
      <c r="KN311" s="358"/>
      <c r="KO311" s="358"/>
      <c r="KP311" s="358"/>
      <c r="KQ311" s="358"/>
      <c r="KR311" s="358"/>
      <c r="KS311" s="358"/>
      <c r="KT311" s="358"/>
      <c r="KU311" s="358"/>
      <c r="KV311" s="358"/>
      <c r="KW311" s="358"/>
      <c r="KX311" s="358"/>
      <c r="KY311" s="358"/>
      <c r="KZ311" s="358"/>
      <c r="LA311" s="358"/>
      <c r="LB311" s="358"/>
      <c r="LC311" s="358"/>
      <c r="LD311" s="358"/>
      <c r="LE311" s="358"/>
      <c r="LF311" s="1784"/>
      <c r="LG311" s="358"/>
      <c r="LH311" s="358"/>
      <c r="LI311" s="358"/>
      <c r="LJ311" s="358"/>
      <c r="LK311" s="1784"/>
      <c r="LL311" s="358"/>
      <c r="LM311" s="358"/>
      <c r="LN311" s="358"/>
      <c r="LO311" s="358"/>
      <c r="LP311" s="1784"/>
      <c r="LQ311" s="358"/>
      <c r="LR311" s="358"/>
      <c r="LS311" s="358"/>
      <c r="LT311" s="358"/>
      <c r="LU311" s="1784"/>
      <c r="LV311" s="1784"/>
      <c r="LW311" s="1784"/>
      <c r="LX311" s="1784"/>
      <c r="LY311" s="1784"/>
      <c r="LZ311" s="1784"/>
      <c r="MA311" s="1784"/>
      <c r="MB311" s="1784"/>
      <c r="MC311" s="1784"/>
      <c r="MD311" s="1784"/>
      <c r="ME311" s="1784"/>
      <c r="MF311" s="1784"/>
      <c r="MG311" s="1784"/>
      <c r="MH311" s="1784"/>
      <c r="MI311" s="1784"/>
      <c r="MJ311" s="1784"/>
      <c r="MK311" s="1784"/>
      <c r="ML311" s="1784"/>
      <c r="MM311" s="1784"/>
      <c r="MN311" s="1784"/>
      <c r="MO311" s="1784"/>
      <c r="MP311" s="1784"/>
      <c r="MQ311" s="358"/>
      <c r="MR311" s="358"/>
      <c r="MS311" s="358"/>
      <c r="MT311" s="358"/>
      <c r="MU311" s="358"/>
      <c r="MV311" s="358"/>
      <c r="MW311" s="1639"/>
      <c r="MX311" s="358"/>
      <c r="MY311" s="358"/>
      <c r="MZ311" s="358"/>
      <c r="NA311" s="358"/>
      <c r="NB311" s="358"/>
      <c r="NC311" s="358"/>
      <c r="ND311" s="358"/>
      <c r="NE311" s="358"/>
      <c r="NF311" s="358"/>
      <c r="NG311" s="358"/>
      <c r="NH311" s="358"/>
      <c r="NI311" s="358"/>
      <c r="NJ311" s="358"/>
      <c r="NK311" s="358"/>
      <c r="NL311" s="358"/>
      <c r="NM311" s="1639"/>
      <c r="NN311" s="1639"/>
      <c r="NO311" s="358"/>
      <c r="NP311" s="358"/>
      <c r="NQ311" s="358"/>
      <c r="NR311" s="358"/>
      <c r="NS311" s="358"/>
      <c r="NT311" s="358"/>
      <c r="NU311" s="358"/>
      <c r="NV311" s="358"/>
      <c r="NW311" s="358"/>
      <c r="NX311" s="358"/>
      <c r="NY311" s="358"/>
      <c r="NZ311" s="358"/>
      <c r="OA311" s="358"/>
      <c r="OB311" s="358"/>
      <c r="OC311" s="358"/>
      <c r="OD311" s="358"/>
      <c r="OE311" s="358"/>
      <c r="OF311" s="358"/>
      <c r="OG311" s="358"/>
      <c r="OH311" s="358"/>
      <c r="OI311" s="358"/>
      <c r="OJ311" s="358"/>
      <c r="OK311" s="358"/>
      <c r="OL311" s="358"/>
      <c r="OM311" s="358"/>
      <c r="ON311" s="358"/>
      <c r="OO311" s="358"/>
      <c r="OP311" s="358"/>
      <c r="OQ311" s="358"/>
      <c r="OR311" s="358"/>
      <c r="OS311" s="358"/>
      <c r="OT311" s="358"/>
      <c r="OU311" s="358"/>
      <c r="OV311" s="72"/>
      <c r="OW311" s="72"/>
      <c r="OX311" s="72"/>
      <c r="OY311" s="2499"/>
      <c r="OZ311" s="2504"/>
      <c r="PA311" s="72"/>
      <c r="PB311" s="72"/>
      <c r="PC311" s="72"/>
      <c r="PD311" s="72"/>
      <c r="PE311" s="72"/>
      <c r="PF311" s="72"/>
      <c r="PG311" s="72"/>
      <c r="PH311" s="72"/>
      <c r="PI311" s="72"/>
      <c r="PJ311" s="72"/>
      <c r="PK311" s="72"/>
      <c r="PL311" s="72"/>
      <c r="PM311" s="72"/>
      <c r="PN311" s="72"/>
      <c r="PO311" s="72"/>
      <c r="PP311" s="72"/>
      <c r="PQ311" s="72"/>
      <c r="PR311" s="72"/>
      <c r="PS311" s="72"/>
      <c r="PT311" s="72"/>
      <c r="PU311" s="72"/>
      <c r="PV311" s="72"/>
      <c r="PW311" s="72"/>
      <c r="PX311" s="72"/>
      <c r="PY311" s="72"/>
      <c r="PZ311" s="72"/>
      <c r="QA311" s="72"/>
      <c r="QB311" s="72"/>
      <c r="QC311" s="72"/>
      <c r="QD311" s="72"/>
      <c r="QE311" s="72"/>
      <c r="QF311" s="72"/>
      <c r="QG311" s="72"/>
      <c r="QH311" s="72"/>
      <c r="QI311" s="72"/>
      <c r="QJ311" s="72"/>
      <c r="QK311" s="72"/>
      <c r="QL311" s="72"/>
      <c r="QM311" s="72"/>
      <c r="QN311" s="72"/>
      <c r="QO311" s="72"/>
      <c r="QP311" s="72"/>
      <c r="QQ311" s="72"/>
      <c r="QR311" s="72"/>
      <c r="QS311" s="72"/>
      <c r="QT311" s="72"/>
      <c r="QU311" s="72"/>
      <c r="QV311" s="72"/>
      <c r="QW311" s="72"/>
      <c r="QX311" s="72"/>
      <c r="QY311" s="72"/>
      <c r="QZ311" s="72"/>
      <c r="RA311" s="72"/>
      <c r="RB311" s="72"/>
      <c r="RC311" s="72"/>
      <c r="RD311" s="72"/>
      <c r="RE311" s="72"/>
      <c r="RF311" s="72"/>
      <c r="RG311" s="72"/>
      <c r="RH311" s="72"/>
      <c r="RI311" s="72"/>
      <c r="RJ311" s="72"/>
      <c r="RK311" s="72"/>
      <c r="RL311" s="72"/>
      <c r="RM311" s="72"/>
      <c r="RN311" s="72"/>
      <c r="RO311" s="72"/>
      <c r="RP311" s="72"/>
      <c r="RQ311" s="72"/>
      <c r="RR311" s="72"/>
      <c r="RS311" s="72"/>
      <c r="RT311" s="72"/>
      <c r="RU311" s="72"/>
      <c r="RV311" s="72"/>
      <c r="RW311" s="72"/>
      <c r="RX311" s="72"/>
      <c r="RY311" s="72"/>
      <c r="RZ311" s="72"/>
      <c r="SA311" s="72"/>
      <c r="SB311" s="72"/>
      <c r="SC311" s="72"/>
      <c r="SD311" s="72"/>
      <c r="SE311" s="72"/>
      <c r="SF311" s="72"/>
      <c r="SG311" s="72"/>
      <c r="SH311" s="72"/>
      <c r="SI311" s="72"/>
      <c r="SJ311" s="72"/>
      <c r="SK311" s="72"/>
      <c r="SL311" s="72"/>
      <c r="SM311" s="72"/>
      <c r="SN311" s="72"/>
      <c r="SO311" s="72"/>
      <c r="SP311" s="72"/>
      <c r="SQ311" s="72"/>
      <c r="SR311" s="72"/>
      <c r="SS311" s="72"/>
      <c r="ST311" s="72"/>
      <c r="SU311" s="72"/>
      <c r="SV311" s="72"/>
      <c r="SW311" s="72"/>
      <c r="SX311" s="72"/>
      <c r="SY311" s="72"/>
      <c r="SZ311" s="72"/>
      <c r="TA311" s="72"/>
      <c r="TB311" s="72"/>
      <c r="TC311" s="72"/>
      <c r="TD311" s="72"/>
      <c r="TE311" s="72"/>
      <c r="TF311" s="72"/>
      <c r="TG311" s="72"/>
      <c r="TH311" s="72"/>
    </row>
    <row r="312" spans="1:528" s="69" customFormat="1" ht="14.1" customHeight="1">
      <c r="A312" s="25"/>
      <c r="B312" s="1"/>
      <c r="C312" s="1"/>
      <c r="D312" s="1"/>
      <c r="E312" s="1"/>
      <c r="F312" s="1"/>
      <c r="G312" s="1"/>
      <c r="H312" s="1"/>
      <c r="I312" s="1"/>
      <c r="J312" s="1"/>
      <c r="K312" s="1"/>
      <c r="L312" s="1"/>
      <c r="M312" s="1"/>
      <c r="N312" s="1"/>
      <c r="O312" s="1"/>
      <c r="P312" s="1"/>
      <c r="X312" s="358"/>
      <c r="Y312" s="358"/>
      <c r="Z312" s="358"/>
      <c r="AA312" s="358"/>
      <c r="AB312" s="358"/>
      <c r="AC312" s="358"/>
      <c r="AD312" s="358"/>
      <c r="AE312" s="358"/>
      <c r="AF312" s="358"/>
      <c r="AG312" s="358"/>
      <c r="AH312" s="358"/>
      <c r="AI312" s="358"/>
      <c r="AJ312" s="358"/>
      <c r="AK312" s="358"/>
      <c r="AL312" s="358"/>
      <c r="AM312" s="358"/>
      <c r="AN312" s="358"/>
      <c r="AO312" s="358"/>
      <c r="AP312" s="358"/>
      <c r="AQ312" s="358"/>
      <c r="AR312" s="358"/>
      <c r="AS312" s="358"/>
      <c r="AT312" s="358"/>
      <c r="AU312" s="358"/>
      <c r="AV312" s="358"/>
      <c r="AW312" s="358"/>
      <c r="AX312" s="358"/>
      <c r="AY312" s="358"/>
      <c r="AZ312" s="358"/>
      <c r="BA312" s="358"/>
      <c r="BB312" s="358"/>
      <c r="BC312" s="358"/>
      <c r="BD312" s="358"/>
      <c r="BE312" s="358"/>
      <c r="BF312" s="358"/>
      <c r="BG312" s="358"/>
      <c r="BH312" s="358"/>
      <c r="BI312" s="358"/>
      <c r="BJ312" s="358"/>
      <c r="BK312" s="358"/>
      <c r="BL312" s="358"/>
      <c r="BM312" s="358"/>
      <c r="BN312" s="358"/>
      <c r="BO312" s="358"/>
      <c r="BP312" s="358"/>
      <c r="BQ312" s="358"/>
      <c r="BR312" s="358"/>
      <c r="BS312" s="358"/>
      <c r="BT312" s="358"/>
      <c r="BU312" s="358"/>
      <c r="BV312" s="358"/>
      <c r="BW312" s="358"/>
      <c r="BX312" s="358"/>
      <c r="BY312" s="358"/>
      <c r="BZ312" s="358"/>
      <c r="CA312" s="358"/>
      <c r="CB312" s="358"/>
      <c r="CC312" s="358"/>
      <c r="CD312" s="358"/>
      <c r="CE312" s="358"/>
      <c r="CF312" s="358"/>
      <c r="CG312" s="358"/>
      <c r="CH312" s="358"/>
      <c r="CI312" s="358"/>
      <c r="CJ312" s="358"/>
      <c r="CK312" s="358"/>
      <c r="CL312" s="358"/>
      <c r="CM312" s="358"/>
      <c r="CN312" s="358"/>
      <c r="CO312" s="358"/>
      <c r="CP312" s="358"/>
      <c r="CQ312" s="358"/>
      <c r="CR312" s="358"/>
      <c r="CS312" s="358"/>
      <c r="CT312" s="358"/>
      <c r="CU312" s="358"/>
      <c r="CV312" s="358"/>
      <c r="CW312" s="358"/>
      <c r="CX312" s="358"/>
      <c r="CY312" s="358"/>
      <c r="CZ312" s="358"/>
      <c r="DA312" s="358"/>
      <c r="DB312" s="358"/>
      <c r="DC312" s="358"/>
      <c r="DD312" s="358"/>
      <c r="DE312" s="358"/>
      <c r="DF312" s="358"/>
      <c r="DG312" s="358"/>
      <c r="DH312" s="358"/>
      <c r="DI312" s="358"/>
      <c r="DJ312" s="358"/>
      <c r="DK312" s="358"/>
      <c r="DL312" s="358"/>
      <c r="DM312" s="358"/>
      <c r="DN312" s="358"/>
      <c r="DO312" s="358"/>
      <c r="DP312" s="358"/>
      <c r="DQ312" s="358"/>
      <c r="DR312" s="358"/>
      <c r="DS312" s="358"/>
      <c r="DT312" s="358"/>
      <c r="DU312" s="358"/>
      <c r="DV312" s="358"/>
      <c r="DW312" s="358"/>
      <c r="DX312" s="358"/>
      <c r="DY312" s="358"/>
      <c r="DZ312" s="358"/>
      <c r="EA312" s="358"/>
      <c r="EB312" s="358"/>
      <c r="EC312" s="358"/>
      <c r="ED312" s="358"/>
      <c r="EE312" s="358"/>
      <c r="EF312" s="358"/>
      <c r="EG312" s="358"/>
      <c r="EH312" s="358"/>
      <c r="EI312" s="358"/>
      <c r="EJ312" s="358"/>
      <c r="EK312" s="358"/>
      <c r="EL312" s="358"/>
      <c r="EM312" s="358"/>
      <c r="EN312" s="358"/>
      <c r="EO312" s="358"/>
      <c r="EP312" s="358"/>
      <c r="EQ312" s="358"/>
      <c r="ER312" s="358"/>
      <c r="ES312" s="358"/>
      <c r="ET312" s="358"/>
      <c r="EU312" s="358"/>
      <c r="EV312" s="358"/>
      <c r="EW312" s="358"/>
      <c r="EX312" s="358"/>
      <c r="EY312" s="358"/>
      <c r="EZ312" s="358"/>
      <c r="FA312" s="358"/>
      <c r="FB312" s="358"/>
      <c r="FC312" s="358"/>
      <c r="FD312" s="358"/>
      <c r="FE312" s="358"/>
      <c r="FF312" s="358"/>
      <c r="FG312" s="358"/>
      <c r="FH312" s="358"/>
      <c r="FI312" s="358"/>
      <c r="FJ312" s="358"/>
      <c r="FK312" s="358"/>
      <c r="FL312" s="358"/>
      <c r="FM312" s="358"/>
      <c r="FN312" s="358"/>
      <c r="FO312" s="358"/>
      <c r="FP312" s="358"/>
      <c r="FQ312" s="358"/>
      <c r="FR312" s="358"/>
      <c r="FS312" s="358"/>
      <c r="FT312" s="358"/>
      <c r="FU312" s="358"/>
      <c r="FV312" s="358"/>
      <c r="FW312" s="358"/>
      <c r="FX312" s="358"/>
      <c r="FY312" s="358"/>
      <c r="FZ312" s="358"/>
      <c r="GA312" s="358"/>
      <c r="GB312" s="358"/>
      <c r="GC312" s="358"/>
      <c r="GD312" s="358"/>
      <c r="GE312" s="358"/>
      <c r="GF312" s="358"/>
      <c r="GG312" s="358"/>
      <c r="GH312" s="358"/>
      <c r="GI312" s="358"/>
      <c r="GJ312" s="358"/>
      <c r="GK312" s="358"/>
      <c r="GL312" s="358"/>
      <c r="GM312" s="358"/>
      <c r="GN312" s="358"/>
      <c r="GO312" s="358"/>
      <c r="GP312" s="358"/>
      <c r="GQ312" s="358"/>
      <c r="GR312" s="358"/>
      <c r="GS312" s="358"/>
      <c r="GT312" s="358"/>
      <c r="GU312" s="358"/>
      <c r="GV312" s="358"/>
      <c r="GW312" s="358"/>
      <c r="GX312" s="358"/>
      <c r="GY312" s="358"/>
      <c r="GZ312" s="358"/>
      <c r="HA312" s="358"/>
      <c r="HB312" s="358"/>
      <c r="HC312" s="358"/>
      <c r="HD312" s="358"/>
      <c r="HE312" s="358"/>
      <c r="HF312" s="358"/>
      <c r="HG312" s="358"/>
      <c r="HH312" s="358"/>
      <c r="HI312" s="358"/>
      <c r="HJ312" s="358"/>
      <c r="HK312" s="358"/>
      <c r="HL312" s="358"/>
      <c r="HM312" s="358"/>
      <c r="HN312" s="358"/>
      <c r="HO312" s="358"/>
      <c r="HP312" s="358"/>
      <c r="HQ312" s="358"/>
      <c r="HR312" s="358"/>
      <c r="HS312" s="358"/>
      <c r="HT312" s="358"/>
      <c r="HU312" s="358"/>
      <c r="HV312" s="358"/>
      <c r="HW312" s="358"/>
      <c r="HX312" s="358"/>
      <c r="HY312" s="358"/>
      <c r="HZ312" s="358"/>
      <c r="IA312" s="358"/>
      <c r="IB312" s="358"/>
      <c r="IC312" s="358"/>
      <c r="ID312" s="358"/>
      <c r="IE312" s="358"/>
      <c r="IF312" s="358"/>
      <c r="IG312" s="358"/>
      <c r="IH312" s="358"/>
      <c r="II312" s="358"/>
      <c r="IJ312" s="358"/>
      <c r="IK312" s="358"/>
      <c r="IL312" s="358"/>
      <c r="IM312" s="358"/>
      <c r="IN312" s="358"/>
      <c r="IO312" s="358"/>
      <c r="IP312" s="358"/>
      <c r="IQ312" s="358"/>
      <c r="IR312" s="358"/>
      <c r="IS312" s="358"/>
      <c r="IT312" s="358"/>
      <c r="IU312" s="358"/>
      <c r="IV312" s="358"/>
      <c r="IW312" s="358"/>
      <c r="IX312" s="358"/>
      <c r="IY312" s="358"/>
      <c r="IZ312" s="358"/>
      <c r="JA312" s="358"/>
      <c r="JB312" s="358"/>
      <c r="JC312" s="358"/>
      <c r="JD312" s="358"/>
      <c r="JE312" s="358"/>
      <c r="JF312" s="358"/>
      <c r="JG312" s="358"/>
      <c r="JH312" s="358"/>
      <c r="JI312" s="358"/>
      <c r="JJ312" s="358"/>
      <c r="JK312" s="358"/>
      <c r="JL312" s="358"/>
      <c r="JM312" s="358"/>
      <c r="JN312" s="358"/>
      <c r="JO312" s="358"/>
      <c r="JP312" s="358"/>
      <c r="JQ312" s="358"/>
      <c r="JR312" s="358"/>
      <c r="JS312" s="358"/>
      <c r="JT312" s="358"/>
      <c r="JU312" s="358"/>
      <c r="JV312" s="358"/>
      <c r="JW312" s="358"/>
      <c r="JX312" s="358"/>
      <c r="JY312" s="358"/>
      <c r="JZ312" s="358"/>
      <c r="KA312" s="358"/>
      <c r="KB312" s="358"/>
      <c r="KC312" s="358"/>
      <c r="KD312" s="358"/>
      <c r="KE312" s="358"/>
      <c r="KF312" s="358"/>
      <c r="KG312" s="358"/>
      <c r="KH312" s="358"/>
      <c r="KI312" s="358"/>
      <c r="KJ312" s="358"/>
      <c r="KK312" s="358"/>
      <c r="KL312" s="358"/>
      <c r="KM312" s="358"/>
      <c r="KN312" s="358"/>
      <c r="KO312" s="358"/>
      <c r="KP312" s="358"/>
      <c r="KQ312" s="358"/>
      <c r="KR312" s="358"/>
      <c r="KS312" s="358"/>
      <c r="KT312" s="358"/>
      <c r="KU312" s="358"/>
      <c r="KV312" s="358"/>
      <c r="KW312" s="358"/>
      <c r="KX312" s="358"/>
      <c r="KY312" s="358"/>
      <c r="KZ312" s="358"/>
      <c r="LA312" s="358"/>
      <c r="LB312" s="358"/>
      <c r="LC312" s="358"/>
      <c r="LD312" s="358"/>
      <c r="LE312" s="358"/>
      <c r="LF312" s="1784"/>
      <c r="LG312" s="358"/>
      <c r="LH312" s="358"/>
      <c r="LI312" s="358"/>
      <c r="LJ312" s="358"/>
      <c r="LK312" s="1784"/>
      <c r="LL312" s="358"/>
      <c r="LM312" s="358"/>
      <c r="LN312" s="358"/>
      <c r="LO312" s="358"/>
      <c r="LP312" s="1784"/>
      <c r="LQ312" s="358"/>
      <c r="LR312" s="358"/>
      <c r="LS312" s="358"/>
      <c r="LT312" s="358"/>
      <c r="LU312" s="1784"/>
      <c r="LV312" s="1784"/>
      <c r="LW312" s="1784"/>
      <c r="LX312" s="1784"/>
      <c r="LY312" s="1784"/>
      <c r="LZ312" s="1784"/>
      <c r="MA312" s="1784"/>
      <c r="MB312" s="1784"/>
      <c r="MC312" s="1784"/>
      <c r="MD312" s="1784"/>
      <c r="ME312" s="1784"/>
      <c r="MF312" s="1784"/>
      <c r="MG312" s="1784"/>
      <c r="MH312" s="1784"/>
      <c r="MI312" s="1784"/>
      <c r="MJ312" s="1784"/>
      <c r="MK312" s="1784"/>
      <c r="ML312" s="1784"/>
      <c r="MM312" s="1784"/>
      <c r="MN312" s="1784"/>
      <c r="MO312" s="1784"/>
      <c r="MP312" s="1784"/>
      <c r="MQ312" s="358"/>
      <c r="MR312" s="358"/>
      <c r="MS312" s="358"/>
      <c r="MT312" s="358"/>
      <c r="MU312" s="358"/>
      <c r="MV312" s="358"/>
      <c r="MW312" s="1639"/>
      <c r="MX312" s="358"/>
      <c r="MY312" s="358"/>
      <c r="MZ312" s="358"/>
      <c r="NA312" s="358"/>
      <c r="NB312" s="358"/>
      <c r="NC312" s="358"/>
      <c r="ND312" s="358"/>
      <c r="NE312" s="358"/>
      <c r="NF312" s="358"/>
      <c r="NG312" s="358"/>
      <c r="NH312" s="358"/>
      <c r="NI312" s="358"/>
      <c r="NJ312" s="358"/>
      <c r="NK312" s="358"/>
      <c r="NL312" s="358"/>
      <c r="NM312" s="1639"/>
      <c r="NN312" s="1639"/>
      <c r="NO312" s="358"/>
      <c r="NP312" s="358"/>
      <c r="NQ312" s="358"/>
      <c r="NR312" s="358"/>
      <c r="NS312" s="358"/>
      <c r="NT312" s="358"/>
      <c r="NU312" s="358"/>
      <c r="NV312" s="358"/>
      <c r="NW312" s="358"/>
      <c r="NX312" s="358"/>
      <c r="NY312" s="358"/>
      <c r="NZ312" s="358"/>
      <c r="OA312" s="358"/>
      <c r="OB312" s="358"/>
      <c r="OC312" s="358"/>
      <c r="OD312" s="358"/>
      <c r="OE312" s="358"/>
      <c r="OF312" s="358"/>
      <c r="OG312" s="358"/>
      <c r="OH312" s="358"/>
      <c r="OI312" s="358"/>
      <c r="OJ312" s="358"/>
      <c r="OK312" s="358"/>
      <c r="OL312" s="358"/>
      <c r="OM312" s="358"/>
      <c r="ON312" s="358"/>
      <c r="OO312" s="358"/>
      <c r="OP312" s="358"/>
      <c r="OQ312" s="358"/>
      <c r="OR312" s="358"/>
      <c r="OS312" s="358"/>
      <c r="OT312" s="358"/>
      <c r="OU312" s="358"/>
      <c r="OV312" s="72"/>
      <c r="OW312" s="72"/>
      <c r="OX312" s="72"/>
      <c r="OY312" s="2499"/>
      <c r="OZ312" s="2504"/>
      <c r="PA312" s="72"/>
      <c r="PB312" s="72"/>
      <c r="PC312" s="72"/>
      <c r="PD312" s="72"/>
      <c r="PE312" s="72"/>
      <c r="PF312" s="72"/>
      <c r="PG312" s="72"/>
      <c r="PH312" s="72"/>
      <c r="PI312" s="72"/>
      <c r="PJ312" s="72"/>
      <c r="PK312" s="72"/>
      <c r="PL312" s="72"/>
      <c r="PM312" s="72"/>
      <c r="PN312" s="72"/>
      <c r="PO312" s="72"/>
      <c r="PP312" s="72"/>
      <c r="PQ312" s="72"/>
      <c r="PR312" s="72"/>
      <c r="PS312" s="72"/>
      <c r="PT312" s="72"/>
      <c r="PU312" s="72"/>
      <c r="PV312" s="72"/>
      <c r="PW312" s="72"/>
      <c r="PX312" s="72"/>
      <c r="PY312" s="72"/>
      <c r="PZ312" s="72"/>
      <c r="QA312" s="72"/>
      <c r="QB312" s="72"/>
      <c r="QC312" s="72"/>
      <c r="QD312" s="72"/>
      <c r="QE312" s="72"/>
      <c r="QF312" s="72"/>
      <c r="QG312" s="72"/>
      <c r="QH312" s="72"/>
      <c r="QI312" s="72"/>
      <c r="QJ312" s="72"/>
      <c r="QK312" s="72"/>
      <c r="QL312" s="72"/>
      <c r="QM312" s="72"/>
      <c r="QN312" s="72"/>
      <c r="QO312" s="72"/>
      <c r="QP312" s="72"/>
      <c r="QQ312" s="72"/>
      <c r="QR312" s="72"/>
      <c r="QS312" s="72"/>
      <c r="QT312" s="72"/>
      <c r="QU312" s="72"/>
      <c r="QV312" s="72"/>
      <c r="QW312" s="72"/>
      <c r="QX312" s="72"/>
      <c r="QY312" s="72"/>
      <c r="QZ312" s="72"/>
      <c r="RA312" s="72"/>
      <c r="RB312" s="72"/>
      <c r="RC312" s="72"/>
      <c r="RD312" s="72"/>
      <c r="RE312" s="72"/>
      <c r="RF312" s="72"/>
      <c r="RG312" s="72"/>
      <c r="RH312" s="72"/>
      <c r="RI312" s="72"/>
      <c r="RJ312" s="72"/>
      <c r="RK312" s="72"/>
      <c r="RL312" s="72"/>
      <c r="RM312" s="72"/>
      <c r="RN312" s="72"/>
      <c r="RO312" s="72"/>
      <c r="RP312" s="72"/>
      <c r="RQ312" s="72"/>
      <c r="RR312" s="72"/>
      <c r="RS312" s="72"/>
      <c r="RT312" s="72"/>
      <c r="RU312" s="72"/>
      <c r="RV312" s="72"/>
      <c r="RW312" s="72"/>
      <c r="RX312" s="72"/>
      <c r="RY312" s="72"/>
      <c r="RZ312" s="72"/>
      <c r="SA312" s="72"/>
      <c r="SB312" s="72"/>
      <c r="SC312" s="72"/>
      <c r="SD312" s="72"/>
      <c r="SE312" s="72"/>
      <c r="SF312" s="72"/>
      <c r="SG312" s="72"/>
      <c r="SH312" s="72"/>
      <c r="SI312" s="72"/>
      <c r="SJ312" s="72"/>
      <c r="SK312" s="72"/>
      <c r="SL312" s="72"/>
      <c r="SM312" s="72"/>
      <c r="SN312" s="72"/>
      <c r="SO312" s="72"/>
      <c r="SP312" s="72"/>
      <c r="SQ312" s="72"/>
      <c r="SR312" s="72"/>
      <c r="SS312" s="72"/>
      <c r="ST312" s="72"/>
      <c r="SU312" s="72"/>
      <c r="SV312" s="72"/>
      <c r="SW312" s="72"/>
      <c r="SX312" s="72"/>
      <c r="SY312" s="72"/>
      <c r="SZ312" s="72"/>
      <c r="TA312" s="72"/>
      <c r="TB312" s="72"/>
      <c r="TC312" s="72"/>
      <c r="TD312" s="72"/>
      <c r="TE312" s="72"/>
      <c r="TF312" s="72"/>
      <c r="TG312" s="72"/>
      <c r="TH312" s="72"/>
    </row>
    <row r="313" spans="1:528" s="69" customFormat="1" ht="14.1" customHeight="1">
      <c r="A313" s="119"/>
      <c r="B313" s="1"/>
      <c r="C313" s="1"/>
      <c r="D313" s="1"/>
      <c r="E313" s="1"/>
      <c r="F313" s="1"/>
      <c r="G313" s="1"/>
      <c r="H313" s="1"/>
      <c r="I313" s="1"/>
      <c r="J313" s="1"/>
      <c r="K313" s="1"/>
      <c r="L313" s="1"/>
      <c r="M313" s="1"/>
      <c r="N313" s="1"/>
      <c r="O313" s="1"/>
      <c r="P313" s="1"/>
      <c r="X313" s="358"/>
      <c r="Y313" s="358"/>
      <c r="Z313" s="358"/>
      <c r="AA313" s="358"/>
      <c r="AB313" s="358"/>
      <c r="AC313" s="358"/>
      <c r="AD313" s="358"/>
      <c r="AE313" s="358"/>
      <c r="AF313" s="358"/>
      <c r="AG313" s="358"/>
      <c r="AH313" s="358"/>
      <c r="AI313" s="358"/>
      <c r="AJ313" s="358"/>
      <c r="AK313" s="358"/>
      <c r="AL313" s="358"/>
      <c r="AM313" s="358"/>
      <c r="AN313" s="358"/>
      <c r="AO313" s="358"/>
      <c r="AP313" s="358"/>
      <c r="AQ313" s="358"/>
      <c r="AR313" s="358"/>
      <c r="AS313" s="358"/>
      <c r="AT313" s="358"/>
      <c r="AU313" s="358"/>
      <c r="AV313" s="358"/>
      <c r="AW313" s="358"/>
      <c r="AX313" s="358"/>
      <c r="AY313" s="358"/>
      <c r="AZ313" s="358"/>
      <c r="BA313" s="358"/>
      <c r="BB313" s="358"/>
      <c r="BC313" s="358"/>
      <c r="BD313" s="358"/>
      <c r="BE313" s="358"/>
      <c r="BF313" s="358"/>
      <c r="BG313" s="358"/>
      <c r="BH313" s="358"/>
      <c r="BI313" s="358"/>
      <c r="BJ313" s="358"/>
      <c r="BK313" s="358"/>
      <c r="BL313" s="358"/>
      <c r="BM313" s="358"/>
      <c r="BN313" s="358"/>
      <c r="BO313" s="358"/>
      <c r="BP313" s="358"/>
      <c r="BQ313" s="358"/>
      <c r="BR313" s="358"/>
      <c r="BS313" s="358"/>
      <c r="BT313" s="358"/>
      <c r="BU313" s="358"/>
      <c r="BV313" s="358"/>
      <c r="BW313" s="358"/>
      <c r="BX313" s="358"/>
      <c r="BY313" s="358"/>
      <c r="BZ313" s="358"/>
      <c r="CA313" s="358"/>
      <c r="CB313" s="358"/>
      <c r="CC313" s="358"/>
      <c r="CD313" s="358"/>
      <c r="CE313" s="358"/>
      <c r="CF313" s="358"/>
      <c r="CG313" s="358"/>
      <c r="CH313" s="358"/>
      <c r="CI313" s="358"/>
      <c r="CJ313" s="358"/>
      <c r="CK313" s="358"/>
      <c r="CL313" s="358"/>
      <c r="CM313" s="358"/>
      <c r="CN313" s="358"/>
      <c r="CO313" s="358"/>
      <c r="CP313" s="358"/>
      <c r="CQ313" s="358"/>
      <c r="CR313" s="358"/>
      <c r="CS313" s="358"/>
      <c r="CT313" s="358"/>
      <c r="CU313" s="358"/>
      <c r="CV313" s="358"/>
      <c r="CW313" s="358"/>
      <c r="CX313" s="358"/>
      <c r="CY313" s="358"/>
      <c r="CZ313" s="358"/>
      <c r="DA313" s="358"/>
      <c r="DB313" s="358"/>
      <c r="DC313" s="358"/>
      <c r="DD313" s="358"/>
      <c r="DE313" s="358"/>
      <c r="DF313" s="358"/>
      <c r="DG313" s="358"/>
      <c r="DH313" s="358"/>
      <c r="DI313" s="358"/>
      <c r="DJ313" s="358"/>
      <c r="DK313" s="358"/>
      <c r="DL313" s="358"/>
      <c r="DM313" s="358"/>
      <c r="DN313" s="358"/>
      <c r="DO313" s="358"/>
      <c r="DP313" s="358"/>
      <c r="DQ313" s="358"/>
      <c r="DR313" s="358"/>
      <c r="DS313" s="358"/>
      <c r="DT313" s="358"/>
      <c r="DU313" s="358"/>
      <c r="DV313" s="358"/>
      <c r="DW313" s="358"/>
      <c r="DX313" s="358"/>
      <c r="DY313" s="358"/>
      <c r="DZ313" s="358"/>
      <c r="EA313" s="358"/>
      <c r="EB313" s="358"/>
      <c r="EC313" s="358"/>
      <c r="ED313" s="358"/>
      <c r="EE313" s="358"/>
      <c r="EF313" s="358"/>
      <c r="EG313" s="358"/>
      <c r="EH313" s="358"/>
      <c r="EI313" s="358"/>
      <c r="EJ313" s="358"/>
      <c r="EK313" s="358"/>
      <c r="EL313" s="358"/>
      <c r="EM313" s="358"/>
      <c r="EN313" s="358"/>
      <c r="EO313" s="358"/>
      <c r="EP313" s="358"/>
      <c r="EQ313" s="358"/>
      <c r="ER313" s="358"/>
      <c r="ES313" s="358"/>
      <c r="ET313" s="358"/>
      <c r="EU313" s="358"/>
      <c r="EV313" s="358"/>
      <c r="EW313" s="358"/>
      <c r="EX313" s="358"/>
      <c r="EY313" s="358"/>
      <c r="EZ313" s="358"/>
      <c r="FA313" s="358"/>
      <c r="FB313" s="358"/>
      <c r="FC313" s="358"/>
      <c r="FD313" s="358"/>
      <c r="FE313" s="358"/>
      <c r="FF313" s="358"/>
      <c r="FG313" s="358"/>
      <c r="FH313" s="358"/>
      <c r="FI313" s="358"/>
      <c r="FJ313" s="358"/>
      <c r="FK313" s="358"/>
      <c r="FL313" s="358"/>
      <c r="FM313" s="358"/>
      <c r="FN313" s="358"/>
      <c r="FO313" s="358"/>
      <c r="FP313" s="358"/>
      <c r="FQ313" s="358"/>
      <c r="FR313" s="358"/>
      <c r="FS313" s="358"/>
      <c r="FT313" s="358"/>
      <c r="FU313" s="358"/>
      <c r="FV313" s="358"/>
      <c r="FW313" s="358"/>
      <c r="FX313" s="358"/>
      <c r="FY313" s="358"/>
      <c r="FZ313" s="358"/>
      <c r="GA313" s="358"/>
      <c r="GB313" s="358"/>
      <c r="GC313" s="358"/>
      <c r="GD313" s="358"/>
      <c r="GE313" s="358"/>
      <c r="GF313" s="358"/>
      <c r="GG313" s="358"/>
      <c r="GH313" s="358"/>
      <c r="GI313" s="358"/>
      <c r="GJ313" s="358"/>
      <c r="GK313" s="358"/>
      <c r="GL313" s="358"/>
      <c r="GM313" s="358"/>
      <c r="GN313" s="358"/>
      <c r="GO313" s="358"/>
      <c r="GP313" s="358"/>
      <c r="GQ313" s="358"/>
      <c r="GR313" s="358"/>
      <c r="GS313" s="358"/>
      <c r="GT313" s="358"/>
      <c r="GU313" s="358"/>
      <c r="GV313" s="358"/>
      <c r="GW313" s="358"/>
      <c r="GX313" s="358"/>
      <c r="GY313" s="358"/>
      <c r="GZ313" s="358"/>
      <c r="HA313" s="358"/>
      <c r="HB313" s="358"/>
      <c r="HC313" s="358"/>
      <c r="HD313" s="358"/>
      <c r="HE313" s="358"/>
      <c r="HF313" s="358"/>
      <c r="HG313" s="358"/>
      <c r="HH313" s="358"/>
      <c r="HI313" s="358"/>
      <c r="HJ313" s="358"/>
      <c r="HK313" s="358"/>
      <c r="HL313" s="358"/>
      <c r="HM313" s="358"/>
      <c r="HN313" s="358"/>
      <c r="HO313" s="358"/>
      <c r="HP313" s="358"/>
      <c r="HQ313" s="358"/>
      <c r="HR313" s="358"/>
      <c r="HS313" s="358"/>
      <c r="HT313" s="358"/>
      <c r="HU313" s="358"/>
      <c r="HV313" s="358"/>
      <c r="HW313" s="358"/>
      <c r="HX313" s="358"/>
      <c r="HY313" s="358"/>
      <c r="HZ313" s="358"/>
      <c r="IA313" s="358"/>
      <c r="IB313" s="358"/>
      <c r="IC313" s="358"/>
      <c r="ID313" s="358"/>
      <c r="IE313" s="358"/>
      <c r="IF313" s="358"/>
      <c r="IG313" s="358"/>
      <c r="IH313" s="358"/>
      <c r="II313" s="358"/>
      <c r="IJ313" s="358"/>
      <c r="IK313" s="358"/>
      <c r="IL313" s="358"/>
      <c r="IM313" s="358"/>
      <c r="IN313" s="358"/>
      <c r="IO313" s="358"/>
      <c r="IP313" s="358"/>
      <c r="IQ313" s="358"/>
      <c r="IR313" s="358"/>
      <c r="IS313" s="358"/>
      <c r="IT313" s="358"/>
      <c r="IU313" s="358"/>
      <c r="IV313" s="358"/>
      <c r="IW313" s="358"/>
      <c r="IX313" s="358"/>
      <c r="IY313" s="358"/>
      <c r="IZ313" s="358"/>
      <c r="JA313" s="358"/>
      <c r="JB313" s="358"/>
      <c r="JC313" s="358"/>
      <c r="JD313" s="358"/>
      <c r="JE313" s="358"/>
      <c r="JF313" s="358"/>
      <c r="JG313" s="358"/>
      <c r="JH313" s="358"/>
      <c r="JI313" s="358"/>
      <c r="JJ313" s="358"/>
      <c r="JK313" s="358"/>
      <c r="JL313" s="358"/>
      <c r="JM313" s="358"/>
      <c r="JN313" s="358"/>
      <c r="JO313" s="358"/>
      <c r="JP313" s="358"/>
      <c r="JQ313" s="358"/>
      <c r="JR313" s="358"/>
      <c r="JS313" s="358"/>
      <c r="JT313" s="358"/>
      <c r="JU313" s="358"/>
      <c r="JV313" s="358"/>
      <c r="JW313" s="358"/>
      <c r="JX313" s="358"/>
      <c r="JY313" s="358"/>
      <c r="JZ313" s="358"/>
      <c r="KA313" s="358"/>
      <c r="KB313" s="358"/>
      <c r="KC313" s="358"/>
      <c r="KD313" s="358"/>
      <c r="KE313" s="358"/>
      <c r="KF313" s="358"/>
      <c r="KG313" s="358"/>
      <c r="KH313" s="358"/>
      <c r="KI313" s="358"/>
      <c r="KJ313" s="358"/>
      <c r="KK313" s="358"/>
      <c r="KL313" s="358"/>
      <c r="KM313" s="358"/>
      <c r="KN313" s="358"/>
      <c r="KO313" s="358"/>
      <c r="KP313" s="358"/>
      <c r="KQ313" s="358"/>
      <c r="KR313" s="358"/>
      <c r="KS313" s="358"/>
      <c r="KT313" s="358"/>
      <c r="KU313" s="358"/>
      <c r="KV313" s="358"/>
      <c r="KW313" s="358"/>
      <c r="KX313" s="358"/>
      <c r="KY313" s="358"/>
      <c r="KZ313" s="358"/>
      <c r="LA313" s="358"/>
      <c r="LB313" s="358"/>
      <c r="LC313" s="358"/>
      <c r="LD313" s="358"/>
      <c r="LE313" s="358"/>
      <c r="LF313" s="1784"/>
      <c r="LG313" s="358"/>
      <c r="LH313" s="358"/>
      <c r="LI313" s="358"/>
      <c r="LJ313" s="358"/>
      <c r="LK313" s="1784"/>
      <c r="LL313" s="358"/>
      <c r="LM313" s="358"/>
      <c r="LN313" s="358"/>
      <c r="LO313" s="358"/>
      <c r="LP313" s="1784"/>
      <c r="LQ313" s="358"/>
      <c r="LR313" s="358"/>
      <c r="LS313" s="358"/>
      <c r="LT313" s="358"/>
      <c r="LU313" s="1784"/>
      <c r="LV313" s="1784"/>
      <c r="LW313" s="1784"/>
      <c r="LX313" s="1784"/>
      <c r="LY313" s="1784"/>
      <c r="LZ313" s="1784"/>
      <c r="MA313" s="1784"/>
      <c r="MB313" s="1784"/>
      <c r="MC313" s="1784"/>
      <c r="MD313" s="1784"/>
      <c r="ME313" s="1784"/>
      <c r="MF313" s="1784"/>
      <c r="MG313" s="1784"/>
      <c r="MH313" s="1784"/>
      <c r="MI313" s="1784"/>
      <c r="MJ313" s="1784"/>
      <c r="MK313" s="1784"/>
      <c r="ML313" s="1784"/>
      <c r="MM313" s="1784"/>
      <c r="MN313" s="1784"/>
      <c r="MO313" s="1784"/>
      <c r="MP313" s="1784"/>
      <c r="MQ313" s="358"/>
      <c r="MR313" s="358"/>
      <c r="MS313" s="358"/>
      <c r="MT313" s="358"/>
      <c r="MU313" s="358"/>
      <c r="MV313" s="358"/>
      <c r="MW313" s="1639"/>
      <c r="MX313" s="358"/>
      <c r="MY313" s="358"/>
      <c r="MZ313" s="358"/>
      <c r="NA313" s="358"/>
      <c r="NB313" s="358"/>
      <c r="NC313" s="358"/>
      <c r="ND313" s="358"/>
      <c r="NE313" s="358"/>
      <c r="NF313" s="358"/>
      <c r="NG313" s="358"/>
      <c r="NH313" s="358"/>
      <c r="NI313" s="358"/>
      <c r="NJ313" s="358"/>
      <c r="NK313" s="358"/>
      <c r="NL313" s="358"/>
      <c r="NM313" s="1639"/>
      <c r="NN313" s="1639"/>
      <c r="NO313" s="358"/>
      <c r="NP313" s="358"/>
      <c r="NQ313" s="358"/>
      <c r="NR313" s="358"/>
      <c r="NS313" s="358"/>
      <c r="NT313" s="358"/>
      <c r="NU313" s="358"/>
      <c r="NV313" s="358"/>
      <c r="NW313" s="358"/>
      <c r="NX313" s="358"/>
      <c r="NY313" s="358"/>
      <c r="NZ313" s="358"/>
      <c r="OA313" s="358"/>
      <c r="OB313" s="358"/>
      <c r="OC313" s="358"/>
      <c r="OD313" s="358"/>
      <c r="OE313" s="358"/>
      <c r="OF313" s="358"/>
      <c r="OG313" s="358"/>
      <c r="OH313" s="358"/>
      <c r="OI313" s="358"/>
      <c r="OJ313" s="358"/>
      <c r="OK313" s="358"/>
      <c r="OL313" s="358"/>
      <c r="OM313" s="358"/>
      <c r="ON313" s="358"/>
      <c r="OO313" s="358"/>
      <c r="OP313" s="358"/>
      <c r="OQ313" s="358"/>
      <c r="OR313" s="358"/>
      <c r="OS313" s="358"/>
      <c r="OT313" s="358"/>
      <c r="OU313" s="358"/>
      <c r="OV313" s="72"/>
      <c r="OW313" s="72"/>
      <c r="OX313" s="72"/>
      <c r="OY313" s="2499"/>
      <c r="OZ313" s="2504"/>
      <c r="PA313" s="72"/>
      <c r="PB313" s="72"/>
      <c r="PC313" s="72"/>
      <c r="PD313" s="72"/>
      <c r="PE313" s="72"/>
      <c r="PF313" s="72"/>
      <c r="PG313" s="72"/>
      <c r="PH313" s="72"/>
      <c r="PI313" s="72"/>
      <c r="PJ313" s="72"/>
      <c r="PK313" s="72"/>
      <c r="PL313" s="72"/>
      <c r="PM313" s="72"/>
      <c r="PN313" s="72"/>
      <c r="PO313" s="72"/>
      <c r="PP313" s="72"/>
      <c r="PQ313" s="72"/>
      <c r="PR313" s="72"/>
      <c r="PS313" s="72"/>
      <c r="PT313" s="72"/>
      <c r="PU313" s="72"/>
      <c r="PV313" s="72"/>
      <c r="PW313" s="72"/>
      <c r="PX313" s="72"/>
      <c r="PY313" s="72"/>
      <c r="PZ313" s="72"/>
      <c r="QA313" s="72"/>
      <c r="QB313" s="72"/>
      <c r="QC313" s="72"/>
      <c r="QD313" s="72"/>
      <c r="QE313" s="72"/>
      <c r="QF313" s="72"/>
      <c r="QG313" s="72"/>
      <c r="QH313" s="72"/>
      <c r="QI313" s="72"/>
      <c r="QJ313" s="72"/>
      <c r="QK313" s="72"/>
      <c r="QL313" s="72"/>
      <c r="QM313" s="72"/>
      <c r="QN313" s="72"/>
      <c r="QO313" s="72"/>
      <c r="QP313" s="72"/>
      <c r="QQ313" s="72"/>
      <c r="QR313" s="72"/>
      <c r="QS313" s="72"/>
      <c r="QT313" s="72"/>
      <c r="QU313" s="72"/>
      <c r="QV313" s="72"/>
      <c r="QW313" s="72"/>
      <c r="QX313" s="72"/>
      <c r="QY313" s="72"/>
      <c r="QZ313" s="72"/>
      <c r="RA313" s="72"/>
      <c r="RB313" s="72"/>
      <c r="RC313" s="72"/>
      <c r="RD313" s="72"/>
      <c r="RE313" s="72"/>
      <c r="RF313" s="72"/>
      <c r="RG313" s="72"/>
      <c r="RH313" s="72"/>
      <c r="RI313" s="72"/>
      <c r="RJ313" s="72"/>
      <c r="RK313" s="72"/>
      <c r="RL313" s="72"/>
      <c r="RM313" s="72"/>
      <c r="RN313" s="72"/>
      <c r="RO313" s="72"/>
      <c r="RP313" s="72"/>
      <c r="RQ313" s="72"/>
      <c r="RR313" s="72"/>
      <c r="RS313" s="72"/>
      <c r="RT313" s="72"/>
      <c r="RU313" s="72"/>
      <c r="RV313" s="72"/>
      <c r="RW313" s="72"/>
      <c r="RX313" s="72"/>
      <c r="RY313" s="72"/>
      <c r="RZ313" s="72"/>
      <c r="SA313" s="72"/>
      <c r="SB313" s="72"/>
      <c r="SC313" s="72"/>
      <c r="SD313" s="72"/>
      <c r="SE313" s="72"/>
      <c r="SF313" s="72"/>
      <c r="SG313" s="72"/>
      <c r="SH313" s="72"/>
      <c r="SI313" s="72"/>
      <c r="SJ313" s="72"/>
      <c r="SK313" s="72"/>
      <c r="SL313" s="72"/>
      <c r="SM313" s="72"/>
      <c r="SN313" s="72"/>
      <c r="SO313" s="72"/>
      <c r="SP313" s="72"/>
      <c r="SQ313" s="72"/>
      <c r="SR313" s="72"/>
      <c r="SS313" s="72"/>
      <c r="ST313" s="72"/>
      <c r="SU313" s="72"/>
      <c r="SV313" s="72"/>
      <c r="SW313" s="72"/>
      <c r="SX313" s="72"/>
      <c r="SY313" s="72"/>
      <c r="SZ313" s="72"/>
      <c r="TA313" s="72"/>
      <c r="TB313" s="72"/>
      <c r="TC313" s="72"/>
      <c r="TD313" s="72"/>
      <c r="TE313" s="72"/>
      <c r="TF313" s="72"/>
      <c r="TG313" s="72"/>
      <c r="TH313" s="72"/>
    </row>
    <row r="314" spans="1:528" s="69" customFormat="1" ht="14.1" customHeight="1">
      <c r="A314" s="1"/>
      <c r="B314" s="1"/>
      <c r="C314" s="1"/>
      <c r="D314" s="1"/>
      <c r="E314" s="1"/>
      <c r="F314" s="1"/>
      <c r="G314" s="1"/>
      <c r="H314" s="1"/>
      <c r="I314" s="1"/>
      <c r="J314" s="1"/>
      <c r="K314" s="1"/>
      <c r="L314" s="1"/>
      <c r="M314" s="1"/>
      <c r="N314" s="1"/>
      <c r="O314" s="1"/>
      <c r="P314" s="1"/>
      <c r="X314" s="358"/>
      <c r="Y314" s="358"/>
      <c r="Z314" s="358"/>
      <c r="AA314" s="358"/>
      <c r="AB314" s="358"/>
      <c r="AC314" s="358"/>
      <c r="AD314" s="358"/>
      <c r="AE314" s="358"/>
      <c r="AF314" s="358"/>
      <c r="AG314" s="358"/>
      <c r="AH314" s="358"/>
      <c r="AI314" s="358"/>
      <c r="AJ314" s="358"/>
      <c r="AK314" s="358"/>
      <c r="AL314" s="358"/>
      <c r="AM314" s="358"/>
      <c r="AN314" s="358"/>
      <c r="AO314" s="358"/>
      <c r="AP314" s="358"/>
      <c r="AQ314" s="358"/>
      <c r="AR314" s="358"/>
      <c r="AS314" s="358"/>
      <c r="AT314" s="358"/>
      <c r="AU314" s="358"/>
      <c r="AV314" s="358"/>
      <c r="AW314" s="358"/>
      <c r="AX314" s="358"/>
      <c r="AY314" s="358"/>
      <c r="AZ314" s="358"/>
      <c r="BA314" s="358"/>
      <c r="BB314" s="358"/>
      <c r="BC314" s="358"/>
      <c r="BD314" s="358"/>
      <c r="BE314" s="358"/>
      <c r="BF314" s="358"/>
      <c r="BG314" s="358"/>
      <c r="BH314" s="358"/>
      <c r="BI314" s="358"/>
      <c r="BJ314" s="358"/>
      <c r="BK314" s="358"/>
      <c r="BL314" s="358"/>
      <c r="BM314" s="358"/>
      <c r="BN314" s="358"/>
      <c r="BO314" s="358"/>
      <c r="BP314" s="358"/>
      <c r="BQ314" s="358"/>
      <c r="BR314" s="358"/>
      <c r="BS314" s="358"/>
      <c r="BT314" s="358"/>
      <c r="BU314" s="358"/>
      <c r="BV314" s="358"/>
      <c r="BW314" s="358"/>
      <c r="BX314" s="358"/>
      <c r="BY314" s="358"/>
      <c r="BZ314" s="358"/>
      <c r="CA314" s="358"/>
      <c r="CB314" s="358"/>
      <c r="CC314" s="358"/>
      <c r="CD314" s="358"/>
      <c r="CE314" s="358"/>
      <c r="CF314" s="358"/>
      <c r="CG314" s="358"/>
      <c r="CH314" s="358"/>
      <c r="CI314" s="358"/>
      <c r="CJ314" s="358"/>
      <c r="CK314" s="358"/>
      <c r="CL314" s="358"/>
      <c r="CM314" s="358"/>
      <c r="CN314" s="358"/>
      <c r="CO314" s="358"/>
      <c r="CP314" s="358"/>
      <c r="CQ314" s="358"/>
      <c r="CR314" s="358"/>
      <c r="CS314" s="358"/>
      <c r="CT314" s="358"/>
      <c r="CU314" s="358"/>
      <c r="CV314" s="358"/>
      <c r="CW314" s="358"/>
      <c r="CX314" s="358"/>
      <c r="CY314" s="358"/>
      <c r="CZ314" s="358"/>
      <c r="DA314" s="358"/>
      <c r="DB314" s="358"/>
      <c r="DC314" s="358"/>
      <c r="DD314" s="358"/>
      <c r="DE314" s="358"/>
      <c r="DF314" s="358"/>
      <c r="DG314" s="358"/>
      <c r="DH314" s="358"/>
      <c r="DI314" s="358"/>
      <c r="DJ314" s="358"/>
      <c r="DK314" s="358"/>
      <c r="DL314" s="358"/>
      <c r="DM314" s="358"/>
      <c r="DN314" s="358"/>
      <c r="DO314" s="358"/>
      <c r="DP314" s="358"/>
      <c r="DQ314" s="358"/>
      <c r="DR314" s="358"/>
      <c r="DS314" s="358"/>
      <c r="DT314" s="358"/>
      <c r="DU314" s="358"/>
      <c r="DV314" s="358"/>
      <c r="DW314" s="358"/>
      <c r="DX314" s="358"/>
      <c r="DY314" s="358"/>
      <c r="DZ314" s="358"/>
      <c r="EA314" s="358"/>
      <c r="EB314" s="358"/>
      <c r="EC314" s="358"/>
      <c r="ED314" s="358"/>
      <c r="EE314" s="358"/>
      <c r="EF314" s="358"/>
      <c r="EG314" s="358"/>
      <c r="EH314" s="358"/>
      <c r="EI314" s="358"/>
      <c r="EJ314" s="358"/>
      <c r="EK314" s="358"/>
      <c r="EL314" s="358"/>
      <c r="EM314" s="358"/>
      <c r="EN314" s="358"/>
      <c r="EO314" s="358"/>
      <c r="EP314" s="358"/>
      <c r="EQ314" s="358"/>
      <c r="ER314" s="358"/>
      <c r="ES314" s="358"/>
      <c r="ET314" s="358"/>
      <c r="EU314" s="358"/>
      <c r="EV314" s="358"/>
      <c r="EW314" s="358"/>
      <c r="EX314" s="358"/>
      <c r="EY314" s="358"/>
      <c r="EZ314" s="358"/>
      <c r="FA314" s="358"/>
      <c r="FB314" s="358"/>
      <c r="FC314" s="358"/>
      <c r="FD314" s="358"/>
      <c r="FE314" s="358"/>
      <c r="FF314" s="358"/>
      <c r="FG314" s="358"/>
      <c r="FH314" s="358"/>
      <c r="FI314" s="358"/>
      <c r="FJ314" s="358"/>
      <c r="FK314" s="358"/>
      <c r="FL314" s="358"/>
      <c r="FM314" s="358"/>
      <c r="FN314" s="358"/>
      <c r="FO314" s="358"/>
      <c r="FP314" s="358"/>
      <c r="FQ314" s="358"/>
      <c r="FR314" s="358"/>
      <c r="FS314" s="358"/>
      <c r="FT314" s="358"/>
      <c r="FU314" s="358"/>
      <c r="FV314" s="358"/>
      <c r="FW314" s="358"/>
      <c r="FX314" s="358"/>
      <c r="FY314" s="358"/>
      <c r="FZ314" s="358"/>
      <c r="GA314" s="358"/>
      <c r="GB314" s="358"/>
      <c r="GC314" s="358"/>
      <c r="GD314" s="358"/>
      <c r="GE314" s="358"/>
      <c r="GF314" s="358"/>
      <c r="GG314" s="358"/>
      <c r="GH314" s="358"/>
      <c r="GI314" s="358"/>
      <c r="GJ314" s="358"/>
      <c r="GK314" s="358"/>
      <c r="GL314" s="358"/>
      <c r="GM314" s="358"/>
      <c r="GN314" s="358"/>
      <c r="GO314" s="358"/>
      <c r="GP314" s="358"/>
      <c r="GQ314" s="358"/>
      <c r="GR314" s="358"/>
      <c r="GS314" s="358"/>
      <c r="GT314" s="358"/>
      <c r="GU314" s="358"/>
      <c r="GV314" s="358"/>
      <c r="GW314" s="358"/>
      <c r="GX314" s="358"/>
      <c r="GY314" s="358"/>
      <c r="GZ314" s="358"/>
      <c r="HA314" s="358"/>
      <c r="HB314" s="358"/>
      <c r="HC314" s="358"/>
      <c r="HD314" s="358"/>
      <c r="HE314" s="358"/>
      <c r="HF314" s="358"/>
      <c r="HG314" s="358"/>
      <c r="HH314" s="358"/>
      <c r="HI314" s="358"/>
      <c r="HJ314" s="358"/>
      <c r="HK314" s="358"/>
      <c r="HL314" s="358"/>
      <c r="HM314" s="358"/>
      <c r="HN314" s="358"/>
      <c r="HO314" s="358"/>
      <c r="HP314" s="358"/>
      <c r="HQ314" s="358"/>
      <c r="HR314" s="358"/>
      <c r="HS314" s="358"/>
      <c r="HT314" s="358"/>
      <c r="HU314" s="358"/>
      <c r="HV314" s="358"/>
      <c r="HW314" s="358"/>
      <c r="HX314" s="358"/>
      <c r="HY314" s="358"/>
      <c r="HZ314" s="358"/>
      <c r="IA314" s="358"/>
      <c r="IB314" s="358"/>
      <c r="IC314" s="358"/>
      <c r="ID314" s="358"/>
      <c r="IE314" s="358"/>
      <c r="IF314" s="358"/>
      <c r="IG314" s="358"/>
      <c r="IH314" s="358"/>
      <c r="II314" s="358"/>
      <c r="IJ314" s="358"/>
      <c r="IK314" s="358"/>
      <c r="IL314" s="358"/>
      <c r="IM314" s="358"/>
      <c r="IN314" s="358"/>
      <c r="IO314" s="358"/>
      <c r="IP314" s="358"/>
      <c r="IQ314" s="358"/>
      <c r="IR314" s="358"/>
      <c r="IS314" s="358"/>
      <c r="IT314" s="358"/>
      <c r="IU314" s="358"/>
      <c r="IV314" s="358"/>
      <c r="IW314" s="358"/>
      <c r="IX314" s="358"/>
      <c r="IY314" s="358"/>
      <c r="IZ314" s="358"/>
      <c r="JA314" s="358"/>
      <c r="JB314" s="358"/>
      <c r="JC314" s="358"/>
      <c r="JD314" s="358"/>
      <c r="JE314" s="358"/>
      <c r="JF314" s="358"/>
      <c r="JG314" s="358"/>
      <c r="JH314" s="358"/>
      <c r="JI314" s="358"/>
      <c r="JJ314" s="358"/>
      <c r="JK314" s="358"/>
      <c r="JL314" s="358"/>
      <c r="JM314" s="358"/>
      <c r="JN314" s="358"/>
      <c r="JO314" s="358"/>
      <c r="JP314" s="358"/>
      <c r="JQ314" s="358"/>
      <c r="JR314" s="358"/>
      <c r="JS314" s="358"/>
      <c r="JT314" s="358"/>
      <c r="JU314" s="358"/>
      <c r="JV314" s="358"/>
      <c r="JW314" s="358"/>
      <c r="JX314" s="358"/>
      <c r="JY314" s="358"/>
      <c r="JZ314" s="358"/>
      <c r="KA314" s="358"/>
      <c r="KB314" s="358"/>
      <c r="KC314" s="358"/>
      <c r="KD314" s="358"/>
      <c r="KE314" s="358"/>
      <c r="KF314" s="358"/>
      <c r="KG314" s="358"/>
      <c r="KH314" s="358"/>
      <c r="KI314" s="358"/>
      <c r="KJ314" s="358"/>
      <c r="KK314" s="358"/>
      <c r="KL314" s="358"/>
      <c r="KM314" s="358"/>
      <c r="KN314" s="358"/>
      <c r="KO314" s="358"/>
      <c r="KP314" s="358"/>
      <c r="KQ314" s="358"/>
      <c r="KR314" s="358"/>
      <c r="KS314" s="358"/>
      <c r="KT314" s="358"/>
      <c r="KU314" s="358"/>
      <c r="KV314" s="358"/>
      <c r="KW314" s="358"/>
      <c r="KX314" s="358"/>
      <c r="KY314" s="358"/>
      <c r="KZ314" s="358"/>
      <c r="LA314" s="358"/>
      <c r="LB314" s="358"/>
      <c r="LC314" s="358"/>
      <c r="LD314" s="358"/>
      <c r="LE314" s="358"/>
      <c r="LF314" s="1784"/>
      <c r="LG314" s="358"/>
      <c r="LH314" s="358"/>
      <c r="LI314" s="358"/>
      <c r="LJ314" s="358"/>
      <c r="LK314" s="1784"/>
      <c r="LL314" s="358"/>
      <c r="LM314" s="358"/>
      <c r="LN314" s="358"/>
      <c r="LO314" s="358"/>
      <c r="LP314" s="1784"/>
      <c r="LQ314" s="358"/>
      <c r="LR314" s="358"/>
      <c r="LS314" s="358"/>
      <c r="LT314" s="358"/>
      <c r="LU314" s="1784"/>
      <c r="LV314" s="1784"/>
      <c r="LW314" s="1784"/>
      <c r="LX314" s="1784"/>
      <c r="LY314" s="1784"/>
      <c r="LZ314" s="1784"/>
      <c r="MA314" s="1784"/>
      <c r="MB314" s="1784"/>
      <c r="MC314" s="1784"/>
      <c r="MD314" s="1784"/>
      <c r="ME314" s="1784"/>
      <c r="MF314" s="1784"/>
      <c r="MG314" s="1784"/>
      <c r="MH314" s="1784"/>
      <c r="MI314" s="1784"/>
      <c r="MJ314" s="1784"/>
      <c r="MK314" s="1784"/>
      <c r="ML314" s="1784"/>
      <c r="MM314" s="1784"/>
      <c r="MN314" s="1784"/>
      <c r="MO314" s="1784"/>
      <c r="MP314" s="1784"/>
      <c r="MQ314" s="358"/>
      <c r="MR314" s="358"/>
      <c r="MS314" s="358"/>
      <c r="MT314" s="358"/>
      <c r="MU314" s="358"/>
      <c r="MV314" s="358"/>
      <c r="MW314" s="1639"/>
      <c r="MX314" s="358"/>
      <c r="MY314" s="358"/>
      <c r="MZ314" s="358"/>
      <c r="NA314" s="358"/>
      <c r="NB314" s="358"/>
      <c r="NC314" s="358"/>
      <c r="ND314" s="358"/>
      <c r="NE314" s="358"/>
      <c r="NF314" s="358"/>
      <c r="NG314" s="358"/>
      <c r="NH314" s="358"/>
      <c r="NI314" s="358"/>
      <c r="NJ314" s="358"/>
      <c r="NK314" s="358"/>
      <c r="NL314" s="358"/>
      <c r="NM314" s="1639"/>
      <c r="NN314" s="1639"/>
      <c r="NO314" s="358"/>
      <c r="NP314" s="358"/>
      <c r="NQ314" s="358"/>
      <c r="NR314" s="358"/>
      <c r="NS314" s="358"/>
      <c r="NT314" s="358"/>
      <c r="NU314" s="358"/>
      <c r="NV314" s="358"/>
      <c r="NW314" s="358"/>
      <c r="NX314" s="358"/>
      <c r="NY314" s="358"/>
      <c r="NZ314" s="358"/>
      <c r="OA314" s="358"/>
      <c r="OB314" s="358"/>
      <c r="OC314" s="358"/>
      <c r="OD314" s="358"/>
      <c r="OE314" s="358"/>
      <c r="OF314" s="358"/>
      <c r="OG314" s="358"/>
      <c r="OH314" s="358"/>
      <c r="OI314" s="358"/>
      <c r="OJ314" s="358"/>
      <c r="OK314" s="358"/>
      <c r="OL314" s="358"/>
      <c r="OM314" s="358"/>
      <c r="ON314" s="358"/>
      <c r="OO314" s="358"/>
      <c r="OP314" s="358"/>
      <c r="OQ314" s="358"/>
      <c r="OR314" s="358"/>
      <c r="OS314" s="358"/>
      <c r="OT314" s="358"/>
      <c r="OU314" s="358"/>
      <c r="OV314" s="72"/>
      <c r="OW314" s="72"/>
      <c r="OX314" s="72"/>
      <c r="OY314" s="2499"/>
      <c r="OZ314" s="2504"/>
      <c r="PA314" s="72"/>
      <c r="PB314" s="72"/>
      <c r="PC314" s="72"/>
      <c r="PD314" s="72"/>
      <c r="PE314" s="72"/>
      <c r="PF314" s="72"/>
      <c r="PG314" s="72"/>
      <c r="PH314" s="72"/>
      <c r="PI314" s="72"/>
      <c r="PJ314" s="72"/>
      <c r="PK314" s="72"/>
      <c r="PL314" s="72"/>
      <c r="PM314" s="72"/>
      <c r="PN314" s="72"/>
      <c r="PO314" s="72"/>
      <c r="PP314" s="72"/>
      <c r="PQ314" s="72"/>
      <c r="PR314" s="72"/>
      <c r="PS314" s="72"/>
      <c r="PT314" s="72"/>
      <c r="PU314" s="72"/>
      <c r="PV314" s="72"/>
      <c r="PW314" s="72"/>
      <c r="PX314" s="72"/>
      <c r="PY314" s="72"/>
      <c r="PZ314" s="72"/>
      <c r="QA314" s="72"/>
      <c r="QB314" s="72"/>
      <c r="QC314" s="72"/>
      <c r="QD314" s="72"/>
      <c r="QE314" s="72"/>
      <c r="QF314" s="72"/>
      <c r="QG314" s="72"/>
      <c r="QH314" s="72"/>
      <c r="QI314" s="72"/>
      <c r="QJ314" s="72"/>
      <c r="QK314" s="72"/>
      <c r="QL314" s="72"/>
      <c r="QM314" s="72"/>
      <c r="QN314" s="72"/>
      <c r="QO314" s="72"/>
      <c r="QP314" s="72"/>
      <c r="QQ314" s="72"/>
      <c r="QR314" s="72"/>
      <c r="QS314" s="72"/>
      <c r="QT314" s="72"/>
      <c r="QU314" s="72"/>
      <c r="QV314" s="72"/>
      <c r="QW314" s="72"/>
      <c r="QX314" s="72"/>
      <c r="QY314" s="72"/>
      <c r="QZ314" s="72"/>
      <c r="RA314" s="72"/>
      <c r="RB314" s="72"/>
      <c r="RC314" s="72"/>
      <c r="RD314" s="72"/>
      <c r="RE314" s="72"/>
      <c r="RF314" s="72"/>
      <c r="RG314" s="72"/>
      <c r="RH314" s="72"/>
      <c r="RI314" s="72"/>
      <c r="RJ314" s="72"/>
      <c r="RK314" s="72"/>
      <c r="RL314" s="72"/>
      <c r="RM314" s="72"/>
      <c r="RN314" s="72"/>
      <c r="RO314" s="72"/>
      <c r="RP314" s="72"/>
      <c r="RQ314" s="72"/>
      <c r="RR314" s="72"/>
      <c r="RS314" s="72"/>
      <c r="RT314" s="72"/>
      <c r="RU314" s="72"/>
      <c r="RV314" s="72"/>
      <c r="RW314" s="72"/>
      <c r="RX314" s="72"/>
      <c r="RY314" s="72"/>
      <c r="RZ314" s="72"/>
      <c r="SA314" s="72"/>
      <c r="SB314" s="72"/>
      <c r="SC314" s="72"/>
      <c r="SD314" s="72"/>
      <c r="SE314" s="72"/>
      <c r="SF314" s="72"/>
      <c r="SG314" s="72"/>
      <c r="SH314" s="72"/>
      <c r="SI314" s="72"/>
      <c r="SJ314" s="72"/>
      <c r="SK314" s="72"/>
      <c r="SL314" s="72"/>
      <c r="SM314" s="72"/>
      <c r="SN314" s="72"/>
      <c r="SO314" s="72"/>
      <c r="SP314" s="72"/>
      <c r="SQ314" s="72"/>
      <c r="SR314" s="72"/>
      <c r="SS314" s="72"/>
      <c r="ST314" s="72"/>
      <c r="SU314" s="72"/>
      <c r="SV314" s="72"/>
      <c r="SW314" s="72"/>
      <c r="SX314" s="72"/>
      <c r="SY314" s="72"/>
      <c r="SZ314" s="72"/>
      <c r="TA314" s="72"/>
      <c r="TB314" s="72"/>
      <c r="TC314" s="72"/>
      <c r="TD314" s="72"/>
      <c r="TE314" s="72"/>
      <c r="TF314" s="72"/>
      <c r="TG314" s="72"/>
      <c r="TH314" s="72"/>
    </row>
    <row r="315" spans="1:528" s="69" customFormat="1" ht="14.1" customHeight="1">
      <c r="A315" s="1"/>
      <c r="B315" s="1"/>
      <c r="C315" s="1"/>
      <c r="D315" s="1"/>
      <c r="E315" s="1"/>
      <c r="F315" s="1"/>
      <c r="G315" s="1"/>
      <c r="H315" s="1"/>
      <c r="I315" s="1"/>
      <c r="J315" s="1"/>
      <c r="K315" s="1"/>
      <c r="L315" s="1"/>
      <c r="M315" s="1"/>
      <c r="N315" s="1"/>
      <c r="O315" s="1"/>
      <c r="P315" s="1"/>
      <c r="X315" s="358"/>
      <c r="Y315" s="358"/>
      <c r="Z315" s="358"/>
      <c r="AA315" s="358"/>
      <c r="AB315" s="358"/>
      <c r="AC315" s="358"/>
      <c r="AD315" s="358"/>
      <c r="AE315" s="358"/>
      <c r="AF315" s="358"/>
      <c r="AG315" s="358"/>
      <c r="AH315" s="358"/>
      <c r="AI315" s="358"/>
      <c r="AJ315" s="358"/>
      <c r="AK315" s="358"/>
      <c r="AL315" s="358"/>
      <c r="AM315" s="358"/>
      <c r="AN315" s="358"/>
      <c r="AO315" s="358"/>
      <c r="AP315" s="358"/>
      <c r="AQ315" s="358"/>
      <c r="AR315" s="358"/>
      <c r="AS315" s="358"/>
      <c r="AT315" s="358"/>
      <c r="AU315" s="358"/>
      <c r="AV315" s="358"/>
      <c r="AW315" s="358"/>
      <c r="AX315" s="358"/>
      <c r="AY315" s="358"/>
      <c r="AZ315" s="358"/>
      <c r="BA315" s="358"/>
      <c r="BB315" s="358"/>
      <c r="BC315" s="358"/>
      <c r="BD315" s="358"/>
      <c r="BE315" s="358"/>
      <c r="BF315" s="358"/>
      <c r="BG315" s="358"/>
      <c r="BH315" s="358"/>
      <c r="BI315" s="358"/>
      <c r="BJ315" s="358"/>
      <c r="BK315" s="358"/>
      <c r="BL315" s="358"/>
      <c r="BM315" s="358"/>
      <c r="BN315" s="358"/>
      <c r="BO315" s="358"/>
      <c r="BP315" s="358"/>
      <c r="BQ315" s="358"/>
      <c r="BR315" s="358"/>
      <c r="BS315" s="358"/>
      <c r="BT315" s="358"/>
      <c r="BU315" s="358"/>
      <c r="BV315" s="358"/>
      <c r="BW315" s="358"/>
      <c r="BX315" s="358"/>
      <c r="BY315" s="358"/>
      <c r="BZ315" s="358"/>
      <c r="CA315" s="358"/>
      <c r="CB315" s="358"/>
      <c r="CC315" s="358"/>
      <c r="CD315" s="358"/>
      <c r="CE315" s="358"/>
      <c r="CF315" s="358"/>
      <c r="CG315" s="358"/>
      <c r="CH315" s="358"/>
      <c r="CI315" s="358"/>
      <c r="CJ315" s="358"/>
      <c r="CK315" s="358"/>
      <c r="CL315" s="358"/>
      <c r="CM315" s="358"/>
      <c r="CN315" s="358"/>
      <c r="CO315" s="358"/>
      <c r="CP315" s="358"/>
      <c r="CQ315" s="358"/>
      <c r="CR315" s="358"/>
      <c r="CS315" s="358"/>
      <c r="CT315" s="358"/>
      <c r="CU315" s="358"/>
      <c r="CV315" s="358"/>
      <c r="CW315" s="358"/>
      <c r="CX315" s="358"/>
      <c r="CY315" s="358"/>
      <c r="CZ315" s="358"/>
      <c r="DA315" s="358"/>
      <c r="DB315" s="358"/>
      <c r="DC315" s="358"/>
      <c r="DD315" s="358"/>
      <c r="DE315" s="358"/>
      <c r="DF315" s="358"/>
      <c r="DG315" s="358"/>
      <c r="DH315" s="358"/>
      <c r="DI315" s="358"/>
      <c r="DJ315" s="358"/>
      <c r="DK315" s="358"/>
      <c r="DL315" s="358"/>
      <c r="DM315" s="358"/>
      <c r="DN315" s="358"/>
      <c r="DO315" s="358"/>
      <c r="DP315" s="358"/>
      <c r="DQ315" s="358"/>
      <c r="DR315" s="358"/>
      <c r="DS315" s="358"/>
      <c r="DT315" s="358"/>
      <c r="DU315" s="358"/>
      <c r="DV315" s="358"/>
      <c r="DW315" s="358"/>
      <c r="DX315" s="358"/>
      <c r="DY315" s="358"/>
      <c r="DZ315" s="358"/>
      <c r="EA315" s="358"/>
      <c r="EB315" s="358"/>
      <c r="EC315" s="358"/>
      <c r="ED315" s="358"/>
      <c r="EE315" s="358"/>
      <c r="EF315" s="358"/>
      <c r="EG315" s="358"/>
      <c r="EH315" s="358"/>
      <c r="EI315" s="358"/>
      <c r="EJ315" s="358"/>
      <c r="EK315" s="358"/>
      <c r="EL315" s="358"/>
      <c r="EM315" s="358"/>
      <c r="EN315" s="358"/>
      <c r="EO315" s="358"/>
      <c r="EP315" s="358"/>
      <c r="EQ315" s="358"/>
      <c r="ER315" s="358"/>
      <c r="ES315" s="358"/>
      <c r="ET315" s="358"/>
      <c r="EU315" s="358"/>
      <c r="EV315" s="358"/>
      <c r="EW315" s="358"/>
      <c r="EX315" s="358"/>
      <c r="EY315" s="358"/>
      <c r="EZ315" s="358"/>
      <c r="FA315" s="358"/>
      <c r="FB315" s="358"/>
      <c r="FC315" s="358"/>
      <c r="FD315" s="358"/>
      <c r="FE315" s="358"/>
      <c r="FF315" s="358"/>
      <c r="FG315" s="358"/>
      <c r="FH315" s="358"/>
      <c r="FI315" s="358"/>
      <c r="FJ315" s="358"/>
      <c r="FK315" s="358"/>
      <c r="FL315" s="358"/>
      <c r="FM315" s="358"/>
      <c r="FN315" s="358"/>
      <c r="FO315" s="358"/>
      <c r="FP315" s="358"/>
      <c r="FQ315" s="358"/>
      <c r="FR315" s="358"/>
      <c r="FS315" s="358"/>
      <c r="FT315" s="358"/>
      <c r="FU315" s="358"/>
      <c r="FV315" s="358"/>
      <c r="FW315" s="358"/>
      <c r="FX315" s="358"/>
      <c r="FY315" s="358"/>
      <c r="FZ315" s="358"/>
      <c r="GA315" s="358"/>
      <c r="GB315" s="358"/>
      <c r="GC315" s="358"/>
      <c r="GD315" s="358"/>
      <c r="GE315" s="358"/>
      <c r="GF315" s="358"/>
      <c r="GG315" s="358"/>
      <c r="GH315" s="358"/>
      <c r="GI315" s="358"/>
      <c r="GJ315" s="358"/>
      <c r="GK315" s="358"/>
      <c r="GL315" s="358"/>
      <c r="GM315" s="358"/>
      <c r="GN315" s="358"/>
      <c r="GO315" s="358"/>
      <c r="GP315" s="358"/>
      <c r="GQ315" s="358"/>
      <c r="GR315" s="358"/>
      <c r="GS315" s="358"/>
      <c r="GT315" s="358"/>
      <c r="GU315" s="358"/>
      <c r="GV315" s="358"/>
      <c r="GW315" s="358"/>
      <c r="GX315" s="358"/>
      <c r="GY315" s="358"/>
      <c r="GZ315" s="358"/>
      <c r="HA315" s="358"/>
      <c r="HB315" s="358"/>
      <c r="HC315" s="358"/>
      <c r="HD315" s="358"/>
      <c r="HE315" s="358"/>
      <c r="HF315" s="358"/>
      <c r="HG315" s="358"/>
      <c r="HH315" s="358"/>
      <c r="HI315" s="358"/>
      <c r="HJ315" s="358"/>
      <c r="HK315" s="358"/>
      <c r="HL315" s="358"/>
      <c r="HM315" s="358"/>
      <c r="HN315" s="358"/>
      <c r="HO315" s="358"/>
      <c r="HP315" s="358"/>
      <c r="HQ315" s="358"/>
      <c r="HR315" s="358"/>
      <c r="HS315" s="358"/>
      <c r="HT315" s="358"/>
      <c r="HU315" s="358"/>
      <c r="HV315" s="358"/>
      <c r="HW315" s="358"/>
      <c r="HX315" s="358"/>
      <c r="HY315" s="358"/>
      <c r="HZ315" s="358"/>
      <c r="IA315" s="358"/>
      <c r="IB315" s="358"/>
      <c r="IC315" s="358"/>
      <c r="ID315" s="358"/>
      <c r="IE315" s="358"/>
      <c r="IF315" s="358"/>
      <c r="IG315" s="358"/>
      <c r="IH315" s="358"/>
      <c r="II315" s="358"/>
      <c r="IJ315" s="358"/>
      <c r="IK315" s="358"/>
      <c r="IL315" s="358"/>
      <c r="IM315" s="358"/>
      <c r="IN315" s="358"/>
      <c r="IO315" s="358"/>
      <c r="IP315" s="358"/>
      <c r="IQ315" s="358"/>
      <c r="IR315" s="358"/>
      <c r="IS315" s="358"/>
      <c r="IT315" s="358"/>
      <c r="IU315" s="358"/>
      <c r="IV315" s="358"/>
      <c r="IW315" s="358"/>
      <c r="IX315" s="358"/>
      <c r="IY315" s="358"/>
      <c r="IZ315" s="358"/>
      <c r="JA315" s="358"/>
      <c r="JB315" s="358"/>
      <c r="JC315" s="358"/>
      <c r="JD315" s="358"/>
      <c r="JE315" s="358"/>
      <c r="JF315" s="358"/>
      <c r="JG315" s="358"/>
      <c r="JH315" s="358"/>
      <c r="JI315" s="358"/>
      <c r="JJ315" s="358"/>
      <c r="JK315" s="358"/>
      <c r="JL315" s="358"/>
      <c r="JM315" s="358"/>
      <c r="JN315" s="358"/>
      <c r="JO315" s="358"/>
      <c r="JP315" s="358"/>
      <c r="JQ315" s="358"/>
      <c r="JR315" s="358"/>
      <c r="JS315" s="358"/>
      <c r="JT315" s="358"/>
      <c r="JU315" s="358"/>
      <c r="JV315" s="358"/>
      <c r="JW315" s="358"/>
      <c r="JX315" s="358"/>
      <c r="JY315" s="358"/>
      <c r="JZ315" s="358"/>
      <c r="KA315" s="358"/>
      <c r="KB315" s="358"/>
      <c r="KC315" s="358"/>
      <c r="KD315" s="358"/>
      <c r="KE315" s="358"/>
      <c r="KF315" s="358"/>
      <c r="KG315" s="358"/>
      <c r="KH315" s="358"/>
      <c r="KI315" s="358"/>
      <c r="KJ315" s="358"/>
      <c r="KK315" s="358"/>
      <c r="KL315" s="358"/>
      <c r="KM315" s="358"/>
      <c r="KN315" s="358"/>
      <c r="KO315" s="358"/>
      <c r="KP315" s="358"/>
      <c r="KQ315" s="358"/>
      <c r="KR315" s="358"/>
      <c r="KS315" s="358"/>
      <c r="KT315" s="358"/>
      <c r="KU315" s="358"/>
      <c r="KV315" s="358"/>
      <c r="KW315" s="358"/>
      <c r="KX315" s="358"/>
      <c r="KY315" s="358"/>
      <c r="KZ315" s="358"/>
      <c r="LA315" s="358"/>
      <c r="LB315" s="358"/>
      <c r="LC315" s="358"/>
      <c r="LD315" s="358"/>
      <c r="LE315" s="358"/>
      <c r="LF315" s="1784"/>
      <c r="LG315" s="358"/>
      <c r="LH315" s="358"/>
      <c r="LI315" s="358"/>
      <c r="LJ315" s="358"/>
      <c r="LK315" s="1784"/>
      <c r="LL315" s="358"/>
      <c r="LM315" s="358"/>
      <c r="LN315" s="358"/>
      <c r="LO315" s="358"/>
      <c r="LP315" s="1784"/>
      <c r="LQ315" s="358"/>
      <c r="LR315" s="358"/>
      <c r="LS315" s="358"/>
      <c r="LT315" s="358"/>
      <c r="LU315" s="1784"/>
      <c r="LV315" s="1784"/>
      <c r="LW315" s="1784"/>
      <c r="LX315" s="1784"/>
      <c r="LY315" s="1784"/>
      <c r="LZ315" s="1784"/>
      <c r="MA315" s="1784"/>
      <c r="MB315" s="1784"/>
      <c r="MC315" s="1784"/>
      <c r="MD315" s="1784"/>
      <c r="ME315" s="1784"/>
      <c r="MF315" s="1784"/>
      <c r="MG315" s="1784"/>
      <c r="MH315" s="1784"/>
      <c r="MI315" s="1784"/>
      <c r="MJ315" s="1784"/>
      <c r="MK315" s="1784"/>
      <c r="ML315" s="1784"/>
      <c r="MM315" s="1784"/>
      <c r="MN315" s="1784"/>
      <c r="MO315" s="1784"/>
      <c r="MP315" s="1784"/>
      <c r="MQ315" s="358"/>
      <c r="MR315" s="358"/>
      <c r="MS315" s="358"/>
      <c r="MT315" s="358"/>
      <c r="MU315" s="358"/>
      <c r="MV315" s="358"/>
      <c r="MW315" s="1639"/>
      <c r="MX315" s="358"/>
      <c r="MY315" s="358"/>
      <c r="MZ315" s="358"/>
      <c r="NA315" s="358"/>
      <c r="NB315" s="358"/>
      <c r="NC315" s="358"/>
      <c r="ND315" s="358"/>
      <c r="NE315" s="358"/>
      <c r="NF315" s="358"/>
      <c r="NG315" s="358"/>
      <c r="NH315" s="358"/>
      <c r="NI315" s="358"/>
      <c r="NJ315" s="358"/>
      <c r="NK315" s="358"/>
      <c r="NL315" s="358"/>
      <c r="NM315" s="1639"/>
      <c r="NN315" s="1639"/>
      <c r="NO315" s="358"/>
      <c r="NP315" s="358"/>
      <c r="NQ315" s="358"/>
      <c r="NR315" s="358"/>
      <c r="NS315" s="358"/>
      <c r="NT315" s="358"/>
      <c r="NU315" s="358"/>
      <c r="NV315" s="358"/>
      <c r="NW315" s="358"/>
      <c r="NX315" s="358"/>
      <c r="NY315" s="358"/>
      <c r="NZ315" s="358"/>
      <c r="OA315" s="358"/>
      <c r="OB315" s="358"/>
      <c r="OC315" s="358"/>
      <c r="OD315" s="358"/>
      <c r="OE315" s="358"/>
      <c r="OF315" s="358"/>
      <c r="OG315" s="358"/>
      <c r="OH315" s="358"/>
      <c r="OI315" s="358"/>
      <c r="OJ315" s="358"/>
      <c r="OK315" s="358"/>
      <c r="OL315" s="358"/>
      <c r="OM315" s="358"/>
      <c r="ON315" s="358"/>
      <c r="OO315" s="358"/>
      <c r="OP315" s="358"/>
      <c r="OQ315" s="358"/>
      <c r="OR315" s="358"/>
      <c r="OS315" s="358"/>
      <c r="OT315" s="358"/>
      <c r="OU315" s="358"/>
      <c r="OV315" s="72"/>
      <c r="OW315" s="72"/>
      <c r="OX315" s="72"/>
      <c r="OY315" s="2499"/>
      <c r="OZ315" s="2504"/>
      <c r="PA315" s="72"/>
      <c r="PB315" s="72"/>
      <c r="PC315" s="72"/>
      <c r="PD315" s="72"/>
      <c r="PE315" s="72"/>
      <c r="PF315" s="72"/>
      <c r="PG315" s="72"/>
      <c r="PH315" s="72"/>
      <c r="PI315" s="72"/>
      <c r="PJ315" s="72"/>
      <c r="PK315" s="72"/>
      <c r="PL315" s="72"/>
      <c r="PM315" s="72"/>
      <c r="PN315" s="72"/>
      <c r="PO315" s="72"/>
      <c r="PP315" s="72"/>
      <c r="PQ315" s="72"/>
      <c r="PR315" s="72"/>
      <c r="PS315" s="72"/>
      <c r="PT315" s="72"/>
      <c r="PU315" s="72"/>
      <c r="PV315" s="72"/>
      <c r="PW315" s="72"/>
      <c r="PX315" s="72"/>
      <c r="PY315" s="72"/>
      <c r="PZ315" s="72"/>
      <c r="QA315" s="72"/>
      <c r="QB315" s="72"/>
      <c r="QC315" s="72"/>
      <c r="QD315" s="72"/>
      <c r="QE315" s="72"/>
      <c r="QF315" s="72"/>
      <c r="QG315" s="72"/>
      <c r="QH315" s="72"/>
      <c r="QI315" s="72"/>
      <c r="QJ315" s="72"/>
      <c r="QK315" s="72"/>
      <c r="QL315" s="72"/>
      <c r="QM315" s="72"/>
      <c r="QN315" s="72"/>
      <c r="QO315" s="72"/>
      <c r="QP315" s="72"/>
      <c r="QQ315" s="72"/>
      <c r="QR315" s="72"/>
      <c r="QS315" s="72"/>
      <c r="QT315" s="72"/>
      <c r="QU315" s="72"/>
      <c r="QV315" s="72"/>
      <c r="QW315" s="72"/>
      <c r="QX315" s="72"/>
      <c r="QY315" s="72"/>
      <c r="QZ315" s="72"/>
      <c r="RA315" s="72"/>
      <c r="RB315" s="72"/>
      <c r="RC315" s="72"/>
      <c r="RD315" s="72"/>
      <c r="RE315" s="72"/>
      <c r="RF315" s="72"/>
      <c r="RG315" s="72"/>
      <c r="RH315" s="72"/>
      <c r="RI315" s="72"/>
      <c r="RJ315" s="72"/>
      <c r="RK315" s="72"/>
      <c r="RL315" s="72"/>
      <c r="RM315" s="72"/>
      <c r="RN315" s="72"/>
      <c r="RO315" s="72"/>
      <c r="RP315" s="72"/>
      <c r="RQ315" s="72"/>
      <c r="RR315" s="72"/>
      <c r="RS315" s="72"/>
      <c r="RT315" s="72"/>
      <c r="RU315" s="72"/>
      <c r="RV315" s="72"/>
      <c r="RW315" s="72"/>
      <c r="RX315" s="72"/>
      <c r="RY315" s="72"/>
      <c r="RZ315" s="72"/>
      <c r="SA315" s="72"/>
      <c r="SB315" s="72"/>
      <c r="SC315" s="72"/>
      <c r="SD315" s="72"/>
      <c r="SE315" s="72"/>
      <c r="SF315" s="72"/>
      <c r="SG315" s="72"/>
      <c r="SH315" s="72"/>
      <c r="SI315" s="72"/>
      <c r="SJ315" s="72"/>
      <c r="SK315" s="72"/>
      <c r="SL315" s="72"/>
      <c r="SM315" s="72"/>
      <c r="SN315" s="72"/>
      <c r="SO315" s="72"/>
      <c r="SP315" s="72"/>
      <c r="SQ315" s="72"/>
      <c r="SR315" s="72"/>
      <c r="SS315" s="72"/>
      <c r="ST315" s="72"/>
      <c r="SU315" s="72"/>
      <c r="SV315" s="72"/>
      <c r="SW315" s="72"/>
      <c r="SX315" s="72"/>
      <c r="SY315" s="72"/>
      <c r="SZ315" s="72"/>
      <c r="TA315" s="72"/>
      <c r="TB315" s="72"/>
      <c r="TC315" s="72"/>
      <c r="TD315" s="72"/>
      <c r="TE315" s="72"/>
      <c r="TF315" s="72"/>
      <c r="TG315" s="72"/>
      <c r="TH315" s="72"/>
    </row>
    <row r="316" spans="1:528" ht="14.1" customHeight="1"/>
    <row r="317" spans="1:528" ht="14.1" customHeight="1">
      <c r="A317" s="10"/>
      <c r="OY317" s="2501"/>
    </row>
    <row r="318" spans="1:528" ht="14.1" customHeight="1">
      <c r="OY318" s="2501"/>
    </row>
    <row r="319" spans="1:528" ht="14.1" customHeight="1">
      <c r="OY319" s="2501"/>
    </row>
    <row r="320" spans="1:528" ht="14.1" customHeight="1">
      <c r="OY320" s="2501"/>
    </row>
    <row r="321" spans="415:415" ht="14.1" customHeight="1">
      <c r="OY321" s="2501"/>
    </row>
    <row r="322" spans="415:415" ht="14.1" customHeight="1"/>
    <row r="323" spans="415:415" ht="14.1" customHeight="1"/>
    <row r="324" spans="415:415" ht="14.1" customHeight="1"/>
    <row r="325" spans="415:415" ht="14.1" customHeight="1"/>
    <row r="326" spans="415:415" ht="14.1" customHeight="1"/>
  </sheetData>
  <sheetProtection algorithmName="SHA-512" hashValue="xiUNqWZwd91StfQDng0y5kj0nTLumatl4+To3Ilftshz0qbF3JEZgWh5osdU4PpA74VEx5bhuoQCb0CpWjqgmw==" saltValue="L5VVbVBwo519aLSPpapEXQ==" spinCount="100000" sheet="1" objects="1" scenarios="1" formatRows="0"/>
  <mergeCells count="66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S69:W69"/>
    <mergeCell ref="S70:W70"/>
    <mergeCell ref="S71:W71"/>
    <mergeCell ref="S72:W72"/>
    <mergeCell ref="S73:W73"/>
    <mergeCell ref="S74:W74"/>
    <mergeCell ref="O62:P62"/>
    <mergeCell ref="S65:W65"/>
    <mergeCell ref="S66:W66"/>
    <mergeCell ref="S67:W67"/>
    <mergeCell ref="S68:W68"/>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216:W216"/>
    <mergeCell ref="S205:W205"/>
    <mergeCell ref="S206:W206"/>
    <mergeCell ref="S209:W209"/>
    <mergeCell ref="S187:W187"/>
    <mergeCell ref="S188:W188"/>
    <mergeCell ref="S189:W189"/>
    <mergeCell ref="K195:L195"/>
    <mergeCell ref="S190:W190"/>
    <mergeCell ref="K197:L197"/>
    <mergeCell ref="K196:L196"/>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37:W237"/>
    <mergeCell ref="S242:W242"/>
    <mergeCell ref="F243:G243"/>
    <mergeCell ref="L243:M243"/>
    <mergeCell ref="S243:W243"/>
    <mergeCell ref="C237:F237"/>
    <mergeCell ref="S238:W238"/>
    <mergeCell ref="S232:W232"/>
    <mergeCell ref="S233:W233"/>
    <mergeCell ref="S236:W236"/>
    <mergeCell ref="C233:F233"/>
    <mergeCell ref="S234:W234"/>
    <mergeCell ref="B248:E248"/>
    <mergeCell ref="F244:G244"/>
    <mergeCell ref="L244:M244"/>
    <mergeCell ref="S244:W244"/>
    <mergeCell ref="F245:G245"/>
    <mergeCell ref="S245:W245"/>
    <mergeCell ref="F246:G246"/>
    <mergeCell ref="S246:W246"/>
    <mergeCell ref="L245:M245"/>
    <mergeCell ref="S249:W249"/>
    <mergeCell ref="L250:M250"/>
    <mergeCell ref="S250:W250"/>
    <mergeCell ref="L251:M251"/>
    <mergeCell ref="S251:W251"/>
    <mergeCell ref="F252:G252"/>
    <mergeCell ref="F247:G247"/>
    <mergeCell ref="S247:W247"/>
    <mergeCell ref="F248:G248"/>
    <mergeCell ref="S248:W248"/>
    <mergeCell ref="F249:G249"/>
    <mergeCell ref="L257:M257"/>
    <mergeCell ref="L252:M252"/>
    <mergeCell ref="S252:W252"/>
    <mergeCell ref="F253:G253"/>
    <mergeCell ref="S253:W253"/>
    <mergeCell ref="F254:G254"/>
    <mergeCell ref="S254:W254"/>
    <mergeCell ref="I252:K252"/>
    <mergeCell ref="L253:M253"/>
    <mergeCell ref="O253:Q254"/>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MH9:MH10"/>
    <mergeCell ref="MI9:MI10"/>
    <mergeCell ref="MJ9:MJ10"/>
    <mergeCell ref="MK9:MK10"/>
    <mergeCell ref="ML9:ML10"/>
    <mergeCell ref="MM9:MM10"/>
    <mergeCell ref="LV9:LV10"/>
    <mergeCell ref="LW9:LW10"/>
    <mergeCell ref="LX9:LX10"/>
    <mergeCell ref="LY9:LY10"/>
    <mergeCell ref="LZ9:LZ10"/>
    <mergeCell ref="MA9:MA10"/>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9:J21 J46:J49 J34:J45 J50:J57 J23:J33"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138" workbookViewId="0">
      <selection activeCell="A140" sqref="A140:F14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2499" bestFit="1" customWidth="1"/>
    <col min="27" max="27" width="8.6640625" style="2500"/>
    <col min="28" max="16384" width="8.6640625" style="6"/>
  </cols>
  <sheetData>
    <row r="1" spans="1:27" s="1621" customFormat="1" hidden="1">
      <c r="B1" s="1621" t="s">
        <v>4342</v>
      </c>
      <c r="C1" s="1621" t="s">
        <v>4343</v>
      </c>
      <c r="D1" s="1621" t="s">
        <v>4344</v>
      </c>
      <c r="E1" s="1621" t="s">
        <v>4345</v>
      </c>
      <c r="F1" s="1621" t="s">
        <v>4346</v>
      </c>
      <c r="G1" s="1621" t="s">
        <v>4347</v>
      </c>
      <c r="H1" s="1621" t="s">
        <v>4348</v>
      </c>
      <c r="I1" s="1621" t="s">
        <v>4349</v>
      </c>
      <c r="J1" s="1621" t="s">
        <v>4350</v>
      </c>
      <c r="K1" s="1621" t="s">
        <v>4351</v>
      </c>
      <c r="Z1" s="2499"/>
      <c r="AA1" s="2500">
        <v>1</v>
      </c>
    </row>
    <row r="2" spans="1:27" ht="14.1" customHeight="1">
      <c r="A2" s="3701" t="str">
        <f>CONCATENATE("PART SIX - OPERATING PRO FORMA","  -  ",'Part I-Project Identification'!$O$7," ",'Part I-Project Identification'!$F$26,", ",'Part I-Project Identification'!F27,", ",'Part I-Project Identification'!J27," County")</f>
        <v>PART SIX - OPERATING PRO FORMA  -  2025-0 Retreat at Madison Place, Decatur, DeKalb County</v>
      </c>
      <c r="B2" s="3702"/>
      <c r="C2" s="3702"/>
      <c r="D2" s="3702"/>
      <c r="E2" s="3702"/>
      <c r="F2" s="3702"/>
      <c r="G2" s="3702"/>
      <c r="H2" s="3702"/>
      <c r="I2" s="3702"/>
      <c r="J2" s="3702"/>
      <c r="K2" s="3703"/>
      <c r="L2" s="4"/>
      <c r="M2" s="4"/>
      <c r="N2" s="3704" t="str">
        <f>A2</f>
        <v>PART SIX - OPERATING PRO FORMA  -  2025-0 Retreat at Madison Place, Decatur, DeKalb County</v>
      </c>
      <c r="O2" s="3704"/>
      <c r="P2" s="4"/>
      <c r="AA2" s="2500">
        <v>2</v>
      </c>
    </row>
    <row r="3" spans="1:27" ht="13.5" customHeight="1">
      <c r="A3" s="381"/>
      <c r="B3" s="381"/>
      <c r="C3" s="381"/>
      <c r="D3" s="381"/>
      <c r="E3" s="381"/>
      <c r="F3" s="381"/>
      <c r="G3" s="381"/>
      <c r="H3" s="381"/>
      <c r="I3" s="381"/>
      <c r="J3" s="381"/>
      <c r="K3" s="381"/>
      <c r="N3" s="3554" t="s">
        <v>1705</v>
      </c>
      <c r="O3" s="3554"/>
      <c r="AA3" s="2500">
        <v>3</v>
      </c>
    </row>
    <row r="4" spans="1:27" ht="13.5" customHeight="1">
      <c r="A4" s="10" t="s">
        <v>85</v>
      </c>
      <c r="C4" s="3705" t="str">
        <f>'Part I-Project Identification'!$A$6</f>
        <v>May 31, 2025</v>
      </c>
      <c r="D4" s="927" t="s">
        <v>75</v>
      </c>
      <c r="E4" s="180"/>
      <c r="F4" s="928" t="s">
        <v>3312</v>
      </c>
      <c r="N4" s="10" t="str">
        <f>A4</f>
        <v>I.  OPERATING ASSUMPTIONS</v>
      </c>
      <c r="O4" s="10"/>
      <c r="AA4" s="2500">
        <v>4</v>
      </c>
    </row>
    <row r="5" spans="1:27" ht="2.7" customHeight="1">
      <c r="C5" s="3706"/>
      <c r="AA5" s="2500">
        <v>5</v>
      </c>
    </row>
    <row r="6" spans="1:27" ht="13.5" customHeight="1">
      <c r="A6" s="6" t="s">
        <v>2025</v>
      </c>
      <c r="B6" s="58">
        <f>'DCA Underwriting Assumptions'!$Q$115</f>
        <v>0.02</v>
      </c>
      <c r="C6" s="3706"/>
      <c r="D6" s="3630" t="s">
        <v>3313</v>
      </c>
      <c r="E6" s="3630"/>
      <c r="F6" s="3630"/>
      <c r="G6" s="59">
        <v>7500</v>
      </c>
      <c r="H6" s="75" t="s">
        <v>1762</v>
      </c>
      <c r="K6" s="80">
        <f>IF(($B$15+$B$16+$B$17+$B$18)=0,"",B31/($B$15+$B$16+$B$17+$B$18))</f>
        <v>-3.0105536929813802E-3</v>
      </c>
      <c r="N6" s="3632"/>
      <c r="O6" s="3634"/>
      <c r="AA6" s="2500">
        <v>6</v>
      </c>
    </row>
    <row r="7" spans="1:27">
      <c r="A7" s="6" t="s">
        <v>2026</v>
      </c>
      <c r="B7" s="58">
        <f>'DCA Underwriting Assumptions'!$Q$118</f>
        <v>0.03</v>
      </c>
      <c r="C7" s="3706"/>
      <c r="D7" s="3630"/>
      <c r="E7" s="3630"/>
      <c r="F7" s="3630"/>
      <c r="G7" s="929">
        <f>IF(OR('Part II-Sources of Funds'!E6="Yes",'Part II-Sources of Funds'!H6&gt;0),'DCA Underwriting Assumptions'!$Q$79,0)</f>
        <v>0</v>
      </c>
      <c r="N7" s="3613"/>
      <c r="O7" s="3615"/>
      <c r="AA7" s="2500">
        <v>7</v>
      </c>
    </row>
    <row r="8" spans="1:27">
      <c r="A8" s="6" t="s">
        <v>2028</v>
      </c>
      <c r="B8" s="58">
        <f>'DCA Underwriting Assumptions'!$Q$119</f>
        <v>0.03</v>
      </c>
      <c r="C8" s="3706"/>
      <c r="D8" s="1" t="s">
        <v>258</v>
      </c>
      <c r="G8" s="61"/>
      <c r="H8" s="75" t="s">
        <v>2184</v>
      </c>
      <c r="K8" s="80">
        <f>IF(($B$15+$B$16+$B$17+$B$18)=0,"",-B22/($B$15+$B$16+$B$17+$B$18))</f>
        <v>5.9999933693959839E-2</v>
      </c>
      <c r="N8" s="3613"/>
      <c r="O8" s="3615"/>
      <c r="AA8" s="2500">
        <v>8</v>
      </c>
    </row>
    <row r="9" spans="1:27" ht="13.35" customHeight="1">
      <c r="A9" s="6" t="s">
        <v>2027</v>
      </c>
      <c r="B9" s="186">
        <v>7.0000000000000007E-2</v>
      </c>
      <c r="C9" s="1148" t="str">
        <f>IF(B9&lt;0.07, "Must be &gt;= 7%!","")</f>
        <v/>
      </c>
      <c r="D9" s="1" t="s">
        <v>2300</v>
      </c>
      <c r="G9" s="1162" t="s">
        <v>2643</v>
      </c>
      <c r="H9" s="140" t="s">
        <v>1353</v>
      </c>
      <c r="K9" s="1164">
        <v>0</v>
      </c>
      <c r="N9" s="3613"/>
      <c r="O9" s="3615"/>
      <c r="AA9" s="2500">
        <v>9</v>
      </c>
    </row>
    <row r="10" spans="1:27">
      <c r="A10" s="6" t="s">
        <v>1334</v>
      </c>
      <c r="B10" s="58">
        <v>0.02</v>
      </c>
      <c r="D10" s="1" t="s">
        <v>1595</v>
      </c>
      <c r="G10" s="1163" t="s">
        <v>2640</v>
      </c>
      <c r="H10" s="140" t="s">
        <v>2167</v>
      </c>
      <c r="K10" s="1165">
        <v>0.06</v>
      </c>
      <c r="N10" s="3580"/>
      <c r="O10" s="3582"/>
      <c r="AA10" s="2500">
        <v>10</v>
      </c>
    </row>
    <row r="11" spans="1:27" ht="9" customHeight="1">
      <c r="AA11" s="2500">
        <v>11</v>
      </c>
    </row>
    <row r="12" spans="1:27">
      <c r="A12" s="10" t="s">
        <v>86</v>
      </c>
      <c r="D12" s="848"/>
      <c r="N12" s="10" t="str">
        <f>A12</f>
        <v>II.  OPERATING PRO FORMA</v>
      </c>
      <c r="AA12" s="2500">
        <v>12</v>
      </c>
    </row>
    <row r="13" spans="1:27" ht="2.7" customHeight="1">
      <c r="AA13" s="2500">
        <v>13</v>
      </c>
    </row>
    <row r="14" spans="1:27" ht="14.7" customHeight="1">
      <c r="A14" s="10" t="s">
        <v>2277</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6" t="s">
        <v>2403</v>
      </c>
      <c r="O14" s="3266"/>
      <c r="AA14" s="2500">
        <v>14</v>
      </c>
    </row>
    <row r="15" spans="1:27" ht="13.35" customHeight="1">
      <c r="A15" s="14" t="s">
        <v>2208</v>
      </c>
      <c r="B15" s="15">
        <f>'Part V-Revenues &amp; Expenses'!$M$59</f>
        <v>2626224</v>
      </c>
      <c r="C15" s="15">
        <f t="shared" ref="C15:K15" si="1">$B$15*(1+$B$6)^(C14-1)</f>
        <v>2678748.48</v>
      </c>
      <c r="D15" s="15">
        <f t="shared" si="1"/>
        <v>2732323.4495999999</v>
      </c>
      <c r="E15" s="15">
        <f t="shared" si="1"/>
        <v>2786969.9185919999</v>
      </c>
      <c r="F15" s="15">
        <f t="shared" si="1"/>
        <v>2842709.3169638398</v>
      </c>
      <c r="G15" s="15">
        <f t="shared" si="1"/>
        <v>2899563.5033031167</v>
      </c>
      <c r="H15" s="15">
        <f t="shared" si="1"/>
        <v>2957554.7733691791</v>
      </c>
      <c r="I15" s="15">
        <f t="shared" si="1"/>
        <v>3016705.8688365621</v>
      </c>
      <c r="J15" s="15">
        <f t="shared" si="1"/>
        <v>3077039.9862132939</v>
      </c>
      <c r="K15" s="16">
        <f t="shared" si="1"/>
        <v>3138580.7859375598</v>
      </c>
      <c r="N15" s="3632"/>
      <c r="O15" s="3634"/>
      <c r="S15" s="3697" t="s">
        <v>3318</v>
      </c>
      <c r="Z15" s="2499" t="s">
        <v>4352</v>
      </c>
      <c r="AA15" s="2500">
        <v>15</v>
      </c>
    </row>
    <row r="16" spans="1:27" ht="13.35" customHeight="1">
      <c r="A16" s="17" t="s">
        <v>951</v>
      </c>
      <c r="B16" s="18">
        <f>MIN(B15*B10,'Part V-Revenues &amp; Expenses'!$H$201)</f>
        <v>52524.480000000003</v>
      </c>
      <c r="C16" s="18">
        <f t="shared" ref="C16:K16" si="2">$B$16*(1+$B$6)^(C14-1)</f>
        <v>53574.969600000004</v>
      </c>
      <c r="D16" s="18">
        <f t="shared" si="2"/>
        <v>54646.468992000002</v>
      </c>
      <c r="E16" s="18">
        <f t="shared" si="2"/>
        <v>55739.398371839998</v>
      </c>
      <c r="F16" s="18">
        <f t="shared" si="2"/>
        <v>56854.186339276799</v>
      </c>
      <c r="G16" s="18">
        <f t="shared" si="2"/>
        <v>57991.270066062338</v>
      </c>
      <c r="H16" s="18">
        <f t="shared" si="2"/>
        <v>59151.095467383588</v>
      </c>
      <c r="I16" s="18">
        <f t="shared" si="2"/>
        <v>60334.11737673125</v>
      </c>
      <c r="J16" s="18">
        <f t="shared" si="2"/>
        <v>61540.799724265882</v>
      </c>
      <c r="K16" s="19">
        <f t="shared" si="2"/>
        <v>62771.6157187512</v>
      </c>
      <c r="N16" s="3613"/>
      <c r="O16" s="3615"/>
      <c r="S16" s="3698"/>
      <c r="Z16" s="2499" t="s">
        <v>4352</v>
      </c>
      <c r="AA16" s="2500">
        <v>16</v>
      </c>
    </row>
    <row r="17" spans="1:27" ht="13.35" customHeight="1">
      <c r="A17" s="17" t="s">
        <v>2209</v>
      </c>
      <c r="B17" s="18">
        <f t="shared" ref="B17:K17" si="3">-(B15+B16)*$B$9</f>
        <v>-187512.39360000001</v>
      </c>
      <c r="C17" s="18">
        <f t="shared" si="3"/>
        <v>-191262.64147200002</v>
      </c>
      <c r="D17" s="18">
        <f t="shared" si="3"/>
        <v>-195087.89430144001</v>
      </c>
      <c r="E17" s="18">
        <f t="shared" si="3"/>
        <v>-198989.6521874688</v>
      </c>
      <c r="F17" s="18">
        <f t="shared" si="3"/>
        <v>-202969.44523121818</v>
      </c>
      <c r="G17" s="18">
        <f t="shared" si="3"/>
        <v>-207028.83413584257</v>
      </c>
      <c r="H17" s="18">
        <f t="shared" si="3"/>
        <v>-211169.41081855941</v>
      </c>
      <c r="I17" s="18">
        <f t="shared" si="3"/>
        <v>-215392.79903493056</v>
      </c>
      <c r="J17" s="18">
        <f t="shared" si="3"/>
        <v>-219700.65501562919</v>
      </c>
      <c r="K17" s="19">
        <f t="shared" si="3"/>
        <v>-224094.66811594178</v>
      </c>
      <c r="N17" s="3613"/>
      <c r="O17" s="3615"/>
      <c r="Q17" s="3700" t="s">
        <v>3212</v>
      </c>
      <c r="R17" s="3700" t="s">
        <v>3317</v>
      </c>
      <c r="S17" s="3698"/>
      <c r="Z17" s="2499" t="s">
        <v>4352</v>
      </c>
      <c r="AA17" s="2500">
        <v>17</v>
      </c>
    </row>
    <row r="18" spans="1:27" ht="13.35" customHeight="1">
      <c r="A18" s="17" t="s">
        <v>47</v>
      </c>
      <c r="B18" s="18">
        <f>+'Part V-Revenues &amp; Expenses'!H207</f>
        <v>0</v>
      </c>
      <c r="C18" s="18">
        <f>+'Part V-Revenues &amp; Expenses'!I207</f>
        <v>0</v>
      </c>
      <c r="D18" s="18">
        <f>+'Part V-Revenues &amp; Expenses'!J207</f>
        <v>0</v>
      </c>
      <c r="E18" s="18">
        <f>+'Part V-Revenues &amp; Expenses'!K207</f>
        <v>0</v>
      </c>
      <c r="F18" s="18">
        <f>+'Part V-Revenues &amp; Expenses'!L207</f>
        <v>0</v>
      </c>
      <c r="G18" s="18">
        <f>+'Part V-Revenues &amp; Expenses'!M207</f>
        <v>0</v>
      </c>
      <c r="H18" s="18">
        <f>+'Part V-Revenues &amp; Expenses'!N207</f>
        <v>0</v>
      </c>
      <c r="I18" s="18">
        <f>+'Part V-Revenues &amp; Expenses'!O207</f>
        <v>0</v>
      </c>
      <c r="J18" s="18">
        <f>+'Part V-Revenues &amp; Expenses'!P207</f>
        <v>0</v>
      </c>
      <c r="K18" s="19">
        <f>+'Part V-Revenues &amp; Expenses'!Q207</f>
        <v>0</v>
      </c>
      <c r="N18" s="3613"/>
      <c r="O18" s="3615"/>
      <c r="Q18" s="3700"/>
      <c r="R18" s="3700"/>
      <c r="S18" s="3699"/>
      <c r="Z18" s="2499" t="s">
        <v>4352</v>
      </c>
      <c r="AA18" s="2500">
        <v>18</v>
      </c>
    </row>
    <row r="19" spans="1:27" ht="13.35" customHeight="1">
      <c r="A19" s="17" t="s">
        <v>48</v>
      </c>
      <c r="B19" s="18">
        <f>'Part V-Revenues &amp; Expenses'!H211</f>
        <v>0</v>
      </c>
      <c r="C19" s="18">
        <f>'Part V-Revenues &amp; Expenses'!I211</f>
        <v>0</v>
      </c>
      <c r="D19" s="18">
        <f>'Part V-Revenues &amp; Expenses'!J211</f>
        <v>0</v>
      </c>
      <c r="E19" s="18">
        <f>'Part V-Revenues &amp; Expenses'!K211</f>
        <v>0</v>
      </c>
      <c r="F19" s="18">
        <f>'Part V-Revenues &amp; Expenses'!L211</f>
        <v>0</v>
      </c>
      <c r="G19" s="18">
        <f>'Part V-Revenues &amp; Expenses'!M211</f>
        <v>0</v>
      </c>
      <c r="H19" s="18">
        <f>'Part V-Revenues &amp; Expenses'!N211</f>
        <v>0</v>
      </c>
      <c r="I19" s="18">
        <f>'Part V-Revenues &amp; Expenses'!O211</f>
        <v>0</v>
      </c>
      <c r="J19" s="18">
        <f>'Part V-Revenues &amp; Expenses'!P211</f>
        <v>0</v>
      </c>
      <c r="K19" s="19">
        <f>'Part V-Revenues &amp; Expenses'!Q211</f>
        <v>0</v>
      </c>
      <c r="N19" s="3613"/>
      <c r="O19" s="3615"/>
      <c r="Z19" s="2499" t="s">
        <v>4352</v>
      </c>
      <c r="AA19" s="2500">
        <v>19</v>
      </c>
    </row>
    <row r="20" spans="1:27" ht="13.35" customHeight="1">
      <c r="A20" s="340" t="s">
        <v>3712</v>
      </c>
      <c r="B20" s="18">
        <f>SUM(B15:B19)</f>
        <v>2491236.0863999999</v>
      </c>
      <c r="C20" s="18">
        <f t="shared" ref="C20:K20" si="4">SUM(C15:C19)</f>
        <v>2541060.8081279998</v>
      </c>
      <c r="D20" s="18">
        <f t="shared" si="4"/>
        <v>2591882.0242905598</v>
      </c>
      <c r="E20" s="18">
        <f t="shared" si="4"/>
        <v>2643719.6647763709</v>
      </c>
      <c r="F20" s="18">
        <f t="shared" si="4"/>
        <v>2696594.0580718983</v>
      </c>
      <c r="G20" s="18">
        <f t="shared" si="4"/>
        <v>2750525.9392333366</v>
      </c>
      <c r="H20" s="18">
        <f t="shared" si="4"/>
        <v>2805536.458018003</v>
      </c>
      <c r="I20" s="18">
        <f t="shared" si="4"/>
        <v>2861647.1871783626</v>
      </c>
      <c r="J20" s="18">
        <f t="shared" si="4"/>
        <v>2918880.1309219305</v>
      </c>
      <c r="K20" s="19">
        <f t="shared" si="4"/>
        <v>2977257.7335403692</v>
      </c>
      <c r="N20" s="3613"/>
      <c r="O20" s="3615"/>
      <c r="Z20" s="2499" t="s">
        <v>4352</v>
      </c>
      <c r="AA20" s="2500">
        <v>20</v>
      </c>
    </row>
    <row r="21" spans="1:27" ht="13.35" customHeight="1">
      <c r="A21" s="17" t="s">
        <v>571</v>
      </c>
      <c r="B21" s="18">
        <f>-('Part V-Revenues &amp; Expenses'!$Q$250-'Part V-Revenues &amp; Expenses'!$Q$242)</f>
        <v>-1085368</v>
      </c>
      <c r="C21" s="18">
        <f t="shared" ref="C21:K21" si="5">$B$21*(1+$B$7)^(C14-1)</f>
        <v>-1117929.04</v>
      </c>
      <c r="D21" s="18">
        <f t="shared" si="5"/>
        <v>-1151466.9112</v>
      </c>
      <c r="E21" s="18">
        <f t="shared" si="5"/>
        <v>-1186010.918536</v>
      </c>
      <c r="F21" s="18">
        <f t="shared" si="5"/>
        <v>-1221591.2460920799</v>
      </c>
      <c r="G21" s="18">
        <f t="shared" si="5"/>
        <v>-1258238.9834748423</v>
      </c>
      <c r="H21" s="18">
        <f t="shared" si="5"/>
        <v>-1295986.1529790876</v>
      </c>
      <c r="I21" s="18">
        <f t="shared" si="5"/>
        <v>-1334865.7375684602</v>
      </c>
      <c r="J21" s="18">
        <f t="shared" si="5"/>
        <v>-1374911.7096955138</v>
      </c>
      <c r="K21" s="19">
        <f t="shared" si="5"/>
        <v>-1416159.0609863794</v>
      </c>
      <c r="N21" s="3613"/>
      <c r="O21" s="3615"/>
      <c r="Q21" s="47">
        <v>1</v>
      </c>
      <c r="R21" s="852">
        <f>-B32</f>
        <v>230059</v>
      </c>
      <c r="S21" s="852">
        <f>B33+R21</f>
        <v>230059.37855569771</v>
      </c>
      <c r="Z21" s="2499" t="s">
        <v>4352</v>
      </c>
      <c r="AA21" s="2500">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-149474</v>
      </c>
      <c r="C22" s="18">
        <f>IF(AND('Part VI-Pro Forma'!$G$9="Yes",'Part VI-Pro Forma'!$G$10="Yes"),"Choose One!",IF('Part VI-Pro Forma'!$G$9="Yes",ROUND((-$K$9*(1+'Part VI-Pro Forma'!$B$7)^('Part VI-Pro Forma'!C14-1)),),IF('Part VI-Pro Forma'!$G$10="Yes",ROUND((-(SUM(C15:C18)*'Part VI-Pro Forma'!$K$10)),),"Choose mgt fee")))</f>
        <v>-152464</v>
      </c>
      <c r="D22" s="18">
        <f>IF(AND('Part VI-Pro Forma'!$G$9="Yes",'Part VI-Pro Forma'!$G$10="Yes"),"Choose One!",IF('Part VI-Pro Forma'!$G$9="Yes",ROUND((-$K$9*(1+'Part VI-Pro Forma'!$B$7)^('Part VI-Pro Forma'!D14-1)),),IF('Part VI-Pro Forma'!$G$10="Yes",ROUND((-(SUM(D15:D18)*'Part VI-Pro Forma'!$K$10)),),"Choose mgt fee")))</f>
        <v>-155513</v>
      </c>
      <c r="E22" s="18">
        <f>IF(AND('Part VI-Pro Forma'!$G$9="Yes",'Part VI-Pro Forma'!$G$10="Yes"),"Choose One!",IF('Part VI-Pro Forma'!$G$9="Yes",ROUND((-$K$9*(1+'Part VI-Pro Forma'!$B$7)^('Part VI-Pro Forma'!E14-1)),),IF('Part VI-Pro Forma'!$G$10="Yes",ROUND((-(SUM(E15:E18)*'Part VI-Pro Forma'!$K$10)),),"Choose mgt fee")))</f>
        <v>-158623</v>
      </c>
      <c r="F22" s="18">
        <f>IF(AND('Part VI-Pro Forma'!$G$9="Yes",'Part VI-Pro Forma'!$G$10="Yes"),"Choose One!",IF('Part VI-Pro Forma'!$G$9="Yes",ROUND((-$K$9*(1+'Part VI-Pro Forma'!$B$7)^('Part VI-Pro Forma'!F14-1)),),IF('Part VI-Pro Forma'!$G$10="Yes",ROUND((-(SUM(F15:F18)*'Part VI-Pro Forma'!$K$10)),),"Choose mgt fee")))</f>
        <v>-161796</v>
      </c>
      <c r="G22" s="18">
        <f>IF(AND('Part VI-Pro Forma'!$G$9="Yes",'Part VI-Pro Forma'!$G$10="Yes"),"Choose One!",IF('Part VI-Pro Forma'!$G$9="Yes",ROUND((-$K$9*(1+'Part VI-Pro Forma'!$B$7)^('Part VI-Pro Forma'!G14-1)),),IF('Part VI-Pro Forma'!$G$10="Yes",ROUND((-(SUM(G15:G18)*'Part VI-Pro Forma'!$K$10)),),"Choose mgt fee")))</f>
        <v>-165032</v>
      </c>
      <c r="H22" s="18">
        <f>IF(AND('Part VI-Pro Forma'!$G$9="Yes",'Part VI-Pro Forma'!$G$10="Yes"),"Choose One!",IF('Part VI-Pro Forma'!$G$9="Yes",ROUND((-$K$9*(1+'Part VI-Pro Forma'!$B$7)^('Part VI-Pro Forma'!H14-1)),),IF('Part VI-Pro Forma'!$G$10="Yes",ROUND((-(SUM(H15:H18)*'Part VI-Pro Forma'!$K$10)),),"Choose mgt fee")))</f>
        <v>-168332</v>
      </c>
      <c r="I22" s="18">
        <f>IF(AND('Part VI-Pro Forma'!$G$9="Yes",'Part VI-Pro Forma'!$G$10="Yes"),"Choose One!",IF('Part VI-Pro Forma'!$G$9="Yes",ROUND((-$K$9*(1+'Part VI-Pro Forma'!$B$7)^('Part VI-Pro Forma'!I14-1)),),IF('Part VI-Pro Forma'!$G$10="Yes",ROUND((-(SUM(I15:I18)*'Part VI-Pro Forma'!$K$10)),),"Choose mgt fee")))</f>
        <v>-171699</v>
      </c>
      <c r="J22" s="18">
        <f>IF(AND('Part VI-Pro Forma'!$G$9="Yes",'Part VI-Pro Forma'!$G$10="Yes"),"Choose One!",IF('Part VI-Pro Forma'!$G$9="Yes",ROUND((-$K$9*(1+'Part VI-Pro Forma'!$B$7)^('Part VI-Pro Forma'!J14-1)),),IF('Part VI-Pro Forma'!$G$10="Yes",ROUND((-(SUM(J15:J18)*'Part VI-Pro Forma'!$K$10)),),"Choose mgt fee")))</f>
        <v>-175133</v>
      </c>
      <c r="K22" s="19">
        <f>IF(AND('Part VI-Pro Forma'!$G$9="Yes",'Part VI-Pro Forma'!$G$10="Yes"),"Choose One!",IF('Part VI-Pro Forma'!$G$9="Yes",ROUND((-$K$9*(1+'Part VI-Pro Forma'!$B$7)^('Part VI-Pro Forma'!K14-1)),),IF('Part VI-Pro Forma'!$G$10="Yes",ROUND((-(SUM(K15:K18)*'Part VI-Pro Forma'!$K$10)),),"Choose mgt fee")))</f>
        <v>-178635</v>
      </c>
      <c r="N22" s="3613"/>
      <c r="O22" s="3615"/>
      <c r="Q22" s="47">
        <v>2</v>
      </c>
      <c r="R22" s="852">
        <f>-SUM(B32:C32)</f>
        <v>472472</v>
      </c>
      <c r="S22" s="852">
        <f>SUM(B33:C33)+R22</f>
        <v>472472.43883939524</v>
      </c>
      <c r="Z22" s="2499" t="s">
        <v>4352</v>
      </c>
      <c r="AA22" s="2500">
        <v>22</v>
      </c>
    </row>
    <row r="23" spans="1:27" ht="13.35" customHeight="1">
      <c r="A23" s="17" t="s">
        <v>1127</v>
      </c>
      <c r="B23" s="18">
        <f>-('Part V-Revenues &amp; Expenses'!$Q$256)</f>
        <v>-64000</v>
      </c>
      <c r="C23" s="18">
        <f t="shared" ref="C23:K23" si="6">$B$23*(1+$B$8)^(C14-1)</f>
        <v>-65920</v>
      </c>
      <c r="D23" s="18">
        <f t="shared" si="6"/>
        <v>-67897.599999999991</v>
      </c>
      <c r="E23" s="18">
        <f t="shared" si="6"/>
        <v>-69934.528000000006</v>
      </c>
      <c r="F23" s="18">
        <f t="shared" si="6"/>
        <v>-72032.563839999988</v>
      </c>
      <c r="G23" s="18">
        <f t="shared" si="6"/>
        <v>-74193.540755199996</v>
      </c>
      <c r="H23" s="18">
        <f t="shared" si="6"/>
        <v>-76419.346977855996</v>
      </c>
      <c r="I23" s="18">
        <f t="shared" si="6"/>
        <v>-78711.927387191681</v>
      </c>
      <c r="J23" s="18">
        <f t="shared" si="6"/>
        <v>-81073.285208807414</v>
      </c>
      <c r="K23" s="19">
        <f t="shared" si="6"/>
        <v>-83505.483765071651</v>
      </c>
      <c r="N23" s="3613"/>
      <c r="O23" s="3615"/>
      <c r="Q23" s="47">
        <v>3</v>
      </c>
      <c r="R23" s="852">
        <f>-SUM(B32:D32)</f>
        <v>727142</v>
      </c>
      <c r="S23" s="852">
        <f>SUM(B33:D33)+R23</f>
        <v>727142.24408565275</v>
      </c>
      <c r="Z23" s="2499" t="s">
        <v>4352</v>
      </c>
      <c r="AA23" s="2500">
        <v>23</v>
      </c>
    </row>
    <row r="24" spans="1:27" ht="13.35" customHeight="1">
      <c r="A24" s="340" t="s">
        <v>3711</v>
      </c>
      <c r="B24" s="1214">
        <f>IF(B14&lt;=+'Part V-Revenues &amp; Expenses'!$L$275,-'Part V-Revenues &amp; Expenses'!$F$275,0)</f>
        <v>0</v>
      </c>
      <c r="C24" s="1214">
        <f>IF(C14&lt;=+'Part V-Revenues &amp; Expenses'!$L$275,-'Part V-Revenues &amp; Expenses'!$F$275,0)</f>
        <v>0</v>
      </c>
      <c r="D24" s="1214">
        <f>IF(D14&lt;=+'Part V-Revenues &amp; Expenses'!$L$275,-'Part V-Revenues &amp; Expenses'!$F$275,0)</f>
        <v>0</v>
      </c>
      <c r="E24" s="1214">
        <f>IF(E14&lt;=+'Part V-Revenues &amp; Expenses'!$L$275,-'Part V-Revenues &amp; Expenses'!$F$275,0)</f>
        <v>0</v>
      </c>
      <c r="F24" s="1214">
        <f>IF(F14&lt;=+'Part V-Revenues &amp; Expenses'!$L$275,-'Part V-Revenues &amp; Expenses'!$F$275,0)</f>
        <v>0</v>
      </c>
      <c r="G24" s="1214">
        <f>IF(G14&lt;=+'Part V-Revenues &amp; Expenses'!$L$275,-'Part V-Revenues &amp; Expenses'!$F$275,0)</f>
        <v>0</v>
      </c>
      <c r="H24" s="1214">
        <f>IF(H14&lt;=+'Part V-Revenues &amp; Expenses'!$L$275,-'Part V-Revenues &amp; Expenses'!$F$275,0)</f>
        <v>0</v>
      </c>
      <c r="I24" s="1214">
        <f>IF(I14&lt;=+'Part V-Revenues &amp; Expenses'!$L$275,-'Part V-Revenues &amp; Expenses'!$F$275,0)</f>
        <v>0</v>
      </c>
      <c r="J24" s="1214">
        <f>IF(J14&lt;=+'Part V-Revenues &amp; Expenses'!$L$275,-'Part V-Revenues &amp; Expenses'!$F$275,0)</f>
        <v>0</v>
      </c>
      <c r="K24" s="1214">
        <f>IF(K14&lt;=+'Part V-Revenues &amp; Expenses'!$L$275,-'Part V-Revenues &amp; Expenses'!$F$275,0)</f>
        <v>0</v>
      </c>
      <c r="N24" s="3613"/>
      <c r="O24" s="3615"/>
      <c r="Q24" s="92">
        <v>4</v>
      </c>
      <c r="R24" s="852">
        <f>-SUM(B32:E32)</f>
        <v>801667</v>
      </c>
      <c r="S24" s="852">
        <f>SUM(B33:E33)+R24</f>
        <v>993958.75448172144</v>
      </c>
      <c r="Z24" s="2499" t="s">
        <v>4352</v>
      </c>
      <c r="AA24" s="2500">
        <v>24</v>
      </c>
    </row>
    <row r="25" spans="1:27" ht="13.35" customHeight="1">
      <c r="A25" s="17" t="s">
        <v>1128</v>
      </c>
      <c r="B25" s="18">
        <f>SUM(B20:B24)</f>
        <v>1192394.0863999999</v>
      </c>
      <c r="C25" s="18">
        <f t="shared" ref="C25:J25" si="7">SUM(C20:C24)</f>
        <v>1204747.7681279997</v>
      </c>
      <c r="D25" s="18">
        <f t="shared" si="7"/>
        <v>1217004.5130905597</v>
      </c>
      <c r="E25" s="18">
        <f t="shared" si="7"/>
        <v>1229151.218240371</v>
      </c>
      <c r="F25" s="18">
        <f t="shared" si="7"/>
        <v>1241174.2481398184</v>
      </c>
      <c r="G25" s="18">
        <f t="shared" si="7"/>
        <v>1253061.4150032944</v>
      </c>
      <c r="H25" s="18">
        <f t="shared" si="7"/>
        <v>1264798.9580610595</v>
      </c>
      <c r="I25" s="18">
        <f t="shared" si="7"/>
        <v>1276370.5222227108</v>
      </c>
      <c r="J25" s="18">
        <f t="shared" si="7"/>
        <v>1287762.1360176094</v>
      </c>
      <c r="K25" s="1150">
        <f>SUM(K20:K24)</f>
        <v>1298958.1887889181</v>
      </c>
      <c r="N25" s="3613"/>
      <c r="O25" s="3615"/>
      <c r="Q25" s="92">
        <v>5</v>
      </c>
      <c r="R25" s="852">
        <f>-SUM(B32:F32)</f>
        <v>801667</v>
      </c>
      <c r="S25" s="852">
        <f>SUM(B33:F33)+R25</f>
        <v>1272798.2947772378</v>
      </c>
      <c r="Z25" s="2499" t="s">
        <v>4352</v>
      </c>
      <c r="AA25" s="2500">
        <v>25</v>
      </c>
    </row>
    <row r="26" spans="1:27" ht="13.35" customHeight="1">
      <c r="A26" s="340" t="s">
        <v>1484</v>
      </c>
      <c r="B26" s="341">
        <f>IF('Part II-Sources of Funds'!$P$42="", 0,-'Part II-Sources of Funds'!$P$42)</f>
        <v>-896999.03843217005</v>
      </c>
      <c r="C26" s="341">
        <f>IF('Part II-Sources of Funds'!$P$42="", 0,-'Part II-Sources of Funds'!$P$42)</f>
        <v>-896999.03843217005</v>
      </c>
      <c r="D26" s="341">
        <f>IF('Part II-Sources of Funds'!$P$42="", 0,-'Part II-Sources of Funds'!$P$42)</f>
        <v>-896999.03843217005</v>
      </c>
      <c r="E26" s="341">
        <f>IF('Part II-Sources of Funds'!$P$42="", 0,-'Part II-Sources of Funds'!$P$42)</f>
        <v>-896999.03843217005</v>
      </c>
      <c r="F26" s="341">
        <f>IF('Part II-Sources of Funds'!$P$42="", 0,-'Part II-Sources of Funds'!$P$42)</f>
        <v>-896999.03843217005</v>
      </c>
      <c r="G26" s="341">
        <f>IF('Part II-Sources of Funds'!$P$42="", 0,-'Part II-Sources of Funds'!$P$42)</f>
        <v>-896999.03843217005</v>
      </c>
      <c r="H26" s="341">
        <f>IF('Part II-Sources of Funds'!$P$42="", 0,-'Part II-Sources of Funds'!$P$42)</f>
        <v>-896999.03843217005</v>
      </c>
      <c r="I26" s="341">
        <f>IF('Part II-Sources of Funds'!$P$42="", 0,-'Part II-Sources of Funds'!$P$42)</f>
        <v>-896999.03843217005</v>
      </c>
      <c r="J26" s="341">
        <f>IF('Part II-Sources of Funds'!$P$42="", 0,-'Part II-Sources of Funds'!$P$42)</f>
        <v>-896999.03843217005</v>
      </c>
      <c r="K26" s="341">
        <f>IF('Part II-Sources of Funds'!$P$42="", 0,-'Part II-Sources of Funds'!$P$42)</f>
        <v>-896999.03843217005</v>
      </c>
      <c r="N26" s="3613"/>
      <c r="O26" s="3615"/>
      <c r="Q26" s="92">
        <v>6</v>
      </c>
      <c r="R26" s="852">
        <f>-SUM(B32:G32)</f>
        <v>801667</v>
      </c>
      <c r="S26" s="852">
        <f>SUM(B33:G33)+R26</f>
        <v>1563525.0019362299</v>
      </c>
      <c r="Z26" s="2499" t="s">
        <v>4352</v>
      </c>
      <c r="AA26" s="2500">
        <v>26</v>
      </c>
    </row>
    <row r="27" spans="1:27" ht="13.35" customHeight="1">
      <c r="A27" s="340" t="s">
        <v>1485</v>
      </c>
      <c r="B27" s="178">
        <f>IF('Part II-Sources of Funds'!$P$43="", 0,-'Part II-Sources of Funds'!$P$43)</f>
        <v>-57835.669412132156</v>
      </c>
      <c r="C27" s="178">
        <f>IF('Part II-Sources of Funds'!$P$43="", 0,-'Part II-Sources of Funds'!$P$43)</f>
        <v>-57835.669412132156</v>
      </c>
      <c r="D27" s="178">
        <f>IF('Part II-Sources of Funds'!$P$43="", 0,-'Part II-Sources of Funds'!$P$43)</f>
        <v>-57835.669412132156</v>
      </c>
      <c r="E27" s="178">
        <f>IF('Part II-Sources of Funds'!$P$43="", 0,-'Part II-Sources of Funds'!$P$43)</f>
        <v>-57835.669412132156</v>
      </c>
      <c r="F27" s="178">
        <f>IF('Part II-Sources of Funds'!$P$43="", 0,-'Part II-Sources of Funds'!$P$43)</f>
        <v>-57835.669412132156</v>
      </c>
      <c r="G27" s="178">
        <f>IF('Part II-Sources of Funds'!$P$43="", 0,-'Part II-Sources of Funds'!$P$43)</f>
        <v>-57835.669412132156</v>
      </c>
      <c r="H27" s="178">
        <f>IF('Part II-Sources of Funds'!$P$43="", 0,-'Part II-Sources of Funds'!$P$43)</f>
        <v>-57835.669412132156</v>
      </c>
      <c r="I27" s="178">
        <f>IF('Part II-Sources of Funds'!$P$43="", 0,-'Part II-Sources of Funds'!$P$43)</f>
        <v>-57835.669412132156</v>
      </c>
      <c r="J27" s="178">
        <f>IF('Part II-Sources of Funds'!$P$43="", 0,-'Part II-Sources of Funds'!$P$43)</f>
        <v>-57835.669412132156</v>
      </c>
      <c r="K27" s="178">
        <f>IF('Part II-Sources of Funds'!$P$43="", 0,-'Part II-Sources of Funds'!$P$43)</f>
        <v>-57835.669412132156</v>
      </c>
      <c r="N27" s="3613"/>
      <c r="O27" s="3615"/>
      <c r="Q27" s="92">
        <v>7</v>
      </c>
      <c r="R27" s="852">
        <f>-SUM(B32:H32)</f>
        <v>801667</v>
      </c>
      <c r="S27" s="852">
        <f>SUM(B33:H33)+R27</f>
        <v>1865989.2521529871</v>
      </c>
      <c r="Z27" s="2499" t="s">
        <v>4352</v>
      </c>
      <c r="AA27" s="2500">
        <v>27</v>
      </c>
    </row>
    <row r="28" spans="1:27" ht="13.35" customHeight="1">
      <c r="A28" s="340" t="s">
        <v>1486</v>
      </c>
      <c r="B28" s="178">
        <f>IF('Part II-Sources of Funds'!$P$44="", 0,-'Part II-Sources of Funds'!$P$44)</f>
        <v>0</v>
      </c>
      <c r="C28" s="178">
        <f>IF('Part II-Sources of Funds'!$P$44="", 0,-'Part II-Sources of Funds'!$P$44)</f>
        <v>0</v>
      </c>
      <c r="D28" s="178">
        <f>IF('Part II-Sources of Funds'!$P$44="", 0,-'Part II-Sources of Funds'!$P$44)</f>
        <v>0</v>
      </c>
      <c r="E28" s="178">
        <f>IF('Part II-Sources of Funds'!$P$44="", 0,-'Part II-Sources of Funds'!$P$44)</f>
        <v>0</v>
      </c>
      <c r="F28" s="178">
        <f>IF('Part II-Sources of Funds'!$P$44="", 0,-'Part II-Sources of Funds'!$P$44)</f>
        <v>0</v>
      </c>
      <c r="G28" s="178">
        <f>IF('Part II-Sources of Funds'!$P$44="", 0,-'Part II-Sources of Funds'!$P$44)</f>
        <v>0</v>
      </c>
      <c r="H28" s="178">
        <f>IF('Part II-Sources of Funds'!$P$44="", 0,-'Part II-Sources of Funds'!$P$44)</f>
        <v>0</v>
      </c>
      <c r="I28" s="178">
        <f>IF('Part II-Sources of Funds'!$P$44="", 0,-'Part II-Sources of Funds'!$P$44)</f>
        <v>0</v>
      </c>
      <c r="J28" s="178">
        <f>IF('Part II-Sources of Funds'!$P$44="", 0,-'Part II-Sources of Funds'!$P$44)</f>
        <v>0</v>
      </c>
      <c r="K28" s="178">
        <f>IF('Part II-Sources of Funds'!$P$44="", 0,-'Part II-Sources of Funds'!$P$44)</f>
        <v>0</v>
      </c>
      <c r="N28" s="3613"/>
      <c r="O28" s="3615"/>
      <c r="Q28" s="92">
        <v>8</v>
      </c>
      <c r="R28" s="852">
        <f>-SUM(B32:I32)</f>
        <v>801667</v>
      </c>
      <c r="S28" s="852">
        <f>SUM(B33:I33)+R28</f>
        <v>2180025.0665313955</v>
      </c>
      <c r="Z28" s="2499" t="s">
        <v>4352</v>
      </c>
      <c r="AA28" s="2500">
        <v>28</v>
      </c>
    </row>
    <row r="29" spans="1:27" ht="13.35" customHeight="1">
      <c r="A29" s="340" t="s">
        <v>3198</v>
      </c>
      <c r="B29" s="178">
        <f>IF('Part II-Sources of Funds'!$P$45="", 0,-'Part II-Sources of Funds'!$P$45)</f>
        <v>0</v>
      </c>
      <c r="C29" s="178">
        <f>IF('Part II-Sources of Funds'!$P$45="", 0,-'Part II-Sources of Funds'!$P$45)</f>
        <v>0</v>
      </c>
      <c r="D29" s="178">
        <f>IF('Part II-Sources of Funds'!$P$45="", 0,-'Part II-Sources of Funds'!$P$45)</f>
        <v>0</v>
      </c>
      <c r="E29" s="178">
        <f>IF('Part II-Sources of Funds'!$P$45="", 0,-'Part II-Sources of Funds'!$P$45)</f>
        <v>0</v>
      </c>
      <c r="F29" s="178">
        <f>IF('Part II-Sources of Funds'!$P$45="", 0,-'Part II-Sources of Funds'!$P$45)</f>
        <v>0</v>
      </c>
      <c r="G29" s="178">
        <f>IF('Part II-Sources of Funds'!$P$45="", 0,-'Part II-Sources of Funds'!$P$45)</f>
        <v>0</v>
      </c>
      <c r="H29" s="178">
        <f>IF('Part II-Sources of Funds'!$P$45="", 0,-'Part II-Sources of Funds'!$P$45)</f>
        <v>0</v>
      </c>
      <c r="I29" s="178">
        <f>IF('Part II-Sources of Funds'!$P$45="", 0,-'Part II-Sources of Funds'!$P$45)</f>
        <v>0</v>
      </c>
      <c r="J29" s="178">
        <f>IF('Part II-Sources of Funds'!$P$45="", 0,-'Part II-Sources of Funds'!$P$45)</f>
        <v>0</v>
      </c>
      <c r="K29" s="178">
        <f>IF('Part II-Sources of Funds'!$P$45="", 0,-'Part II-Sources of Funds'!$P$45)</f>
        <v>0</v>
      </c>
      <c r="N29" s="3613"/>
      <c r="O29" s="3615"/>
      <c r="Q29" s="92">
        <v>9</v>
      </c>
      <c r="R29" s="852">
        <f>-SUM(B32:J32)</f>
        <v>801667</v>
      </c>
      <c r="S29" s="852">
        <f>SUM(B33:J33)+R29</f>
        <v>2505452.4947047029</v>
      </c>
      <c r="Z29" s="2499" t="s">
        <v>4352</v>
      </c>
      <c r="AA29" s="2500">
        <v>29</v>
      </c>
    </row>
    <row r="30" spans="1:27" ht="13.35" customHeight="1">
      <c r="A30" s="17" t="s">
        <v>710</v>
      </c>
      <c r="B30" s="138"/>
      <c r="C30" s="138"/>
      <c r="D30" s="138"/>
      <c r="E30" s="138"/>
      <c r="F30" s="138"/>
      <c r="G30" s="138"/>
      <c r="H30" s="138"/>
      <c r="I30" s="138"/>
      <c r="J30" s="138"/>
      <c r="K30" s="138"/>
      <c r="N30" s="3613"/>
      <c r="O30" s="3615"/>
      <c r="Q30" s="92">
        <v>10</v>
      </c>
      <c r="R30" s="852">
        <f>-SUM(B32:K32)</f>
        <v>801667</v>
      </c>
      <c r="S30" s="852">
        <f>SUM(B33:K33)+R30</f>
        <v>2842075.9756493187</v>
      </c>
      <c r="Z30" s="2499" t="s">
        <v>4352</v>
      </c>
      <c r="AA30" s="2500">
        <v>30</v>
      </c>
    </row>
    <row r="31" spans="1:27" ht="13.35" customHeight="1">
      <c r="A31" s="340" t="s">
        <v>1094</v>
      </c>
      <c r="B31" s="890">
        <f>-$G$6</f>
        <v>-7500</v>
      </c>
      <c r="C31" s="890">
        <f t="shared" ref="C31:K31" si="8">+B31</f>
        <v>-7500</v>
      </c>
      <c r="D31" s="890">
        <f t="shared" si="8"/>
        <v>-7500</v>
      </c>
      <c r="E31" s="890">
        <f>+D31</f>
        <v>-7500</v>
      </c>
      <c r="F31" s="890">
        <f t="shared" si="8"/>
        <v>-7500</v>
      </c>
      <c r="G31" s="890">
        <f t="shared" si="8"/>
        <v>-7500</v>
      </c>
      <c r="H31" s="890">
        <f t="shared" si="8"/>
        <v>-7500</v>
      </c>
      <c r="I31" s="890">
        <f t="shared" si="8"/>
        <v>-7500</v>
      </c>
      <c r="J31" s="890">
        <f t="shared" si="8"/>
        <v>-7500</v>
      </c>
      <c r="K31" s="890">
        <f t="shared" si="8"/>
        <v>-7500</v>
      </c>
      <c r="N31" s="3613"/>
      <c r="O31" s="3615"/>
      <c r="Q31" s="92">
        <v>11</v>
      </c>
      <c r="R31" s="852">
        <f>-SUM(B32:K32)-B64</f>
        <v>801667</v>
      </c>
      <c r="S31" s="852">
        <f>SUM(B33:K33)+B65+R31</f>
        <v>3189681.6749221985</v>
      </c>
      <c r="Z31" s="2499" t="s">
        <v>4352</v>
      </c>
      <c r="AA31" s="2500">
        <v>31</v>
      </c>
    </row>
    <row r="32" spans="1:27" ht="13.35" customHeight="1">
      <c r="A32" s="340" t="s">
        <v>3271</v>
      </c>
      <c r="B32" s="179">
        <v>-230059</v>
      </c>
      <c r="C32" s="179">
        <v>-242413</v>
      </c>
      <c r="D32" s="179">
        <v>-254670</v>
      </c>
      <c r="E32" s="179">
        <v>-74525</v>
      </c>
      <c r="F32" s="179">
        <f>IF('Part II-Sources of Funds'!$P$47="", 0,-'Part II-Sources of Funds'!$P$47)</f>
        <v>0</v>
      </c>
      <c r="G32" s="179">
        <f>IF('Part II-Sources of Funds'!$P$47="", 0,-'Part II-Sources of Funds'!$P$47)</f>
        <v>0</v>
      </c>
      <c r="H32" s="179">
        <f>IF('Part II-Sources of Funds'!$P$47="", 0,-'Part II-Sources of Funds'!$P$47)</f>
        <v>0</v>
      </c>
      <c r="I32" s="179">
        <f>IF('Part II-Sources of Funds'!$P$47="", 0,-'Part II-Sources of Funds'!$P$47)</f>
        <v>0</v>
      </c>
      <c r="J32" s="179">
        <f>IF('Part II-Sources of Funds'!$P$47="", 0,-'Part II-Sources of Funds'!$P$47)</f>
        <v>0</v>
      </c>
      <c r="K32" s="179">
        <f>IF('Part II-Sources of Funds'!$P$47="", 0,-'Part II-Sources of Funds'!$P$47)</f>
        <v>0</v>
      </c>
      <c r="N32" s="3613"/>
      <c r="O32" s="3615"/>
      <c r="Q32" s="92">
        <v>12</v>
      </c>
      <c r="R32" s="852">
        <f>-SUM(B32:K32) - SUM(B64:C64)</f>
        <v>801667</v>
      </c>
      <c r="S32" s="852">
        <f>SUM(B33:K33) + SUM(B65:C65)+R32</f>
        <v>3548039.7975264811</v>
      </c>
      <c r="Z32" s="2499" t="s">
        <v>4352</v>
      </c>
      <c r="AA32" s="2500">
        <v>32</v>
      </c>
    </row>
    <row r="33" spans="1:27" ht="13.35" customHeight="1">
      <c r="A33" s="17" t="s">
        <v>1095</v>
      </c>
      <c r="B33" s="18">
        <f t="shared" ref="B33:K33" si="9">SUM(B25:B32)</f>
        <v>0.37855569770908915</v>
      </c>
      <c r="C33" s="18">
        <f t="shared" si="9"/>
        <v>6.028369753039442E-2</v>
      </c>
      <c r="D33" s="18">
        <f t="shared" si="9"/>
        <v>-0.19475374248577282</v>
      </c>
      <c r="E33" s="18">
        <f t="shared" si="9"/>
        <v>192291.51039606874</v>
      </c>
      <c r="F33" s="18">
        <f t="shared" si="9"/>
        <v>278839.5402955162</v>
      </c>
      <c r="G33" s="18">
        <f t="shared" si="9"/>
        <v>290726.70715899213</v>
      </c>
      <c r="H33" s="18">
        <f t="shared" si="9"/>
        <v>302464.25021675724</v>
      </c>
      <c r="I33" s="18">
        <f t="shared" si="9"/>
        <v>314035.81437840854</v>
      </c>
      <c r="J33" s="18">
        <f t="shared" si="9"/>
        <v>325427.42817330715</v>
      </c>
      <c r="K33" s="19">
        <f t="shared" si="9"/>
        <v>336623.48094461585</v>
      </c>
      <c r="N33" s="3613"/>
      <c r="O33" s="3615"/>
      <c r="Q33" s="92">
        <v>13</v>
      </c>
      <c r="R33" s="852">
        <f>-SUM(B32:K32) - SUM(B64:D64)</f>
        <v>801667</v>
      </c>
      <c r="S33" s="852">
        <f>SUM(B33:K33) + SUM(B65:D65)+R33</f>
        <v>3916901.8755844682</v>
      </c>
      <c r="Z33" s="2499" t="s">
        <v>4352</v>
      </c>
      <c r="AA33" s="2500">
        <v>33</v>
      </c>
    </row>
    <row r="34" spans="1:27" ht="13.35" customHeight="1">
      <c r="A34" s="17" t="str">
        <f>IF('Part II-Sources of Funds'!$E$42 = "Neither", "", "DCR Mortgage A")</f>
        <v>DCR Mortgage A</v>
      </c>
      <c r="B34" s="20">
        <f t="shared" ref="B34:K34" si="10">IF(B26=0,"",-B25/B26)</f>
        <v>1.3293147877662606</v>
      </c>
      <c r="C34" s="20">
        <f t="shared" si="10"/>
        <v>1.3430870229624012</v>
      </c>
      <c r="D34" s="20">
        <f t="shared" si="10"/>
        <v>1.3567511902997298</v>
      </c>
      <c r="E34" s="20">
        <f t="shared" si="10"/>
        <v>1.3702926821290209</v>
      </c>
      <c r="F34" s="20">
        <f t="shared" si="10"/>
        <v>1.3836962972772178</v>
      </c>
      <c r="G34" s="20">
        <f t="shared" si="10"/>
        <v>1.39694844845483</v>
      </c>
      <c r="H34" s="20">
        <f t="shared" si="10"/>
        <v>1.4100337947649897</v>
      </c>
      <c r="I34" s="20">
        <f t="shared" si="10"/>
        <v>1.4229341030884821</v>
      </c>
      <c r="J34" s="20">
        <f t="shared" si="10"/>
        <v>1.4356337976330933</v>
      </c>
      <c r="K34" s="21">
        <f t="shared" si="10"/>
        <v>1.4481154751952876</v>
      </c>
      <c r="N34" s="3613"/>
      <c r="O34" s="3615"/>
      <c r="Q34" s="92">
        <v>14</v>
      </c>
      <c r="R34" s="852">
        <f>-SUM(B32:K32) - SUM(B64:E64)</f>
        <v>801667</v>
      </c>
      <c r="S34" s="852">
        <f>SUM(B33:K33) + SUM(B65:E65)+R34</f>
        <v>4296000.0299705751</v>
      </c>
      <c r="Z34" s="2499" t="s">
        <v>4352</v>
      </c>
      <c r="AA34" s="2500">
        <v>34</v>
      </c>
    </row>
    <row r="35" spans="1:27" ht="13.35" customHeight="1">
      <c r="A35" s="17" t="str">
        <f>IF('Part II-Sources of Funds'!$E$42 = "Neither", "", "DCR Mortgage B")</f>
        <v>DCR Mortgage B</v>
      </c>
      <c r="B35" s="20">
        <f t="shared" ref="B35:K35" si="11">IF(B27=0,"",-(B25+B26)/B27)</f>
        <v>5.1074890456072941</v>
      </c>
      <c r="C35" s="20">
        <f t="shared" si="11"/>
        <v>5.3210887472026629</v>
      </c>
      <c r="D35" s="20">
        <f t="shared" si="11"/>
        <v>5.5330123764636898</v>
      </c>
      <c r="E35" s="20">
        <f t="shared" si="11"/>
        <v>5.7430333768822175</v>
      </c>
      <c r="F35" s="20">
        <f t="shared" si="11"/>
        <v>5.9509159867258479</v>
      </c>
      <c r="G35" s="20">
        <f t="shared" si="11"/>
        <v>6.1564494746979328</v>
      </c>
      <c r="H35" s="20">
        <f t="shared" si="11"/>
        <v>6.359395912027539</v>
      </c>
      <c r="I35" s="20">
        <f t="shared" si="11"/>
        <v>6.5594725131850931</v>
      </c>
      <c r="J35" s="20">
        <f t="shared" si="11"/>
        <v>6.7564377063035979</v>
      </c>
      <c r="K35" s="21">
        <f t="shared" si="11"/>
        <v>6.9500215773836844</v>
      </c>
      <c r="N35" s="3613"/>
      <c r="O35" s="3615"/>
      <c r="Q35" s="92">
        <v>15</v>
      </c>
      <c r="R35" s="852">
        <f>-SUM(B32:K32) - SUM(B64:F64)</f>
        <v>801667</v>
      </c>
      <c r="S35" s="852">
        <f>SUM(B33:K33) + SUM(B65:F65)+R35</f>
        <v>4685048.2050296655</v>
      </c>
      <c r="Z35" s="2499" t="s">
        <v>4352</v>
      </c>
      <c r="AA35" s="2500">
        <v>35</v>
      </c>
    </row>
    <row r="36" spans="1:27" ht="13.35" customHeight="1">
      <c r="A36" s="17" t="str">
        <f>IF('Part II-Sources of Funds'!$E$42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613"/>
      <c r="O36" s="3615"/>
      <c r="Q36" s="47">
        <v>16</v>
      </c>
      <c r="R36" s="852">
        <f>-SUM(B32:K32) - SUM(B64:G64)</f>
        <v>801667</v>
      </c>
      <c r="S36" s="852">
        <f>SUM(B33:K33) + SUM(B65:G65)+R36</f>
        <v>5083738.3754780507</v>
      </c>
      <c r="Z36" s="2499" t="s">
        <v>4352</v>
      </c>
      <c r="AA36" s="2500">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613"/>
      <c r="O37" s="3615"/>
      <c r="Q37" s="47">
        <v>17</v>
      </c>
      <c r="R37" s="852">
        <f>-SUM(B32:K32) - SUM(B64:H64)</f>
        <v>801667</v>
      </c>
      <c r="S37" s="852">
        <f>SUM(B33:K33) + SUM(B65:H65)+R37</f>
        <v>5491742.7245554542</v>
      </c>
      <c r="Z37" s="2499" t="s">
        <v>4352</v>
      </c>
      <c r="AA37" s="2500">
        <v>37</v>
      </c>
    </row>
    <row r="38" spans="1:27" ht="13.35" customHeight="1">
      <c r="A38" s="340" t="s">
        <v>3127</v>
      </c>
      <c r="B38" s="20">
        <f t="shared" ref="B38:K38" si="14">IF(AND(B26=0,B27=0,B28=0,B29=0),"",-B25/(B26+B27+B28+B29))</f>
        <v>1.2487963378415805</v>
      </c>
      <c r="C38" s="20">
        <f t="shared" si="14"/>
        <v>1.2617343695516869</v>
      </c>
      <c r="D38" s="20">
        <f t="shared" si="14"/>
        <v>1.2745708792238495</v>
      </c>
      <c r="E38" s="20">
        <f t="shared" si="14"/>
        <v>1.2872921440145215</v>
      </c>
      <c r="F38" s="20">
        <f t="shared" si="14"/>
        <v>1.2998838835068902</v>
      </c>
      <c r="G38" s="20">
        <f t="shared" si="14"/>
        <v>1.3123333334125322</v>
      </c>
      <c r="H38" s="20">
        <f t="shared" si="14"/>
        <v>1.3246260820540898</v>
      </c>
      <c r="I38" s="20">
        <f t="shared" si="14"/>
        <v>1.3367450007177986</v>
      </c>
      <c r="J38" s="20">
        <f t="shared" si="14"/>
        <v>1.3486754570588937</v>
      </c>
      <c r="K38" s="21">
        <f t="shared" si="14"/>
        <v>1.3604011020101392</v>
      </c>
      <c r="N38" s="3613"/>
      <c r="O38" s="3615"/>
      <c r="Q38" s="47">
        <v>18</v>
      </c>
      <c r="R38" s="852">
        <f>-SUM(B32:K32) - SUM(B64:I64)</f>
        <v>801667</v>
      </c>
      <c r="S38" s="852">
        <f>SUM(B33:K33) + SUM(B65:I65)+R38</f>
        <v>5908709.7924663518</v>
      </c>
      <c r="Z38" s="2499" t="s">
        <v>4352</v>
      </c>
      <c r="AA38" s="2500">
        <v>38</v>
      </c>
    </row>
    <row r="39" spans="1:27" ht="13.35" customHeight="1">
      <c r="A39" s="17" t="s">
        <v>717</v>
      </c>
      <c r="B39" s="2498">
        <f t="shared" ref="B39:K39" si="15">IF(OR(B22="Choose mgt fee",B22="Choose One!"),"",(B15+B16+B17+B18+B19) / -(B21+B22+B23))</f>
        <v>1.9180439856425955</v>
      </c>
      <c r="C39" s="220">
        <f t="shared" si="15"/>
        <v>1.9015460689719825</v>
      </c>
      <c r="D39" s="220">
        <f t="shared" si="15"/>
        <v>1.8851730449997339</v>
      </c>
      <c r="E39" s="220">
        <f t="shared" si="15"/>
        <v>1.8689231130881794</v>
      </c>
      <c r="F39" s="220">
        <f t="shared" si="15"/>
        <v>1.852794664240375</v>
      </c>
      <c r="G39" s="220">
        <f t="shared" si="15"/>
        <v>1.8367887150098505</v>
      </c>
      <c r="H39" s="220">
        <f t="shared" si="15"/>
        <v>1.8209048965812831</v>
      </c>
      <c r="I39" s="220">
        <f t="shared" si="15"/>
        <v>1.8051405476648565</v>
      </c>
      <c r="J39" s="220">
        <f t="shared" si="15"/>
        <v>1.7894966152299407</v>
      </c>
      <c r="K39" s="221">
        <f t="shared" si="15"/>
        <v>1.773972794577197</v>
      </c>
      <c r="N39" s="3613"/>
      <c r="O39" s="3615"/>
      <c r="Q39" s="92">
        <v>19</v>
      </c>
      <c r="R39" s="852">
        <f>-SUM(B32:K32) - SUM(B64:J64)</f>
        <v>801667</v>
      </c>
      <c r="S39" s="852">
        <f>SUM(B33:K33) + SUM(B65:J65)+R39</f>
        <v>6334265.5941182636</v>
      </c>
      <c r="Z39" s="2499" t="s">
        <v>4352</v>
      </c>
      <c r="AA39" s="2500">
        <v>39</v>
      </c>
    </row>
    <row r="40" spans="1:27" ht="13.35" customHeight="1">
      <c r="A40" s="340" t="s">
        <v>2398</v>
      </c>
      <c r="B40" s="177">
        <f>IF('Part II-Sources of Funds'!$I$42="","",-FV('Part II-Sources of Funds'!$K$42/12,12,B26/12,'Part II-Sources of Funds'!$I$42))</f>
        <v>13417487.898571946</v>
      </c>
      <c r="C40" s="177">
        <f>IF('Part II-Sources of Funds'!$I$42="","",-FV('Part II-Sources of Funds'!$K$42/12,12,C26/12,B40))</f>
        <v>13329843.038616028</v>
      </c>
      <c r="D40" s="177">
        <f>IF('Part II-Sources of Funds'!$I$42="","",-FV('Part II-Sources of Funds'!$K$42/12,12,D26/12,C40))</f>
        <v>13236746.13108677</v>
      </c>
      <c r="E40" s="177">
        <f>IF('Part II-Sources of Funds'!$I$42="","",-FV('Part II-Sources of Funds'!$K$42/12,12,E26/12,D40))</f>
        <v>13137858.025202747</v>
      </c>
      <c r="F40" s="177">
        <f>IF('Part II-Sources of Funds'!$I$42="","",-FV('Part II-Sources of Funds'!$K$42/12,12,F26/12,E40))</f>
        <v>13032818.472924853</v>
      </c>
      <c r="G40" s="177">
        <f>IF('Part II-Sources of Funds'!$I$42="","",-FV('Part II-Sources of Funds'!$K$42/12,12,G26/12,F40))</f>
        <v>12921244.816577543</v>
      </c>
      <c r="H40" s="177">
        <f>IF('Part II-Sources of Funds'!$I$42="","",-FV('Part II-Sources of Funds'!$K$42/12,12,H26/12,G40))</f>
        <v>12802730.594832066</v>
      </c>
      <c r="I40" s="177">
        <f>IF('Part II-Sources of Funds'!$I$42="","",-FV('Part II-Sources of Funds'!$K$42/12,12,I26/12,H40))</f>
        <v>12676844.061973324</v>
      </c>
      <c r="J40" s="177">
        <f>IF('Part II-Sources of Funds'!$I$42="","",-FV('Part II-Sources of Funds'!$K$42/12,12,J26/12,I40))</f>
        <v>12543126.615056029</v>
      </c>
      <c r="K40" s="177">
        <f>IF('Part II-Sources of Funds'!$I$42="","",-FV('Part II-Sources of Funds'!$K$42/12,12,K26/12,J40))</f>
        <v>12401091.123220351</v>
      </c>
      <c r="N40" s="3613"/>
      <c r="O40" s="3615"/>
      <c r="Q40" s="92">
        <v>20</v>
      </c>
      <c r="R40" s="852">
        <f>-SUM(B32:K32) - SUM(B64:K64)</f>
        <v>801667</v>
      </c>
      <c r="S40" s="852">
        <f>SUM(B33:K33) + SUM(B65:K65)+R40</f>
        <v>6768011.7051327871</v>
      </c>
      <c r="Z40" s="2499" t="s">
        <v>4352</v>
      </c>
      <c r="AA40" s="2500">
        <v>40</v>
      </c>
    </row>
    <row r="41" spans="1:27" ht="13.35" customHeight="1">
      <c r="A41" s="340" t="s">
        <v>2399</v>
      </c>
      <c r="B41" s="178">
        <f>IF('Part II-Sources of Funds'!$I$43="","",-FV('Part II-Sources of Funds'!$K$43/12,12,B27/12,'Part II-Sources of Funds'!$I$43))</f>
        <v>988317.97001888498</v>
      </c>
      <c r="C41" s="178">
        <f>IF('Part II-Sources of Funds'!$I$43="","",-FV('Part II-Sources of Funds'!$K$43/12,12,C27/12,B41))</f>
        <v>976082.21645346121</v>
      </c>
      <c r="D41" s="178">
        <f>IF('Part II-Sources of Funds'!$I$43="","",-FV('Part II-Sources of Funds'!$K$43/12,12,D27/12,C41))</f>
        <v>963266.49302561465</v>
      </c>
      <c r="E41" s="178">
        <f>IF('Part II-Sources of Funds'!$I$43="","",-FV('Part II-Sources of Funds'!$K$43/12,12,E27/12,D41))</f>
        <v>949843.30939406634</v>
      </c>
      <c r="F41" s="178">
        <f>IF('Part II-Sources of Funds'!$I$43="","",-FV('Part II-Sources of Funds'!$K$43/12,12,F27/12,E41))</f>
        <v>935783.87218627206</v>
      </c>
      <c r="G41" s="178">
        <f>IF('Part II-Sources of Funds'!$I$43="","",-FV('Part II-Sources of Funds'!$K$43/12,12,G27/12,F41))</f>
        <v>921058.02323525771</v>
      </c>
      <c r="H41" s="178">
        <f>IF('Part II-Sources of Funds'!$I$43="","",-FV('Part II-Sources of Funds'!$K$43/12,12,H27/12,G41))</f>
        <v>905634.17488890467</v>
      </c>
      <c r="I41" s="178">
        <f>IF('Part II-Sources of Funds'!$I$43="","",-FV('Part II-Sources of Funds'!$K$43/12,12,I27/12,H41))</f>
        <v>889479.2422529218</v>
      </c>
      <c r="J41" s="178">
        <f>IF('Part II-Sources of Funds'!$I$43="","",-FV('Part II-Sources of Funds'!$K$43/12,12,J27/12,I41))</f>
        <v>872558.57222216041</v>
      </c>
      <c r="K41" s="178">
        <f>IF('Part II-Sources of Funds'!$I$43="","",-FV('Part II-Sources of Funds'!$K$43/12,12,K27/12,J41))</f>
        <v>854835.86914804205</v>
      </c>
      <c r="N41" s="3613"/>
      <c r="O41" s="3615"/>
      <c r="Z41" s="2499" t="s">
        <v>4352</v>
      </c>
      <c r="AA41" s="2500">
        <v>41</v>
      </c>
    </row>
    <row r="42" spans="1:27" ht="13.35" customHeight="1">
      <c r="A42" s="340" t="s">
        <v>2400</v>
      </c>
      <c r="B42" s="178" t="str">
        <f>IF('Part II-Sources of Funds'!$I$44="","",-FV('Part II-Sources of Funds'!$K$44/12,12,B28/12,'Part II-Sources of Funds'!$I$44))</f>
        <v/>
      </c>
      <c r="C42" s="178" t="str">
        <f>IF('Part II-Sources of Funds'!$I$44="","",-FV('Part II-Sources of Funds'!$K$44/12,12,C28/12,B42))</f>
        <v/>
      </c>
      <c r="D42" s="178" t="str">
        <f>IF('Part II-Sources of Funds'!$I$44="","",-FV('Part II-Sources of Funds'!$K$44/12,12,D28/12,C42))</f>
        <v/>
      </c>
      <c r="E42" s="178" t="str">
        <f>IF('Part II-Sources of Funds'!$I$44="","",-FV('Part II-Sources of Funds'!$K$44/12,12,E28/12,D42))</f>
        <v/>
      </c>
      <c r="F42" s="178" t="str">
        <f>IF('Part II-Sources of Funds'!$I$44="","",-FV('Part II-Sources of Funds'!$K$44/12,12,F28/12,E42))</f>
        <v/>
      </c>
      <c r="G42" s="178" t="str">
        <f>IF('Part II-Sources of Funds'!$I$44="","",-FV('Part II-Sources of Funds'!$K$44/12,12,G28/12,F42))</f>
        <v/>
      </c>
      <c r="H42" s="178" t="str">
        <f>IF('Part II-Sources of Funds'!$I$44="","",-FV('Part II-Sources of Funds'!$K$44/12,12,H28/12,G42))</f>
        <v/>
      </c>
      <c r="I42" s="178" t="str">
        <f>IF('Part II-Sources of Funds'!$I$44="","",-FV('Part II-Sources of Funds'!$K$44/12,12,I28/12,H42))</f>
        <v/>
      </c>
      <c r="J42" s="178" t="str">
        <f>IF('Part II-Sources of Funds'!$I$44="","",-FV('Part II-Sources of Funds'!$K$44/12,12,J28/12,I42))</f>
        <v/>
      </c>
      <c r="K42" s="178" t="str">
        <f>IF('Part II-Sources of Funds'!$I$44="","",-FV('Part II-Sources of Funds'!$K$44/12,12,K28/12,J42))</f>
        <v/>
      </c>
      <c r="N42" s="3613"/>
      <c r="O42" s="3615"/>
      <c r="Z42" s="2499" t="s">
        <v>4352</v>
      </c>
      <c r="AA42" s="2500">
        <v>42</v>
      </c>
    </row>
    <row r="43" spans="1:27" ht="13.35" customHeight="1">
      <c r="A43" s="17" t="s">
        <v>729</v>
      </c>
      <c r="B43" s="178" t="str">
        <f>IF('Part II-Sources of Funds'!$I$45="","",-FV('Part II-Sources of Funds'!$K$45/12,12,B29/12,'Part II-Sources of Funds'!$I$45))</f>
        <v/>
      </c>
      <c r="C43" s="178" t="str">
        <f>IF('Part II-Sources of Funds'!$I$45="","",-FV('Part II-Sources of Funds'!$K$45/12,12,C29/12,B43))</f>
        <v/>
      </c>
      <c r="D43" s="178" t="str">
        <f>IF('Part II-Sources of Funds'!$I$45="","",-FV('Part II-Sources of Funds'!$K$45/12,12,D29/12,C43))</f>
        <v/>
      </c>
      <c r="E43" s="178" t="str">
        <f>IF('Part II-Sources of Funds'!$I$45="","",-FV('Part II-Sources of Funds'!$K$45/12,12,E29/12,D43))</f>
        <v/>
      </c>
      <c r="F43" s="178" t="str">
        <f>IF('Part II-Sources of Funds'!$I$45="","",-FV('Part II-Sources of Funds'!$K$45/12,12,F29/12,E43))</f>
        <v/>
      </c>
      <c r="G43" s="178" t="str">
        <f>IF('Part II-Sources of Funds'!$I$45="","",-FV('Part II-Sources of Funds'!$K$45/12,12,G29/12,F43))</f>
        <v/>
      </c>
      <c r="H43" s="178" t="str">
        <f>IF('Part II-Sources of Funds'!$I$45="","",-FV('Part II-Sources of Funds'!$K$45/12,12,H29/12,G43))</f>
        <v/>
      </c>
      <c r="I43" s="178" t="str">
        <f>IF('Part II-Sources of Funds'!$I$45="","",-FV('Part II-Sources of Funds'!$K$45/12,12,I29/12,H43))</f>
        <v/>
      </c>
      <c r="J43" s="178" t="str">
        <f>IF('Part II-Sources of Funds'!$I$45="","",-FV('Part II-Sources of Funds'!$K$45/12,12,J29/12,I43))</f>
        <v/>
      </c>
      <c r="K43" s="178" t="str">
        <f>IF('Part II-Sources of Funds'!$I$45="","",-FV('Part II-Sources of Funds'!$K$45/12,12,K29/12,J43))</f>
        <v/>
      </c>
      <c r="N43" s="3613"/>
      <c r="O43" s="3615"/>
      <c r="Z43" s="2499" t="s">
        <v>4352</v>
      </c>
      <c r="AA43" s="2500">
        <v>43</v>
      </c>
    </row>
    <row r="44" spans="1:27" ht="13.35" customHeight="1">
      <c r="A44" s="340" t="s">
        <v>3272</v>
      </c>
      <c r="B44" s="179">
        <f>IF('Part II-Sources of Funds'!$I$47="","",-FV('Part II-Sources of Funds'!$K$47/12,12,B32/12,'Part II-Sources of Funds'!$I$47))</f>
        <v>571608</v>
      </c>
      <c r="C44" s="179">
        <f>IF('Part II-Sources of Funds'!$I$47="","",IF(-FV('Part II-Sources of Funds'!$K$47/12,12,C32/12,B44)&gt;0,-FV('Part II-Sources of Funds'!$K$47/12,12,C32/12,B44),0))</f>
        <v>329195</v>
      </c>
      <c r="D44" s="179">
        <f>IF('Part II-Sources of Funds'!$I$47="","",IF(-FV('Part II-Sources of Funds'!$K$47/12,12,D32/12,C44)&gt;0,-FV('Part II-Sources of Funds'!$K$47/12,12,D32/12,C44),0))</f>
        <v>74525</v>
      </c>
      <c r="E44" s="179">
        <f>IF('Part II-Sources of Funds'!$I$47="","",IF(-FV('Part II-Sources of Funds'!$K$47/12,12,E32/12,D44)&gt;0,-FV('Part II-Sources of Funds'!$K$47/12,12,E32/12,D44),0))</f>
        <v>0</v>
      </c>
      <c r="F44" s="179">
        <f>IF('Part II-Sources of Funds'!$I$47="","",IF(-FV('Part II-Sources of Funds'!$K$47/12,12,F32/12,E44)&gt;0,-FV('Part II-Sources of Funds'!$K$47/12,12,F32/12,E44),0))</f>
        <v>0</v>
      </c>
      <c r="G44" s="179">
        <f>IF('Part II-Sources of Funds'!$I$47="","",IF(-FV('Part II-Sources of Funds'!$K$47/12,12,G32/12,F44)&gt;0,-FV('Part II-Sources of Funds'!$K$47/12,12,G32/12,F44),0))</f>
        <v>0</v>
      </c>
      <c r="H44" s="179">
        <f>IF('Part II-Sources of Funds'!$I$47="","",IF(-FV('Part II-Sources of Funds'!$K$47/12,12,H32/12,G44)&gt;0,-FV('Part II-Sources of Funds'!$K$47/12,12,H32/12,G44),0))</f>
        <v>0</v>
      </c>
      <c r="I44" s="179">
        <f>IF('Part II-Sources of Funds'!$I$47="","",IF(-FV('Part II-Sources of Funds'!$K$47/12,12,I32/12,H44)&gt;0,-FV('Part II-Sources of Funds'!$K$47/12,12,I32/12,H44),0))</f>
        <v>0</v>
      </c>
      <c r="J44" s="179">
        <f>IF('Part II-Sources of Funds'!$I$47="","",IF(-FV('Part II-Sources of Funds'!$K$47/12,12,J32/12,I44)&gt;0,-FV('Part II-Sources of Funds'!$K$47/12,12,J32/12,I44),0))</f>
        <v>0</v>
      </c>
      <c r="K44" s="179">
        <f>IF('Part II-Sources of Funds'!$I$47="","",IF(-FV('Part II-Sources of Funds'!$K$47/12,12,K32/12,J44)&gt;0,-FV('Part II-Sources of Funds'!$K$47/12,12,K32/12,J44),0))</f>
        <v>0</v>
      </c>
      <c r="N44" s="3580"/>
      <c r="O44" s="3582"/>
      <c r="Z44" s="2499" t="s">
        <v>4352</v>
      </c>
      <c r="AA44" s="2500">
        <v>44</v>
      </c>
    </row>
    <row r="45" spans="1:27" ht="4.3499999999999996" customHeight="1">
      <c r="B45" s="13"/>
      <c r="C45" s="13"/>
      <c r="D45" s="13"/>
      <c r="E45" s="13"/>
      <c r="F45" s="13"/>
      <c r="G45" s="13"/>
      <c r="H45" s="13"/>
      <c r="I45" s="13"/>
      <c r="J45" s="13"/>
      <c r="K45" s="13"/>
      <c r="AA45" s="2500">
        <v>45</v>
      </c>
    </row>
    <row r="46" spans="1:27" ht="14.7" customHeight="1">
      <c r="A46" s="10" t="s">
        <v>2277</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6" t="s">
        <v>2401</v>
      </c>
      <c r="O46" s="3266"/>
      <c r="AA46" s="2500">
        <v>46</v>
      </c>
    </row>
    <row r="47" spans="1:27" ht="13.35" customHeight="1">
      <c r="A47" s="14" t="s">
        <v>2208</v>
      </c>
      <c r="B47" s="15">
        <f t="shared" ref="B47:K47" si="17">$B$15*(1+$B$6)^(B46-1)</f>
        <v>3201352.401656311</v>
      </c>
      <c r="C47" s="15">
        <f t="shared" si="17"/>
        <v>3265379.4496894367</v>
      </c>
      <c r="D47" s="15">
        <f t="shared" si="17"/>
        <v>3330687.0386832259</v>
      </c>
      <c r="E47" s="15">
        <f t="shared" si="17"/>
        <v>3397300.7794568902</v>
      </c>
      <c r="F47" s="15">
        <f t="shared" si="17"/>
        <v>3465246.7950460282</v>
      </c>
      <c r="G47" s="15">
        <f t="shared" si="17"/>
        <v>3534551.7309469478</v>
      </c>
      <c r="H47" s="15">
        <f t="shared" si="17"/>
        <v>3605242.7655658876</v>
      </c>
      <c r="I47" s="15">
        <f t="shared" si="17"/>
        <v>3677347.6208772054</v>
      </c>
      <c r="J47" s="15">
        <f t="shared" si="17"/>
        <v>3750894.573294749</v>
      </c>
      <c r="K47" s="16">
        <f t="shared" si="17"/>
        <v>3825912.4647606439</v>
      </c>
      <c r="N47" s="3632"/>
      <c r="O47" s="3634"/>
      <c r="Z47" s="2499" t="s">
        <v>4353</v>
      </c>
      <c r="AA47" s="2500">
        <v>47</v>
      </c>
    </row>
    <row r="48" spans="1:27" ht="13.35" customHeight="1">
      <c r="A48" s="17" t="s">
        <v>951</v>
      </c>
      <c r="B48" s="18">
        <f t="shared" ref="B48:K48" si="18">$B$16*(1+$B$6)^(B46-1)</f>
        <v>64027.048033126222</v>
      </c>
      <c r="C48" s="18">
        <f t="shared" si="18"/>
        <v>65307.588993788733</v>
      </c>
      <c r="D48" s="18">
        <f t="shared" si="18"/>
        <v>66613.740773664525</v>
      </c>
      <c r="E48" s="18">
        <f t="shared" si="18"/>
        <v>67946.015589137809</v>
      </c>
      <c r="F48" s="18">
        <f t="shared" si="18"/>
        <v>69304.935900920565</v>
      </c>
      <c r="G48" s="18">
        <f t="shared" si="18"/>
        <v>70691.034618938967</v>
      </c>
      <c r="H48" s="18">
        <f t="shared" si="18"/>
        <v>72104.855311317748</v>
      </c>
      <c r="I48" s="18">
        <f t="shared" si="18"/>
        <v>73546.952417544118</v>
      </c>
      <c r="J48" s="18">
        <f t="shared" si="18"/>
        <v>75017.891465894994</v>
      </c>
      <c r="K48" s="19">
        <f t="shared" si="18"/>
        <v>76518.249295212881</v>
      </c>
      <c r="N48" s="3613"/>
      <c r="O48" s="3615"/>
      <c r="Z48" s="2499" t="s">
        <v>4353</v>
      </c>
      <c r="AA48" s="2500">
        <v>48</v>
      </c>
    </row>
    <row r="49" spans="1:27" ht="13.35" customHeight="1">
      <c r="A49" s="17" t="s">
        <v>2209</v>
      </c>
      <c r="B49" s="18">
        <f t="shared" ref="B49:K49" si="19">-(B47+B48)*$B$9</f>
        <v>-228576.56147826061</v>
      </c>
      <c r="C49" s="18">
        <f t="shared" si="19"/>
        <v>-233148.0927078258</v>
      </c>
      <c r="D49" s="18">
        <f t="shared" si="19"/>
        <v>-237811.05456198234</v>
      </c>
      <c r="E49" s="18">
        <f t="shared" si="19"/>
        <v>-242567.27565322199</v>
      </c>
      <c r="F49" s="18">
        <f t="shared" si="19"/>
        <v>-247418.62116628644</v>
      </c>
      <c r="G49" s="18">
        <f t="shared" si="19"/>
        <v>-252366.9935896121</v>
      </c>
      <c r="H49" s="18">
        <f t="shared" si="19"/>
        <v>-257414.3334614044</v>
      </c>
      <c r="I49" s="18">
        <f t="shared" si="19"/>
        <v>-262562.62013063248</v>
      </c>
      <c r="J49" s="18">
        <f t="shared" si="19"/>
        <v>-267813.87253324507</v>
      </c>
      <c r="K49" s="19">
        <f t="shared" si="19"/>
        <v>-273170.14998390997</v>
      </c>
      <c r="N49" s="3613"/>
      <c r="O49" s="3615"/>
      <c r="Z49" s="2499" t="s">
        <v>4353</v>
      </c>
      <c r="AA49" s="2500">
        <v>49</v>
      </c>
    </row>
    <row r="50" spans="1:27" ht="13.35" customHeight="1">
      <c r="A50" s="17" t="s">
        <v>47</v>
      </c>
      <c r="B50" s="18">
        <f>'Part V-Revenues &amp; Expenses'!H216</f>
        <v>0</v>
      </c>
      <c r="C50" s="18">
        <f>'Part V-Revenues &amp; Expenses'!I216</f>
        <v>0</v>
      </c>
      <c r="D50" s="18">
        <f>'Part V-Revenues &amp; Expenses'!J216</f>
        <v>0</v>
      </c>
      <c r="E50" s="18">
        <f>'Part V-Revenues &amp; Expenses'!K216</f>
        <v>0</v>
      </c>
      <c r="F50" s="18">
        <f>'Part V-Revenues &amp; Expenses'!L216</f>
        <v>0</v>
      </c>
      <c r="G50" s="18">
        <f>'Part V-Revenues &amp; Expenses'!M216</f>
        <v>0</v>
      </c>
      <c r="H50" s="18">
        <f>'Part V-Revenues &amp; Expenses'!N216</f>
        <v>0</v>
      </c>
      <c r="I50" s="18">
        <f>'Part V-Revenues &amp; Expenses'!O216</f>
        <v>0</v>
      </c>
      <c r="J50" s="18">
        <f>'Part V-Revenues &amp; Expenses'!P216</f>
        <v>0</v>
      </c>
      <c r="K50" s="19">
        <f>'Part V-Revenues &amp; Expenses'!Q216</f>
        <v>0</v>
      </c>
      <c r="N50" s="3613"/>
      <c r="O50" s="3615"/>
      <c r="Z50" s="2499" t="s">
        <v>4353</v>
      </c>
      <c r="AA50" s="2500">
        <v>50</v>
      </c>
    </row>
    <row r="51" spans="1:27" ht="13.35" customHeight="1">
      <c r="A51" s="17" t="s">
        <v>48</v>
      </c>
      <c r="B51" s="18">
        <f>'Part V-Revenues &amp; Expenses'!H220</f>
        <v>0</v>
      </c>
      <c r="C51" s="18">
        <f>'Part V-Revenues &amp; Expenses'!I220</f>
        <v>0</v>
      </c>
      <c r="D51" s="18">
        <f>'Part V-Revenues &amp; Expenses'!J220</f>
        <v>0</v>
      </c>
      <c r="E51" s="18">
        <f>'Part V-Revenues &amp; Expenses'!K220</f>
        <v>0</v>
      </c>
      <c r="F51" s="18">
        <f>'Part V-Revenues &amp; Expenses'!L220</f>
        <v>0</v>
      </c>
      <c r="G51" s="18">
        <f>'Part V-Revenues &amp; Expenses'!M220</f>
        <v>0</v>
      </c>
      <c r="H51" s="18">
        <f>'Part V-Revenues &amp; Expenses'!N220</f>
        <v>0</v>
      </c>
      <c r="I51" s="18">
        <f>'Part V-Revenues &amp; Expenses'!O220</f>
        <v>0</v>
      </c>
      <c r="J51" s="18">
        <f>'Part V-Revenues &amp; Expenses'!P220</f>
        <v>0</v>
      </c>
      <c r="K51" s="19">
        <f>'Part V-Revenues &amp; Expenses'!Q220</f>
        <v>0</v>
      </c>
      <c r="N51" s="3613"/>
      <c r="O51" s="3615"/>
      <c r="Z51" s="2499" t="s">
        <v>4353</v>
      </c>
      <c r="AA51" s="2500">
        <v>51</v>
      </c>
    </row>
    <row r="52" spans="1:27" ht="13.35" customHeight="1">
      <c r="A52" s="340" t="s">
        <v>3712</v>
      </c>
      <c r="B52" s="18">
        <f t="shared" ref="B52:K52" si="20">SUM(B47:B51)</f>
        <v>3036802.8882111767</v>
      </c>
      <c r="C52" s="18">
        <f t="shared" si="20"/>
        <v>3097538.9459753996</v>
      </c>
      <c r="D52" s="18">
        <f t="shared" si="20"/>
        <v>3159489.7248949078</v>
      </c>
      <c r="E52" s="18">
        <f t="shared" si="20"/>
        <v>3222679.5193928061</v>
      </c>
      <c r="F52" s="18">
        <f t="shared" si="20"/>
        <v>3287133.1097806622</v>
      </c>
      <c r="G52" s="18">
        <f t="shared" si="20"/>
        <v>3352875.7719762744</v>
      </c>
      <c r="H52" s="18">
        <f t="shared" si="20"/>
        <v>3419933.2874158011</v>
      </c>
      <c r="I52" s="18">
        <f t="shared" si="20"/>
        <v>3488331.9531641169</v>
      </c>
      <c r="J52" s="18">
        <f t="shared" si="20"/>
        <v>3558098.5922273989</v>
      </c>
      <c r="K52" s="19">
        <f t="shared" si="20"/>
        <v>3629260.5640719468</v>
      </c>
      <c r="N52" s="3613"/>
      <c r="O52" s="3615"/>
      <c r="Z52" s="2499" t="s">
        <v>4353</v>
      </c>
      <c r="AA52" s="2500">
        <v>52</v>
      </c>
    </row>
    <row r="53" spans="1:27" ht="13.35" customHeight="1">
      <c r="A53" s="17" t="s">
        <v>571</v>
      </c>
      <c r="B53" s="18">
        <f t="shared" ref="B53:K53" si="21">$B$21*(1+$B$7)^(B46-1)</f>
        <v>-1458643.8328159708</v>
      </c>
      <c r="C53" s="18">
        <f t="shared" si="21"/>
        <v>-1502403.14780045</v>
      </c>
      <c r="D53" s="18">
        <f t="shared" si="21"/>
        <v>-1547475.2422344631</v>
      </c>
      <c r="E53" s="18">
        <f t="shared" si="21"/>
        <v>-1593899.499501497</v>
      </c>
      <c r="F53" s="18">
        <f t="shared" si="21"/>
        <v>-1641716.4844865422</v>
      </c>
      <c r="G53" s="18">
        <f t="shared" si="21"/>
        <v>-1690967.9790211385</v>
      </c>
      <c r="H53" s="18">
        <f t="shared" si="21"/>
        <v>-1741697.0183917724</v>
      </c>
      <c r="I53" s="18">
        <f t="shared" si="21"/>
        <v>-1793947.9289435255</v>
      </c>
      <c r="J53" s="18">
        <f t="shared" si="21"/>
        <v>-1847766.3668118312</v>
      </c>
      <c r="K53" s="19">
        <f t="shared" si="21"/>
        <v>-1903199.3578161863</v>
      </c>
      <c r="N53" s="3613"/>
      <c r="O53" s="3615"/>
      <c r="Z53" s="2499" t="s">
        <v>4353</v>
      </c>
      <c r="AA53" s="2500">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-182208</v>
      </c>
      <c r="C54" s="18">
        <f>IF(AND('Part VI-Pro Forma'!$G$9="Yes",'Part VI-Pro Forma'!$G$10="Yes"),"Choose One!",IF('Part VI-Pro Forma'!$G$9="Yes",ROUND((-$K$9*(1+'Part VI-Pro Forma'!$B$7)^('Part VI-Pro Forma'!C46-1)),),IF('Part VI-Pro Forma'!$G$10="Yes",ROUND((-(SUM(C47:C50)*'Part VI-Pro Forma'!$K$10)),),"Choose mgt fee")))</f>
        <v>-185852</v>
      </c>
      <c r="D54" s="18">
        <f>IF(AND('Part VI-Pro Forma'!$G$9="Yes",'Part VI-Pro Forma'!$G$10="Yes"),"Choose One!",IF('Part VI-Pro Forma'!$G$9="Yes",ROUND((-$K$9*(1+'Part VI-Pro Forma'!$B$7)^('Part VI-Pro Forma'!D46-1)),),IF('Part VI-Pro Forma'!$G$10="Yes",ROUND((-(SUM(D47:D50)*'Part VI-Pro Forma'!$K$10)),),"Choose mgt fee")))</f>
        <v>-189569</v>
      </c>
      <c r="E54" s="18">
        <f>IF(AND('Part VI-Pro Forma'!$G$9="Yes",'Part VI-Pro Forma'!$G$10="Yes"),"Choose One!",IF('Part VI-Pro Forma'!$G$9="Yes",ROUND((-$K$9*(1+'Part VI-Pro Forma'!$B$7)^('Part VI-Pro Forma'!E46-1)),),IF('Part VI-Pro Forma'!$G$10="Yes",ROUND((-(SUM(E47:E50)*'Part VI-Pro Forma'!$K$10)),),"Choose mgt fee")))</f>
        <v>-193361</v>
      </c>
      <c r="F54" s="18">
        <f>IF(AND('Part VI-Pro Forma'!$G$9="Yes",'Part VI-Pro Forma'!$G$10="Yes"),"Choose One!",IF('Part VI-Pro Forma'!$G$9="Yes",ROUND((-$K$9*(1+'Part VI-Pro Forma'!$B$7)^('Part VI-Pro Forma'!F46-1)),),IF('Part VI-Pro Forma'!$G$10="Yes",ROUND((-(SUM(F47:F50)*'Part VI-Pro Forma'!$K$10)),),"Choose mgt fee")))</f>
        <v>-197228</v>
      </c>
      <c r="G54" s="18">
        <f>IF(AND('Part VI-Pro Forma'!$G$9="Yes",'Part VI-Pro Forma'!$G$10="Yes"),"Choose One!",IF('Part VI-Pro Forma'!$G$9="Yes",ROUND((-$K$9*(1+'Part VI-Pro Forma'!$B$7)^('Part VI-Pro Forma'!G46-1)),),IF('Part VI-Pro Forma'!$G$10="Yes",ROUND((-(SUM(G47:G50)*'Part VI-Pro Forma'!$K$10)),),"Choose mgt fee")))</f>
        <v>-201173</v>
      </c>
      <c r="H54" s="18">
        <f>IF(AND('Part VI-Pro Forma'!$G$9="Yes",'Part VI-Pro Forma'!$G$10="Yes"),"Choose One!",IF('Part VI-Pro Forma'!$G$9="Yes",ROUND((-$K$9*(1+'Part VI-Pro Forma'!$B$7)^('Part VI-Pro Forma'!H46-1)),),IF('Part VI-Pro Forma'!$G$10="Yes",ROUND((-(SUM(H47:H50)*'Part VI-Pro Forma'!$K$10)),),"Choose mgt fee")))</f>
        <v>-205196</v>
      </c>
      <c r="I54" s="18">
        <f>IF(AND('Part VI-Pro Forma'!$G$9="Yes",'Part VI-Pro Forma'!$G$10="Yes"),"Choose One!",IF('Part VI-Pro Forma'!$G$9="Yes",ROUND((-$K$9*(1+'Part VI-Pro Forma'!$B$7)^('Part VI-Pro Forma'!I46-1)),),IF('Part VI-Pro Forma'!$G$10="Yes",ROUND((-(SUM(I47:I50)*'Part VI-Pro Forma'!$K$10)),),"Choose mgt fee")))</f>
        <v>-209300</v>
      </c>
      <c r="J54" s="18">
        <f>IF(AND('Part VI-Pro Forma'!$G$9="Yes",'Part VI-Pro Forma'!$G$10="Yes"),"Choose One!",IF('Part VI-Pro Forma'!$G$9="Yes",ROUND((-$K$9*(1+'Part VI-Pro Forma'!$B$7)^('Part VI-Pro Forma'!J46-1)),),IF('Part VI-Pro Forma'!$G$10="Yes",ROUND((-(SUM(J47:J50)*'Part VI-Pro Forma'!$K$10)),),"Choose mgt fee")))</f>
        <v>-213486</v>
      </c>
      <c r="K54" s="19">
        <f>IF(AND('Part VI-Pro Forma'!$G$9="Yes",'Part VI-Pro Forma'!$G$10="Yes"),"Choose One!",IF('Part VI-Pro Forma'!$G$9="Yes",ROUND((-$K$9*(1+'Part VI-Pro Forma'!$B$7)^('Part VI-Pro Forma'!K46-1)),),IF('Part VI-Pro Forma'!$G$10="Yes",ROUND((-(SUM(K47:K50)*'Part VI-Pro Forma'!$K$10)),),"Choose mgt fee")))</f>
        <v>-217756</v>
      </c>
      <c r="N54" s="3613"/>
      <c r="O54" s="3615"/>
      <c r="Z54" s="2499" t="s">
        <v>4353</v>
      </c>
      <c r="AA54" s="2500">
        <v>54</v>
      </c>
    </row>
    <row r="55" spans="1:27" ht="13.35" customHeight="1">
      <c r="A55" s="17" t="s">
        <v>1127</v>
      </c>
      <c r="B55" s="18">
        <f t="shared" ref="B55:K55" si="22">$B$23*(1+$B$8)^(B46-1)</f>
        <v>-86010.6482780238</v>
      </c>
      <c r="C55" s="18">
        <f t="shared" si="22"/>
        <v>-88590.967726364514</v>
      </c>
      <c r="D55" s="18">
        <f t="shared" si="22"/>
        <v>-91248.696758155435</v>
      </c>
      <c r="E55" s="18">
        <f t="shared" si="22"/>
        <v>-93986.157660900091</v>
      </c>
      <c r="F55" s="18">
        <f t="shared" si="22"/>
        <v>-96805.7423907271</v>
      </c>
      <c r="G55" s="18">
        <f t="shared" si="22"/>
        <v>-99709.914662448922</v>
      </c>
      <c r="H55" s="18">
        <f t="shared" si="22"/>
        <v>-102701.21210232237</v>
      </c>
      <c r="I55" s="18">
        <f t="shared" si="22"/>
        <v>-105782.24846539204</v>
      </c>
      <c r="J55" s="18">
        <f t="shared" si="22"/>
        <v>-108955.71591935381</v>
      </c>
      <c r="K55" s="19">
        <f t="shared" si="22"/>
        <v>-112224.38739693441</v>
      </c>
      <c r="N55" s="3613"/>
      <c r="O55" s="3615"/>
      <c r="Q55" s="92"/>
      <c r="R55" s="852"/>
      <c r="S55" s="852"/>
      <c r="Z55" s="2499" t="s">
        <v>4353</v>
      </c>
      <c r="AA55" s="2500">
        <v>55</v>
      </c>
    </row>
    <row r="56" spans="1:27" ht="13.35" customHeight="1">
      <c r="A56" s="340" t="s">
        <v>3711</v>
      </c>
      <c r="B56" s="1214">
        <f>IF(B46&lt;=+'Part V-Revenues &amp; Expenses'!$L$275,-'Part V-Revenues &amp; Expenses'!$F$275,0)</f>
        <v>0</v>
      </c>
      <c r="C56" s="1214">
        <f>IF(C46&lt;=+'Part V-Revenues &amp; Expenses'!$L$275,-'Part V-Revenues &amp; Expenses'!$F$275,0)</f>
        <v>0</v>
      </c>
      <c r="D56" s="1214">
        <f>IF(D46&lt;=+'Part V-Revenues &amp; Expenses'!$L$275,-'Part V-Revenues &amp; Expenses'!$F$275,0)</f>
        <v>0</v>
      </c>
      <c r="E56" s="1214">
        <f>IF(E46&lt;=+'Part V-Revenues &amp; Expenses'!$L$275,-'Part V-Revenues &amp; Expenses'!$F$275,0)</f>
        <v>0</v>
      </c>
      <c r="F56" s="1214">
        <f>IF(F46&lt;=+'Part V-Revenues &amp; Expenses'!$L$275,-'Part V-Revenues &amp; Expenses'!$F$275,0)</f>
        <v>0</v>
      </c>
      <c r="G56" s="1214">
        <f>IF(G46&lt;=+'Part V-Revenues &amp; Expenses'!$L$275,-'Part V-Revenues &amp; Expenses'!$F$275,0)</f>
        <v>0</v>
      </c>
      <c r="H56" s="1214">
        <f>IF(H46&lt;=+'Part V-Revenues &amp; Expenses'!$L$275,-'Part V-Revenues &amp; Expenses'!$F$275,0)</f>
        <v>0</v>
      </c>
      <c r="I56" s="1214">
        <f>IF(I46&lt;=+'Part V-Revenues &amp; Expenses'!$L$275,-'Part V-Revenues &amp; Expenses'!$F$275,0)</f>
        <v>0</v>
      </c>
      <c r="J56" s="1214">
        <f>IF(J46&lt;=+'Part V-Revenues &amp; Expenses'!$L$275,-'Part V-Revenues &amp; Expenses'!$F$275,0)</f>
        <v>0</v>
      </c>
      <c r="K56" s="1214">
        <f>IF(K46&lt;=+'Part V-Revenues &amp; Expenses'!$L$275,-'Part V-Revenues &amp; Expenses'!$F$275,0)</f>
        <v>0</v>
      </c>
      <c r="N56" s="3613"/>
      <c r="O56" s="3615"/>
      <c r="Z56" s="2499" t="s">
        <v>4353</v>
      </c>
      <c r="AA56" s="2500">
        <v>56</v>
      </c>
    </row>
    <row r="57" spans="1:27" ht="13.35" customHeight="1">
      <c r="A57" s="17" t="s">
        <v>1128</v>
      </c>
      <c r="B57" s="18">
        <f t="shared" ref="B57:K57" si="23">SUM(B52:B56)</f>
        <v>1309940.4071171822</v>
      </c>
      <c r="C57" s="18">
        <f t="shared" si="23"/>
        <v>1320692.8304485851</v>
      </c>
      <c r="D57" s="18">
        <f t="shared" si="23"/>
        <v>1331196.7859022892</v>
      </c>
      <c r="E57" s="18">
        <f t="shared" si="23"/>
        <v>1341432.8622304089</v>
      </c>
      <c r="F57" s="18">
        <f t="shared" si="23"/>
        <v>1351382.8829033929</v>
      </c>
      <c r="G57" s="18">
        <f t="shared" si="23"/>
        <v>1361024.878292687</v>
      </c>
      <c r="H57" s="18">
        <f t="shared" si="23"/>
        <v>1370339.0569217063</v>
      </c>
      <c r="I57" s="18">
        <f t="shared" si="23"/>
        <v>1379301.7757551994</v>
      </c>
      <c r="J57" s="18">
        <f t="shared" si="23"/>
        <v>1387890.5094962139</v>
      </c>
      <c r="K57" s="1150">
        <f t="shared" si="23"/>
        <v>1396080.8188588261</v>
      </c>
      <c r="N57" s="3613"/>
      <c r="O57" s="3615"/>
      <c r="Z57" s="2499" t="s">
        <v>4353</v>
      </c>
      <c r="AA57" s="2500">
        <v>57</v>
      </c>
    </row>
    <row r="58" spans="1:27" ht="13.35" customHeight="1">
      <c r="A58" s="17" t="str">
        <f>$A26</f>
        <v>Mortgage A</v>
      </c>
      <c r="B58" s="341">
        <f>IF('Part II-Sources of Funds'!$P$42="", 0,-'Part II-Sources of Funds'!$P$42)</f>
        <v>-896999.03843217005</v>
      </c>
      <c r="C58" s="341">
        <f>IF('Part II-Sources of Funds'!$P$42="", 0,-'Part II-Sources of Funds'!$P$42)</f>
        <v>-896999.03843217005</v>
      </c>
      <c r="D58" s="341">
        <f>IF('Part II-Sources of Funds'!$P$42="", 0,-'Part II-Sources of Funds'!$P$42)</f>
        <v>-896999.03843217005</v>
      </c>
      <c r="E58" s="341">
        <f>IF('Part II-Sources of Funds'!$P$42="", 0,-'Part II-Sources of Funds'!$P$42)</f>
        <v>-896999.03843217005</v>
      </c>
      <c r="F58" s="341">
        <f>IF('Part II-Sources of Funds'!$P$42="", 0,-'Part II-Sources of Funds'!$P$42)</f>
        <v>-896999.03843217005</v>
      </c>
      <c r="G58" s="341">
        <f>IF('Part II-Sources of Funds'!$P$42="", 0,-'Part II-Sources of Funds'!$P$42)</f>
        <v>-896999.03843217005</v>
      </c>
      <c r="H58" s="341">
        <f>IF('Part II-Sources of Funds'!$P$42="", 0,-'Part II-Sources of Funds'!$P$42)</f>
        <v>-896999.03843217005</v>
      </c>
      <c r="I58" s="341">
        <f>IF('Part II-Sources of Funds'!$P$42="", 0,-'Part II-Sources of Funds'!$P$42)</f>
        <v>-896999.03843217005</v>
      </c>
      <c r="J58" s="341">
        <f>IF('Part II-Sources of Funds'!$P$42="", 0,-'Part II-Sources of Funds'!$P$42)</f>
        <v>-896999.03843217005</v>
      </c>
      <c r="K58" s="341">
        <f>IF('Part II-Sources of Funds'!$P$42="", 0,-'Part II-Sources of Funds'!$P$42)</f>
        <v>-896999.03843217005</v>
      </c>
      <c r="N58" s="3613"/>
      <c r="O58" s="3615"/>
      <c r="Z58" s="2499" t="s">
        <v>4353</v>
      </c>
      <c r="AA58" s="2500">
        <v>58</v>
      </c>
    </row>
    <row r="59" spans="1:27" ht="13.35" customHeight="1">
      <c r="A59" s="17" t="str">
        <f>$A27</f>
        <v>Mortgage B</v>
      </c>
      <c r="B59" s="178">
        <f>IF('Part II-Sources of Funds'!$P$43="", 0,-'Part II-Sources of Funds'!$P$43)</f>
        <v>-57835.669412132156</v>
      </c>
      <c r="C59" s="178">
        <f>IF('Part II-Sources of Funds'!$P$43="", 0,-'Part II-Sources of Funds'!$P$43)</f>
        <v>-57835.669412132156</v>
      </c>
      <c r="D59" s="178">
        <f>IF('Part II-Sources of Funds'!$P$43="", 0,-'Part II-Sources of Funds'!$P$43)</f>
        <v>-57835.669412132156</v>
      </c>
      <c r="E59" s="178">
        <f>IF('Part II-Sources of Funds'!$P$43="", 0,-'Part II-Sources of Funds'!$P$43)</f>
        <v>-57835.669412132156</v>
      </c>
      <c r="F59" s="178">
        <f>IF('Part II-Sources of Funds'!$P$43="", 0,-'Part II-Sources of Funds'!$P$43)</f>
        <v>-57835.669412132156</v>
      </c>
      <c r="G59" s="178">
        <f>IF('Part II-Sources of Funds'!$P$43="", 0,-'Part II-Sources of Funds'!$P$43)</f>
        <v>-57835.669412132156</v>
      </c>
      <c r="H59" s="178">
        <f>IF('Part II-Sources of Funds'!$P$43="", 0,-'Part II-Sources of Funds'!$P$43)</f>
        <v>-57835.669412132156</v>
      </c>
      <c r="I59" s="178">
        <f>IF('Part II-Sources of Funds'!$P$43="", 0,-'Part II-Sources of Funds'!$P$43)</f>
        <v>-57835.669412132156</v>
      </c>
      <c r="J59" s="178">
        <f>IF('Part II-Sources of Funds'!$P$43="", 0,-'Part II-Sources of Funds'!$P$43)</f>
        <v>-57835.669412132156</v>
      </c>
      <c r="K59" s="178">
        <f>IF('Part II-Sources of Funds'!$P$43="", 0,-'Part II-Sources of Funds'!$P$43)</f>
        <v>-57835.669412132156</v>
      </c>
      <c r="N59" s="3613"/>
      <c r="O59" s="3615"/>
      <c r="Z59" s="2499" t="s">
        <v>4353</v>
      </c>
      <c r="AA59" s="2500">
        <v>59</v>
      </c>
    </row>
    <row r="60" spans="1:27" ht="13.35" customHeight="1">
      <c r="A60" s="17" t="str">
        <f>$A28</f>
        <v>Mortgage C</v>
      </c>
      <c r="B60" s="178">
        <f>IF('Part II-Sources of Funds'!$P$44="", 0,-'Part II-Sources of Funds'!$P$44)</f>
        <v>0</v>
      </c>
      <c r="C60" s="178">
        <f>IF('Part II-Sources of Funds'!$P$44="", 0,-'Part II-Sources of Funds'!$P$44)</f>
        <v>0</v>
      </c>
      <c r="D60" s="178">
        <f>IF('Part II-Sources of Funds'!$P$44="", 0,-'Part II-Sources of Funds'!$P$44)</f>
        <v>0</v>
      </c>
      <c r="E60" s="178">
        <f>IF('Part II-Sources of Funds'!$P$44="", 0,-'Part II-Sources of Funds'!$P$44)</f>
        <v>0</v>
      </c>
      <c r="F60" s="178">
        <f>IF('Part II-Sources of Funds'!$P$44="", 0,-'Part II-Sources of Funds'!$P$44)</f>
        <v>0</v>
      </c>
      <c r="G60" s="178">
        <f>IF('Part II-Sources of Funds'!$P$44="", 0,-'Part II-Sources of Funds'!$P$44)</f>
        <v>0</v>
      </c>
      <c r="H60" s="178">
        <f>IF('Part II-Sources of Funds'!$P$44="", 0,-'Part II-Sources of Funds'!$P$44)</f>
        <v>0</v>
      </c>
      <c r="I60" s="178">
        <f>IF('Part II-Sources of Funds'!$P$44="", 0,-'Part II-Sources of Funds'!$P$44)</f>
        <v>0</v>
      </c>
      <c r="J60" s="178">
        <f>IF('Part II-Sources of Funds'!$P$44="", 0,-'Part II-Sources of Funds'!$P$44)</f>
        <v>0</v>
      </c>
      <c r="K60" s="178">
        <f>IF('Part II-Sources of Funds'!$P$44="", 0,-'Part II-Sources of Funds'!$P$44)</f>
        <v>0</v>
      </c>
      <c r="N60" s="3613"/>
      <c r="O60" s="3615"/>
      <c r="Z60" s="2499" t="s">
        <v>4353</v>
      </c>
      <c r="AA60" s="2500">
        <v>60</v>
      </c>
    </row>
    <row r="61" spans="1:27" ht="13.35" customHeight="1">
      <c r="A61" s="17" t="str">
        <f>$A29</f>
        <v>D/S Other Source,not DDF</v>
      </c>
      <c r="B61" s="178">
        <f>IF('Part II-Sources of Funds'!$P$45="", 0,-'Part II-Sources of Funds'!$P$45)</f>
        <v>0</v>
      </c>
      <c r="C61" s="178">
        <f>IF('Part II-Sources of Funds'!$P$45="", 0,-'Part II-Sources of Funds'!$P$45)</f>
        <v>0</v>
      </c>
      <c r="D61" s="178">
        <f>IF('Part II-Sources of Funds'!$P$45="", 0,-'Part II-Sources of Funds'!$P$45)</f>
        <v>0</v>
      </c>
      <c r="E61" s="178">
        <f>IF('Part II-Sources of Funds'!$P$45="", 0,-'Part II-Sources of Funds'!$P$45)</f>
        <v>0</v>
      </c>
      <c r="F61" s="178">
        <f>IF('Part II-Sources of Funds'!$P$45="", 0,-'Part II-Sources of Funds'!$P$45)</f>
        <v>0</v>
      </c>
      <c r="G61" s="178">
        <f>IF('Part II-Sources of Funds'!$P$45="", 0,-'Part II-Sources of Funds'!$P$45)</f>
        <v>0</v>
      </c>
      <c r="H61" s="178">
        <f>IF('Part II-Sources of Funds'!$P$45="", 0,-'Part II-Sources of Funds'!$P$45)</f>
        <v>0</v>
      </c>
      <c r="I61" s="178">
        <f>IF('Part II-Sources of Funds'!$P$45="", 0,-'Part II-Sources of Funds'!$P$45)</f>
        <v>0</v>
      </c>
      <c r="J61" s="178">
        <f>IF('Part II-Sources of Funds'!$P$45="", 0,-'Part II-Sources of Funds'!$P$45)</f>
        <v>0</v>
      </c>
      <c r="K61" s="178">
        <f>IF('Part II-Sources of Funds'!$P$45="", 0,-'Part II-Sources of Funds'!$P$45)</f>
        <v>0</v>
      </c>
      <c r="N61" s="3613"/>
      <c r="O61" s="3615"/>
      <c r="Z61" s="2499" t="s">
        <v>4353</v>
      </c>
      <c r="AA61" s="2500">
        <v>61</v>
      </c>
    </row>
    <row r="62" spans="1:27" ht="13.35" customHeight="1">
      <c r="A62" s="17" t="s">
        <v>710</v>
      </c>
      <c r="B62" s="138"/>
      <c r="C62" s="138"/>
      <c r="D62" s="138"/>
      <c r="E62" s="138"/>
      <c r="F62" s="138"/>
      <c r="G62" s="138"/>
      <c r="H62" s="138"/>
      <c r="I62" s="138"/>
      <c r="J62" s="138"/>
      <c r="K62" s="138"/>
      <c r="N62" s="3613"/>
      <c r="O62" s="3615"/>
      <c r="Q62" s="92"/>
      <c r="R62" s="852"/>
      <c r="Z62" s="2499" t="s">
        <v>4353</v>
      </c>
      <c r="AA62" s="2500">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613"/>
      <c r="O63" s="3615"/>
      <c r="Z63" s="2499" t="s">
        <v>4353</v>
      </c>
      <c r="AA63" s="2500">
        <v>63</v>
      </c>
    </row>
    <row r="64" spans="1:27" ht="13.35" customHeight="1">
      <c r="A64" s="340" t="s">
        <v>3271</v>
      </c>
      <c r="B64" s="179">
        <f>IF('Part II-Sources of Funds'!$P$47="", 0,-'Part II-Sources of Funds'!$P$47)</f>
        <v>0</v>
      </c>
      <c r="C64" s="179">
        <f>IF('Part II-Sources of Funds'!$P$47="", 0,-'Part II-Sources of Funds'!$P$47)</f>
        <v>0</v>
      </c>
      <c r="D64" s="179">
        <f>IF('Part II-Sources of Funds'!$P$47="", 0,-'Part II-Sources of Funds'!$P$47)</f>
        <v>0</v>
      </c>
      <c r="E64" s="179">
        <f>IF('Part II-Sources of Funds'!$P$47="", 0,-'Part II-Sources of Funds'!$P$47)</f>
        <v>0</v>
      </c>
      <c r="F64" s="179">
        <f>IF('Part II-Sources of Funds'!$P$47="", 0,-'Part II-Sources of Funds'!$P$47)</f>
        <v>0</v>
      </c>
      <c r="G64" s="179"/>
      <c r="H64" s="179"/>
      <c r="I64" s="179"/>
      <c r="J64" s="179"/>
      <c r="K64" s="179"/>
      <c r="N64" s="3613"/>
      <c r="O64" s="3615"/>
      <c r="Z64" s="2499" t="s">
        <v>4353</v>
      </c>
      <c r="AA64" s="2500">
        <v>64</v>
      </c>
    </row>
    <row r="65" spans="1:27" ht="13.35" customHeight="1">
      <c r="A65" s="17" t="s">
        <v>1095</v>
      </c>
      <c r="B65" s="18">
        <f t="shared" ref="B65:K65" si="25">SUM(B57:B64)</f>
        <v>347605.69927287992</v>
      </c>
      <c r="C65" s="18">
        <f t="shared" si="25"/>
        <v>358358.12260428286</v>
      </c>
      <c r="D65" s="18">
        <f t="shared" si="25"/>
        <v>368862.07805798698</v>
      </c>
      <c r="E65" s="18">
        <f t="shared" si="25"/>
        <v>379098.1543861067</v>
      </c>
      <c r="F65" s="18">
        <f t="shared" si="25"/>
        <v>389048.17505909066</v>
      </c>
      <c r="G65" s="18">
        <f t="shared" si="25"/>
        <v>398690.17044838477</v>
      </c>
      <c r="H65" s="18">
        <f t="shared" si="25"/>
        <v>408004.34907740407</v>
      </c>
      <c r="I65" s="18">
        <f t="shared" si="25"/>
        <v>416967.06791089714</v>
      </c>
      <c r="J65" s="18">
        <f t="shared" si="25"/>
        <v>425555.80165191164</v>
      </c>
      <c r="K65" s="495">
        <f t="shared" si="25"/>
        <v>433746.11101452383</v>
      </c>
      <c r="N65" s="3613"/>
      <c r="O65" s="3615"/>
      <c r="Z65" s="2499" t="s">
        <v>4353</v>
      </c>
      <c r="AA65" s="2500">
        <v>65</v>
      </c>
    </row>
    <row r="66" spans="1:27" ht="13.35" customHeight="1">
      <c r="A66" s="17" t="str">
        <f>$A34</f>
        <v>DCR Mortgage A</v>
      </c>
      <c r="B66" s="20">
        <f t="shared" ref="B66:K66" si="26">IF(B58=0,"",-B57/B58)</f>
        <v>1.4603587640481492</v>
      </c>
      <c r="C66" s="20">
        <f t="shared" si="26"/>
        <v>1.4723458709130537</v>
      </c>
      <c r="D66" s="20">
        <f t="shared" si="26"/>
        <v>1.4840559787321919</v>
      </c>
      <c r="E66" s="20">
        <f t="shared" si="26"/>
        <v>1.495467447295203</v>
      </c>
      <c r="F66" s="20">
        <f t="shared" si="26"/>
        <v>1.5065600128907861</v>
      </c>
      <c r="G66" s="20">
        <f t="shared" si="26"/>
        <v>1.5173091831531611</v>
      </c>
      <c r="H66" s="20">
        <f t="shared" si="26"/>
        <v>1.5276928939822154</v>
      </c>
      <c r="I66" s="20">
        <f t="shared" si="26"/>
        <v>1.5376847874508623</v>
      </c>
      <c r="J66" s="20">
        <f t="shared" si="26"/>
        <v>1.5472597517184121</v>
      </c>
      <c r="K66" s="21">
        <f t="shared" si="26"/>
        <v>1.5563905411749179</v>
      </c>
      <c r="N66" s="3613"/>
      <c r="O66" s="3615"/>
      <c r="Z66" s="2499" t="s">
        <v>4353</v>
      </c>
      <c r="AA66" s="2500">
        <v>66</v>
      </c>
    </row>
    <row r="67" spans="1:27" ht="13.35" customHeight="1">
      <c r="A67" s="17" t="str">
        <f>$A35</f>
        <v>DCR Mortgage B</v>
      </c>
      <c r="B67" s="20">
        <f t="shared" ref="B67:K67" si="27">IF(B59=0,"",-(B57+B58)/B59)</f>
        <v>7.1399081722807836</v>
      </c>
      <c r="C67" s="20">
        <f t="shared" si="27"/>
        <v>7.3258215271480376</v>
      </c>
      <c r="D67" s="20">
        <f t="shared" si="27"/>
        <v>7.5074387810066172</v>
      </c>
      <c r="E67" s="20">
        <f t="shared" si="27"/>
        <v>7.6844243062398139</v>
      </c>
      <c r="F67" s="20">
        <f t="shared" si="27"/>
        <v>7.8564638239651288</v>
      </c>
      <c r="G67" s="20">
        <f t="shared" si="27"/>
        <v>8.0231774712229491</v>
      </c>
      <c r="H67" s="20">
        <f t="shared" si="27"/>
        <v>8.1842230461024794</v>
      </c>
      <c r="I67" s="20">
        <f t="shared" si="27"/>
        <v>8.3391917518267178</v>
      </c>
      <c r="J67" s="20">
        <f t="shared" si="27"/>
        <v>8.4876941177250345</v>
      </c>
      <c r="K67" s="21">
        <f t="shared" si="27"/>
        <v>8.6293075795533873</v>
      </c>
      <c r="N67" s="3613"/>
      <c r="O67" s="3615"/>
      <c r="Z67" s="2499" t="s">
        <v>4353</v>
      </c>
      <c r="AA67" s="2500">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613"/>
      <c r="O68" s="3615"/>
      <c r="Z68" s="2499" t="s">
        <v>4353</v>
      </c>
      <c r="AA68" s="2500">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613"/>
      <c r="O69" s="3615"/>
      <c r="Z69" s="2499" t="s">
        <v>4353</v>
      </c>
      <c r="AA69" s="2500">
        <v>69</v>
      </c>
    </row>
    <row r="70" spans="1:27" ht="13.35" customHeight="1">
      <c r="A70" s="340" t="s">
        <v>3127</v>
      </c>
      <c r="B70" s="20">
        <f t="shared" ref="B70:K70" si="30">IF(AND(B58=0,B59=0,B60=0,B61=0),"",-B57/(B58+B59+B60+B61))</f>
        <v>1.3719027977885199</v>
      </c>
      <c r="C70" s="20">
        <f t="shared" si="30"/>
        <v>1.3831638288791035</v>
      </c>
      <c r="D70" s="20">
        <f t="shared" si="30"/>
        <v>1.3941646391422939</v>
      </c>
      <c r="E70" s="20">
        <f t="shared" si="30"/>
        <v>1.4048848991454408</v>
      </c>
      <c r="F70" s="20">
        <f t="shared" si="30"/>
        <v>1.4153055725784875</v>
      </c>
      <c r="G70" s="20">
        <f t="shared" si="30"/>
        <v>1.4254036506123939</v>
      </c>
      <c r="H70" s="20">
        <f t="shared" si="30"/>
        <v>1.4351584056003517</v>
      </c>
      <c r="I70" s="20">
        <f t="shared" si="30"/>
        <v>1.4445450761516641</v>
      </c>
      <c r="J70" s="20">
        <f t="shared" si="30"/>
        <v>1.4535400714848405</v>
      </c>
      <c r="K70" s="21">
        <f t="shared" si="30"/>
        <v>1.4621177962945129</v>
      </c>
      <c r="N70" s="3613"/>
      <c r="O70" s="3615"/>
      <c r="Z70" s="2499" t="s">
        <v>4353</v>
      </c>
      <c r="AA70" s="2500">
        <v>70</v>
      </c>
    </row>
    <row r="71" spans="1:27" ht="13.35" customHeight="1">
      <c r="A71" s="17" t="s">
        <v>717</v>
      </c>
      <c r="B71" s="220">
        <f t="shared" ref="B71:K71" si="31">IF(OR(B54="Choose mgt fee",B54="Choose One!"),"",(B47+B48+B49+B50+B51) / -(B53+B54+B55))</f>
        <v>1.7585667193877037</v>
      </c>
      <c r="C71" s="220">
        <f t="shared" si="31"/>
        <v>1.7432792400578903</v>
      </c>
      <c r="D71" s="220">
        <f t="shared" si="31"/>
        <v>1.7281091325746589</v>
      </c>
      <c r="E71" s="220">
        <f t="shared" si="31"/>
        <v>1.7130552801905183</v>
      </c>
      <c r="F71" s="220">
        <f t="shared" si="31"/>
        <v>1.6981184163844467</v>
      </c>
      <c r="G71" s="220">
        <f t="shared" si="31"/>
        <v>1.6832965673327607</v>
      </c>
      <c r="H71" s="220">
        <f t="shared" si="31"/>
        <v>1.6685904148897606</v>
      </c>
      <c r="I71" s="220">
        <f t="shared" si="31"/>
        <v>1.6539981222315947</v>
      </c>
      <c r="J71" s="220">
        <f t="shared" si="31"/>
        <v>1.6395195560001636</v>
      </c>
      <c r="K71" s="221">
        <f t="shared" si="31"/>
        <v>1.625153806741872</v>
      </c>
      <c r="N71" s="3613"/>
      <c r="O71" s="3615"/>
      <c r="Z71" s="2499" t="s">
        <v>4353</v>
      </c>
      <c r="AA71" s="2500">
        <v>71</v>
      </c>
    </row>
    <row r="72" spans="1:27" ht="13.35" customHeight="1">
      <c r="A72" s="340" t="s">
        <v>2398</v>
      </c>
      <c r="B72" s="177">
        <f>IF('Part II-Sources of Funds'!$I$42="","",-FV('Part II-Sources of Funds'!$K$42/12,12,B58/12,K40))</f>
        <v>12250220.15308075</v>
      </c>
      <c r="C72" s="177">
        <f>IF('Part II-Sources of Funds'!$I$42="","",-FV('Part II-Sources of Funds'!$K$42/12,12,C58/12,B72))</f>
        <v>12089964.083723115</v>
      </c>
      <c r="D72" s="177">
        <f>IF('Part II-Sources of Funds'!$I$42="","",-FV('Part II-Sources of Funds'!$K$42/12,12,D58/12,C72))</f>
        <v>11919739.104443166</v>
      </c>
      <c r="E72" s="177">
        <f>IF('Part II-Sources of Funds'!$I$42="","",-FV('Part II-Sources of Funds'!$K$42/12,12,E58/12,D72))</f>
        <v>11738925.08793192</v>
      </c>
      <c r="F72" s="177">
        <f>IF('Part II-Sources of Funds'!$I$42="","",-FV('Part II-Sources of Funds'!$K$42/12,12,F58/12,E72))</f>
        <v>11546863.331160242</v>
      </c>
      <c r="G72" s="177">
        <f>IF('Part II-Sources of Funds'!$I$42="","",-FV('Part II-Sources of Funds'!$K$42/12,12,G58/12,F72))</f>
        <v>11342854.15573258</v>
      </c>
      <c r="H72" s="177">
        <f>IF('Part II-Sources of Funds'!$I$42="","",-FV('Part II-Sources of Funds'!$K$42/12,12,H58/12,G72))</f>
        <v>11126154.358967979</v>
      </c>
      <c r="I72" s="177">
        <f>IF('Part II-Sources of Funds'!$I$42="","",-FV('Part II-Sources of Funds'!$K$42/12,12,I58/12,H72))</f>
        <v>10895974.506422719</v>
      </c>
      <c r="J72" s="177">
        <f>IF('Part II-Sources of Funds'!$I$42="","",-FV('Part II-Sources of Funds'!$K$42/12,12,J58/12,I72))</f>
        <v>10651476.05599126</v>
      </c>
      <c r="K72" s="177">
        <f>IF('Part II-Sources of Funds'!$I$42="","",-FV('Part II-Sources of Funds'!$K$42/12,12,K58/12,J72))</f>
        <v>10391768.303108629</v>
      </c>
      <c r="N72" s="3613"/>
      <c r="O72" s="3615"/>
      <c r="Z72" s="2499" t="s">
        <v>4353</v>
      </c>
      <c r="AA72" s="2500">
        <v>72</v>
      </c>
    </row>
    <row r="73" spans="1:27" ht="13.35" customHeight="1">
      <c r="A73" s="340" t="s">
        <v>2399</v>
      </c>
      <c r="B73" s="178">
        <f>IF('Part II-Sources of Funds'!$I$43="","",-FV('Part II-Sources of Funds'!$K$43/12,12,B59/12,K41))</f>
        <v>836273.11698265222</v>
      </c>
      <c r="C73" s="178">
        <f>IF('Part II-Sources of Funds'!$I$43="","",-FV('Part II-Sources of Funds'!$K$43/12,12,C59/12,B73))</f>
        <v>816830.49773249438</v>
      </c>
      <c r="D73" s="178">
        <f>IF('Part II-Sources of Funds'!$I$43="","",-FV('Part II-Sources of Funds'!$K$43/12,12,D59/12,C73))</f>
        <v>796466.30604698474</v>
      </c>
      <c r="E73" s="178">
        <f>IF('Part II-Sources of Funds'!$I$43="","",-FV('Part II-Sources of Funds'!$K$43/12,12,E59/12,D73))</f>
        <v>775136.85975847533</v>
      </c>
      <c r="F73" s="178">
        <f>IF('Part II-Sources of Funds'!$I$43="","",-FV('Part II-Sources of Funds'!$K$43/12,12,F59/12,E73))</f>
        <v>752796.40618190984</v>
      </c>
      <c r="G73" s="178">
        <f>IF('Part II-Sources of Funds'!$I$43="","",-FV('Part II-Sources of Funds'!$K$43/12,12,G59/12,F73))</f>
        <v>729397.02397312049</v>
      </c>
      <c r="H73" s="178">
        <f>IF('Part II-Sources of Funds'!$I$43="","",-FV('Part II-Sources of Funds'!$K$43/12,12,H59/12,G73))</f>
        <v>704888.52033524658</v>
      </c>
      <c r="I73" s="178">
        <f>IF('Part II-Sources of Funds'!$I$43="","",-FV('Part II-Sources of Funds'!$K$43/12,12,I59/12,H73))</f>
        <v>679218.32335277856</v>
      </c>
      <c r="J73" s="178">
        <f>IF('Part II-Sources of Funds'!$I$43="","",-FV('Part II-Sources of Funds'!$K$43/12,12,J59/12,I73))</f>
        <v>652331.36922227859</v>
      </c>
      <c r="K73" s="178">
        <f>IF('Part II-Sources of Funds'!$I$43="","",-FV('Part II-Sources of Funds'!$K$43/12,12,K59/12,J73))</f>
        <v>624169.98413788143</v>
      </c>
      <c r="N73" s="3613"/>
      <c r="O73" s="3615"/>
      <c r="Z73" s="2499" t="s">
        <v>4353</v>
      </c>
      <c r="AA73" s="2500">
        <v>73</v>
      </c>
    </row>
    <row r="74" spans="1:27" ht="13.35" customHeight="1">
      <c r="A74" s="340" t="s">
        <v>2400</v>
      </c>
      <c r="B74" s="178" t="str">
        <f>IF('Part II-Sources of Funds'!$I$44="","",-FV('Part II-Sources of Funds'!$K$44/12,12,B60/12,K42))</f>
        <v/>
      </c>
      <c r="C74" s="178" t="str">
        <f>IF('Part II-Sources of Funds'!$I$44="","",-FV('Part II-Sources of Funds'!$K$44/12,12,C60/12,B74))</f>
        <v/>
      </c>
      <c r="D74" s="178" t="str">
        <f>IF('Part II-Sources of Funds'!$I$44="","",-FV('Part II-Sources of Funds'!$K$44/12,12,D60/12,C74))</f>
        <v/>
      </c>
      <c r="E74" s="178" t="str">
        <f>IF('Part II-Sources of Funds'!$I$44="","",-FV('Part II-Sources of Funds'!$K$44/12,12,E60/12,D74))</f>
        <v/>
      </c>
      <c r="F74" s="178" t="str">
        <f>IF('Part II-Sources of Funds'!$I$44="","",-FV('Part II-Sources of Funds'!$K$44/12,12,F60/12,E74))</f>
        <v/>
      </c>
      <c r="G74" s="178" t="str">
        <f>IF('Part II-Sources of Funds'!$I$44="","",-FV('Part II-Sources of Funds'!$K$44/12,12,G60/12,F74))</f>
        <v/>
      </c>
      <c r="H74" s="178" t="str">
        <f>IF('Part II-Sources of Funds'!$I$44="","",-FV('Part II-Sources of Funds'!$K$44/12,12,H60/12,G74))</f>
        <v/>
      </c>
      <c r="I74" s="178" t="str">
        <f>IF('Part II-Sources of Funds'!$I$44="","",-FV('Part II-Sources of Funds'!$K$44/12,12,I60/12,H74))</f>
        <v/>
      </c>
      <c r="J74" s="178" t="str">
        <f>IF('Part II-Sources of Funds'!$I$44="","",-FV('Part II-Sources of Funds'!$K$44/12,12,J60/12,I74))</f>
        <v/>
      </c>
      <c r="K74" s="178" t="str">
        <f>IF('Part II-Sources of Funds'!$I$44="","",-FV('Part II-Sources of Funds'!$K$44/12,12,K60/12,J74))</f>
        <v/>
      </c>
      <c r="N74" s="3613"/>
      <c r="O74" s="3615"/>
      <c r="Z74" s="2499" t="s">
        <v>4353</v>
      </c>
      <c r="AA74" s="2500">
        <v>74</v>
      </c>
    </row>
    <row r="75" spans="1:27" ht="13.35" customHeight="1">
      <c r="A75" s="17" t="s">
        <v>729</v>
      </c>
      <c r="B75" s="178" t="str">
        <f>IF('Part II-Sources of Funds'!$I$45="","",-FV('Part II-Sources of Funds'!$K$45/12,12,B61/12,K43))</f>
        <v/>
      </c>
      <c r="C75" s="178" t="str">
        <f>IF('Part II-Sources of Funds'!$I$45="","",-FV('Part II-Sources of Funds'!$K$45/12,12,C61/12,B75))</f>
        <v/>
      </c>
      <c r="D75" s="178" t="str">
        <f>IF('Part II-Sources of Funds'!$I$45="","",-FV('Part II-Sources of Funds'!$K$45/12,12,D61/12,C75))</f>
        <v/>
      </c>
      <c r="E75" s="178" t="str">
        <f>IF('Part II-Sources of Funds'!$I$45="","",-FV('Part II-Sources of Funds'!$K$45/12,12,E61/12,D75))</f>
        <v/>
      </c>
      <c r="F75" s="178" t="str">
        <f>IF('Part II-Sources of Funds'!$I$45="","",-FV('Part II-Sources of Funds'!$K$45/12,12,F61/12,E75))</f>
        <v/>
      </c>
      <c r="G75" s="178" t="str">
        <f>IF('Part II-Sources of Funds'!$I$45="","",-FV('Part II-Sources of Funds'!$K$45/12,12,G61/12,F75))</f>
        <v/>
      </c>
      <c r="H75" s="178" t="str">
        <f>IF('Part II-Sources of Funds'!$I$45="","",-FV('Part II-Sources of Funds'!$K$45/12,12,H61/12,G75))</f>
        <v/>
      </c>
      <c r="I75" s="178" t="str">
        <f>IF('Part II-Sources of Funds'!$I$45="","",-FV('Part II-Sources of Funds'!$K$45/12,12,I61/12,H75))</f>
        <v/>
      </c>
      <c r="J75" s="178" t="str">
        <f>IF('Part II-Sources of Funds'!$I$45="","",-FV('Part II-Sources of Funds'!$K$45/12,12,J61/12,I75))</f>
        <v/>
      </c>
      <c r="K75" s="178" t="str">
        <f>IF('Part II-Sources of Funds'!$I$45="","",-FV('Part II-Sources of Funds'!$K$45/12,12,K61/12,J75))</f>
        <v/>
      </c>
      <c r="N75" s="3613"/>
      <c r="O75" s="3615"/>
      <c r="Z75" s="2499" t="s">
        <v>4353</v>
      </c>
      <c r="AA75" s="2500">
        <v>75</v>
      </c>
    </row>
    <row r="76" spans="1:27" ht="13.35" customHeight="1">
      <c r="A76" s="340" t="s">
        <v>3272</v>
      </c>
      <c r="B76" s="179">
        <f>IF('Part II-Sources of Funds'!$I$47="","",IF(-FV('Part II-Sources of Funds'!$K$47/12,12,B64/12,K44)&gt;0,-FV('Part II-Sources of Funds'!$K$47/12,12,B64/12,K44),0))</f>
        <v>0</v>
      </c>
      <c r="C76" s="179">
        <f>IF('Part II-Sources of Funds'!$I$47="","",IF(-FV('Part II-Sources of Funds'!$K$47/12,12,C64/12,B76)&gt;0,-FV('Part II-Sources of Funds'!$K$47/12,12,C64/12,B76),0))</f>
        <v>0</v>
      </c>
      <c r="D76" s="179">
        <f>IF('Part II-Sources of Funds'!$I$47="","",IF(-FV('Part II-Sources of Funds'!$K$47/12,12,D64/12,C76)&gt;0,-FV('Part II-Sources of Funds'!$K$47/12,12,D64/12,C76),0))</f>
        <v>0</v>
      </c>
      <c r="E76" s="179">
        <f>IF('Part II-Sources of Funds'!$I$47="","",IF(-FV('Part II-Sources of Funds'!$K$47/12,12,E64/12,D76)&gt;0,-FV('Part II-Sources of Funds'!$K$47/12,12,E64/12,D76),0))</f>
        <v>0</v>
      </c>
      <c r="F76" s="179">
        <f>IF('Part II-Sources of Funds'!$I$47="","",IF(-FV('Part II-Sources of Funds'!$K$47/12,12,F64/12,E76)&gt;0,-FV('Part II-Sources of Funds'!$K$47/12,12,F64/12,E76),0))</f>
        <v>0</v>
      </c>
      <c r="G76" s="179">
        <f>IF('Part II-Sources of Funds'!$I$47="","",IF(-FV('Part II-Sources of Funds'!$K$47/12,12,G64/12,F76)&gt;0,-FV('Part II-Sources of Funds'!$K$47/12,12,G64/12,F76),0))</f>
        <v>0</v>
      </c>
      <c r="H76" s="179" t="str">
        <f>IF('Part II-Sources of Funds'!$I$45="","",-FV('Part II-Sources of Funds'!$K$45/12,12,H62/12,G76))</f>
        <v/>
      </c>
      <c r="I76" s="179" t="str">
        <f>IF('Part II-Sources of Funds'!$I$45="","",-FV('Part II-Sources of Funds'!$K$45/12,12,I62/12,H76))</f>
        <v/>
      </c>
      <c r="J76" s="179" t="str">
        <f>IF('Part II-Sources of Funds'!$I$45="","",-FV('Part II-Sources of Funds'!$K$45/12,12,J62/12,I76))</f>
        <v/>
      </c>
      <c r="K76" s="179" t="str">
        <f>IF('Part II-Sources of Funds'!$I$45="","",-FV('Part II-Sources of Funds'!$K$45/12,12,K62/12,J76))</f>
        <v/>
      </c>
      <c r="N76" s="3580"/>
      <c r="O76" s="3582"/>
      <c r="Z76" s="2499" t="s">
        <v>4353</v>
      </c>
      <c r="AA76" s="2500">
        <v>76</v>
      </c>
    </row>
    <row r="77" spans="1:27" ht="4.3499999999999996" customHeight="1">
      <c r="B77" s="13"/>
      <c r="C77" s="13"/>
      <c r="D77" s="13"/>
      <c r="E77" s="13"/>
      <c r="F77" s="13"/>
      <c r="G77" s="13"/>
      <c r="H77" s="13"/>
      <c r="I77" s="13"/>
      <c r="J77" s="13"/>
      <c r="K77" s="13"/>
      <c r="AA77" s="2500">
        <v>77</v>
      </c>
    </row>
    <row r="78" spans="1:27" ht="14.7" customHeight="1">
      <c r="A78" s="10" t="s">
        <v>2277</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6" t="s">
        <v>2402</v>
      </c>
      <c r="O78" s="3266"/>
      <c r="AA78" s="2500">
        <v>78</v>
      </c>
    </row>
    <row r="79" spans="1:27" ht="13.35" customHeight="1">
      <c r="A79" s="14" t="s">
        <v>2208</v>
      </c>
      <c r="B79" s="15">
        <f t="shared" ref="B79:K79" si="33">$B$15*(1+$B$6)^(B78-1)</f>
        <v>3902430.7140558572</v>
      </c>
      <c r="C79" s="15">
        <f t="shared" si="33"/>
        <v>3980479.3283369741</v>
      </c>
      <c r="D79" s="15">
        <f t="shared" si="33"/>
        <v>4060088.9149037139</v>
      </c>
      <c r="E79" s="15">
        <f t="shared" si="33"/>
        <v>4141290.6932017873</v>
      </c>
      <c r="F79" s="15">
        <f t="shared" si="33"/>
        <v>4224116.5070658233</v>
      </c>
      <c r="G79" s="15">
        <f t="shared" si="33"/>
        <v>4308598.8372071395</v>
      </c>
      <c r="H79" s="15">
        <f t="shared" si="33"/>
        <v>4394770.8139512828</v>
      </c>
      <c r="I79" s="15">
        <f t="shared" si="33"/>
        <v>4482666.2302303081</v>
      </c>
      <c r="J79" s="15">
        <f t="shared" si="33"/>
        <v>4572319.5548349153</v>
      </c>
      <c r="K79" s="16">
        <f t="shared" si="33"/>
        <v>4663765.9459316125</v>
      </c>
      <c r="N79" s="3632"/>
      <c r="O79" s="3634"/>
      <c r="Z79" s="2499" t="s">
        <v>4354</v>
      </c>
      <c r="AA79" s="2500">
        <v>79</v>
      </c>
    </row>
    <row r="80" spans="1:27" ht="13.35" customHeight="1">
      <c r="A80" s="17" t="s">
        <v>951</v>
      </c>
      <c r="B80" s="18">
        <f t="shared" ref="B80:K80" si="34">$B$16*(1+$B$6)^(B78-1)</f>
        <v>78048.614281117159</v>
      </c>
      <c r="C80" s="18">
        <f t="shared" si="34"/>
        <v>79609.586566739483</v>
      </c>
      <c r="D80" s="18">
        <f t="shared" si="34"/>
        <v>81201.778298074278</v>
      </c>
      <c r="E80" s="18">
        <f t="shared" si="34"/>
        <v>82825.81386403575</v>
      </c>
      <c r="F80" s="18">
        <f t="shared" si="34"/>
        <v>84482.330141316474</v>
      </c>
      <c r="G80" s="18">
        <f t="shared" si="34"/>
        <v>86171.976744142798</v>
      </c>
      <c r="H80" s="18">
        <f t="shared" si="34"/>
        <v>87895.416279025667</v>
      </c>
      <c r="I80" s="18">
        <f t="shared" si="34"/>
        <v>89653.324604606169</v>
      </c>
      <c r="J80" s="18">
        <f t="shared" si="34"/>
        <v>91446.391096698309</v>
      </c>
      <c r="K80" s="19">
        <f t="shared" si="34"/>
        <v>93275.318918632256</v>
      </c>
      <c r="N80" s="3613"/>
      <c r="O80" s="3615"/>
      <c r="Z80" s="2499" t="s">
        <v>4354</v>
      </c>
      <c r="AA80" s="2500">
        <v>80</v>
      </c>
    </row>
    <row r="81" spans="1:27" ht="13.35" customHeight="1">
      <c r="A81" s="17" t="s">
        <v>2209</v>
      </c>
      <c r="B81" s="18">
        <f t="shared" ref="B81:K81" si="35">-(B79+B80)*$B$9</f>
        <v>-278633.55298358819</v>
      </c>
      <c r="C81" s="18">
        <f t="shared" si="35"/>
        <v>-284206.22404325998</v>
      </c>
      <c r="D81" s="18">
        <f t="shared" si="35"/>
        <v>-289890.34852412518</v>
      </c>
      <c r="E81" s="18">
        <f t="shared" si="35"/>
        <v>-295688.15549460764</v>
      </c>
      <c r="F81" s="18">
        <f t="shared" si="35"/>
        <v>-301601.91860449978</v>
      </c>
      <c r="G81" s="18">
        <f t="shared" si="35"/>
        <v>-307633.95697658975</v>
      </c>
      <c r="H81" s="18">
        <f t="shared" si="35"/>
        <v>-313786.6361161216</v>
      </c>
      <c r="I81" s="18">
        <f t="shared" si="35"/>
        <v>-320062.36883844406</v>
      </c>
      <c r="J81" s="18">
        <f t="shared" si="35"/>
        <v>-326463.61621521297</v>
      </c>
      <c r="K81" s="19">
        <f t="shared" si="35"/>
        <v>-332992.88853951718</v>
      </c>
      <c r="N81" s="3613"/>
      <c r="O81" s="3615"/>
      <c r="Z81" s="2499" t="s">
        <v>4354</v>
      </c>
      <c r="AA81" s="2500">
        <v>81</v>
      </c>
    </row>
    <row r="82" spans="1:27" ht="13.35" customHeight="1">
      <c r="A82" s="17" t="s">
        <v>47</v>
      </c>
      <c r="B82" s="18">
        <f>'Part V-Revenues &amp; Expenses'!H225</f>
        <v>0</v>
      </c>
      <c r="C82" s="18">
        <f>'Part V-Revenues &amp; Expenses'!I225</f>
        <v>0</v>
      </c>
      <c r="D82" s="18">
        <f>'Part V-Revenues &amp; Expenses'!J225</f>
        <v>0</v>
      </c>
      <c r="E82" s="18">
        <f>'Part V-Revenues &amp; Expenses'!K225</f>
        <v>0</v>
      </c>
      <c r="F82" s="18">
        <f>'Part V-Revenues &amp; Expenses'!L225</f>
        <v>0</v>
      </c>
      <c r="G82" s="18">
        <f>'Part V-Revenues &amp; Expenses'!M225</f>
        <v>0</v>
      </c>
      <c r="H82" s="18">
        <f>'Part V-Revenues &amp; Expenses'!N225</f>
        <v>0</v>
      </c>
      <c r="I82" s="18">
        <f>'Part V-Revenues &amp; Expenses'!O225</f>
        <v>0</v>
      </c>
      <c r="J82" s="18">
        <f>'Part V-Revenues &amp; Expenses'!P225</f>
        <v>0</v>
      </c>
      <c r="K82" s="19">
        <f>'Part V-Revenues &amp; Expenses'!Q225</f>
        <v>0</v>
      </c>
      <c r="N82" s="3613"/>
      <c r="O82" s="3615"/>
      <c r="Z82" s="2499" t="s">
        <v>4354</v>
      </c>
      <c r="AA82" s="2500">
        <v>82</v>
      </c>
    </row>
    <row r="83" spans="1:27" ht="13.35" customHeight="1">
      <c r="A83" s="17" t="s">
        <v>48</v>
      </c>
      <c r="B83" s="18">
        <f>'Part V-Revenues &amp; Expenses'!H229</f>
        <v>0</v>
      </c>
      <c r="C83" s="18">
        <f>'Part V-Revenues &amp; Expenses'!I229</f>
        <v>0</v>
      </c>
      <c r="D83" s="18">
        <f>'Part V-Revenues &amp; Expenses'!J229</f>
        <v>0</v>
      </c>
      <c r="E83" s="18">
        <f>'Part V-Revenues &amp; Expenses'!K229</f>
        <v>0</v>
      </c>
      <c r="F83" s="18">
        <f>'Part V-Revenues &amp; Expenses'!L229</f>
        <v>0</v>
      </c>
      <c r="G83" s="18">
        <f>'Part V-Revenues &amp; Expenses'!M229</f>
        <v>0</v>
      </c>
      <c r="H83" s="18">
        <f>'Part V-Revenues &amp; Expenses'!N229</f>
        <v>0</v>
      </c>
      <c r="I83" s="18">
        <f>'Part V-Revenues &amp; Expenses'!O229</f>
        <v>0</v>
      </c>
      <c r="J83" s="18">
        <f>'Part V-Revenues &amp; Expenses'!P229</f>
        <v>0</v>
      </c>
      <c r="K83" s="19">
        <f>'Part V-Revenues &amp; Expenses'!Q229</f>
        <v>0</v>
      </c>
      <c r="N83" s="3613"/>
      <c r="O83" s="3615"/>
      <c r="Z83" s="2499" t="s">
        <v>4354</v>
      </c>
      <c r="AA83" s="2500">
        <v>83</v>
      </c>
    </row>
    <row r="84" spans="1:27" ht="13.35" customHeight="1">
      <c r="A84" s="340" t="s">
        <v>3712</v>
      </c>
      <c r="B84" s="18">
        <f t="shared" ref="B84:K84" si="36">SUM(B79:B83)</f>
        <v>3701845.7753533861</v>
      </c>
      <c r="C84" s="18">
        <f t="shared" si="36"/>
        <v>3775882.6908604535</v>
      </c>
      <c r="D84" s="18">
        <f t="shared" si="36"/>
        <v>3851400.3446776629</v>
      </c>
      <c r="E84" s="18">
        <f t="shared" si="36"/>
        <v>3928428.3515712158</v>
      </c>
      <c r="F84" s="18">
        <f t="shared" si="36"/>
        <v>4006996.9186026398</v>
      </c>
      <c r="G84" s="18">
        <f t="shared" si="36"/>
        <v>4087136.8569746921</v>
      </c>
      <c r="H84" s="18">
        <f t="shared" si="36"/>
        <v>4168879.5941141867</v>
      </c>
      <c r="I84" s="18">
        <f t="shared" si="36"/>
        <v>4252257.18599647</v>
      </c>
      <c r="J84" s="18">
        <f t="shared" si="36"/>
        <v>4337302.3297164002</v>
      </c>
      <c r="K84" s="19">
        <f t="shared" si="36"/>
        <v>4424048.3763107276</v>
      </c>
      <c r="N84" s="3613"/>
      <c r="O84" s="3615"/>
      <c r="Z84" s="2499" t="s">
        <v>4354</v>
      </c>
      <c r="AA84" s="2500">
        <v>84</v>
      </c>
    </row>
    <row r="85" spans="1:27" ht="13.35" customHeight="1">
      <c r="A85" s="17" t="s">
        <v>571</v>
      </c>
      <c r="B85" s="18">
        <f t="shared" ref="B85:K85" si="37">$B$21*(1+$B$7)^(B78-1)</f>
        <v>-1960295.3385506717</v>
      </c>
      <c r="C85" s="18">
        <f t="shared" si="37"/>
        <v>-2019104.1987071915</v>
      </c>
      <c r="D85" s="18">
        <f t="shared" si="37"/>
        <v>-2079677.3246684077</v>
      </c>
      <c r="E85" s="18">
        <f t="shared" si="37"/>
        <v>-2142067.6444084598</v>
      </c>
      <c r="F85" s="18">
        <f t="shared" si="37"/>
        <v>-2206329.6737407134</v>
      </c>
      <c r="G85" s="18">
        <f t="shared" si="37"/>
        <v>-2272519.5639529349</v>
      </c>
      <c r="H85" s="18">
        <f t="shared" si="37"/>
        <v>-2340695.1508715232</v>
      </c>
      <c r="I85" s="18">
        <f t="shared" si="37"/>
        <v>-2410916.0053976686</v>
      </c>
      <c r="J85" s="18">
        <f t="shared" si="37"/>
        <v>-2483243.4855595985</v>
      </c>
      <c r="K85" s="19">
        <f t="shared" si="37"/>
        <v>-2557740.7901263861</v>
      </c>
      <c r="N85" s="3613"/>
      <c r="O85" s="3615"/>
      <c r="Z85" s="2499" t="s">
        <v>4354</v>
      </c>
      <c r="AA85" s="2500">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-222111</v>
      </c>
      <c r="C86" s="18">
        <f>IF(AND('Part VI-Pro Forma'!$G$9="Yes",'Part VI-Pro Forma'!$G$10="Yes"),"Choose One!",IF('Part VI-Pro Forma'!$G$9="Yes",ROUND((-$K$9*(1+'Part VI-Pro Forma'!$B$7)^('Part VI-Pro Forma'!C78-1)),),IF('Part VI-Pro Forma'!$G$10="Yes",ROUND((-(SUM(C79:C82)*'Part VI-Pro Forma'!$K$10)),),"Choose mgt fee")))</f>
        <v>-226553</v>
      </c>
      <c r="D86" s="18">
        <f>IF(AND('Part VI-Pro Forma'!$G$9="Yes",'Part VI-Pro Forma'!$G$10="Yes"),"Choose One!",IF('Part VI-Pro Forma'!$G$9="Yes",ROUND((-$K$9*(1+'Part VI-Pro Forma'!$B$7)^('Part VI-Pro Forma'!D78-1)),),IF('Part VI-Pro Forma'!$G$10="Yes",ROUND((-(SUM(D79:D82)*'Part VI-Pro Forma'!$K$10)),),"Choose mgt fee")))</f>
        <v>-231084</v>
      </c>
      <c r="E86" s="18">
        <f>IF(AND('Part VI-Pro Forma'!$G$9="Yes",'Part VI-Pro Forma'!$G$10="Yes"),"Choose One!",IF('Part VI-Pro Forma'!$G$9="Yes",ROUND((-$K$9*(1+'Part VI-Pro Forma'!$B$7)^('Part VI-Pro Forma'!E78-1)),),IF('Part VI-Pro Forma'!$G$10="Yes",ROUND((-(SUM(E79:E82)*'Part VI-Pro Forma'!$K$10)),),"Choose mgt fee")))</f>
        <v>-235706</v>
      </c>
      <c r="F86" s="18">
        <f>IF(AND('Part VI-Pro Forma'!$G$9="Yes",'Part VI-Pro Forma'!$G$10="Yes"),"Choose One!",IF('Part VI-Pro Forma'!$G$9="Yes",ROUND((-$K$9*(1+'Part VI-Pro Forma'!$B$7)^('Part VI-Pro Forma'!F78-1)),),IF('Part VI-Pro Forma'!$G$10="Yes",ROUND((-(SUM(F79:F82)*'Part VI-Pro Forma'!$K$10)),),"Choose mgt fee")))</f>
        <v>-240420</v>
      </c>
      <c r="G86" s="18">
        <f>IF(AND('Part VI-Pro Forma'!$G$9="Yes",'Part VI-Pro Forma'!$G$10="Yes"),"Choose One!",IF('Part VI-Pro Forma'!$G$9="Yes",ROUND((-$K$9*(1+'Part VI-Pro Forma'!$B$7)^('Part VI-Pro Forma'!G78-1)),),IF('Part VI-Pro Forma'!$G$10="Yes",ROUND((-(SUM(G79:G82)*'Part VI-Pro Forma'!$K$10)),),"Choose mgt fee")))</f>
        <v>-245228</v>
      </c>
      <c r="H86" s="18">
        <f>IF(AND('Part VI-Pro Forma'!$G$9="Yes",'Part VI-Pro Forma'!$G$10="Yes"),"Choose One!",IF('Part VI-Pro Forma'!$G$9="Yes",ROUND((-$K$9*(1+'Part VI-Pro Forma'!$B$7)^('Part VI-Pro Forma'!H78-1)),),IF('Part VI-Pro Forma'!$G$10="Yes",ROUND((-(SUM(H79:H82)*'Part VI-Pro Forma'!$K$10)),),"Choose mgt fee")))</f>
        <v>-250133</v>
      </c>
      <c r="I86" s="18">
        <f>IF(AND('Part VI-Pro Forma'!$G$9="Yes",'Part VI-Pro Forma'!$G$10="Yes"),"Choose One!",IF('Part VI-Pro Forma'!$G$9="Yes",ROUND((-$K$9*(1+'Part VI-Pro Forma'!$B$7)^('Part VI-Pro Forma'!I78-1)),),IF('Part VI-Pro Forma'!$G$10="Yes",ROUND((-(SUM(I79:I82)*'Part VI-Pro Forma'!$K$10)),),"Choose mgt fee")))</f>
        <v>-255135</v>
      </c>
      <c r="J86" s="18">
        <f>IF(AND('Part VI-Pro Forma'!$G$9="Yes",'Part VI-Pro Forma'!$G$10="Yes"),"Choose One!",IF('Part VI-Pro Forma'!$G$9="Yes",ROUND((-$K$9*(1+'Part VI-Pro Forma'!$B$7)^('Part VI-Pro Forma'!J78-1)),),IF('Part VI-Pro Forma'!$G$10="Yes",ROUND((-(SUM(J79:J82)*'Part VI-Pro Forma'!$K$10)),),"Choose mgt fee")))</f>
        <v>-260238</v>
      </c>
      <c r="K86" s="19">
        <f>IF(AND('Part VI-Pro Forma'!$G$9="Yes",'Part VI-Pro Forma'!$G$10="Yes"),"Choose One!",IF('Part VI-Pro Forma'!$G$9="Yes",ROUND((-$K$9*(1+'Part VI-Pro Forma'!$B$7)^('Part VI-Pro Forma'!K78-1)),),IF('Part VI-Pro Forma'!$G$10="Yes",ROUND((-(SUM(K79:K82)*'Part VI-Pro Forma'!$K$10)),),"Choose mgt fee")))</f>
        <v>-265443</v>
      </c>
      <c r="N86" s="3613"/>
      <c r="O86" s="3615"/>
      <c r="Z86" s="2499" t="s">
        <v>4354</v>
      </c>
      <c r="AA86" s="2500">
        <v>86</v>
      </c>
    </row>
    <row r="87" spans="1:27" ht="13.35" customHeight="1">
      <c r="A87" s="17" t="s">
        <v>1127</v>
      </c>
      <c r="B87" s="18">
        <f t="shared" ref="B87:K87" si="38">$B$23*(1+$B$8)^(B78-1)</f>
        <v>-115591.11901884245</v>
      </c>
      <c r="C87" s="18">
        <f t="shared" si="38"/>
        <v>-119058.8525894077</v>
      </c>
      <c r="D87" s="18">
        <f t="shared" si="38"/>
        <v>-122630.61816708995</v>
      </c>
      <c r="E87" s="18">
        <f t="shared" si="38"/>
        <v>-126309.53671210265</v>
      </c>
      <c r="F87" s="18">
        <f t="shared" si="38"/>
        <v>-130098.82281346571</v>
      </c>
      <c r="G87" s="18">
        <f t="shared" si="38"/>
        <v>-134001.78749786969</v>
      </c>
      <c r="H87" s="18">
        <f t="shared" si="38"/>
        <v>-138021.84112280581</v>
      </c>
      <c r="I87" s="18">
        <f t="shared" si="38"/>
        <v>-142162.49635648995</v>
      </c>
      <c r="J87" s="18">
        <f t="shared" si="38"/>
        <v>-146427.37124718467</v>
      </c>
      <c r="K87" s="19">
        <f t="shared" si="38"/>
        <v>-150820.19238460017</v>
      </c>
      <c r="N87" s="3613"/>
      <c r="O87" s="3615"/>
      <c r="Q87" s="92"/>
      <c r="R87" s="852"/>
      <c r="S87" s="852"/>
      <c r="Z87" s="2499" t="s">
        <v>4354</v>
      </c>
      <c r="AA87" s="2500">
        <v>87</v>
      </c>
    </row>
    <row r="88" spans="1:27" ht="13.35" customHeight="1">
      <c r="A88" s="340" t="s">
        <v>3711</v>
      </c>
      <c r="B88" s="1214">
        <f>IF(B78&lt;=+'Part V-Revenues &amp; Expenses'!$L$275,-'Part V-Revenues &amp; Expenses'!$F$275,0)</f>
        <v>0</v>
      </c>
      <c r="C88" s="1214">
        <f>IF(C78&lt;=+'Part V-Revenues &amp; Expenses'!$L$275,-'Part V-Revenues &amp; Expenses'!$F$275,0)</f>
        <v>0</v>
      </c>
      <c r="D88" s="1214">
        <f>IF(D78&lt;=+'Part V-Revenues &amp; Expenses'!$L$275,-'Part V-Revenues &amp; Expenses'!$F$275,0)</f>
        <v>0</v>
      </c>
      <c r="E88" s="1214">
        <f>IF(E78&lt;=+'Part V-Revenues &amp; Expenses'!$L$275,-'Part V-Revenues &amp; Expenses'!$F$275,0)</f>
        <v>0</v>
      </c>
      <c r="F88" s="1214">
        <f>IF(F78&lt;=+'Part V-Revenues &amp; Expenses'!$L$275,-'Part V-Revenues &amp; Expenses'!$F$275,0)</f>
        <v>0</v>
      </c>
      <c r="G88" s="1214">
        <f>IF(G78&lt;=+'Part V-Revenues &amp; Expenses'!$L$275,-'Part V-Revenues &amp; Expenses'!$F$275,0)</f>
        <v>0</v>
      </c>
      <c r="H88" s="1214">
        <f>IF(H78&lt;=+'Part V-Revenues &amp; Expenses'!$L$275,-'Part V-Revenues &amp; Expenses'!$F$275,0)</f>
        <v>0</v>
      </c>
      <c r="I88" s="1214">
        <f>IF(I78&lt;=+'Part V-Revenues &amp; Expenses'!$L$275,-'Part V-Revenues &amp; Expenses'!$F$275,0)</f>
        <v>0</v>
      </c>
      <c r="J88" s="1214">
        <f>IF(J78&lt;=+'Part V-Revenues &amp; Expenses'!$L$275,-'Part V-Revenues &amp; Expenses'!$F$275,0)</f>
        <v>0</v>
      </c>
      <c r="K88" s="1214">
        <f>IF(K78&lt;=+'Part V-Revenues &amp; Expenses'!$L$275,-'Part V-Revenues &amp; Expenses'!$F$275,0)</f>
        <v>0</v>
      </c>
      <c r="N88" s="3613"/>
      <c r="O88" s="3615"/>
      <c r="Z88" s="2499" t="s">
        <v>4354</v>
      </c>
      <c r="AA88" s="2500">
        <v>88</v>
      </c>
    </row>
    <row r="89" spans="1:27" ht="13.35" customHeight="1">
      <c r="A89" s="17" t="s">
        <v>1128</v>
      </c>
      <c r="B89" s="18">
        <f t="shared" ref="B89:K89" si="39">SUM(B84:B88)</f>
        <v>1403848.3177838719</v>
      </c>
      <c r="C89" s="18">
        <f t="shared" si="39"/>
        <v>1411166.6395638543</v>
      </c>
      <c r="D89" s="18">
        <f t="shared" si="39"/>
        <v>1418008.4018421653</v>
      </c>
      <c r="E89" s="18">
        <f t="shared" si="39"/>
        <v>1424345.1704506534</v>
      </c>
      <c r="F89" s="18">
        <f t="shared" si="39"/>
        <v>1430148.4220484607</v>
      </c>
      <c r="G89" s="18">
        <f t="shared" si="39"/>
        <v>1435387.5055238875</v>
      </c>
      <c r="H89" s="18">
        <f t="shared" si="39"/>
        <v>1440029.6021198577</v>
      </c>
      <c r="I89" s="18">
        <f t="shared" si="39"/>
        <v>1444043.6842423114</v>
      </c>
      <c r="J89" s="18">
        <f t="shared" si="39"/>
        <v>1447393.472909617</v>
      </c>
      <c r="K89" s="1150">
        <f t="shared" si="39"/>
        <v>1450044.3937997413</v>
      </c>
      <c r="N89" s="3613"/>
      <c r="O89" s="3615"/>
      <c r="Z89" s="2499" t="s">
        <v>4354</v>
      </c>
      <c r="AA89" s="2500">
        <v>89</v>
      </c>
    </row>
    <row r="90" spans="1:27" ht="13.35" customHeight="1">
      <c r="A90" s="17" t="str">
        <f>$A58</f>
        <v>Mortgage A</v>
      </c>
      <c r="B90" s="341">
        <f>IF('Part II-Sources of Funds'!$P$42="", 0,-'Part II-Sources of Funds'!$P$42)</f>
        <v>-896999.03843217005</v>
      </c>
      <c r="C90" s="341">
        <f>IF('Part II-Sources of Funds'!$P$42="", 0,-'Part II-Sources of Funds'!$P$42)</f>
        <v>-896999.03843217005</v>
      </c>
      <c r="D90" s="341">
        <f>IF('Part II-Sources of Funds'!$P$42="", 0,-'Part II-Sources of Funds'!$P$42)</f>
        <v>-896999.03843217005</v>
      </c>
      <c r="E90" s="341">
        <f>IF('Part II-Sources of Funds'!$P$42="", 0,-'Part II-Sources of Funds'!$P$42)</f>
        <v>-896999.03843217005</v>
      </c>
      <c r="F90" s="341">
        <f>IF('Part II-Sources of Funds'!$P$42="", 0,-'Part II-Sources of Funds'!$P$42)</f>
        <v>-896999.03843217005</v>
      </c>
      <c r="G90" s="341">
        <f>IF('Part II-Sources of Funds'!$P$42="", 0,-'Part II-Sources of Funds'!$P$42)</f>
        <v>-896999.03843217005</v>
      </c>
      <c r="H90" s="341">
        <f>IF('Part II-Sources of Funds'!$P$42="", 0,-'Part II-Sources of Funds'!$P$42)</f>
        <v>-896999.03843217005</v>
      </c>
      <c r="I90" s="341">
        <f>IF('Part II-Sources of Funds'!$P$42="", 0,-'Part II-Sources of Funds'!$P$42)</f>
        <v>-896999.03843217005</v>
      </c>
      <c r="J90" s="341">
        <f>IF('Part II-Sources of Funds'!$P$42="", 0,-'Part II-Sources of Funds'!$P$42)</f>
        <v>-896999.03843217005</v>
      </c>
      <c r="K90" s="341">
        <f>IF('Part II-Sources of Funds'!$P$42="", 0,-'Part II-Sources of Funds'!$P$42)</f>
        <v>-896999.03843217005</v>
      </c>
      <c r="N90" s="3613"/>
      <c r="O90" s="3615"/>
      <c r="Z90" s="2499" t="s">
        <v>4354</v>
      </c>
      <c r="AA90" s="2500">
        <v>90</v>
      </c>
    </row>
    <row r="91" spans="1:27" ht="13.35" customHeight="1">
      <c r="A91" s="17" t="str">
        <f>$A59</f>
        <v>Mortgage B</v>
      </c>
      <c r="B91" s="178">
        <f>IF('Part II-Sources of Funds'!$P$43="", 0,-'Part II-Sources of Funds'!$P$43)</f>
        <v>-57835.669412132156</v>
      </c>
      <c r="C91" s="178">
        <f>IF('Part II-Sources of Funds'!$P$43="", 0,-'Part II-Sources of Funds'!$P$43)</f>
        <v>-57835.669412132156</v>
      </c>
      <c r="D91" s="178">
        <f>IF('Part II-Sources of Funds'!$P$43="", 0,-'Part II-Sources of Funds'!$P$43)</f>
        <v>-57835.669412132156</v>
      </c>
      <c r="E91" s="178">
        <f>IF('Part II-Sources of Funds'!$P$43="", 0,-'Part II-Sources of Funds'!$P$43)</f>
        <v>-57835.669412132156</v>
      </c>
      <c r="F91" s="178">
        <f>IF('Part II-Sources of Funds'!$P$43="", 0,-'Part II-Sources of Funds'!$P$43)</f>
        <v>-57835.669412132156</v>
      </c>
      <c r="G91" s="178">
        <f>IF('Part II-Sources of Funds'!$P$43="", 0,-'Part II-Sources of Funds'!$P$43)</f>
        <v>-57835.669412132156</v>
      </c>
      <c r="H91" s="178">
        <f>IF('Part II-Sources of Funds'!$P$43="", 0,-'Part II-Sources of Funds'!$P$43)</f>
        <v>-57835.669412132156</v>
      </c>
      <c r="I91" s="178">
        <f>IF('Part II-Sources of Funds'!$P$43="", 0,-'Part II-Sources of Funds'!$P$43)</f>
        <v>-57835.669412132156</v>
      </c>
      <c r="J91" s="178">
        <f>IF('Part II-Sources of Funds'!$P$43="", 0,-'Part II-Sources of Funds'!$P$43)</f>
        <v>-57835.669412132156</v>
      </c>
      <c r="K91" s="178">
        <f>IF('Part II-Sources of Funds'!$P$43="", 0,-'Part II-Sources of Funds'!$P$43)</f>
        <v>-57835.669412132156</v>
      </c>
      <c r="N91" s="3613"/>
      <c r="O91" s="3615"/>
      <c r="Z91" s="2499" t="s">
        <v>4354</v>
      </c>
      <c r="AA91" s="2500">
        <v>91</v>
      </c>
    </row>
    <row r="92" spans="1:27" ht="13.35" customHeight="1">
      <c r="A92" s="17" t="str">
        <f>$A60</f>
        <v>Mortgage C</v>
      </c>
      <c r="B92" s="178">
        <f>IF('Part II-Sources of Funds'!$P$44="", 0,-'Part II-Sources of Funds'!$P$44)</f>
        <v>0</v>
      </c>
      <c r="C92" s="178">
        <f>IF('Part II-Sources of Funds'!$P$44="", 0,-'Part II-Sources of Funds'!$P$44)</f>
        <v>0</v>
      </c>
      <c r="D92" s="178">
        <f>IF('Part II-Sources of Funds'!$P$44="", 0,-'Part II-Sources of Funds'!$P$44)</f>
        <v>0</v>
      </c>
      <c r="E92" s="178">
        <f>IF('Part II-Sources of Funds'!$P$44="", 0,-'Part II-Sources of Funds'!$P$44)</f>
        <v>0</v>
      </c>
      <c r="F92" s="178">
        <f>IF('Part II-Sources of Funds'!$P$44="", 0,-'Part II-Sources of Funds'!$P$44)</f>
        <v>0</v>
      </c>
      <c r="G92" s="178">
        <f>IF('Part II-Sources of Funds'!$P$44="", 0,-'Part II-Sources of Funds'!$P$44)</f>
        <v>0</v>
      </c>
      <c r="H92" s="178">
        <f>IF('Part II-Sources of Funds'!$P$44="", 0,-'Part II-Sources of Funds'!$P$44)</f>
        <v>0</v>
      </c>
      <c r="I92" s="178">
        <f>IF('Part II-Sources of Funds'!$P$44="", 0,-'Part II-Sources of Funds'!$P$44)</f>
        <v>0</v>
      </c>
      <c r="J92" s="178">
        <f>IF('Part II-Sources of Funds'!$P$44="", 0,-'Part II-Sources of Funds'!$P$44)</f>
        <v>0</v>
      </c>
      <c r="K92" s="178">
        <f>IF('Part II-Sources of Funds'!$P$44="", 0,-'Part II-Sources of Funds'!$P$44)</f>
        <v>0</v>
      </c>
      <c r="N92" s="3613"/>
      <c r="O92" s="3615"/>
      <c r="Z92" s="2499" t="s">
        <v>4354</v>
      </c>
      <c r="AA92" s="2500">
        <v>92</v>
      </c>
    </row>
    <row r="93" spans="1:27" ht="13.35" customHeight="1">
      <c r="A93" s="17" t="str">
        <f>$A61</f>
        <v>D/S Other Source,not DDF</v>
      </c>
      <c r="B93" s="178">
        <f>IF('Part II-Sources of Funds'!$P$45="", 0,-'Part II-Sources of Funds'!$P$45)</f>
        <v>0</v>
      </c>
      <c r="C93" s="178">
        <f>IF('Part II-Sources of Funds'!$P$45="", 0,-'Part II-Sources of Funds'!$P$45)</f>
        <v>0</v>
      </c>
      <c r="D93" s="178">
        <f>IF('Part II-Sources of Funds'!$P$45="", 0,-'Part II-Sources of Funds'!$P$45)</f>
        <v>0</v>
      </c>
      <c r="E93" s="178">
        <f>IF('Part II-Sources of Funds'!$P$45="", 0,-'Part II-Sources of Funds'!$P$45)</f>
        <v>0</v>
      </c>
      <c r="F93" s="178">
        <f>IF('Part II-Sources of Funds'!$P$45="", 0,-'Part II-Sources of Funds'!$P$45)</f>
        <v>0</v>
      </c>
      <c r="G93" s="178">
        <f>IF('Part II-Sources of Funds'!$P$45="", 0,-'Part II-Sources of Funds'!$P$45)</f>
        <v>0</v>
      </c>
      <c r="H93" s="178">
        <f>IF('Part II-Sources of Funds'!$P$45="", 0,-'Part II-Sources of Funds'!$P$45)</f>
        <v>0</v>
      </c>
      <c r="I93" s="178">
        <f>IF('Part II-Sources of Funds'!$P$45="", 0,-'Part II-Sources of Funds'!$P$45)</f>
        <v>0</v>
      </c>
      <c r="J93" s="178">
        <f>IF('Part II-Sources of Funds'!$P$45="", 0,-'Part II-Sources of Funds'!$P$45)</f>
        <v>0</v>
      </c>
      <c r="K93" s="178">
        <f>IF('Part II-Sources of Funds'!$P$45="", 0,-'Part II-Sources of Funds'!$P$45)</f>
        <v>0</v>
      </c>
      <c r="N93" s="3613"/>
      <c r="O93" s="3615"/>
      <c r="Z93" s="2499" t="s">
        <v>4354</v>
      </c>
      <c r="AA93" s="2500">
        <v>93</v>
      </c>
    </row>
    <row r="94" spans="1:27" ht="13.35" customHeight="1">
      <c r="A94" s="17" t="s">
        <v>710</v>
      </c>
      <c r="B94" s="138"/>
      <c r="C94" s="138"/>
      <c r="D94" s="138"/>
      <c r="E94" s="138"/>
      <c r="F94" s="138"/>
      <c r="G94" s="138"/>
      <c r="H94" s="138"/>
      <c r="I94" s="138"/>
      <c r="J94" s="138"/>
      <c r="K94" s="138"/>
      <c r="N94" s="3613"/>
      <c r="O94" s="3615"/>
      <c r="Z94" s="2499" t="s">
        <v>4354</v>
      </c>
      <c r="AA94" s="2500">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613"/>
      <c r="O95" s="3615"/>
      <c r="Z95" s="2499" t="s">
        <v>4354</v>
      </c>
      <c r="AA95" s="2500">
        <v>95</v>
      </c>
    </row>
    <row r="96" spans="1:27" ht="13.35" customHeight="1">
      <c r="A96" s="17" t="s">
        <v>1095</v>
      </c>
      <c r="B96" s="18">
        <f t="shared" ref="B96:K96" si="41">SUM(B89:B95)</f>
        <v>441513.60993956967</v>
      </c>
      <c r="C96" s="18">
        <f t="shared" si="41"/>
        <v>448831.93171955209</v>
      </c>
      <c r="D96" s="18">
        <f t="shared" si="41"/>
        <v>455673.69399786304</v>
      </c>
      <c r="E96" s="18">
        <f t="shared" si="41"/>
        <v>462010.46260635118</v>
      </c>
      <c r="F96" s="18">
        <f t="shared" si="41"/>
        <v>467813.71420415846</v>
      </c>
      <c r="G96" s="18">
        <f t="shared" si="41"/>
        <v>473052.79767958523</v>
      </c>
      <c r="H96" s="18">
        <f t="shared" si="41"/>
        <v>477694.89427555545</v>
      </c>
      <c r="I96" s="18">
        <f t="shared" si="41"/>
        <v>481708.97639800917</v>
      </c>
      <c r="J96" s="18">
        <f t="shared" si="41"/>
        <v>485058.76506531477</v>
      </c>
      <c r="K96" s="19">
        <f t="shared" si="41"/>
        <v>487709.68595543905</v>
      </c>
      <c r="N96" s="3613"/>
      <c r="O96" s="3615"/>
      <c r="Z96" s="2499" t="s">
        <v>4354</v>
      </c>
      <c r="AA96" s="2500">
        <v>96</v>
      </c>
    </row>
    <row r="97" spans="1:27" ht="13.35" customHeight="1">
      <c r="A97" s="17" t="str">
        <f>$A66</f>
        <v>DCR Mortgage A</v>
      </c>
      <c r="B97" s="20">
        <f t="shared" ref="B97:K97" si="42">IF(B90=0,"",-B89/B90)</f>
        <v>1.5650499695491358</v>
      </c>
      <c r="C97" s="20">
        <f t="shared" si="42"/>
        <v>1.5732086424868168</v>
      </c>
      <c r="D97" s="20">
        <f t="shared" si="42"/>
        <v>1.5808360333592413</v>
      </c>
      <c r="E97" s="20">
        <f t="shared" si="42"/>
        <v>1.5879004429483128</v>
      </c>
      <c r="F97" s="20">
        <f t="shared" si="42"/>
        <v>1.5943700726236696</v>
      </c>
      <c r="G97" s="20">
        <f t="shared" si="42"/>
        <v>1.6002107516555935</v>
      </c>
      <c r="H97" s="20">
        <f t="shared" si="42"/>
        <v>1.6053858927617468</v>
      </c>
      <c r="I97" s="20">
        <f t="shared" si="42"/>
        <v>1.6098609054991848</v>
      </c>
      <c r="J97" s="20">
        <f t="shared" si="42"/>
        <v>1.6135953450289759</v>
      </c>
      <c r="K97" s="21">
        <f t="shared" si="42"/>
        <v>1.6165506669151148</v>
      </c>
      <c r="N97" s="3613"/>
      <c r="O97" s="3615"/>
      <c r="Z97" s="2499" t="s">
        <v>4354</v>
      </c>
      <c r="AA97" s="2500">
        <v>97</v>
      </c>
    </row>
    <row r="98" spans="1:27" ht="13.35" customHeight="1">
      <c r="A98" s="17" t="str">
        <f>$A67</f>
        <v>DCR Mortgage B</v>
      </c>
      <c r="B98" s="20">
        <f t="shared" ref="B98:K98" si="43">IF(B91=0,"",-(B89+B90)/B91)</f>
        <v>8.7636104933779908</v>
      </c>
      <c r="C98" s="20">
        <f t="shared" si="43"/>
        <v>8.8901469691267661</v>
      </c>
      <c r="D98" s="20">
        <f t="shared" si="43"/>
        <v>9.0084435557808789</v>
      </c>
      <c r="E98" s="20">
        <f t="shared" si="43"/>
        <v>9.1180086161129879</v>
      </c>
      <c r="F98" s="20">
        <f t="shared" si="43"/>
        <v>9.2183489710668454</v>
      </c>
      <c r="G98" s="20">
        <f t="shared" si="43"/>
        <v>9.3089346516456146</v>
      </c>
      <c r="H98" s="20">
        <f t="shared" si="43"/>
        <v>9.3891982094664996</v>
      </c>
      <c r="I98" s="20">
        <f t="shared" si="43"/>
        <v>9.4586031660141572</v>
      </c>
      <c r="J98" s="20">
        <f t="shared" si="43"/>
        <v>9.5165222443503179</v>
      </c>
      <c r="K98" s="21">
        <f t="shared" si="43"/>
        <v>9.5623576417282585</v>
      </c>
      <c r="N98" s="3613"/>
      <c r="O98" s="3615"/>
      <c r="Z98" s="2499" t="s">
        <v>4354</v>
      </c>
      <c r="AA98" s="2500">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613"/>
      <c r="O99" s="3615"/>
      <c r="Z99" s="2499" t="s">
        <v>4354</v>
      </c>
      <c r="AA99" s="2500">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613"/>
      <c r="O100" s="3615"/>
      <c r="Z100" s="2499" t="s">
        <v>4354</v>
      </c>
      <c r="AA100" s="2500">
        <v>100</v>
      </c>
    </row>
    <row r="101" spans="1:27" ht="13.35" customHeight="1">
      <c r="A101" s="340" t="s">
        <v>3127</v>
      </c>
      <c r="B101" s="20">
        <f t="shared" ref="B101:K101" si="46">IF(AND(B90=0,B91=0,B92=0,B93=0),"",-B89/(B90+B91+B92+B93))</f>
        <v>1.4702527110197874</v>
      </c>
      <c r="C101" s="20">
        <f t="shared" si="46"/>
        <v>1.477917201763431</v>
      </c>
      <c r="D101" s="20">
        <f t="shared" si="46"/>
        <v>1.4850825909371839</v>
      </c>
      <c r="E101" s="20">
        <f t="shared" si="46"/>
        <v>1.4917190993887821</v>
      </c>
      <c r="F101" s="20">
        <f t="shared" si="46"/>
        <v>1.4977968545752365</v>
      </c>
      <c r="G101" s="20">
        <f t="shared" si="46"/>
        <v>1.503283755535566</v>
      </c>
      <c r="H101" s="20">
        <f t="shared" si="46"/>
        <v>1.508145431130131</v>
      </c>
      <c r="I101" s="20">
        <f t="shared" si="46"/>
        <v>1.5123493861073396</v>
      </c>
      <c r="J101" s="20">
        <f t="shared" si="46"/>
        <v>1.5158576254285394</v>
      </c>
      <c r="K101" s="21">
        <f t="shared" si="46"/>
        <v>1.5186339393479498</v>
      </c>
      <c r="N101" s="3613"/>
      <c r="O101" s="3615"/>
      <c r="Z101" s="2499" t="s">
        <v>4354</v>
      </c>
      <c r="AA101" s="2500">
        <v>101</v>
      </c>
    </row>
    <row r="102" spans="1:27" ht="13.35" customHeight="1">
      <c r="A102" s="17" t="s">
        <v>717</v>
      </c>
      <c r="B102" s="220">
        <f>IF(OR(B86="Choose mgt fee",B86="Choose One!"),"",(B79+B80+B81+B82+B83) / -(B85+B86+B87))</f>
        <v>1.6109007271351192</v>
      </c>
      <c r="C102" s="220">
        <f t="shared" ref="C102:K102" si="47">IF(OR(C86="Choose mgt fee",C86="Choose One!"),"",(C79+C80+C81+C82+C83) / -(C85+C86+C87))</f>
        <v>1.5967594455114797</v>
      </c>
      <c r="D102" s="220">
        <f t="shared" si="47"/>
        <v>1.5827291431687074</v>
      </c>
      <c r="E102" s="220">
        <f t="shared" si="47"/>
        <v>1.5688090480338066</v>
      </c>
      <c r="F102" s="220">
        <f t="shared" si="47"/>
        <v>1.5549990323299518</v>
      </c>
      <c r="G102" s="220">
        <f t="shared" si="47"/>
        <v>1.5412983337729749</v>
      </c>
      <c r="H102" s="220">
        <f t="shared" si="47"/>
        <v>1.5277056658828796</v>
      </c>
      <c r="I102" s="220">
        <f t="shared" si="47"/>
        <v>1.5142214733104464</v>
      </c>
      <c r="J102" s="220">
        <f t="shared" si="47"/>
        <v>1.5008439866539323</v>
      </c>
      <c r="K102" s="221">
        <f t="shared" si="47"/>
        <v>1.4875731176981988</v>
      </c>
      <c r="N102" s="3613"/>
      <c r="O102" s="3615"/>
      <c r="Z102" s="2499" t="s">
        <v>4354</v>
      </c>
      <c r="AA102" s="2500">
        <v>102</v>
      </c>
    </row>
    <row r="103" spans="1:27" ht="13.35" customHeight="1">
      <c r="A103" s="340" t="s">
        <v>2398</v>
      </c>
      <c r="B103" s="177">
        <f>IF('Part II-Sources of Funds'!$I$42="","",-FV('Part II-Sources of Funds'!$K$42/12,12,B90/12,K72))</f>
        <v>10115905.135925677</v>
      </c>
      <c r="C103" s="177">
        <f>IF('Part II-Sources of Funds'!$I$42="","",-FV('Part II-Sources of Funds'!$K$42/12,12,C90/12,B103))</f>
        <v>9822881.588636348</v>
      </c>
      <c r="D103" s="177">
        <f>IF('Part II-Sources of Funds'!$I$42="","",-FV('Part II-Sources of Funds'!$K$42/12,12,D90/12,C103))</f>
        <v>9511630.1804007664</v>
      </c>
      <c r="E103" s="177">
        <f>IF('Part II-Sources of Funds'!$I$42="","",-FV('Part II-Sources of Funds'!$K$42/12,12,E90/12,D103))</f>
        <v>9181017.0265269</v>
      </c>
      <c r="F103" s="177">
        <f>IF('Part II-Sources of Funds'!$I$42="","",-FV('Part II-Sources of Funds'!$K$42/12,12,F90/12,E103))</f>
        <v>8829837.7077438887</v>
      </c>
      <c r="G103" s="177">
        <f>IF('Part II-Sources of Funds'!$I$42="","",-FV('Part II-Sources of Funds'!$K$42/12,12,G90/12,F103))</f>
        <v>8456812.8825188428</v>
      </c>
      <c r="H103" s="177">
        <f>IF('Part II-Sources of Funds'!$I$42="","",-FV('Part II-Sources of Funds'!$K$42/12,12,H90/12,G103))</f>
        <v>8060583.6264328584</v>
      </c>
      <c r="I103" s="177">
        <f>IF('Part II-Sources of Funds'!$I$42="","",-FV('Part II-Sources of Funds'!$K$42/12,12,I90/12,H103))</f>
        <v>7639706.4816376381</v>
      </c>
      <c r="J103" s="177">
        <f>IF('Part II-Sources of Funds'!$I$42="","",-FV('Part II-Sources of Funds'!$K$42/12,12,J90/12,I103))</f>
        <v>7192648.1983579788</v>
      </c>
      <c r="K103" s="177">
        <f>IF('Part II-Sources of Funds'!$I$42="","",-FV('Part II-Sources of Funds'!$K$42/12,12,K90/12,J103))</f>
        <v>6717780.1492834706</v>
      </c>
      <c r="N103" s="3613"/>
      <c r="O103" s="3615"/>
      <c r="Z103" s="2499" t="s">
        <v>4354</v>
      </c>
      <c r="AA103" s="2500">
        <v>103</v>
      </c>
    </row>
    <row r="104" spans="1:27" ht="13.35" customHeight="1">
      <c r="A104" s="340" t="s">
        <v>2399</v>
      </c>
      <c r="B104" s="178">
        <f>IF('Part II-Sources of Funds'!$I$43="","",-FV('Part II-Sources of Funds'!$K$43/12,12,B91/12,K73))</f>
        <v>594673.7605782157</v>
      </c>
      <c r="C104" s="178">
        <f>IF('Part II-Sources of Funds'!$I$43="","",-FV('Part II-Sources of Funds'!$K$43/12,12,C91/12,B104))</f>
        <v>563779.42772937368</v>
      </c>
      <c r="D104" s="178">
        <f>IF('Part II-Sources of Funds'!$I$43="","",-FV('Part II-Sources of Funds'!$K$43/12,12,D91/12,C104))</f>
        <v>531420.7157659817</v>
      </c>
      <c r="E104" s="178">
        <f>IF('Part II-Sources of Funds'!$I$43="","",-FV('Part II-Sources of Funds'!$K$43/12,12,E91/12,D104))</f>
        <v>497528.21369924711</v>
      </c>
      <c r="F104" s="178">
        <f>IF('Part II-Sources of Funds'!$I$43="","",-FV('Part II-Sources of Funds'!$K$43/12,12,F91/12,E104))</f>
        <v>462029.22048705874</v>
      </c>
      <c r="G104" s="178">
        <f>IF('Part II-Sources of Funds'!$I$43="","",-FV('Part II-Sources of Funds'!$K$43/12,12,G91/12,F104))</f>
        <v>424847.58908676571</v>
      </c>
      <c r="H104" s="178">
        <f>IF('Part II-Sources of Funds'!$I$43="","",-FV('Part II-Sources of Funds'!$K$43/12,12,H91/12,G104))</f>
        <v>385903.56311611953</v>
      </c>
      <c r="I104" s="178">
        <f>IF('Part II-Sources of Funds'!$I$43="","",-FV('Part II-Sources of Funds'!$K$43/12,12,I91/12,H104))</f>
        <v>345113.60577200976</v>
      </c>
      <c r="J104" s="178">
        <f>IF('Part II-Sources of Funds'!$I$43="","",-FV('Part II-Sources of Funds'!$K$43/12,12,J91/12,I104))</f>
        <v>302390.22064001573</v>
      </c>
      <c r="K104" s="178">
        <f>IF('Part II-Sources of Funds'!$I$43="","",-FV('Part II-Sources of Funds'!$K$43/12,12,K91/12,J104))</f>
        <v>257641.76401040208</v>
      </c>
      <c r="N104" s="3613"/>
      <c r="O104" s="3615"/>
      <c r="Z104" s="2499" t="s">
        <v>4354</v>
      </c>
      <c r="AA104" s="2500">
        <v>104</v>
      </c>
    </row>
    <row r="105" spans="1:27" ht="13.35" customHeight="1">
      <c r="A105" s="340" t="s">
        <v>2400</v>
      </c>
      <c r="B105" s="178" t="str">
        <f>IF('Part II-Sources of Funds'!$I$44="","",-FV('Part II-Sources of Funds'!$K$44/12,12,B92/12,K74))</f>
        <v/>
      </c>
      <c r="C105" s="178" t="str">
        <f>IF('Part II-Sources of Funds'!$I$44="","",-FV('Part II-Sources of Funds'!$K$44/12,12,C92/12,B105))</f>
        <v/>
      </c>
      <c r="D105" s="178" t="str">
        <f>IF('Part II-Sources of Funds'!$I$44="","",-FV('Part II-Sources of Funds'!$K$44/12,12,D92/12,C105))</f>
        <v/>
      </c>
      <c r="E105" s="178" t="str">
        <f>IF('Part II-Sources of Funds'!$I$44="","",-FV('Part II-Sources of Funds'!$K$44/12,12,E92/12,D105))</f>
        <v/>
      </c>
      <c r="F105" s="178" t="str">
        <f>IF('Part II-Sources of Funds'!$I$44="","",-FV('Part II-Sources of Funds'!$K$44/12,12,F92/12,E105))</f>
        <v/>
      </c>
      <c r="G105" s="178" t="str">
        <f>IF('Part II-Sources of Funds'!$I$44="","",-FV('Part II-Sources of Funds'!$K$44/12,12,G92/12,F105))</f>
        <v/>
      </c>
      <c r="H105" s="178" t="str">
        <f>IF('Part II-Sources of Funds'!$I$44="","",-FV('Part II-Sources of Funds'!$K$44/12,12,H92/12,G105))</f>
        <v/>
      </c>
      <c r="I105" s="178" t="str">
        <f>IF('Part II-Sources of Funds'!$I$44="","",-FV('Part II-Sources of Funds'!$K$44/12,12,I92/12,H105))</f>
        <v/>
      </c>
      <c r="J105" s="178" t="str">
        <f>IF('Part II-Sources of Funds'!$I$44="","",-FV('Part II-Sources of Funds'!$K$44/12,12,J92/12,I105))</f>
        <v/>
      </c>
      <c r="K105" s="178" t="str">
        <f>IF('Part II-Sources of Funds'!$I$44="","",-FV('Part II-Sources of Funds'!$K$44/12,12,K92/12,J105))</f>
        <v/>
      </c>
      <c r="N105" s="3613"/>
      <c r="O105" s="3615"/>
      <c r="Z105" s="2499" t="s">
        <v>4354</v>
      </c>
      <c r="AA105" s="2500">
        <v>105</v>
      </c>
    </row>
    <row r="106" spans="1:27" ht="13.35" customHeight="1">
      <c r="A106" s="17" t="s">
        <v>729</v>
      </c>
      <c r="B106" s="179" t="str">
        <f>IF('Part II-Sources of Funds'!$I$45="","",-FV('Part II-Sources of Funds'!$K$45/12,12,B93/12,K75))</f>
        <v/>
      </c>
      <c r="C106" s="179" t="str">
        <f>IF('Part II-Sources of Funds'!$I$45="","",-FV('Part II-Sources of Funds'!$K$45/12,12,C93/12,B106))</f>
        <v/>
      </c>
      <c r="D106" s="179" t="str">
        <f>IF('Part II-Sources of Funds'!$I$45="","",-FV('Part II-Sources of Funds'!$K$45/12,12,D93/12,C106))</f>
        <v/>
      </c>
      <c r="E106" s="179" t="str">
        <f>IF('Part II-Sources of Funds'!$I$45="","",-FV('Part II-Sources of Funds'!$K$45/12,12,E93/12,D106))</f>
        <v/>
      </c>
      <c r="F106" s="179" t="str">
        <f>IF('Part II-Sources of Funds'!$I$45="","",-FV('Part II-Sources of Funds'!$K$45/12,12,F93/12,E106))</f>
        <v/>
      </c>
      <c r="G106" s="179" t="str">
        <f>IF('Part II-Sources of Funds'!$I$45="","",-FV('Part II-Sources of Funds'!$K$45/12,12,G93/12,F106))</f>
        <v/>
      </c>
      <c r="H106" s="179" t="str">
        <f>IF('Part II-Sources of Funds'!$I$45="","",-FV('Part II-Sources of Funds'!$K$45/12,12,H93/12,G106))</f>
        <v/>
      </c>
      <c r="I106" s="179" t="str">
        <f>IF('Part II-Sources of Funds'!$I$45="","",-FV('Part II-Sources of Funds'!$K$45/12,12,I93/12,H106))</f>
        <v/>
      </c>
      <c r="J106" s="179" t="str">
        <f>IF('Part II-Sources of Funds'!$I$45="","",-FV('Part II-Sources of Funds'!$K$45/12,12,J93/12,I106))</f>
        <v/>
      </c>
      <c r="K106" s="179" t="str">
        <f>IF('Part II-Sources of Funds'!$I$45="","",-FV('Part II-Sources of Funds'!$K$45/12,12,K93/12,J106))</f>
        <v/>
      </c>
      <c r="N106" s="3580"/>
      <c r="O106" s="3582"/>
      <c r="Z106" s="2499" t="s">
        <v>4354</v>
      </c>
      <c r="AA106" s="2500">
        <v>106</v>
      </c>
    </row>
    <row r="107" spans="1:27" ht="4.3499999999999996" customHeight="1">
      <c r="B107" s="13"/>
      <c r="C107" s="13"/>
      <c r="D107" s="13"/>
      <c r="E107" s="13"/>
      <c r="F107" s="13"/>
      <c r="G107" s="13"/>
      <c r="H107" s="13"/>
      <c r="I107" s="13"/>
      <c r="J107" s="13"/>
      <c r="K107" s="13"/>
      <c r="AA107" s="2500">
        <v>107</v>
      </c>
    </row>
    <row r="108" spans="1:27" ht="14.7" customHeight="1">
      <c r="A108" s="10" t="s">
        <v>2277</v>
      </c>
      <c r="B108" s="12">
        <f>K78+1</f>
        <v>31</v>
      </c>
      <c r="C108" s="12">
        <f>B108+1</f>
        <v>32</v>
      </c>
      <c r="D108" s="12">
        <f>C108+1</f>
        <v>33</v>
      </c>
      <c r="E108" s="12">
        <f>D108+1</f>
        <v>34</v>
      </c>
      <c r="F108" s="12">
        <f>E108+1</f>
        <v>35</v>
      </c>
      <c r="G108" s="13"/>
      <c r="H108" s="13"/>
      <c r="I108" s="13"/>
      <c r="J108" s="13"/>
      <c r="K108" s="13"/>
      <c r="N108" s="3266" t="s">
        <v>3119</v>
      </c>
      <c r="O108" s="3266"/>
      <c r="AA108" s="2500">
        <v>108</v>
      </c>
    </row>
    <row r="109" spans="1:27" ht="13.35" customHeight="1">
      <c r="A109" s="14" t="s">
        <v>2208</v>
      </c>
      <c r="B109" s="15">
        <f>$B$15*(1+$B$6)^(B108-1)</f>
        <v>4757041.2648502458</v>
      </c>
      <c r="C109" s="15">
        <f>$B$15*(1+$B$6)^(C108-1)</f>
        <v>4852182.0901472494</v>
      </c>
      <c r="D109" s="15">
        <f>$B$15*(1+$B$6)^(D108-1)</f>
        <v>4949225.7319501955</v>
      </c>
      <c r="E109" s="15">
        <f>$B$15*(1+$B$6)^(E108-1)</f>
        <v>5048210.2465891996</v>
      </c>
      <c r="F109" s="495">
        <f>$B$15*(1+$B$6)^(F108-1)</f>
        <v>5149174.4515209831</v>
      </c>
      <c r="G109" s="13"/>
      <c r="H109" s="13"/>
      <c r="I109" s="13"/>
      <c r="J109" s="13"/>
      <c r="K109" s="13"/>
      <c r="N109" s="3632"/>
      <c r="O109" s="3634"/>
      <c r="Z109" s="2499" t="s">
        <v>4355</v>
      </c>
      <c r="AA109" s="2500">
        <v>109</v>
      </c>
    </row>
    <row r="110" spans="1:27" ht="13.35" customHeight="1">
      <c r="A110" s="17" t="s">
        <v>951</v>
      </c>
      <c r="B110" s="18">
        <f>$B$16*(1+$B$6)^(B108-1)</f>
        <v>95140.825297004907</v>
      </c>
      <c r="C110" s="18">
        <f>$B$16*(1+$B$6)^(C108-1)</f>
        <v>97043.641802944985</v>
      </c>
      <c r="D110" s="18">
        <f>$B$16*(1+$B$6)^(D108-1)</f>
        <v>98984.514639003915</v>
      </c>
      <c r="E110" s="18">
        <f>$B$16*(1+$B$6)^(E108-1)</f>
        <v>100964.204931784</v>
      </c>
      <c r="F110" s="19">
        <f>$B$16*(1+$B$6)^(F108-1)</f>
        <v>102983.48903041966</v>
      </c>
      <c r="G110" s="13"/>
      <c r="H110" s="13"/>
      <c r="I110" s="13"/>
      <c r="J110" s="13"/>
      <c r="K110" s="13"/>
      <c r="N110" s="3613"/>
      <c r="O110" s="3615"/>
      <c r="Z110" s="2499" t="s">
        <v>4355</v>
      </c>
      <c r="AA110" s="2500">
        <v>110</v>
      </c>
    </row>
    <row r="111" spans="1:27" ht="13.35" customHeight="1">
      <c r="A111" s="17" t="s">
        <v>2209</v>
      </c>
      <c r="B111" s="18">
        <f>-(B109+B110)*$B$9</f>
        <v>-339652.74631030753</v>
      </c>
      <c r="C111" s="18">
        <f>-(C109+C110)*$B$9</f>
        <v>-346445.80123651365</v>
      </c>
      <c r="D111" s="18">
        <f>-(D109+D110)*$B$9</f>
        <v>-353374.71726124402</v>
      </c>
      <c r="E111" s="18">
        <f>-(E109+E110)*$B$9</f>
        <v>-360442.21160646895</v>
      </c>
      <c r="F111" s="19">
        <f>-(F109+F110)*$B$9</f>
        <v>-367651.05583859823</v>
      </c>
      <c r="G111" s="13"/>
      <c r="H111" s="13"/>
      <c r="I111" s="13"/>
      <c r="J111" s="13"/>
      <c r="K111" s="13"/>
      <c r="N111" s="3613"/>
      <c r="O111" s="3615"/>
      <c r="Z111" s="2499" t="s">
        <v>4355</v>
      </c>
      <c r="AA111" s="2500">
        <v>111</v>
      </c>
    </row>
    <row r="112" spans="1:27" ht="13.35" customHeight="1">
      <c r="A112" s="17" t="s">
        <v>47</v>
      </c>
      <c r="B112" s="18">
        <f>'Part V-Revenues &amp; Expenses'!H234</f>
        <v>0</v>
      </c>
      <c r="C112" s="18">
        <f>'Part V-Revenues &amp; Expenses'!I234</f>
        <v>0</v>
      </c>
      <c r="D112" s="18">
        <f>'Part V-Revenues &amp; Expenses'!J234</f>
        <v>0</v>
      </c>
      <c r="E112" s="18">
        <f>'Part V-Revenues &amp; Expenses'!K234</f>
        <v>0</v>
      </c>
      <c r="F112" s="19">
        <f>'Part V-Revenues &amp; Expenses'!L234</f>
        <v>0</v>
      </c>
      <c r="G112" s="13"/>
      <c r="H112" s="13"/>
      <c r="I112" s="13"/>
      <c r="J112" s="13"/>
      <c r="K112" s="13"/>
      <c r="N112" s="3613"/>
      <c r="O112" s="3615"/>
      <c r="Z112" s="2499" t="s">
        <v>4355</v>
      </c>
      <c r="AA112" s="2500">
        <v>112</v>
      </c>
    </row>
    <row r="113" spans="1:27" ht="13.35" customHeight="1">
      <c r="A113" s="17" t="s">
        <v>48</v>
      </c>
      <c r="B113" s="18">
        <f>'Part V-Revenues &amp; Expenses'!H238</f>
        <v>0</v>
      </c>
      <c r="C113" s="18">
        <f>'Part V-Revenues &amp; Expenses'!I238</f>
        <v>0</v>
      </c>
      <c r="D113" s="18">
        <f>'Part V-Revenues &amp; Expenses'!J238</f>
        <v>0</v>
      </c>
      <c r="E113" s="18">
        <f>'Part V-Revenues &amp; Expenses'!K238</f>
        <v>0</v>
      </c>
      <c r="F113" s="19">
        <f>'Part V-Revenues &amp; Expenses'!L238</f>
        <v>0</v>
      </c>
      <c r="G113" s="13"/>
      <c r="H113" s="13"/>
      <c r="I113" s="13"/>
      <c r="J113" s="13"/>
      <c r="K113" s="13"/>
      <c r="N113" s="3613"/>
      <c r="O113" s="3615"/>
      <c r="Z113" s="2499" t="s">
        <v>4355</v>
      </c>
      <c r="AA113" s="2500">
        <v>113</v>
      </c>
    </row>
    <row r="114" spans="1:27" ht="13.35" customHeight="1">
      <c r="A114" s="340" t="s">
        <v>3712</v>
      </c>
      <c r="B114" s="18">
        <f>SUM(B109:B113)</f>
        <v>4512529.3438369427</v>
      </c>
      <c r="C114" s="18">
        <f>SUM(C109:C113)</f>
        <v>4602779.9307136806</v>
      </c>
      <c r="D114" s="18">
        <f>SUM(D109:D113)</f>
        <v>4694835.529327956</v>
      </c>
      <c r="E114" s="18">
        <f>SUM(E109:E113)</f>
        <v>4788732.2399145151</v>
      </c>
      <c r="F114" s="19">
        <f>SUM(F109:F113)</f>
        <v>4884506.884712805</v>
      </c>
      <c r="G114" s="13"/>
      <c r="H114" s="13"/>
      <c r="I114" s="13"/>
      <c r="J114" s="13"/>
      <c r="K114" s="13"/>
      <c r="N114" s="3613"/>
      <c r="O114" s="3615"/>
      <c r="Z114" s="2499" t="s">
        <v>4355</v>
      </c>
      <c r="AA114" s="2500">
        <v>114</v>
      </c>
    </row>
    <row r="115" spans="1:27" ht="13.35" customHeight="1">
      <c r="A115" s="17" t="s">
        <v>571</v>
      </c>
      <c r="B115" s="18">
        <f>$B$21*(1+$B$7)^(B108-1)</f>
        <v>-2634473.013830178</v>
      </c>
      <c r="C115" s="18">
        <f>$B$21*(1+$B$7)^(C108-1)</f>
        <v>-2713507.2042450835</v>
      </c>
      <c r="D115" s="18">
        <f>$B$21*(1+$B$7)^(D108-1)</f>
        <v>-2794912.4203724358</v>
      </c>
      <c r="E115" s="18">
        <f>$B$21*(1+$B$7)^(E108-1)</f>
        <v>-2878759.7929836088</v>
      </c>
      <c r="F115" s="19">
        <f>$B$21*(1+$B$7)^(F108-1)</f>
        <v>-2965122.5867731166</v>
      </c>
      <c r="G115" s="13"/>
      <c r="H115" s="13"/>
      <c r="I115" s="13"/>
      <c r="J115" s="13"/>
      <c r="K115" s="13"/>
      <c r="N115" s="3613"/>
      <c r="O115" s="3615"/>
      <c r="Z115" s="2499" t="s">
        <v>4355</v>
      </c>
      <c r="AA115" s="2500">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-270752</v>
      </c>
      <c r="C116" s="18">
        <f>IF(AND('Part VI-Pro Forma'!$G$9="Yes",'Part VI-Pro Forma'!$G$10="Yes"),"Choose One!",IF('Part VI-Pro Forma'!$G$9="Yes",ROUND((-$K$9*(1+'Part VI-Pro Forma'!$B$7)^('Part VI-Pro Forma'!C108-1)),),IF('Part VI-Pro Forma'!$G$10="Yes",ROUND((-(SUM(C109:C112)*'Part VI-Pro Forma'!$K$10)),),"Choose mgt fee")))</f>
        <v>-276167</v>
      </c>
      <c r="D116" s="18">
        <f>IF(AND('Part VI-Pro Forma'!$G$9="Yes",'Part VI-Pro Forma'!$G$10="Yes"),"Choose One!",IF('Part VI-Pro Forma'!$G$9="Yes",ROUND((-$K$9*(1+'Part VI-Pro Forma'!$B$7)^('Part VI-Pro Forma'!D108-1)),),IF('Part VI-Pro Forma'!$G$10="Yes",ROUND((-(SUM(D109:D112)*'Part VI-Pro Forma'!$K$10)),),"Choose mgt fee")))</f>
        <v>-281690</v>
      </c>
      <c r="E116" s="18">
        <f>IF(AND('Part VI-Pro Forma'!$G$9="Yes",'Part VI-Pro Forma'!$G$10="Yes"),"Choose One!",IF('Part VI-Pro Forma'!$G$9="Yes",ROUND((-$K$9*(1+'Part VI-Pro Forma'!$B$7)^('Part VI-Pro Forma'!E108-1)),),IF('Part VI-Pro Forma'!$G$10="Yes",ROUND((-(SUM(E109:E112)*'Part VI-Pro Forma'!$K$10)),),"Choose mgt fee")))</f>
        <v>-287324</v>
      </c>
      <c r="F116" s="19">
        <f>IF(AND('Part VI-Pro Forma'!$G$9="Yes",'Part VI-Pro Forma'!$G$10="Yes"),"Choose One!",IF('Part VI-Pro Forma'!$G$9="Yes",ROUND((-$K$9*(1+'Part VI-Pro Forma'!$B$7)^('Part VI-Pro Forma'!F108-1)),),IF('Part VI-Pro Forma'!$G$10="Yes",ROUND((-(SUM(F109:F112)*'Part VI-Pro Forma'!$K$10)),),"Choose mgt fee")))</f>
        <v>-293070</v>
      </c>
      <c r="G116" s="13"/>
      <c r="H116" s="13"/>
      <c r="I116" s="13"/>
      <c r="J116" s="13"/>
      <c r="K116" s="13"/>
      <c r="N116" s="3613"/>
      <c r="O116" s="3615"/>
      <c r="Z116" s="2499" t="s">
        <v>4355</v>
      </c>
      <c r="AA116" s="2500">
        <v>116</v>
      </c>
    </row>
    <row r="117" spans="1:27" ht="13.35" customHeight="1">
      <c r="A117" s="17" t="s">
        <v>1127</v>
      </c>
      <c r="B117" s="18">
        <f>$B$23*(1+$B$8)^(B108-1)</f>
        <v>-155344.79815613819</v>
      </c>
      <c r="C117" s="18">
        <f>$B$23*(1+$B$8)^(C108-1)</f>
        <v>-160005.14210082236</v>
      </c>
      <c r="D117" s="18">
        <f>$B$23*(1+$B$8)^(D108-1)</f>
        <v>-164805.29636384698</v>
      </c>
      <c r="E117" s="18">
        <f>$B$23*(1+$B$8)^(E108-1)</f>
        <v>-169749.4552547624</v>
      </c>
      <c r="F117" s="19">
        <f>$B$23*(1+$B$8)^(F108-1)</f>
        <v>-174841.93891240525</v>
      </c>
      <c r="G117" s="13"/>
      <c r="H117" s="13"/>
      <c r="I117" s="13"/>
      <c r="J117" s="13"/>
      <c r="K117" s="13"/>
      <c r="N117" s="3613"/>
      <c r="O117" s="3615"/>
      <c r="Q117" s="92">
        <v>10</v>
      </c>
      <c r="R117" s="852">
        <f>-SUM(B123:K123)</f>
        <v>0</v>
      </c>
      <c r="S117" s="852">
        <f>SUM(B124:K124)+R117</f>
        <v>0</v>
      </c>
      <c r="Z117" s="2499" t="s">
        <v>4355</v>
      </c>
      <c r="AA117" s="2500">
        <v>117</v>
      </c>
    </row>
    <row r="118" spans="1:27" ht="13.35" customHeight="1">
      <c r="A118" s="340" t="s">
        <v>3711</v>
      </c>
      <c r="B118" s="1214">
        <f>IF(B108&lt;=+'Part V-Revenues &amp; Expenses'!$L$275,-'Part V-Revenues &amp; Expenses'!$F$275,0)</f>
        <v>0</v>
      </c>
      <c r="C118" s="1214">
        <f>IF(C108&lt;=+'Part V-Revenues &amp; Expenses'!$L$275,-'Part V-Revenues &amp; Expenses'!$F$275,0)</f>
        <v>0</v>
      </c>
      <c r="D118" s="1214">
        <f>IF(D108&lt;=+'Part V-Revenues &amp; Expenses'!$L$275,-'Part V-Revenues &amp; Expenses'!$F$275,0)</f>
        <v>0</v>
      </c>
      <c r="E118" s="1214">
        <f>IF(E108&lt;=+'Part V-Revenues &amp; Expenses'!$L$275,-'Part V-Revenues &amp; Expenses'!$F$275,0)</f>
        <v>0</v>
      </c>
      <c r="F118" s="1214">
        <f>IF(F108&lt;=+'Part V-Revenues &amp; Expenses'!$L$275,-'Part V-Revenues &amp; Expenses'!$F$275,0)</f>
        <v>0</v>
      </c>
      <c r="G118" s="13"/>
      <c r="H118" s="13"/>
      <c r="I118" s="13"/>
      <c r="J118" s="13"/>
      <c r="K118" s="13"/>
      <c r="N118" s="3613"/>
      <c r="O118" s="3615"/>
      <c r="Z118" s="2499" t="s">
        <v>4355</v>
      </c>
      <c r="AA118" s="2500">
        <v>118</v>
      </c>
    </row>
    <row r="119" spans="1:27" ht="13.35" customHeight="1">
      <c r="A119" s="17" t="s">
        <v>1128</v>
      </c>
      <c r="B119" s="18">
        <f>SUM(B114:B118)</f>
        <v>1451959.5318506265</v>
      </c>
      <c r="C119" s="18">
        <f>SUM(C114:C118)</f>
        <v>1453100.5843677747</v>
      </c>
      <c r="D119" s="18">
        <f>SUM(D114:D118)</f>
        <v>1453427.8125916733</v>
      </c>
      <c r="E119" s="18">
        <f>SUM(E114:E118)</f>
        <v>1452898.9916761438</v>
      </c>
      <c r="F119" s="1150">
        <f>SUM(F114:F118)</f>
        <v>1451472.3590272833</v>
      </c>
      <c r="G119" s="13"/>
      <c r="H119" s="13"/>
      <c r="I119" s="13"/>
      <c r="J119" s="13"/>
      <c r="K119" s="13"/>
      <c r="N119" s="3613"/>
      <c r="O119" s="3615"/>
      <c r="Z119" s="2499" t="s">
        <v>4355</v>
      </c>
      <c r="AA119" s="2500">
        <v>119</v>
      </c>
    </row>
    <row r="120" spans="1:27" ht="13.35" customHeight="1">
      <c r="A120" s="17" t="str">
        <f>$A90</f>
        <v>Mortgage A</v>
      </c>
      <c r="B120" s="341">
        <f>IF('Part II-Sources of Funds'!$P$42="", 0,-'Part II-Sources of Funds'!$P$42)</f>
        <v>-896999.03843217005</v>
      </c>
      <c r="C120" s="341">
        <f>IF('Part II-Sources of Funds'!$P$42="", 0,-'Part II-Sources of Funds'!$P$42)</f>
        <v>-896999.03843217005</v>
      </c>
      <c r="D120" s="341">
        <f>IF('Part II-Sources of Funds'!$P$42="", 0,-'Part II-Sources of Funds'!$P$42)</f>
        <v>-896999.03843217005</v>
      </c>
      <c r="E120" s="341">
        <f>IF('Part II-Sources of Funds'!$P$42="", 0,-'Part II-Sources of Funds'!$P$42)</f>
        <v>-896999.03843217005</v>
      </c>
      <c r="F120" s="341">
        <f>IF('Part II-Sources of Funds'!$P$42="", 0,-'Part II-Sources of Funds'!$P$42)</f>
        <v>-896999.03843217005</v>
      </c>
      <c r="G120" s="13"/>
      <c r="H120" s="13"/>
      <c r="I120" s="13"/>
      <c r="J120" s="13"/>
      <c r="K120" s="13"/>
      <c r="N120" s="3613"/>
      <c r="O120" s="3615"/>
      <c r="Z120" s="2499" t="s">
        <v>4355</v>
      </c>
      <c r="AA120" s="2500">
        <v>120</v>
      </c>
    </row>
    <row r="121" spans="1:27" ht="13.35" customHeight="1">
      <c r="A121" s="17" t="str">
        <f>$A91</f>
        <v>Mortgage B</v>
      </c>
      <c r="B121" s="178">
        <f>IF('Part II-Sources of Funds'!$P$43="", 0,-'Part II-Sources of Funds'!$P$43)</f>
        <v>-57835.669412132156</v>
      </c>
      <c r="C121" s="178">
        <f>IF('Part II-Sources of Funds'!$P$43="", 0,-'Part II-Sources of Funds'!$P$43)</f>
        <v>-57835.669412132156</v>
      </c>
      <c r="D121" s="178">
        <f>IF('Part II-Sources of Funds'!$P$43="", 0,-'Part II-Sources of Funds'!$P$43)</f>
        <v>-57835.669412132156</v>
      </c>
      <c r="E121" s="178">
        <f>IF('Part II-Sources of Funds'!$P$43="", 0,-'Part II-Sources of Funds'!$P$43)</f>
        <v>-57835.669412132156</v>
      </c>
      <c r="F121" s="178">
        <f>IF('Part II-Sources of Funds'!$P$43="", 0,-'Part II-Sources of Funds'!$P$43)</f>
        <v>-57835.669412132156</v>
      </c>
      <c r="G121" s="13"/>
      <c r="H121" s="13"/>
      <c r="I121" s="13"/>
      <c r="J121" s="13"/>
      <c r="K121" s="13"/>
      <c r="N121" s="3613"/>
      <c r="O121" s="3615"/>
      <c r="Z121" s="2499" t="s">
        <v>4355</v>
      </c>
      <c r="AA121" s="2500">
        <v>121</v>
      </c>
    </row>
    <row r="122" spans="1:27" ht="13.35" customHeight="1">
      <c r="A122" s="17" t="str">
        <f>$A92</f>
        <v>Mortgage C</v>
      </c>
      <c r="B122" s="178">
        <f>IF('Part II-Sources of Funds'!$P$44="", 0,-'Part II-Sources of Funds'!$P$44)</f>
        <v>0</v>
      </c>
      <c r="C122" s="178">
        <f>IF('Part II-Sources of Funds'!$P$44="", 0,-'Part II-Sources of Funds'!$P$44)</f>
        <v>0</v>
      </c>
      <c r="D122" s="178">
        <f>IF('Part II-Sources of Funds'!$P$44="", 0,-'Part II-Sources of Funds'!$P$44)</f>
        <v>0</v>
      </c>
      <c r="E122" s="178">
        <f>IF('Part II-Sources of Funds'!$P$44="", 0,-'Part II-Sources of Funds'!$P$44)</f>
        <v>0</v>
      </c>
      <c r="F122" s="178">
        <f>IF('Part II-Sources of Funds'!$P$44="", 0,-'Part II-Sources of Funds'!$P$44)</f>
        <v>0</v>
      </c>
      <c r="G122" s="13"/>
      <c r="H122" s="13"/>
      <c r="I122" s="13"/>
      <c r="J122" s="13"/>
      <c r="K122" s="13"/>
      <c r="N122" s="3613"/>
      <c r="O122" s="3615"/>
      <c r="Z122" s="2499" t="s">
        <v>4355</v>
      </c>
      <c r="AA122" s="2500">
        <v>122</v>
      </c>
    </row>
    <row r="123" spans="1:27" ht="13.35" customHeight="1">
      <c r="A123" s="17" t="str">
        <f>$A93</f>
        <v>D/S Other Source,not DDF</v>
      </c>
      <c r="B123" s="178">
        <f>IF('Part II-Sources of Funds'!$P$45="", 0,-'Part II-Sources of Funds'!$P$45)</f>
        <v>0</v>
      </c>
      <c r="C123" s="178">
        <f>IF('Part II-Sources of Funds'!$P$45="", 0,-'Part II-Sources of Funds'!$P$45)</f>
        <v>0</v>
      </c>
      <c r="D123" s="178">
        <f>IF('Part II-Sources of Funds'!$P$45="", 0,-'Part II-Sources of Funds'!$P$45)</f>
        <v>0</v>
      </c>
      <c r="E123" s="178">
        <f>IF('Part II-Sources of Funds'!$P$45="", 0,-'Part II-Sources of Funds'!$P$45)</f>
        <v>0</v>
      </c>
      <c r="F123" s="178">
        <f>IF('Part II-Sources of Funds'!$P$45="", 0,-'Part II-Sources of Funds'!$P$45)</f>
        <v>0</v>
      </c>
      <c r="G123" s="13"/>
      <c r="H123" s="13"/>
      <c r="I123" s="13"/>
      <c r="J123" s="13"/>
      <c r="K123" s="13"/>
      <c r="N123" s="3613"/>
      <c r="O123" s="3615"/>
      <c r="Z123" s="2499" t="s">
        <v>4355</v>
      </c>
      <c r="AA123" s="2500">
        <v>123</v>
      </c>
    </row>
    <row r="124" spans="1:27" ht="13.35" customHeight="1">
      <c r="A124" s="17" t="s">
        <v>710</v>
      </c>
      <c r="B124" s="138"/>
      <c r="C124" s="138"/>
      <c r="D124" s="138"/>
      <c r="E124" s="138"/>
      <c r="F124" s="138"/>
      <c r="G124" s="13"/>
      <c r="H124" s="13"/>
      <c r="I124" s="13"/>
      <c r="J124" s="13"/>
      <c r="K124" s="13"/>
      <c r="N124" s="3613"/>
      <c r="O124" s="3615"/>
      <c r="Z124" s="2499" t="s">
        <v>4355</v>
      </c>
      <c r="AA124" s="2500">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613"/>
      <c r="O125" s="3615"/>
      <c r="Z125" s="2499" t="s">
        <v>4355</v>
      </c>
      <c r="AA125" s="2500">
        <v>125</v>
      </c>
    </row>
    <row r="126" spans="1:27" ht="13.35" customHeight="1">
      <c r="A126" s="17" t="s">
        <v>1095</v>
      </c>
      <c r="B126" s="18">
        <f>SUM(B119:B125)</f>
        <v>489624.82400632423</v>
      </c>
      <c r="C126" s="18">
        <f>SUM(C119:C125)</f>
        <v>490765.87652347243</v>
      </c>
      <c r="D126" s="18">
        <f>SUM(D119:D125)</f>
        <v>491093.10474737111</v>
      </c>
      <c r="E126" s="18">
        <f>SUM(E119:E125)</f>
        <v>490564.2838318416</v>
      </c>
      <c r="F126" s="19">
        <f>SUM(F119:F125)</f>
        <v>489137.65118298103</v>
      </c>
      <c r="G126" s="13"/>
      <c r="H126" s="13"/>
      <c r="I126" s="13"/>
      <c r="J126" s="13"/>
      <c r="K126" s="13"/>
      <c r="N126" s="3613"/>
      <c r="O126" s="3615"/>
      <c r="Z126" s="2499" t="s">
        <v>4355</v>
      </c>
      <c r="AA126" s="2500">
        <v>126</v>
      </c>
    </row>
    <row r="127" spans="1:27" ht="13.35" customHeight="1">
      <c r="A127" s="17" t="str">
        <f>$A97</f>
        <v>DCR Mortgage A</v>
      </c>
      <c r="B127" s="20">
        <f>IF(B120=0,"",-B119/B120)</f>
        <v>1.6186857171981481</v>
      </c>
      <c r="C127" s="20">
        <f>IF(C120=0,"",-C119/C120)</f>
        <v>1.6199577949465731</v>
      </c>
      <c r="D127" s="20">
        <f>IF(D120=0,"",-D119/D120)</f>
        <v>1.6203225982628293</v>
      </c>
      <c r="E127" s="20">
        <f>IF(E120=0,"",-E119/E120)</f>
        <v>1.6197330536893437</v>
      </c>
      <c r="F127" s="21">
        <f>IF(F120=0,"",-F119/F120)</f>
        <v>1.6181426031005068</v>
      </c>
      <c r="G127" s="13"/>
      <c r="H127" s="13"/>
      <c r="I127" s="13"/>
      <c r="J127" s="13"/>
      <c r="K127" s="13"/>
      <c r="N127" s="3613"/>
      <c r="O127" s="3615"/>
      <c r="Z127" s="2499" t="s">
        <v>4355</v>
      </c>
      <c r="AA127" s="2500">
        <v>127</v>
      </c>
    </row>
    <row r="128" spans="1:27" ht="13.35" customHeight="1">
      <c r="A128" s="17" t="str">
        <f>$A98</f>
        <v>DCR Mortgage B</v>
      </c>
      <c r="B128" s="20">
        <f>IF(B121=0,"",-(B119+B120)/B121)</f>
        <v>9.5954710831451475</v>
      </c>
      <c r="C128" s="20">
        <f>IF(C121=0,"",-(C119+C120)/C121)</f>
        <v>9.6152003009227993</v>
      </c>
      <c r="D128" s="20">
        <f>IF(D121=0,"",-(D119+D120)/D121)</f>
        <v>9.6208581972906426</v>
      </c>
      <c r="E128" s="20">
        <f>IF(E121=0,"",-(E119+E120)/E121)</f>
        <v>9.6117146891250975</v>
      </c>
      <c r="F128" s="21">
        <f>IF(F121=0,"",-(F119+F120)/F121)</f>
        <v>9.5870476858144862</v>
      </c>
      <c r="G128" s="13"/>
      <c r="H128" s="13"/>
      <c r="I128" s="13"/>
      <c r="J128" s="13"/>
      <c r="K128" s="13"/>
      <c r="N128" s="3613"/>
      <c r="O128" s="3615"/>
      <c r="Z128" s="2499" t="s">
        <v>4355</v>
      </c>
      <c r="AA128" s="250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613"/>
      <c r="O129" s="3615"/>
      <c r="Z129" s="2499" t="s">
        <v>4355</v>
      </c>
      <c r="AA129" s="250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613"/>
      <c r="O130" s="3615"/>
      <c r="Z130" s="2499" t="s">
        <v>4355</v>
      </c>
      <c r="AA130" s="2500">
        <v>130</v>
      </c>
    </row>
    <row r="131" spans="1:27" ht="13.35" customHeight="1">
      <c r="A131" s="340" t="s">
        <v>3127</v>
      </c>
      <c r="B131" s="20">
        <f>IF(AND(B120=0,B121=0,B122=0,B123=0),"",-B119/(B120+B121+B122+B123))</f>
        <v>1.5206396666588149</v>
      </c>
      <c r="C131" s="20">
        <f>IF(AND(C120=0,C121=0,C122=0,C123=0),"",-C119/(C120+C121+C122+C123))</f>
        <v>1.5218346928845836</v>
      </c>
      <c r="D131" s="20">
        <f>IF(AND(D120=0,D121=0,D122=0,D123=0),"",-D119/(D120+D121+D122+D123))</f>
        <v>1.5221773995553931</v>
      </c>
      <c r="E131" s="20">
        <f>IF(AND(E120=0,E121=0,E122=0,E123=0),"",-E119/(E120+E121+E122+E123))</f>
        <v>1.5216235645186218</v>
      </c>
      <c r="F131" s="21">
        <f>IF(AND(F120=0,F121=0,F122=0,F123=0),"",-F119/(F120+F121+F122+F123))</f>
        <v>1.5201294497392361</v>
      </c>
      <c r="G131" s="13"/>
      <c r="H131" s="13"/>
      <c r="I131" s="13"/>
      <c r="J131" s="13"/>
      <c r="K131" s="13"/>
      <c r="N131" s="3613"/>
      <c r="O131" s="3615"/>
      <c r="Z131" s="2499" t="s">
        <v>4355</v>
      </c>
      <c r="AA131" s="2500">
        <v>131</v>
      </c>
    </row>
    <row r="132" spans="1:27" ht="13.35" customHeight="1">
      <c r="A132" s="17" t="s">
        <v>717</v>
      </c>
      <c r="B132" s="220">
        <f>IF(OR(B116="Choose mgt fee",B116="Choose One!"),"",(B109+B110+B111+B112+B113) / -(B115+B116+B117))</f>
        <v>1.4744082380229393</v>
      </c>
      <c r="C132" s="220">
        <f>IF(OR(C116="Choose mgt fee",C116="Choose One!"),"",(C109+C110+C111+C112+C113) / -(C115+C116+C117))</f>
        <v>1.4613487357224433</v>
      </c>
      <c r="D132" s="220">
        <f>IF(OR(D116="Choose mgt fee",D116="Choose One!"),"",(D109+D110+D111+D112+D113) / -(D115+D116+D117))</f>
        <v>1.4483940126036057</v>
      </c>
      <c r="E132" s="220">
        <f>IF(OR(E116="Choose mgt fee",E116="Choose One!"),"",(E109+E110+E111+E112+E113) / -(E115+E116+E117))</f>
        <v>1.4355430513330991</v>
      </c>
      <c r="F132" s="496">
        <f>IF(OR(F116="Choose mgt fee",F116="Choose One!"),"",(F109+F110+F111+F112+F113) / -(F115+F116+F117))</f>
        <v>1.4227957360077663</v>
      </c>
      <c r="G132" s="13"/>
      <c r="H132" s="13"/>
      <c r="I132" s="13"/>
      <c r="J132" s="13"/>
      <c r="K132" s="13"/>
      <c r="N132" s="3613"/>
      <c r="O132" s="3615"/>
      <c r="Z132" s="2499" t="s">
        <v>4355</v>
      </c>
      <c r="AA132" s="2500">
        <v>132</v>
      </c>
    </row>
    <row r="133" spans="1:27" ht="13.35" customHeight="1">
      <c r="A133" s="340" t="s">
        <v>2398</v>
      </c>
      <c r="B133" s="177">
        <f>IF('Part II-Sources of Funds'!$I$42="","",-FV('Part II-Sources of Funds'!$K$42/12,12,B120/12,K103))</f>
        <v>6213372.3965011165</v>
      </c>
      <c r="C133" s="177">
        <f>IF('Part II-Sources of Funds'!$I$42="","",-FV('Part II-Sources of Funds'!$K$42/12,12,C120/12,B133))</f>
        <v>5677587.3893547971</v>
      </c>
      <c r="D133" s="177">
        <f>IF('Part II-Sources of Funds'!$I$42="","",-FV('Part II-Sources of Funds'!$K$42/12,12,D120/12,C133))</f>
        <v>5108473.2702729534</v>
      </c>
      <c r="E133" s="177">
        <f>IF('Part II-Sources of Funds'!$I$42="","",-FV('Part II-Sources of Funds'!$K$42/12,12,E120/12,D133))</f>
        <v>4503956.764177721</v>
      </c>
      <c r="F133" s="177">
        <f>IF('Part II-Sources of Funds'!$I$42="","",-FV('Part II-Sources of Funds'!$K$42/12,12,F120/12,E133))</f>
        <v>3861835.6255717142</v>
      </c>
      <c r="G133" s="13"/>
      <c r="H133" s="13"/>
      <c r="I133" s="13"/>
      <c r="J133" s="13"/>
      <c r="K133" s="13"/>
      <c r="N133" s="3613"/>
      <c r="O133" s="3615"/>
      <c r="Z133" s="2499" t="s">
        <v>4355</v>
      </c>
      <c r="AA133" s="2500">
        <v>133</v>
      </c>
    </row>
    <row r="134" spans="1:27" ht="13.35" customHeight="1">
      <c r="A134" s="340" t="s">
        <v>2399</v>
      </c>
      <c r="B134" s="178">
        <f>IF('Part II-Sources of Funds'!$I$43="","",-FV('Part II-Sources of Funds'!$K$43/12,12,B121/12,K104))</f>
        <v>210772.24829796684</v>
      </c>
      <c r="C134" s="178">
        <f>IF('Part II-Sources of Funds'!$I$43="","",-FV('Part II-Sources of Funds'!$K$43/12,12,C121/12,B134))</f>
        <v>161681.13614406865</v>
      </c>
      <c r="D134" s="178">
        <f>IF('Part II-Sources of Funds'!$I$43="","",-FV('Part II-Sources of Funds'!$K$43/12,12,D121/12,C134))</f>
        <v>110263.12475917151</v>
      </c>
      <c r="E134" s="178">
        <f>IF('Part II-Sources of Funds'!$I$43="","",-FV('Part II-Sources of Funds'!$K$43/12,12,E121/12,D134))</f>
        <v>56407.920043311868</v>
      </c>
      <c r="F134" s="178">
        <f>IF('Part II-Sources of Funds'!$I$43="","",-FV('Part II-Sources of Funds'!$K$43/12,12,F121/12,E134))</f>
        <v>-3.4473487176001072E-8</v>
      </c>
      <c r="G134" s="13"/>
      <c r="H134" s="13"/>
      <c r="I134" s="13"/>
      <c r="J134" s="13"/>
      <c r="K134" s="13"/>
      <c r="N134" s="3613"/>
      <c r="O134" s="3615"/>
      <c r="Z134" s="2499" t="s">
        <v>4355</v>
      </c>
      <c r="AA134" s="2500">
        <v>134</v>
      </c>
    </row>
    <row r="135" spans="1:27" ht="13.35" customHeight="1">
      <c r="A135" s="340" t="s">
        <v>2400</v>
      </c>
      <c r="B135" s="178" t="str">
        <f>IF('Part II-Sources of Funds'!$I$44="","",-FV('Part II-Sources of Funds'!$K$44/12,12,B122/12,K105))</f>
        <v/>
      </c>
      <c r="C135" s="178" t="str">
        <f>IF('Part II-Sources of Funds'!$I$44="","",-FV('Part II-Sources of Funds'!$K$44/12,12,C122/12,B135))</f>
        <v/>
      </c>
      <c r="D135" s="178" t="str">
        <f>IF('Part II-Sources of Funds'!$I$44="","",-FV('Part II-Sources of Funds'!$K$44/12,12,D122/12,C135))</f>
        <v/>
      </c>
      <c r="E135" s="178" t="str">
        <f>IF('Part II-Sources of Funds'!$I$44="","",-FV('Part II-Sources of Funds'!$K$44/12,12,E122/12,D135))</f>
        <v/>
      </c>
      <c r="F135" s="178" t="str">
        <f>IF('Part II-Sources of Funds'!$I$44="","",-FV('Part II-Sources of Funds'!$K$44/12,12,F122/12,E135))</f>
        <v/>
      </c>
      <c r="G135" s="13"/>
      <c r="H135" s="13"/>
      <c r="I135" s="13"/>
      <c r="J135" s="13"/>
      <c r="K135" s="13"/>
      <c r="N135" s="3613"/>
      <c r="O135" s="3615"/>
      <c r="Z135" s="2499" t="s">
        <v>4355</v>
      </c>
      <c r="AA135" s="2500">
        <v>135</v>
      </c>
    </row>
    <row r="136" spans="1:27" ht="13.35" customHeight="1">
      <c r="A136" s="22" t="s">
        <v>729</v>
      </c>
      <c r="B136" s="179" t="str">
        <f>IF('Part II-Sources of Funds'!$I$45="","",-FV('Part II-Sources of Funds'!$K$45/12,12,B123/12,K106))</f>
        <v/>
      </c>
      <c r="C136" s="179" t="str">
        <f>IF('Part II-Sources of Funds'!$I$45="","",-FV('Part II-Sources of Funds'!$K$45/12,12,C123/12,B136))</f>
        <v/>
      </c>
      <c r="D136" s="179" t="str">
        <f>IF('Part II-Sources of Funds'!$I$45="","",-FV('Part II-Sources of Funds'!$K$45/12,12,D123/12,C136))</f>
        <v/>
      </c>
      <c r="E136" s="179" t="str">
        <f>IF('Part II-Sources of Funds'!$I$45="","",-FV('Part II-Sources of Funds'!$K$45/12,12,E123/12,D136))</f>
        <v/>
      </c>
      <c r="F136" s="179" t="str">
        <f>IF('Part II-Sources of Funds'!$I$45="","",-FV('Part II-Sources of Funds'!$K$45/12,12,F123/12,E136))</f>
        <v/>
      </c>
      <c r="G136" s="13"/>
      <c r="H136" s="13"/>
      <c r="I136" s="13"/>
      <c r="J136" s="13"/>
      <c r="K136" s="13"/>
      <c r="N136" s="3580"/>
      <c r="O136" s="3582"/>
      <c r="Z136" s="2499" t="s">
        <v>4355</v>
      </c>
      <c r="AA136" s="2500">
        <v>136</v>
      </c>
    </row>
    <row r="137" spans="1:27" ht="4.3499999999999996" customHeight="1">
      <c r="AA137" s="2500">
        <v>137</v>
      </c>
    </row>
    <row r="138" spans="1:27" ht="12" customHeight="1">
      <c r="A138" s="10" t="s">
        <v>528</v>
      </c>
      <c r="B138" s="10"/>
      <c r="G138" s="10" t="s">
        <v>966</v>
      </c>
      <c r="AA138" s="2500">
        <v>138</v>
      </c>
    </row>
    <row r="139" spans="1:27" ht="12" customHeight="1">
      <c r="B139" s="10"/>
      <c r="AA139" s="2500">
        <v>139</v>
      </c>
    </row>
    <row r="140" spans="1:27" ht="409.5" customHeight="1">
      <c r="A140" s="3140" t="s">
        <v>5255</v>
      </c>
      <c r="B140" s="3692"/>
      <c r="C140" s="3692"/>
      <c r="D140" s="3692"/>
      <c r="E140" s="3692"/>
      <c r="F140" s="3693"/>
      <c r="G140" s="3694"/>
      <c r="H140" s="3695"/>
      <c r="I140" s="3695"/>
      <c r="J140" s="3695"/>
      <c r="K140" s="3696"/>
      <c r="N140" s="3200" t="s">
        <v>2444</v>
      </c>
      <c r="O140" s="3200"/>
      <c r="AA140" s="2500">
        <v>140</v>
      </c>
    </row>
    <row r="141" spans="1:27" ht="11.25" customHeight="1">
      <c r="AA141" s="2500">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2501"/>
      <c r="AA145" s="2502"/>
    </row>
    <row r="146" spans="12:27" s="1" customFormat="1" ht="12" customHeight="1">
      <c r="L146" s="6"/>
      <c r="M146" s="6"/>
      <c r="N146" s="6"/>
      <c r="O146" s="6"/>
      <c r="Z146" s="2501"/>
      <c r="AA146" s="2502"/>
    </row>
    <row r="147" spans="12:27" s="1" customFormat="1" ht="12" customHeight="1">
      <c r="L147" s="6"/>
      <c r="M147" s="6"/>
      <c r="N147" s="6"/>
      <c r="O147" s="6"/>
      <c r="Q147" s="6"/>
      <c r="R147" s="6"/>
      <c r="Z147" s="2501"/>
      <c r="AA147" s="2502"/>
    </row>
    <row r="148" spans="12:27" s="1" customFormat="1" ht="12" customHeight="1">
      <c r="L148" s="6"/>
      <c r="M148" s="6"/>
      <c r="N148" s="6"/>
      <c r="O148" s="6"/>
      <c r="S148" s="6"/>
      <c r="Z148" s="2501"/>
      <c r="AA148" s="2502"/>
    </row>
    <row r="149" spans="12:27" ht="12" customHeight="1">
      <c r="Q149" s="1"/>
      <c r="R149" s="1"/>
      <c r="S149" s="1"/>
    </row>
    <row r="150" spans="12:27" s="1" customFormat="1" ht="12" customHeight="1">
      <c r="L150" s="6"/>
      <c r="M150" s="6"/>
      <c r="N150" s="6"/>
      <c r="O150" s="6"/>
      <c r="Q150" s="6"/>
      <c r="R150" s="6"/>
      <c r="Z150" s="2501"/>
      <c r="AA150" s="2502"/>
    </row>
    <row r="151" spans="12:27" s="1" customFormat="1" ht="12" customHeight="1">
      <c r="L151" s="6"/>
      <c r="M151" s="6"/>
      <c r="N151" s="6"/>
      <c r="O151" s="6"/>
      <c r="S151" s="6"/>
      <c r="Z151" s="2501"/>
      <c r="AA151" s="2502"/>
    </row>
    <row r="152" spans="12:27" ht="12" customHeight="1">
      <c r="Q152" s="1"/>
      <c r="R152" s="1"/>
      <c r="S152" s="1"/>
    </row>
    <row r="153" spans="12:27" s="1" customFormat="1" ht="12" customHeight="1">
      <c r="L153" s="6"/>
      <c r="M153" s="6"/>
      <c r="N153" s="6"/>
      <c r="O153" s="6"/>
      <c r="Z153" s="2501"/>
      <c r="AA153" s="2502"/>
    </row>
    <row r="154" spans="12:27" s="1" customFormat="1" ht="12" customHeight="1">
      <c r="L154" s="6"/>
      <c r="M154" s="6"/>
      <c r="N154" s="6"/>
      <c r="O154" s="6"/>
      <c r="Z154" s="2501"/>
      <c r="AA154" s="2502"/>
    </row>
    <row r="155" spans="12:27" s="1" customFormat="1" ht="12" customHeight="1">
      <c r="L155" s="6"/>
      <c r="M155" s="6"/>
      <c r="N155" s="6"/>
      <c r="O155" s="6"/>
      <c r="Z155" s="2501"/>
      <c r="AA155" s="2502"/>
    </row>
    <row r="156" spans="12:27" s="1" customFormat="1" ht="12" customHeight="1">
      <c r="L156" s="6"/>
      <c r="M156" s="6"/>
      <c r="N156" s="6"/>
      <c r="O156" s="6"/>
      <c r="Z156" s="2501"/>
      <c r="AA156" s="2502"/>
    </row>
    <row r="157" spans="12:27" s="1" customFormat="1" ht="12" customHeight="1">
      <c r="L157" s="6"/>
      <c r="M157" s="6"/>
      <c r="N157" s="6"/>
      <c r="O157" s="6"/>
      <c r="Z157" s="2501"/>
      <c r="AA157" s="2502"/>
    </row>
    <row r="158" spans="12:27" s="1" customFormat="1" ht="12" customHeight="1">
      <c r="L158" s="6"/>
      <c r="M158" s="6"/>
      <c r="N158" s="6"/>
      <c r="O158" s="6"/>
      <c r="Q158" s="6"/>
      <c r="R158" s="6"/>
      <c r="Z158" s="2501"/>
      <c r="AA158" s="2502"/>
    </row>
    <row r="159" spans="12:27" s="1" customFormat="1" ht="12" customHeight="1">
      <c r="L159" s="6"/>
      <c r="M159" s="6"/>
      <c r="N159" s="6"/>
      <c r="O159" s="6"/>
      <c r="S159" s="6"/>
      <c r="Z159" s="2501"/>
      <c r="AA159" s="2502"/>
    </row>
    <row r="160" spans="12:27" ht="12" customHeight="1">
      <c r="Q160" s="1"/>
      <c r="R160" s="1"/>
      <c r="S160" s="1"/>
    </row>
    <row r="161" spans="12:27" s="1" customFormat="1" ht="12" customHeight="1">
      <c r="L161" s="6"/>
      <c r="M161" s="6"/>
      <c r="N161" s="6"/>
      <c r="O161" s="6"/>
      <c r="Z161" s="2501"/>
      <c r="AA161" s="2502"/>
    </row>
    <row r="162" spans="12:27" s="1" customFormat="1" ht="12" customHeight="1">
      <c r="L162" s="6"/>
      <c r="M162" s="6"/>
      <c r="N162" s="6"/>
      <c r="O162" s="6"/>
      <c r="Z162" s="2501"/>
      <c r="AA162" s="2502"/>
    </row>
    <row r="163" spans="12:27" s="1" customFormat="1" ht="12" customHeight="1">
      <c r="L163" s="6"/>
      <c r="M163" s="6"/>
      <c r="N163" s="6"/>
      <c r="O163" s="6"/>
      <c r="Z163" s="2501"/>
      <c r="AA163" s="2502"/>
    </row>
    <row r="164" spans="12:27" s="1" customFormat="1" ht="12" customHeight="1">
      <c r="L164" s="6"/>
      <c r="M164" s="6"/>
      <c r="N164" s="6"/>
      <c r="O164" s="6"/>
      <c r="Z164" s="2501"/>
      <c r="AA164" s="2502"/>
    </row>
    <row r="165" spans="12:27" s="1" customFormat="1" ht="12" customHeight="1">
      <c r="L165" s="6"/>
      <c r="M165" s="6"/>
      <c r="N165" s="6"/>
      <c r="O165" s="6"/>
      <c r="Z165" s="2501"/>
      <c r="AA165" s="2502"/>
    </row>
    <row r="166" spans="12:27" s="1" customFormat="1" ht="12" customHeight="1">
      <c r="L166" s="6"/>
      <c r="M166" s="6"/>
      <c r="N166" s="6"/>
      <c r="O166" s="6"/>
      <c r="Z166" s="2501"/>
      <c r="AA166" s="2502"/>
    </row>
    <row r="167" spans="12:27" s="1" customFormat="1" ht="12" customHeight="1">
      <c r="L167" s="6"/>
      <c r="M167" s="6"/>
      <c r="N167" s="6"/>
      <c r="O167" s="6"/>
      <c r="Z167" s="2501"/>
      <c r="AA167" s="2502"/>
    </row>
    <row r="168" spans="12:27" s="1" customFormat="1" ht="12" customHeight="1">
      <c r="L168" s="6"/>
      <c r="M168" s="6"/>
      <c r="N168" s="6"/>
      <c r="O168" s="6"/>
      <c r="Z168" s="2501"/>
      <c r="AA168" s="2502"/>
    </row>
    <row r="169" spans="12:27" s="1" customFormat="1" ht="12" customHeight="1">
      <c r="L169" s="6"/>
      <c r="M169" s="6"/>
      <c r="N169" s="6"/>
      <c r="O169" s="6"/>
      <c r="Z169" s="2501"/>
      <c r="AA169" s="2502"/>
    </row>
    <row r="170" spans="12:27" s="1" customFormat="1" ht="12" customHeight="1">
      <c r="L170" s="6"/>
      <c r="M170" s="6"/>
      <c r="N170" s="6"/>
      <c r="O170" s="6"/>
      <c r="Q170" s="6"/>
      <c r="R170" s="6"/>
      <c r="Z170" s="2501"/>
      <c r="AA170" s="2502"/>
    </row>
    <row r="171" spans="12:27" s="1" customFormat="1" ht="12" customHeight="1">
      <c r="L171" s="6"/>
      <c r="M171" s="6"/>
      <c r="N171" s="6"/>
      <c r="O171" s="6"/>
      <c r="Q171" s="6"/>
      <c r="R171" s="6"/>
      <c r="S171" s="6"/>
      <c r="Z171" s="2501"/>
      <c r="AA171" s="2502"/>
    </row>
    <row r="172" spans="12:27" ht="12" customHeight="1"/>
    <row r="173" spans="12:27" ht="12" customHeight="1"/>
    <row r="174" spans="12:27" ht="12" customHeight="1"/>
    <row r="175" spans="12:27" ht="12" customHeight="1"/>
  </sheetData>
  <sheetProtection algorithmName="SHA-512" hashValue="VBaKwSW95HAHY1rGfj5DSyHpPxg2TQJcKA/eaB4tP61j5wXYZrVQwqx/nor6ewtusFKSi3SmWP7BmxJFWAR/Kw==" saltValue="dpCYm5LIPQjxqTPWWF6XGw==" spinCount="100000" sheet="1" objects="1" scenarios="1" formatRows="0"/>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zoomScaleNormal="100" workbookViewId="0">
      <selection activeCell="F198" sqref="F198:Q198"/>
    </sheetView>
  </sheetViews>
  <sheetFormatPr defaultColWidth="9.109375" defaultRowHeight="13.8"/>
  <cols>
    <col min="1" max="1" width="5.88671875" style="1912" customWidth="1"/>
    <col min="2" max="2" width="3.6640625" style="1912" customWidth="1"/>
    <col min="3" max="3" width="2.109375" style="1912" customWidth="1"/>
    <col min="4" max="10" width="8.88671875" style="1912" customWidth="1"/>
    <col min="11" max="11" width="7.5546875" style="1912" customWidth="1"/>
    <col min="12" max="14" width="9.109375" style="1912"/>
    <col min="15" max="15" width="9.44140625" style="1912" customWidth="1"/>
    <col min="16" max="17" width="10.109375" style="1912" customWidth="1"/>
    <col min="18" max="26" width="9.109375" style="2026"/>
    <col min="27" max="27" width="9.109375" style="2492"/>
    <col min="28" max="28" width="9.109375" style="2026"/>
    <col min="29" max="16384" width="9.109375" style="1915"/>
  </cols>
  <sheetData>
    <row r="1" spans="1:28" s="1895" customFormat="1" ht="13.2">
      <c r="A1" s="3848" t="str">
        <f>CONCATENATE("PART SEVEN - THRESHOLD CRITERIA","  -  ",'Part I-Project Identification'!$O$7," ",'Part I-Project Identification'!$F$26,", ",'Part I-Project Identification'!F27,", ",'Part I-Project Identification'!J27," County")</f>
        <v>PART SEVEN - THRESHOLD CRITERIA  -  2025-0 Retreat at Madison Place, Decatur, DeKalb County</v>
      </c>
      <c r="B1" s="3848"/>
      <c r="C1" s="3848"/>
      <c r="D1" s="3848"/>
      <c r="E1" s="3848"/>
      <c r="F1" s="3848"/>
      <c r="G1" s="3848"/>
      <c r="H1" s="3848"/>
      <c r="I1" s="3848"/>
      <c r="J1" s="3848"/>
      <c r="K1" s="3848"/>
      <c r="L1" s="3848"/>
      <c r="M1" s="3848"/>
      <c r="N1" s="3848"/>
      <c r="O1" s="3848"/>
      <c r="P1" s="3848"/>
      <c r="Q1" s="3848"/>
      <c r="R1" s="2024"/>
      <c r="S1" s="2024"/>
      <c r="T1" s="2024"/>
      <c r="U1" s="2024"/>
      <c r="V1" s="2024"/>
      <c r="W1" s="2024"/>
      <c r="X1" s="2024"/>
      <c r="Y1" s="2024"/>
      <c r="Z1" s="2024"/>
      <c r="AA1" s="2490">
        <v>1</v>
      </c>
      <c r="AB1" s="2024"/>
    </row>
    <row r="2" spans="1:28" s="1895" customFormat="1" ht="13.2">
      <c r="R2" s="2024"/>
      <c r="S2" s="2024"/>
      <c r="T2" s="2024"/>
      <c r="U2" s="2024"/>
      <c r="V2" s="2024"/>
      <c r="W2" s="2024"/>
      <c r="X2" s="2024"/>
      <c r="Y2" s="2024"/>
      <c r="Z2" s="2024"/>
      <c r="AA2" s="2490">
        <v>2</v>
      </c>
      <c r="AB2" s="2024"/>
    </row>
    <row r="3" spans="1:28" s="1895" customFormat="1" ht="13.2">
      <c r="A3" s="3849"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849"/>
      <c r="C3" s="3849"/>
      <c r="D3" s="3849"/>
      <c r="E3" s="3849"/>
      <c r="F3" s="3849"/>
      <c r="G3" s="3849"/>
      <c r="H3" s="3849"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849"/>
      <c r="J3" s="3849"/>
      <c r="K3" s="3849"/>
      <c r="L3" s="3849"/>
      <c r="M3" s="3849"/>
      <c r="N3" s="3849"/>
      <c r="O3" s="1896"/>
      <c r="P3" s="3850" t="s">
        <v>4639</v>
      </c>
      <c r="Q3" s="3852" t="s">
        <v>4419</v>
      </c>
      <c r="R3" s="2024"/>
      <c r="S3" s="2024"/>
      <c r="T3" s="2024"/>
      <c r="U3" s="2024"/>
      <c r="V3" s="2024"/>
      <c r="W3" s="2024"/>
      <c r="X3" s="2024"/>
      <c r="Y3" s="2024"/>
      <c r="Z3" s="2024"/>
      <c r="AA3" s="2490">
        <v>3</v>
      </c>
      <c r="AB3" s="2024"/>
    </row>
    <row r="4" spans="1:28" s="1895" customFormat="1" ht="13.2">
      <c r="A4" s="1897"/>
      <c r="B4" s="3854"/>
      <c r="C4" s="3854"/>
      <c r="D4" s="3854"/>
      <c r="E4" s="1897"/>
      <c r="F4" s="1897"/>
      <c r="G4" s="1897"/>
      <c r="H4" s="1897"/>
      <c r="I4" s="1896"/>
      <c r="J4" s="1898"/>
      <c r="K4" s="1897"/>
      <c r="L4" s="1897"/>
      <c r="M4" s="1897"/>
      <c r="N4" s="1897"/>
      <c r="O4" s="1896"/>
      <c r="P4" s="3850"/>
      <c r="Q4" s="3852"/>
      <c r="R4" s="2024"/>
      <c r="S4" s="2024"/>
      <c r="T4" s="2024"/>
      <c r="U4" s="2024"/>
      <c r="V4" s="2024"/>
      <c r="W4" s="2024"/>
      <c r="X4" s="2024"/>
      <c r="Y4" s="2024"/>
      <c r="Z4" s="2024"/>
      <c r="AA4" s="2490">
        <v>4</v>
      </c>
      <c r="AB4" s="2024"/>
    </row>
    <row r="5" spans="1:28" s="1895" customFormat="1" ht="13.2">
      <c r="A5" s="1896"/>
      <c r="B5" s="1896"/>
      <c r="C5" s="1896"/>
      <c r="D5" s="1896"/>
      <c r="E5" s="3855" t="str">
        <f>'Part I-Project Identification'!$A$6</f>
        <v>May 31, 2025</v>
      </c>
      <c r="F5" s="3855"/>
      <c r="G5" s="3855"/>
      <c r="H5" s="3855"/>
      <c r="I5" s="3855"/>
      <c r="J5" s="1898"/>
      <c r="K5" s="1897"/>
      <c r="L5" s="1897"/>
      <c r="M5" s="1897"/>
      <c r="N5" s="1897"/>
      <c r="O5" s="1896"/>
      <c r="P5" s="3851"/>
      <c r="Q5" s="3853"/>
      <c r="R5" s="2024"/>
      <c r="S5" s="2024"/>
      <c r="T5" s="2024"/>
      <c r="U5" s="2024"/>
      <c r="V5" s="2024"/>
      <c r="W5" s="2024"/>
      <c r="X5" s="2024"/>
      <c r="Y5" s="2024"/>
      <c r="Z5" s="2024"/>
      <c r="AA5" s="2490">
        <v>5</v>
      </c>
      <c r="AB5" s="2024"/>
    </row>
    <row r="6" spans="1:28" s="1895" customFormat="1" ht="9" customHeight="1">
      <c r="A6" s="1896"/>
      <c r="B6" s="1896"/>
      <c r="C6" s="1896"/>
      <c r="D6" s="1896"/>
      <c r="E6" s="1899"/>
      <c r="F6" s="1899"/>
      <c r="G6" s="1899"/>
      <c r="H6" s="1899"/>
      <c r="I6" s="1899"/>
      <c r="J6" s="1898"/>
      <c r="K6" s="1896"/>
      <c r="L6" s="1900"/>
      <c r="M6" s="1898"/>
      <c r="N6" s="1897"/>
      <c r="O6" s="1896"/>
      <c r="P6" s="1901"/>
      <c r="Q6" s="1901"/>
      <c r="R6" s="2024"/>
      <c r="S6" s="2024"/>
      <c r="T6" s="2024"/>
      <c r="U6" s="2024"/>
      <c r="V6" s="2024"/>
      <c r="W6" s="2024"/>
      <c r="X6" s="2024"/>
      <c r="Y6" s="2024"/>
      <c r="Z6" s="2024"/>
      <c r="AA6" s="2490">
        <v>6</v>
      </c>
      <c r="AB6" s="2024"/>
    </row>
    <row r="7" spans="1:28" s="1895" customFormat="1" ht="30.75" customHeight="1">
      <c r="A7" s="3842" t="s">
        <v>5074</v>
      </c>
      <c r="B7" s="3842"/>
      <c r="C7" s="3842"/>
      <c r="D7" s="3842"/>
      <c r="E7" s="3842"/>
      <c r="F7" s="3842"/>
      <c r="G7" s="3842"/>
      <c r="H7" s="3842"/>
      <c r="I7" s="3842"/>
      <c r="J7" s="3842"/>
      <c r="K7" s="3842"/>
      <c r="L7" s="3842"/>
      <c r="M7" s="3842"/>
      <c r="N7" s="3842"/>
      <c r="O7" s="3842"/>
      <c r="P7" s="3842"/>
      <c r="Q7" s="3842"/>
      <c r="R7" s="2024"/>
      <c r="S7" s="2024"/>
      <c r="T7" s="2024"/>
      <c r="U7" s="2024"/>
      <c r="V7" s="2024"/>
      <c r="W7" s="2024"/>
      <c r="X7" s="2024"/>
      <c r="Y7" s="2024"/>
      <c r="Z7" s="2024"/>
      <c r="AA7" s="2490">
        <v>7</v>
      </c>
      <c r="AB7" s="2024"/>
    </row>
    <row r="8" spans="1:28" s="1895" customFormat="1" ht="9" customHeight="1">
      <c r="A8" s="1896"/>
      <c r="B8" s="1896"/>
      <c r="C8" s="1896"/>
      <c r="D8" s="1896"/>
      <c r="E8" s="1899"/>
      <c r="F8" s="1899"/>
      <c r="G8" s="1899"/>
      <c r="H8" s="1899"/>
      <c r="I8" s="1899"/>
      <c r="J8" s="1898"/>
      <c r="K8" s="1896"/>
      <c r="L8" s="1900"/>
      <c r="M8" s="1898"/>
      <c r="N8" s="1897"/>
      <c r="O8" s="1896"/>
      <c r="P8" s="1901"/>
      <c r="Q8" s="1901"/>
      <c r="R8" s="2024"/>
      <c r="S8" s="2024"/>
      <c r="T8" s="2024"/>
      <c r="U8" s="2024"/>
      <c r="V8" s="2024"/>
      <c r="W8" s="2024"/>
      <c r="X8" s="2024"/>
      <c r="Y8" s="2024"/>
      <c r="Z8" s="2024"/>
      <c r="AA8" s="2490">
        <v>8</v>
      </c>
      <c r="AB8" s="2024"/>
    </row>
    <row r="9" spans="1:28" s="1906" customFormat="1" ht="18" customHeight="1">
      <c r="A9" s="1902" t="s">
        <v>4640</v>
      </c>
      <c r="B9" s="1903"/>
      <c r="C9" s="1903"/>
      <c r="D9" s="1903"/>
      <c r="E9" s="1903"/>
      <c r="F9" s="1903"/>
      <c r="G9" s="1903"/>
      <c r="H9" s="1903"/>
      <c r="I9" s="1904"/>
      <c r="J9" s="1904"/>
      <c r="K9" s="1905"/>
      <c r="L9" s="1905"/>
      <c r="M9" s="1905"/>
      <c r="N9" s="1905"/>
      <c r="O9" s="1905"/>
      <c r="P9" s="3843"/>
      <c r="Q9" s="3844"/>
      <c r="R9" s="2025"/>
      <c r="S9" s="2025"/>
      <c r="T9" s="2025"/>
      <c r="U9" s="2025"/>
      <c r="V9" s="2025"/>
      <c r="W9" s="2025"/>
      <c r="X9" s="2025"/>
      <c r="Y9" s="2025"/>
      <c r="Z9" s="2025"/>
      <c r="AA9" s="2491">
        <v>9</v>
      </c>
      <c r="AB9" s="2025"/>
    </row>
    <row r="10" spans="1:28" s="1906" customFormat="1" ht="14.4">
      <c r="A10" s="1907" t="s">
        <v>2981</v>
      </c>
      <c r="B10" s="1903"/>
      <c r="C10" s="1903"/>
      <c r="D10" s="1903"/>
      <c r="E10" s="1903"/>
      <c r="F10" s="1903"/>
      <c r="G10" s="1903"/>
      <c r="H10" s="1908"/>
      <c r="I10" s="1909"/>
      <c r="J10" s="1909"/>
      <c r="K10" s="1908"/>
      <c r="L10" s="1908"/>
      <c r="M10" s="1910"/>
      <c r="N10" s="1910"/>
      <c r="O10" s="1903"/>
      <c r="P10" s="1903"/>
      <c r="Q10" s="1903"/>
      <c r="R10" s="2025"/>
      <c r="S10" s="2025"/>
      <c r="T10" s="2025"/>
      <c r="U10" s="2025"/>
      <c r="V10" s="2025"/>
      <c r="W10" s="2025"/>
      <c r="X10" s="2025"/>
      <c r="Y10" s="2025"/>
      <c r="Z10" s="2025"/>
      <c r="AA10" s="2490">
        <v>10</v>
      </c>
      <c r="AB10" s="2025"/>
    </row>
    <row r="11" spans="1:28" s="1906" customFormat="1">
      <c r="A11" s="3845" t="s">
        <v>1327</v>
      </c>
      <c r="B11" s="3846"/>
      <c r="C11" s="3846"/>
      <c r="D11" s="3846"/>
      <c r="E11" s="3846"/>
      <c r="F11" s="3846"/>
      <c r="G11" s="3846"/>
      <c r="H11" s="3846"/>
      <c r="I11" s="3846"/>
      <c r="J11" s="3846"/>
      <c r="K11" s="3846"/>
      <c r="L11" s="3846"/>
      <c r="M11" s="3846"/>
      <c r="N11" s="3846"/>
      <c r="O11" s="3846"/>
      <c r="P11" s="3846"/>
      <c r="Q11" s="3847"/>
      <c r="R11" s="2025"/>
      <c r="S11" s="2025"/>
      <c r="T11" s="2025"/>
      <c r="U11" s="2025"/>
      <c r="V11" s="2025"/>
      <c r="W11" s="2025"/>
      <c r="X11" s="2025"/>
      <c r="Y11" s="2025"/>
      <c r="Z11" s="2025"/>
      <c r="AA11" s="2490">
        <v>11</v>
      </c>
      <c r="AB11" s="2025"/>
    </row>
    <row r="12" spans="1:28" s="1906" customFormat="1">
      <c r="A12" s="3839" t="s">
        <v>218</v>
      </c>
      <c r="B12" s="3840"/>
      <c r="C12" s="3840"/>
      <c r="D12" s="3840"/>
      <c r="E12" s="3840"/>
      <c r="F12" s="3840"/>
      <c r="G12" s="3840"/>
      <c r="H12" s="3840"/>
      <c r="I12" s="3840"/>
      <c r="J12" s="3840"/>
      <c r="K12" s="3840"/>
      <c r="L12" s="3840"/>
      <c r="M12" s="3840"/>
      <c r="N12" s="3840"/>
      <c r="O12" s="3840"/>
      <c r="P12" s="3840"/>
      <c r="Q12" s="3841"/>
      <c r="R12" s="2025"/>
      <c r="S12" s="2025"/>
      <c r="T12" s="2025"/>
      <c r="U12" s="2025"/>
      <c r="V12" s="2025"/>
      <c r="W12" s="2025"/>
      <c r="X12" s="2025"/>
      <c r="Y12" s="2025"/>
      <c r="Z12" s="2025"/>
      <c r="AA12" s="2490">
        <v>12</v>
      </c>
      <c r="AB12" s="2025"/>
    </row>
    <row r="13" spans="1:28" s="1906" customFormat="1">
      <c r="A13" s="3839" t="s">
        <v>1323</v>
      </c>
      <c r="B13" s="3840"/>
      <c r="C13" s="3840"/>
      <c r="D13" s="3840"/>
      <c r="E13" s="3840"/>
      <c r="F13" s="3840"/>
      <c r="G13" s="3840"/>
      <c r="H13" s="3840"/>
      <c r="I13" s="3840"/>
      <c r="J13" s="3840"/>
      <c r="K13" s="3840"/>
      <c r="L13" s="3840"/>
      <c r="M13" s="3840"/>
      <c r="N13" s="3840"/>
      <c r="O13" s="3840"/>
      <c r="P13" s="3840"/>
      <c r="Q13" s="3841"/>
      <c r="R13" s="2025"/>
      <c r="S13" s="2025"/>
      <c r="T13" s="2025"/>
      <c r="U13" s="2025"/>
      <c r="V13" s="2025"/>
      <c r="W13" s="2025"/>
      <c r="X13" s="2025"/>
      <c r="Y13" s="2025"/>
      <c r="Z13" s="2025"/>
      <c r="AA13" s="2490">
        <v>13</v>
      </c>
      <c r="AB13" s="2025"/>
    </row>
    <row r="14" spans="1:28" s="1906" customFormat="1">
      <c r="A14" s="3839" t="s">
        <v>1324</v>
      </c>
      <c r="B14" s="3840"/>
      <c r="C14" s="3840"/>
      <c r="D14" s="3840"/>
      <c r="E14" s="3840"/>
      <c r="F14" s="3840"/>
      <c r="G14" s="3840"/>
      <c r="H14" s="3840"/>
      <c r="I14" s="3840"/>
      <c r="J14" s="3840"/>
      <c r="K14" s="3840"/>
      <c r="L14" s="3840"/>
      <c r="M14" s="3840"/>
      <c r="N14" s="3840"/>
      <c r="O14" s="3840"/>
      <c r="P14" s="3840"/>
      <c r="Q14" s="3841"/>
      <c r="R14" s="2025"/>
      <c r="S14" s="2025"/>
      <c r="T14" s="2025"/>
      <c r="U14" s="2025"/>
      <c r="V14" s="2025"/>
      <c r="W14" s="2025"/>
      <c r="X14" s="2025"/>
      <c r="Y14" s="2025"/>
      <c r="Z14" s="2025"/>
      <c r="AA14" s="2490">
        <v>14</v>
      </c>
      <c r="AB14" s="2025"/>
    </row>
    <row r="15" spans="1:28" s="1906" customFormat="1">
      <c r="A15" s="3839" t="s">
        <v>1325</v>
      </c>
      <c r="B15" s="3840"/>
      <c r="C15" s="3840"/>
      <c r="D15" s="3840"/>
      <c r="E15" s="3840"/>
      <c r="F15" s="3840"/>
      <c r="G15" s="3840"/>
      <c r="H15" s="3840"/>
      <c r="I15" s="3840"/>
      <c r="J15" s="3840"/>
      <c r="K15" s="3840"/>
      <c r="L15" s="3840"/>
      <c r="M15" s="3840"/>
      <c r="N15" s="3840"/>
      <c r="O15" s="3840"/>
      <c r="P15" s="3840"/>
      <c r="Q15" s="3841"/>
      <c r="R15" s="2025"/>
      <c r="S15" s="2025"/>
      <c r="T15" s="2025"/>
      <c r="U15" s="2025"/>
      <c r="V15" s="2025"/>
      <c r="W15" s="2025"/>
      <c r="X15" s="2025"/>
      <c r="Y15" s="2025"/>
      <c r="Z15" s="2025"/>
      <c r="AA15" s="2490">
        <v>15</v>
      </c>
      <c r="AB15" s="2025"/>
    </row>
    <row r="16" spans="1:28" s="1906" customFormat="1">
      <c r="A16" s="3839" t="s">
        <v>1326</v>
      </c>
      <c r="B16" s="3840"/>
      <c r="C16" s="3840"/>
      <c r="D16" s="3840"/>
      <c r="E16" s="3840"/>
      <c r="F16" s="3840"/>
      <c r="G16" s="3840"/>
      <c r="H16" s="3840"/>
      <c r="I16" s="3840"/>
      <c r="J16" s="3840"/>
      <c r="K16" s="3840"/>
      <c r="L16" s="3840"/>
      <c r="M16" s="3840"/>
      <c r="N16" s="3840"/>
      <c r="O16" s="3840"/>
      <c r="P16" s="3840"/>
      <c r="Q16" s="3841"/>
      <c r="R16" s="2025"/>
      <c r="S16" s="2025"/>
      <c r="T16" s="2025"/>
      <c r="U16" s="2025"/>
      <c r="V16" s="2025"/>
      <c r="W16" s="2025"/>
      <c r="X16" s="2025"/>
      <c r="Y16" s="2025"/>
      <c r="Z16" s="2025"/>
      <c r="AA16" s="2490">
        <v>16</v>
      </c>
      <c r="AB16" s="2025"/>
    </row>
    <row r="17" spans="1:28" s="1906" customFormat="1">
      <c r="A17" s="3839" t="s">
        <v>1328</v>
      </c>
      <c r="B17" s="3840"/>
      <c r="C17" s="3840"/>
      <c r="D17" s="3840"/>
      <c r="E17" s="3840"/>
      <c r="F17" s="3840"/>
      <c r="G17" s="3840"/>
      <c r="H17" s="3840"/>
      <c r="I17" s="3840"/>
      <c r="J17" s="3840"/>
      <c r="K17" s="3840"/>
      <c r="L17" s="3840"/>
      <c r="M17" s="3840"/>
      <c r="N17" s="3840"/>
      <c r="O17" s="3840"/>
      <c r="P17" s="3840"/>
      <c r="Q17" s="3841"/>
      <c r="R17" s="2025"/>
      <c r="S17" s="2025"/>
      <c r="T17" s="2025"/>
      <c r="U17" s="2025"/>
      <c r="V17" s="2025"/>
      <c r="W17" s="2025"/>
      <c r="X17" s="2025"/>
      <c r="Y17" s="2025"/>
      <c r="Z17" s="2025"/>
      <c r="AA17" s="2490">
        <v>17</v>
      </c>
      <c r="AB17" s="2025"/>
    </row>
    <row r="18" spans="1:28" s="1906" customFormat="1">
      <c r="A18" s="3839" t="s">
        <v>1866</v>
      </c>
      <c r="B18" s="3840"/>
      <c r="C18" s="3840"/>
      <c r="D18" s="3840"/>
      <c r="E18" s="3840"/>
      <c r="F18" s="3840"/>
      <c r="G18" s="3840"/>
      <c r="H18" s="3840"/>
      <c r="I18" s="3840"/>
      <c r="J18" s="3840"/>
      <c r="K18" s="3840"/>
      <c r="L18" s="3840"/>
      <c r="M18" s="3840"/>
      <c r="N18" s="3840"/>
      <c r="O18" s="3840"/>
      <c r="P18" s="3840"/>
      <c r="Q18" s="3841"/>
      <c r="R18" s="2025"/>
      <c r="S18" s="2025"/>
      <c r="T18" s="2025"/>
      <c r="U18" s="2025"/>
      <c r="V18" s="2025"/>
      <c r="W18" s="2025"/>
      <c r="X18" s="2025"/>
      <c r="Y18" s="2025"/>
      <c r="Z18" s="2025"/>
      <c r="AA18" s="2491">
        <v>18</v>
      </c>
      <c r="AB18" s="2025"/>
    </row>
    <row r="19" spans="1:28" s="1906" customFormat="1">
      <c r="A19" s="3839" t="s">
        <v>1867</v>
      </c>
      <c r="B19" s="3840"/>
      <c r="C19" s="3840"/>
      <c r="D19" s="3840"/>
      <c r="E19" s="3840"/>
      <c r="F19" s="3840"/>
      <c r="G19" s="3840"/>
      <c r="H19" s="3840"/>
      <c r="I19" s="3840"/>
      <c r="J19" s="3840"/>
      <c r="K19" s="3840"/>
      <c r="L19" s="3840"/>
      <c r="M19" s="3840"/>
      <c r="N19" s="3840"/>
      <c r="O19" s="3840"/>
      <c r="P19" s="3840"/>
      <c r="Q19" s="3841"/>
      <c r="R19" s="2025"/>
      <c r="S19" s="2025"/>
      <c r="T19" s="2025"/>
      <c r="U19" s="2025"/>
      <c r="V19" s="2025"/>
      <c r="W19" s="2025"/>
      <c r="X19" s="2025"/>
      <c r="Y19" s="2025"/>
      <c r="Z19" s="2025"/>
      <c r="AA19" s="2490">
        <v>19</v>
      </c>
      <c r="AB19" s="2025"/>
    </row>
    <row r="20" spans="1:28" s="1906" customFormat="1">
      <c r="A20" s="3839" t="s">
        <v>1868</v>
      </c>
      <c r="B20" s="3840"/>
      <c r="C20" s="3840"/>
      <c r="D20" s="3840"/>
      <c r="E20" s="3840"/>
      <c r="F20" s="3840"/>
      <c r="G20" s="3840"/>
      <c r="H20" s="3840"/>
      <c r="I20" s="3840"/>
      <c r="J20" s="3840"/>
      <c r="K20" s="3840"/>
      <c r="L20" s="3840"/>
      <c r="M20" s="3840"/>
      <c r="N20" s="3840"/>
      <c r="O20" s="3840"/>
      <c r="P20" s="3840"/>
      <c r="Q20" s="3841"/>
      <c r="R20" s="2025"/>
      <c r="S20" s="2025"/>
      <c r="T20" s="2025"/>
      <c r="U20" s="2025"/>
      <c r="V20" s="2025"/>
      <c r="W20" s="2025"/>
      <c r="X20" s="2025"/>
      <c r="Y20" s="2025"/>
      <c r="Z20" s="2025"/>
      <c r="AA20" s="2490">
        <v>20</v>
      </c>
      <c r="AB20" s="2025"/>
    </row>
    <row r="21" spans="1:28" s="1906" customFormat="1">
      <c r="A21" s="3839" t="s">
        <v>1869</v>
      </c>
      <c r="B21" s="3840"/>
      <c r="C21" s="3840"/>
      <c r="D21" s="3840"/>
      <c r="E21" s="3840"/>
      <c r="F21" s="3840"/>
      <c r="G21" s="3840"/>
      <c r="H21" s="3840"/>
      <c r="I21" s="3840"/>
      <c r="J21" s="3840"/>
      <c r="K21" s="3840"/>
      <c r="L21" s="3840"/>
      <c r="M21" s="3840"/>
      <c r="N21" s="3840"/>
      <c r="O21" s="3840"/>
      <c r="P21" s="3840"/>
      <c r="Q21" s="3841"/>
      <c r="R21" s="2025"/>
      <c r="S21" s="2025"/>
      <c r="T21" s="2025"/>
      <c r="U21" s="2025"/>
      <c r="V21" s="2025"/>
      <c r="W21" s="2025"/>
      <c r="X21" s="2025"/>
      <c r="Y21" s="2025"/>
      <c r="Z21" s="2025"/>
      <c r="AA21" s="2490">
        <v>21</v>
      </c>
      <c r="AB21" s="2025"/>
    </row>
    <row r="22" spans="1:28" s="1906" customFormat="1">
      <c r="A22" s="3839" t="s">
        <v>1870</v>
      </c>
      <c r="B22" s="3840"/>
      <c r="C22" s="3840"/>
      <c r="D22" s="3840"/>
      <c r="E22" s="3840"/>
      <c r="F22" s="3840"/>
      <c r="G22" s="3840"/>
      <c r="H22" s="3840"/>
      <c r="I22" s="3840"/>
      <c r="J22" s="3840"/>
      <c r="K22" s="3840"/>
      <c r="L22" s="3840"/>
      <c r="M22" s="3840"/>
      <c r="N22" s="3840"/>
      <c r="O22" s="3840"/>
      <c r="P22" s="3840"/>
      <c r="Q22" s="3841"/>
      <c r="R22" s="2025"/>
      <c r="S22" s="2025"/>
      <c r="T22" s="2025"/>
      <c r="U22" s="2025"/>
      <c r="V22" s="2025"/>
      <c r="W22" s="2025"/>
      <c r="X22" s="2025"/>
      <c r="Y22" s="2025"/>
      <c r="Z22" s="2025"/>
      <c r="AA22" s="2490">
        <v>22</v>
      </c>
      <c r="AB22" s="2025"/>
    </row>
    <row r="23" spans="1:28" s="1906" customFormat="1">
      <c r="A23" s="3839" t="s">
        <v>1871</v>
      </c>
      <c r="B23" s="3840"/>
      <c r="C23" s="3840"/>
      <c r="D23" s="3840"/>
      <c r="E23" s="3840"/>
      <c r="F23" s="3840"/>
      <c r="G23" s="3840"/>
      <c r="H23" s="3840"/>
      <c r="I23" s="3840"/>
      <c r="J23" s="3840"/>
      <c r="K23" s="3840"/>
      <c r="L23" s="3840"/>
      <c r="M23" s="3840"/>
      <c r="N23" s="3840"/>
      <c r="O23" s="3840"/>
      <c r="P23" s="3840"/>
      <c r="Q23" s="3841"/>
      <c r="R23" s="2025"/>
      <c r="S23" s="2025"/>
      <c r="T23" s="2025"/>
      <c r="U23" s="2025"/>
      <c r="V23" s="2025"/>
      <c r="W23" s="2025"/>
      <c r="X23" s="2025"/>
      <c r="Y23" s="2025"/>
      <c r="Z23" s="2025"/>
      <c r="AA23" s="2490">
        <v>23</v>
      </c>
      <c r="AB23" s="2025"/>
    </row>
    <row r="24" spans="1:28" s="1906" customFormat="1">
      <c r="A24" s="3839" t="s">
        <v>1872</v>
      </c>
      <c r="B24" s="3840"/>
      <c r="C24" s="3840"/>
      <c r="D24" s="3840"/>
      <c r="E24" s="3840"/>
      <c r="F24" s="3840"/>
      <c r="G24" s="3840"/>
      <c r="H24" s="3840"/>
      <c r="I24" s="3840"/>
      <c r="J24" s="3840"/>
      <c r="K24" s="3840"/>
      <c r="L24" s="3840"/>
      <c r="M24" s="3840"/>
      <c r="N24" s="3840"/>
      <c r="O24" s="3840"/>
      <c r="P24" s="3840"/>
      <c r="Q24" s="3841"/>
      <c r="R24" s="2025"/>
      <c r="S24" s="2025"/>
      <c r="T24" s="2025"/>
      <c r="U24" s="2025"/>
      <c r="V24" s="2025"/>
      <c r="W24" s="2025"/>
      <c r="X24" s="2025"/>
      <c r="Y24" s="2025"/>
      <c r="Z24" s="2025"/>
      <c r="AA24" s="2490">
        <v>24</v>
      </c>
      <c r="AB24" s="2025"/>
    </row>
    <row r="25" spans="1:28" s="1906" customFormat="1">
      <c r="A25" s="3834" t="s">
        <v>5073</v>
      </c>
      <c r="B25" s="3835"/>
      <c r="C25" s="3835"/>
      <c r="D25" s="3835"/>
      <c r="E25" s="3835"/>
      <c r="F25" s="3835"/>
      <c r="G25" s="3835"/>
      <c r="H25" s="3835"/>
      <c r="I25" s="3835"/>
      <c r="J25" s="3835"/>
      <c r="K25" s="3835"/>
      <c r="L25" s="3835"/>
      <c r="M25" s="3835"/>
      <c r="N25" s="3835"/>
      <c r="O25" s="3835"/>
      <c r="P25" s="3835"/>
      <c r="Q25" s="3836"/>
      <c r="R25" s="2025"/>
      <c r="S25" s="2025"/>
      <c r="T25" s="2025"/>
      <c r="U25" s="2025"/>
      <c r="V25" s="2025"/>
      <c r="W25" s="2025"/>
      <c r="X25" s="2025"/>
      <c r="Y25" s="2025"/>
      <c r="Z25" s="2025"/>
      <c r="AA25" s="2490">
        <v>25</v>
      </c>
      <c r="AB25" s="2025"/>
    </row>
    <row r="26" spans="1:28" s="1906" customFormat="1" ht="12.75" customHeight="1">
      <c r="A26" s="1903"/>
      <c r="B26" s="1903"/>
      <c r="C26" s="1903"/>
      <c r="D26" s="1903"/>
      <c r="E26" s="1903"/>
      <c r="F26" s="1903"/>
      <c r="G26" s="1903"/>
      <c r="H26" s="1903"/>
      <c r="I26" s="1903"/>
      <c r="J26" s="1903"/>
      <c r="K26" s="1903"/>
      <c r="L26" s="1903"/>
      <c r="M26" s="1903"/>
      <c r="N26" s="1903"/>
      <c r="O26" s="1903"/>
      <c r="P26" s="1903"/>
      <c r="Q26" s="1903"/>
      <c r="R26" s="2025"/>
      <c r="S26" s="2025"/>
      <c r="T26" s="2025"/>
      <c r="U26" s="2025"/>
      <c r="V26" s="2025"/>
      <c r="W26" s="2025"/>
      <c r="X26" s="2025"/>
      <c r="Y26" s="2025"/>
      <c r="Z26" s="2025"/>
      <c r="AA26" s="2490">
        <v>26</v>
      </c>
      <c r="AB26" s="2025"/>
    </row>
    <row r="27" spans="1:28" ht="20.25" customHeight="1">
      <c r="A27" s="1919" t="s">
        <v>572</v>
      </c>
      <c r="B27" s="1911" t="s">
        <v>4521</v>
      </c>
      <c r="C27" s="1911"/>
      <c r="D27" s="1911"/>
      <c r="E27" s="1911"/>
      <c r="F27" s="1911"/>
      <c r="G27" s="1911"/>
      <c r="I27" s="1913"/>
      <c r="J27" s="1913"/>
      <c r="K27" s="1913"/>
      <c r="L27" s="1910"/>
      <c r="M27" s="1910"/>
      <c r="O27" s="1914" t="s">
        <v>1725</v>
      </c>
      <c r="P27" s="3837"/>
      <c r="Q27" s="3838"/>
      <c r="AA27" s="2490">
        <v>27</v>
      </c>
    </row>
    <row r="28" spans="1:28" ht="13.5" customHeight="1">
      <c r="B28" s="1916" t="s">
        <v>4641</v>
      </c>
      <c r="C28" s="1916"/>
      <c r="D28" s="1916"/>
      <c r="E28" s="1916"/>
      <c r="F28" s="1916"/>
      <c r="G28" s="1913"/>
      <c r="H28" s="1913"/>
      <c r="I28" s="1913"/>
      <c r="J28" s="1913"/>
      <c r="K28" s="1910"/>
      <c r="L28" s="1910"/>
      <c r="M28" s="1910"/>
      <c r="N28" s="1910"/>
      <c r="O28" s="1910"/>
      <c r="P28" s="1910"/>
      <c r="AA28" s="2490">
        <v>28</v>
      </c>
    </row>
    <row r="29" spans="1:28" ht="111" customHeight="1">
      <c r="A29" s="3707"/>
      <c r="B29" s="3707"/>
      <c r="C29" s="3707"/>
      <c r="D29" s="3707"/>
      <c r="E29" s="3707"/>
      <c r="F29" s="3707"/>
      <c r="G29" s="3707"/>
      <c r="H29" s="3707"/>
      <c r="I29" s="3707"/>
      <c r="J29" s="3707"/>
      <c r="K29" s="3707"/>
      <c r="L29" s="3707"/>
      <c r="M29" s="3707"/>
      <c r="N29" s="3707"/>
      <c r="O29" s="3707"/>
      <c r="P29" s="3707"/>
      <c r="Q29" s="3772"/>
      <c r="AA29" s="2490">
        <v>29</v>
      </c>
    </row>
    <row r="30" spans="1:28" ht="15.75" customHeight="1">
      <c r="B30" s="1916" t="s">
        <v>1724</v>
      </c>
      <c r="C30" s="1917"/>
      <c r="D30" s="1918"/>
      <c r="E30" s="1918"/>
      <c r="F30" s="1918"/>
      <c r="G30" s="1918"/>
      <c r="H30" s="1918"/>
      <c r="I30" s="1918"/>
      <c r="J30" s="1918"/>
      <c r="K30" s="1918"/>
      <c r="L30" s="1918"/>
      <c r="M30" s="1918"/>
      <c r="N30" s="1918"/>
      <c r="O30" s="1918"/>
      <c r="P30" s="1918"/>
      <c r="AA30" s="2490">
        <v>30</v>
      </c>
    </row>
    <row r="31" spans="1:28" ht="30" customHeight="1">
      <c r="A31" s="3790"/>
      <c r="B31" s="3790"/>
      <c r="C31" s="3790"/>
      <c r="D31" s="3790"/>
      <c r="E31" s="3790"/>
      <c r="F31" s="3790"/>
      <c r="G31" s="3790"/>
      <c r="H31" s="3790"/>
      <c r="I31" s="3790"/>
      <c r="J31" s="3790"/>
      <c r="K31" s="3790"/>
      <c r="L31" s="3790"/>
      <c r="M31" s="3790"/>
      <c r="N31" s="3790"/>
      <c r="O31" s="3790"/>
      <c r="P31" s="3790"/>
      <c r="Q31" s="3790"/>
      <c r="AA31" s="2490">
        <v>31</v>
      </c>
    </row>
    <row r="32" spans="1:28" ht="11.25" customHeight="1">
      <c r="B32" s="1913"/>
      <c r="C32" s="1918"/>
      <c r="D32" s="1918"/>
      <c r="E32" s="1918"/>
      <c r="F32" s="1918"/>
      <c r="G32" s="1918"/>
      <c r="H32" s="1918"/>
      <c r="I32" s="1918"/>
      <c r="J32" s="1918"/>
      <c r="K32" s="1918"/>
      <c r="L32" s="1918"/>
      <c r="M32" s="1918"/>
      <c r="N32" s="1918"/>
      <c r="O32" s="1918"/>
      <c r="P32" s="1918"/>
      <c r="Q32" s="1910"/>
      <c r="AA32" s="2490">
        <v>32</v>
      </c>
    </row>
    <row r="33" spans="1:27" ht="20.25" customHeight="1">
      <c r="A33" s="1919" t="s">
        <v>688</v>
      </c>
      <c r="B33" s="1911" t="s">
        <v>1117</v>
      </c>
      <c r="C33" s="1911"/>
      <c r="D33" s="1911"/>
      <c r="E33" s="1918"/>
      <c r="F33" s="1918"/>
      <c r="G33" s="1920"/>
      <c r="O33" s="1914" t="s">
        <v>1725</v>
      </c>
      <c r="P33" s="3713"/>
      <c r="Q33" s="3760"/>
      <c r="AA33" s="2491">
        <v>33</v>
      </c>
    </row>
    <row r="34" spans="1:27" ht="18.75" customHeight="1">
      <c r="A34" s="1919"/>
      <c r="B34" s="3833" t="s">
        <v>4642</v>
      </c>
      <c r="C34" s="3833"/>
      <c r="D34" s="3833"/>
      <c r="E34" s="3833"/>
      <c r="F34" s="3833"/>
      <c r="G34" s="3833"/>
      <c r="H34" s="3833"/>
      <c r="I34" s="3833"/>
      <c r="J34" s="3833"/>
      <c r="K34" s="3833"/>
      <c r="L34" s="3833"/>
      <c r="M34" s="3833"/>
      <c r="N34" s="3833"/>
      <c r="O34" s="3833"/>
      <c r="P34" s="3753"/>
      <c r="Q34" s="3755"/>
      <c r="AA34" s="2490">
        <v>34</v>
      </c>
    </row>
    <row r="35" spans="1:27" ht="15.75" customHeight="1">
      <c r="B35" s="1922" t="s">
        <v>3154</v>
      </c>
      <c r="D35" s="1922"/>
      <c r="E35" s="1922"/>
      <c r="F35" s="1922"/>
      <c r="G35" s="1922"/>
      <c r="H35" s="1920"/>
      <c r="I35" s="1913"/>
      <c r="J35" s="1913"/>
      <c r="AA35" s="2490">
        <v>35</v>
      </c>
    </row>
    <row r="36" spans="1:27" ht="15" customHeight="1">
      <c r="A36" s="3750"/>
      <c r="B36" s="3751"/>
      <c r="C36" s="3751"/>
      <c r="D36" s="3751"/>
      <c r="E36" s="3751"/>
      <c r="F36" s="3751"/>
      <c r="G36" s="3751"/>
      <c r="H36" s="3751"/>
      <c r="I36" s="3751"/>
      <c r="J36" s="3751"/>
      <c r="K36" s="3751"/>
      <c r="L36" s="3751"/>
      <c r="M36" s="3751"/>
      <c r="N36" s="3751"/>
      <c r="O36" s="3751"/>
      <c r="P36" s="3751"/>
      <c r="Q36" s="3752"/>
      <c r="AA36" s="2490">
        <v>36</v>
      </c>
    </row>
    <row r="37" spans="1:27" ht="15.75" customHeight="1">
      <c r="A37" s="1910"/>
      <c r="B37" s="1916" t="s">
        <v>1724</v>
      </c>
      <c r="C37" s="1910"/>
      <c r="D37" s="1910"/>
      <c r="E37" s="1910"/>
      <c r="F37" s="1910"/>
      <c r="G37" s="1910"/>
      <c r="H37" s="1910"/>
      <c r="I37" s="1918"/>
      <c r="J37" s="1918"/>
      <c r="K37" s="1918"/>
      <c r="L37" s="1918"/>
      <c r="M37" s="1918"/>
      <c r="N37" s="1918"/>
      <c r="O37" s="1918"/>
      <c r="P37" s="1918"/>
      <c r="Q37" s="1910"/>
      <c r="AA37" s="2490">
        <v>37</v>
      </c>
    </row>
    <row r="38" spans="1:27" ht="15" customHeight="1">
      <c r="A38" s="3790"/>
      <c r="B38" s="3790"/>
      <c r="C38" s="3790"/>
      <c r="D38" s="3790"/>
      <c r="E38" s="3790"/>
      <c r="F38" s="3790"/>
      <c r="G38" s="3790"/>
      <c r="H38" s="3790"/>
      <c r="I38" s="3790"/>
      <c r="J38" s="3790"/>
      <c r="K38" s="3790"/>
      <c r="L38" s="3790"/>
      <c r="M38" s="3790"/>
      <c r="N38" s="3790"/>
      <c r="O38" s="3790"/>
      <c r="P38" s="3790"/>
      <c r="Q38" s="3790"/>
      <c r="AA38" s="2490">
        <v>38</v>
      </c>
    </row>
    <row r="39" spans="1:27" ht="7.5" customHeight="1">
      <c r="A39" s="1910"/>
      <c r="B39" s="1918"/>
      <c r="C39" s="1918"/>
      <c r="D39" s="1918"/>
      <c r="E39" s="1918"/>
      <c r="F39" s="1918"/>
      <c r="G39" s="1918"/>
      <c r="H39" s="1918"/>
      <c r="I39" s="1918"/>
      <c r="J39" s="1918"/>
      <c r="K39" s="1918"/>
      <c r="L39" s="1918"/>
      <c r="M39" s="1918"/>
      <c r="N39" s="1918"/>
      <c r="O39" s="1918"/>
      <c r="P39" s="1918"/>
      <c r="Q39" s="1910"/>
      <c r="AA39" s="2490">
        <v>39</v>
      </c>
    </row>
    <row r="40" spans="1:27" ht="7.5" customHeight="1">
      <c r="A40" s="1915"/>
      <c r="B40" s="1913"/>
      <c r="C40" s="1918"/>
      <c r="D40" s="1918"/>
      <c r="E40" s="1918"/>
      <c r="F40" s="1918"/>
      <c r="G40" s="1918"/>
      <c r="H40" s="1918"/>
      <c r="I40" s="1918"/>
      <c r="J40" s="1918"/>
      <c r="K40" s="1918"/>
      <c r="L40" s="1918"/>
      <c r="M40" s="1918"/>
      <c r="N40" s="1918"/>
      <c r="O40" s="1918"/>
      <c r="P40" s="1918"/>
      <c r="Q40" s="1910"/>
      <c r="AA40" s="2490">
        <v>40</v>
      </c>
    </row>
    <row r="41" spans="1:27" ht="20.25" customHeight="1">
      <c r="A41" s="1919" t="s">
        <v>690</v>
      </c>
      <c r="B41" s="1919" t="s">
        <v>4773</v>
      </c>
      <c r="C41" s="1919"/>
      <c r="D41" s="1918"/>
      <c r="E41" s="1918"/>
      <c r="F41" s="1918"/>
      <c r="G41" s="1918"/>
      <c r="H41" s="1918"/>
      <c r="I41" s="1918"/>
      <c r="J41" s="1918"/>
      <c r="L41" s="1923"/>
      <c r="M41" s="1924"/>
      <c r="O41" s="1914" t="s">
        <v>1725</v>
      </c>
      <c r="P41" s="3713"/>
      <c r="Q41" s="3721"/>
      <c r="AA41" s="2490">
        <v>41</v>
      </c>
    </row>
    <row r="42" spans="1:27" ht="20.25" customHeight="1">
      <c r="A42" s="1925"/>
      <c r="B42" s="1920" t="s">
        <v>4969</v>
      </c>
      <c r="C42" s="1919"/>
      <c r="D42" s="1918"/>
      <c r="E42" s="1918"/>
      <c r="F42" s="1918"/>
      <c r="G42" s="1918"/>
      <c r="H42" s="1918"/>
      <c r="I42" s="1918"/>
      <c r="J42" s="1918"/>
      <c r="L42" s="1923"/>
      <c r="M42" s="1924"/>
      <c r="O42" s="1914"/>
      <c r="P42" s="3753"/>
      <c r="Q42" s="3755"/>
      <c r="AA42" s="2491">
        <v>42</v>
      </c>
    </row>
    <row r="43" spans="1:27" ht="15.75" customHeight="1">
      <c r="B43" s="1922" t="s">
        <v>3154</v>
      </c>
      <c r="D43" s="1922"/>
      <c r="E43" s="1922"/>
      <c r="F43" s="1922"/>
      <c r="G43" s="1922"/>
      <c r="H43" s="1920"/>
      <c r="I43" s="1913"/>
      <c r="J43" s="1913"/>
      <c r="AA43" s="2490">
        <v>43</v>
      </c>
    </row>
    <row r="44" spans="1:27" ht="30" customHeight="1">
      <c r="A44" s="3750"/>
      <c r="B44" s="3751"/>
      <c r="C44" s="3751"/>
      <c r="D44" s="3751"/>
      <c r="E44" s="3751"/>
      <c r="F44" s="3751"/>
      <c r="G44" s="3751"/>
      <c r="H44" s="3751"/>
      <c r="I44" s="3751"/>
      <c r="J44" s="3751"/>
      <c r="K44" s="3751"/>
      <c r="L44" s="3751"/>
      <c r="M44" s="3751"/>
      <c r="N44" s="3751"/>
      <c r="O44" s="3751"/>
      <c r="P44" s="3751"/>
      <c r="Q44" s="3752"/>
      <c r="AA44" s="2490">
        <v>44</v>
      </c>
    </row>
    <row r="45" spans="1:27" ht="15.75" customHeight="1">
      <c r="A45" s="1910"/>
      <c r="B45" s="1916" t="s">
        <v>1724</v>
      </c>
      <c r="C45" s="1910"/>
      <c r="D45" s="1910"/>
      <c r="E45" s="1910"/>
      <c r="F45" s="1910"/>
      <c r="G45" s="1910"/>
      <c r="H45" s="1910"/>
      <c r="I45" s="1918"/>
      <c r="J45" s="1918"/>
      <c r="K45" s="1918"/>
      <c r="L45" s="1918"/>
      <c r="M45" s="1918"/>
      <c r="N45" s="1918"/>
      <c r="O45" s="1918"/>
      <c r="P45" s="1918"/>
      <c r="Q45" s="1910"/>
      <c r="AA45" s="2490">
        <v>45</v>
      </c>
    </row>
    <row r="46" spans="1:27" ht="15" customHeight="1">
      <c r="A46" s="3790"/>
      <c r="B46" s="3790"/>
      <c r="C46" s="3790"/>
      <c r="D46" s="3790"/>
      <c r="E46" s="3790"/>
      <c r="F46" s="3790"/>
      <c r="G46" s="3790"/>
      <c r="H46" s="3790"/>
      <c r="I46" s="3790"/>
      <c r="J46" s="3790"/>
      <c r="K46" s="3790"/>
      <c r="L46" s="3790"/>
      <c r="M46" s="3790"/>
      <c r="N46" s="3790"/>
      <c r="O46" s="3790"/>
      <c r="P46" s="3790"/>
      <c r="Q46" s="3790"/>
      <c r="AA46" s="2490">
        <v>46</v>
      </c>
    </row>
    <row r="47" spans="1:27" ht="7.5" customHeight="1">
      <c r="A47" s="1910"/>
      <c r="B47" s="1913"/>
      <c r="C47" s="1918"/>
      <c r="D47" s="1918"/>
      <c r="E47" s="1918"/>
      <c r="F47" s="1918"/>
      <c r="G47" s="1918"/>
      <c r="H47" s="1918"/>
      <c r="I47" s="1918"/>
      <c r="J47" s="1918"/>
      <c r="K47" s="1918"/>
      <c r="L47" s="1918"/>
      <c r="M47" s="1918"/>
      <c r="N47" s="1918"/>
      <c r="O47" s="1918"/>
      <c r="P47" s="1918"/>
      <c r="Q47" s="1910"/>
      <c r="AA47" s="2490">
        <v>47</v>
      </c>
    </row>
    <row r="48" spans="1:27" ht="7.5" customHeight="1">
      <c r="A48" s="1919"/>
      <c r="B48" s="1913"/>
      <c r="C48" s="1918"/>
      <c r="D48" s="1918"/>
      <c r="E48" s="1918"/>
      <c r="F48" s="1918"/>
      <c r="G48" s="1918"/>
      <c r="H48" s="1918"/>
      <c r="I48" s="1918"/>
      <c r="J48" s="1918"/>
      <c r="K48" s="1918"/>
      <c r="L48" s="1918"/>
      <c r="M48" s="1918"/>
      <c r="N48" s="1918"/>
      <c r="O48" s="1918"/>
      <c r="P48" s="1918"/>
      <c r="Q48" s="1910"/>
      <c r="AA48" s="2490">
        <v>48</v>
      </c>
    </row>
    <row r="49" spans="1:27" ht="20.25" customHeight="1">
      <c r="A49" s="1919" t="s">
        <v>1661</v>
      </c>
      <c r="B49" s="1919" t="s">
        <v>3886</v>
      </c>
      <c r="C49" s="1919"/>
      <c r="D49" s="1918"/>
      <c r="E49" s="1918"/>
      <c r="F49" s="1918"/>
      <c r="G49" s="1918"/>
      <c r="H49" s="1926"/>
      <c r="J49" s="1925"/>
      <c r="K49" s="1904"/>
      <c r="L49" s="1925"/>
      <c r="M49" s="1927"/>
      <c r="O49" s="1914" t="s">
        <v>1725</v>
      </c>
      <c r="P49" s="3713"/>
      <c r="Q49" s="3721"/>
      <c r="AA49" s="2490">
        <v>49</v>
      </c>
    </row>
    <row r="50" spans="1:27" ht="15.75" customHeight="1">
      <c r="A50" s="1925"/>
      <c r="B50" s="1912" t="s">
        <v>2257</v>
      </c>
      <c r="L50" s="3707"/>
      <c r="M50" s="3708"/>
      <c r="N50" s="3708"/>
      <c r="O50" s="3708"/>
      <c r="P50" s="3708"/>
      <c r="Q50" s="3709"/>
      <c r="AA50" s="2490">
        <v>50</v>
      </c>
    </row>
    <row r="51" spans="1:27" ht="15.9" customHeight="1">
      <c r="A51" s="1925"/>
      <c r="B51" s="1912" t="s">
        <v>4643</v>
      </c>
      <c r="D51" s="1928"/>
      <c r="E51" s="1928"/>
      <c r="F51" s="1928"/>
      <c r="N51" s="1929"/>
      <c r="O51" s="1929"/>
      <c r="P51" s="3861"/>
      <c r="Q51" s="3862"/>
      <c r="AA51" s="2490">
        <v>51</v>
      </c>
    </row>
    <row r="52" spans="1:27" ht="15" customHeight="1">
      <c r="A52" s="1925"/>
      <c r="B52" s="1912" t="s">
        <v>5085</v>
      </c>
      <c r="D52" s="1928"/>
      <c r="E52" s="1928"/>
      <c r="F52" s="1928"/>
      <c r="L52" s="1920" t="s">
        <v>4644</v>
      </c>
      <c r="N52" s="1915"/>
      <c r="O52" s="1915"/>
      <c r="P52" s="3865"/>
      <c r="Q52" s="3866"/>
      <c r="AA52" s="2490">
        <v>52</v>
      </c>
    </row>
    <row r="53" spans="1:27" ht="15" customHeight="1">
      <c r="A53" s="1925"/>
      <c r="D53" s="1928"/>
      <c r="E53" s="1928"/>
      <c r="F53" s="1928"/>
      <c r="J53" s="1930"/>
      <c r="L53" s="2475" t="s">
        <v>5086</v>
      </c>
      <c r="N53" s="1915"/>
      <c r="O53" s="1915"/>
      <c r="P53" s="3863"/>
      <c r="Q53" s="3864"/>
      <c r="AA53" s="2490">
        <v>53</v>
      </c>
    </row>
    <row r="54" spans="1:27" ht="15.75" customHeight="1">
      <c r="B54" s="1931" t="s">
        <v>3154</v>
      </c>
      <c r="D54" s="1931"/>
      <c r="E54" s="1931"/>
      <c r="F54" s="1931"/>
      <c r="G54" s="1931"/>
      <c r="H54" s="1920"/>
      <c r="I54" s="1913"/>
      <c r="J54" s="1913"/>
      <c r="K54" s="1913"/>
      <c r="L54" s="1910"/>
      <c r="M54" s="1910"/>
      <c r="N54" s="1910"/>
      <c r="O54" s="1910"/>
      <c r="P54" s="1910"/>
      <c r="Q54" s="1910"/>
      <c r="AA54" s="2490">
        <v>54</v>
      </c>
    </row>
    <row r="55" spans="1:27" ht="193.5" customHeight="1">
      <c r="A55" s="3707"/>
      <c r="B55" s="3707"/>
      <c r="C55" s="3707"/>
      <c r="D55" s="3707"/>
      <c r="E55" s="3707"/>
      <c r="F55" s="3707"/>
      <c r="G55" s="3707"/>
      <c r="H55" s="3707"/>
      <c r="I55" s="3707"/>
      <c r="J55" s="3707"/>
      <c r="K55" s="3707"/>
      <c r="L55" s="3707"/>
      <c r="M55" s="3707"/>
      <c r="N55" s="3707"/>
      <c r="O55" s="3707"/>
      <c r="P55" s="3707"/>
      <c r="Q55" s="3772"/>
      <c r="AA55" s="2490">
        <v>55</v>
      </c>
    </row>
    <row r="56" spans="1:27" ht="15.75" customHeight="1">
      <c r="B56" s="1916" t="s">
        <v>1724</v>
      </c>
      <c r="C56" s="1917"/>
      <c r="D56" s="1918"/>
      <c r="E56" s="1918"/>
      <c r="F56" s="1918"/>
      <c r="G56" s="1918"/>
      <c r="H56" s="1918"/>
      <c r="I56" s="1918"/>
      <c r="J56" s="1918"/>
      <c r="K56" s="1918"/>
      <c r="L56" s="1918"/>
      <c r="M56" s="1918"/>
      <c r="N56" s="1918"/>
      <c r="O56" s="1918"/>
      <c r="P56" s="1918"/>
      <c r="Q56" s="1918"/>
      <c r="AA56" s="2490">
        <v>56</v>
      </c>
    </row>
    <row r="57" spans="1:27" ht="15" customHeight="1">
      <c r="A57" s="3710"/>
      <c r="B57" s="3710"/>
      <c r="C57" s="3710"/>
      <c r="D57" s="3710"/>
      <c r="E57" s="3710"/>
      <c r="F57" s="3710"/>
      <c r="G57" s="3710"/>
      <c r="H57" s="3710"/>
      <c r="I57" s="3710"/>
      <c r="J57" s="3710"/>
      <c r="K57" s="3710"/>
      <c r="L57" s="3710"/>
      <c r="M57" s="3710"/>
      <c r="N57" s="3710"/>
      <c r="O57" s="3710"/>
      <c r="P57" s="3710"/>
      <c r="Q57" s="3761"/>
      <c r="AA57" s="2491">
        <v>57</v>
      </c>
    </row>
    <row r="58" spans="1:27" ht="7.5" customHeight="1">
      <c r="A58" s="1918"/>
      <c r="B58" s="1918"/>
      <c r="C58" s="1918"/>
      <c r="D58" s="1918"/>
      <c r="E58" s="1918"/>
      <c r="F58" s="1918"/>
      <c r="G58" s="1918"/>
      <c r="H58" s="1918"/>
      <c r="I58" s="1918"/>
      <c r="J58" s="1918"/>
      <c r="K58" s="1918"/>
      <c r="L58" s="1918"/>
      <c r="M58" s="1918"/>
      <c r="N58" s="1918"/>
      <c r="O58" s="1918"/>
      <c r="P58" s="1918"/>
      <c r="Q58" s="1918"/>
      <c r="AA58" s="2490">
        <v>58</v>
      </c>
    </row>
    <row r="59" spans="1:27" ht="7.5" customHeight="1">
      <c r="A59" s="1919"/>
      <c r="B59" s="1918"/>
      <c r="C59" s="1918"/>
      <c r="D59" s="1918"/>
      <c r="E59" s="1918"/>
      <c r="F59" s="1918"/>
      <c r="G59" s="1918"/>
      <c r="H59" s="1918"/>
      <c r="I59" s="1918"/>
      <c r="J59" s="1918"/>
      <c r="K59" s="1918"/>
      <c r="L59" s="1918"/>
      <c r="M59" s="1918"/>
      <c r="N59" s="1918"/>
      <c r="O59" s="1918"/>
      <c r="P59" s="1918"/>
      <c r="Q59" s="1918"/>
      <c r="AA59" s="2490">
        <v>59</v>
      </c>
    </row>
    <row r="60" spans="1:27" ht="20.25" customHeight="1">
      <c r="A60" s="1919" t="s">
        <v>1663</v>
      </c>
      <c r="B60" s="1919" t="s">
        <v>2415</v>
      </c>
      <c r="C60" s="1919"/>
      <c r="D60" s="1918"/>
      <c r="E60" s="1918"/>
      <c r="F60" s="1918"/>
      <c r="G60" s="1918"/>
      <c r="H60" s="1918"/>
      <c r="I60" s="1918"/>
      <c r="J60" s="1918"/>
      <c r="K60" s="1918"/>
      <c r="L60" s="1918"/>
      <c r="M60" s="1918"/>
      <c r="O60" s="1914" t="s">
        <v>1725</v>
      </c>
      <c r="P60" s="3762"/>
      <c r="Q60" s="3794"/>
      <c r="AA60" s="2490">
        <v>60</v>
      </c>
    </row>
    <row r="61" spans="1:27" ht="15.9" customHeight="1">
      <c r="A61" s="1925"/>
      <c r="B61" s="1912" t="s">
        <v>4645</v>
      </c>
      <c r="I61" s="1933"/>
      <c r="L61" s="3735"/>
      <c r="M61" s="3736"/>
      <c r="N61" s="3736"/>
      <c r="O61" s="3736"/>
      <c r="P61" s="3736"/>
      <c r="Q61" s="3832"/>
      <c r="AA61" s="2490">
        <v>61</v>
      </c>
    </row>
    <row r="62" spans="1:27" ht="15.9" customHeight="1">
      <c r="A62" s="1925"/>
      <c r="B62" s="1912" t="s">
        <v>3819</v>
      </c>
      <c r="O62" s="1921"/>
      <c r="P62" s="1939"/>
      <c r="Q62" s="1932"/>
      <c r="AA62" s="2490">
        <v>62</v>
      </c>
    </row>
    <row r="63" spans="1:27" ht="31.5" customHeight="1">
      <c r="B63" s="1919"/>
      <c r="C63" s="3715" t="s">
        <v>4774</v>
      </c>
      <c r="D63" s="3715"/>
      <c r="E63" s="3715"/>
      <c r="F63" s="3715"/>
      <c r="G63" s="3715"/>
      <c r="H63" s="3715"/>
      <c r="I63" s="3715"/>
      <c r="J63" s="3715"/>
      <c r="K63" s="3715"/>
      <c r="L63" s="3715"/>
      <c r="M63" s="3715"/>
      <c r="N63" s="3715"/>
      <c r="O63" s="3715"/>
      <c r="P63" s="2031"/>
      <c r="Q63" s="2054"/>
      <c r="AA63" s="2490">
        <v>63</v>
      </c>
    </row>
    <row r="64" spans="1:27" ht="15.75" customHeight="1">
      <c r="B64" s="1931" t="s">
        <v>4641</v>
      </c>
      <c r="D64" s="1931"/>
      <c r="E64" s="1931"/>
      <c r="F64" s="1931"/>
      <c r="G64" s="1931"/>
      <c r="H64" s="1920"/>
      <c r="I64" s="1913"/>
      <c r="J64" s="1913"/>
      <c r="K64" s="1913"/>
      <c r="L64" s="1910"/>
      <c r="M64" s="1910"/>
      <c r="N64" s="1910"/>
      <c r="O64" s="1910"/>
      <c r="P64" s="1910"/>
      <c r="Q64" s="1910"/>
      <c r="AA64" s="2490">
        <v>64</v>
      </c>
    </row>
    <row r="65" spans="1:28" ht="60" customHeight="1">
      <c r="A65" s="3750"/>
      <c r="B65" s="3756"/>
      <c r="C65" s="3756"/>
      <c r="D65" s="3756"/>
      <c r="E65" s="3756"/>
      <c r="F65" s="3756"/>
      <c r="G65" s="3756"/>
      <c r="H65" s="3756"/>
      <c r="I65" s="3756"/>
      <c r="J65" s="3756"/>
      <c r="K65" s="3756"/>
      <c r="L65" s="3756"/>
      <c r="M65" s="3756"/>
      <c r="N65" s="3756"/>
      <c r="O65" s="3756"/>
      <c r="P65" s="3756"/>
      <c r="Q65" s="3757"/>
      <c r="AA65" s="2490">
        <v>65</v>
      </c>
    </row>
    <row r="66" spans="1:28" ht="15.75" customHeight="1">
      <c r="B66" s="1916" t="s">
        <v>1724</v>
      </c>
      <c r="C66" s="1917"/>
      <c r="D66" s="1918"/>
      <c r="E66" s="1918"/>
      <c r="F66" s="1918"/>
      <c r="G66" s="1918"/>
      <c r="H66" s="1918"/>
      <c r="I66" s="1918"/>
      <c r="J66" s="1918"/>
      <c r="K66" s="1918"/>
      <c r="L66" s="1918"/>
      <c r="M66" s="1918"/>
      <c r="N66" s="1918"/>
      <c r="O66" s="1918"/>
      <c r="P66" s="1918"/>
      <c r="Q66" s="1918"/>
      <c r="AA66" s="2491">
        <v>66</v>
      </c>
    </row>
    <row r="67" spans="1:28" ht="15" customHeight="1">
      <c r="A67" s="3744"/>
      <c r="B67" s="3758"/>
      <c r="C67" s="3758"/>
      <c r="D67" s="3758"/>
      <c r="E67" s="3758"/>
      <c r="F67" s="3758"/>
      <c r="G67" s="3758"/>
      <c r="H67" s="3758"/>
      <c r="I67" s="3758"/>
      <c r="J67" s="3758"/>
      <c r="K67" s="3758"/>
      <c r="L67" s="3758"/>
      <c r="M67" s="3758"/>
      <c r="N67" s="3758"/>
      <c r="O67" s="3758"/>
      <c r="P67" s="3758"/>
      <c r="Q67" s="3759"/>
      <c r="AA67" s="2490">
        <v>67</v>
      </c>
    </row>
    <row r="68" spans="1:28" ht="13.5" customHeight="1">
      <c r="AA68" s="2490">
        <v>68</v>
      </c>
    </row>
    <row r="69" spans="1:28" ht="13.5" customHeight="1">
      <c r="A69" s="1915"/>
      <c r="AA69" s="2490">
        <v>69</v>
      </c>
    </row>
    <row r="70" spans="1:28" ht="20.25" customHeight="1">
      <c r="A70" s="1919" t="s">
        <v>495</v>
      </c>
      <c r="B70" s="1919" t="s">
        <v>2416</v>
      </c>
      <c r="C70" s="1920"/>
      <c r="D70" s="1918"/>
      <c r="E70" s="1918"/>
      <c r="F70" s="1918"/>
      <c r="G70" s="1918"/>
      <c r="H70" s="1918"/>
      <c r="I70" s="1918"/>
      <c r="J70" s="1918"/>
      <c r="K70" s="1918"/>
      <c r="L70" s="1918"/>
      <c r="M70" s="1918"/>
      <c r="N70" s="1938"/>
      <c r="O70" s="1914" t="s">
        <v>1725</v>
      </c>
      <c r="P70" s="3713"/>
      <c r="Q70" s="3721"/>
      <c r="AA70" s="2490">
        <v>70</v>
      </c>
    </row>
    <row r="71" spans="1:28" ht="32.25" customHeight="1">
      <c r="A71" s="1925"/>
      <c r="B71" s="3715" t="s">
        <v>4958</v>
      </c>
      <c r="C71" s="3715"/>
      <c r="D71" s="3715"/>
      <c r="E71" s="3715"/>
      <c r="F71" s="3715"/>
      <c r="G71" s="3715"/>
      <c r="H71" s="3715"/>
      <c r="I71" s="3715"/>
      <c r="J71" s="3715"/>
      <c r="K71" s="3716"/>
      <c r="L71" s="3867"/>
      <c r="M71" s="3868"/>
      <c r="N71" s="3868"/>
      <c r="O71" s="3868"/>
      <c r="P71" s="3869"/>
      <c r="Q71" s="3870"/>
      <c r="AA71" s="2490">
        <v>71</v>
      </c>
    </row>
    <row r="72" spans="1:28" ht="16.5" customHeight="1">
      <c r="B72" s="1912" t="s">
        <v>4646</v>
      </c>
      <c r="C72" s="1915"/>
      <c r="O72" s="1921"/>
      <c r="P72" s="1939"/>
      <c r="Q72" s="1932"/>
      <c r="AA72" s="2490">
        <v>72</v>
      </c>
    </row>
    <row r="73" spans="1:28" ht="16.5" customHeight="1">
      <c r="A73" s="1925"/>
      <c r="B73" s="1912" t="s">
        <v>4519</v>
      </c>
      <c r="D73" s="1928"/>
      <c r="E73" s="1928"/>
      <c r="F73" s="1928"/>
      <c r="G73" s="1928"/>
      <c r="H73" s="1928"/>
      <c r="K73" s="1928"/>
      <c r="L73" s="1918"/>
      <c r="O73" s="1921"/>
      <c r="P73" s="1936"/>
      <c r="Q73" s="1937"/>
      <c r="AA73" s="2490">
        <v>73</v>
      </c>
    </row>
    <row r="74" spans="1:28" ht="15" customHeight="1">
      <c r="A74" s="1925"/>
      <c r="B74" s="1912" t="s">
        <v>4647</v>
      </c>
      <c r="D74" s="1928"/>
      <c r="E74" s="1928"/>
      <c r="F74" s="1928"/>
      <c r="G74" s="1928"/>
      <c r="H74" s="1928"/>
      <c r="I74" s="1912" t="s">
        <v>4648</v>
      </c>
      <c r="K74" s="1928"/>
      <c r="L74" s="1918"/>
      <c r="M74" s="1918"/>
      <c r="N74" s="1918"/>
      <c r="O74" s="1921"/>
      <c r="P74" s="1939"/>
      <c r="Q74" s="1932"/>
      <c r="AA74" s="2490">
        <v>74</v>
      </c>
    </row>
    <row r="75" spans="1:28" ht="16.5" customHeight="1">
      <c r="A75" s="1925"/>
      <c r="B75" s="1919"/>
      <c r="E75" s="1928"/>
      <c r="F75" s="1928"/>
      <c r="G75" s="1928"/>
      <c r="H75" s="1928"/>
      <c r="I75" s="1912" t="s">
        <v>4649</v>
      </c>
      <c r="K75" s="1928"/>
      <c r="L75" s="1918"/>
      <c r="M75" s="1918"/>
      <c r="O75" s="1921"/>
      <c r="P75" s="1934"/>
      <c r="Q75" s="1935"/>
      <c r="AA75" s="2490">
        <v>75</v>
      </c>
    </row>
    <row r="76" spans="1:28" ht="16.5" customHeight="1">
      <c r="A76" s="1925"/>
      <c r="B76" s="1919"/>
      <c r="E76" s="1928"/>
      <c r="F76" s="1928"/>
      <c r="G76" s="1928"/>
      <c r="I76" s="1941"/>
      <c r="J76" s="1907" t="s">
        <v>4650</v>
      </c>
      <c r="K76" s="1928"/>
      <c r="L76" s="1918"/>
      <c r="M76" s="1918"/>
      <c r="O76" s="1921"/>
      <c r="P76" s="1947"/>
      <c r="Q76" s="1948"/>
      <c r="AA76" s="2490">
        <v>76</v>
      </c>
    </row>
    <row r="77" spans="1:28" s="1949" customFormat="1" ht="16.5" customHeight="1">
      <c r="A77" s="1940"/>
      <c r="B77" s="1941"/>
      <c r="E77" s="1942"/>
      <c r="F77" s="1942"/>
      <c r="G77" s="1907"/>
      <c r="H77" s="1907"/>
      <c r="I77" s="1912" t="s">
        <v>4651</v>
      </c>
      <c r="J77" s="1912"/>
      <c r="K77" s="1944"/>
      <c r="L77" s="1945"/>
      <c r="M77" s="1945"/>
      <c r="N77" s="1943"/>
      <c r="O77" s="1946"/>
      <c r="P77" s="1936"/>
      <c r="Q77" s="1937"/>
      <c r="R77" s="2027"/>
      <c r="S77" s="2027"/>
      <c r="V77" s="2027"/>
      <c r="W77" s="2027"/>
      <c r="X77" s="2027"/>
      <c r="Y77" s="2027"/>
      <c r="Z77" s="2027"/>
      <c r="AA77" s="2490">
        <v>77</v>
      </c>
      <c r="AB77" s="2027"/>
    </row>
    <row r="78" spans="1:28" ht="32.25" customHeight="1">
      <c r="A78" s="1925"/>
      <c r="B78" s="3827" t="s">
        <v>4794</v>
      </c>
      <c r="C78" s="3827"/>
      <c r="D78" s="3827"/>
      <c r="E78" s="3827"/>
      <c r="F78" s="3827"/>
      <c r="G78" s="3827"/>
      <c r="H78" s="3827"/>
      <c r="I78" s="3827"/>
      <c r="J78" s="3827"/>
      <c r="K78" s="3827"/>
      <c r="L78" s="3827"/>
      <c r="M78" s="3827"/>
      <c r="N78" s="3827"/>
      <c r="O78" s="3827"/>
      <c r="P78" s="3827"/>
      <c r="Q78" s="3827"/>
      <c r="AA78" s="2490">
        <v>78</v>
      </c>
    </row>
    <row r="79" spans="1:28" ht="52.5" customHeight="1">
      <c r="B79" s="3707"/>
      <c r="C79" s="3707"/>
      <c r="D79" s="3707"/>
      <c r="E79" s="3707"/>
      <c r="F79" s="3707"/>
      <c r="G79" s="3707"/>
      <c r="H79" s="3707"/>
      <c r="I79" s="3707"/>
      <c r="J79" s="3707"/>
      <c r="K79" s="3707"/>
      <c r="L79" s="3707"/>
      <c r="M79" s="3707"/>
      <c r="N79" s="3707"/>
      <c r="O79" s="3707"/>
      <c r="P79" s="3707"/>
      <c r="Q79" s="3789"/>
      <c r="AA79" s="2490">
        <v>79</v>
      </c>
    </row>
    <row r="80" spans="1:28" ht="15.75" customHeight="1">
      <c r="B80" s="1931" t="s">
        <v>3154</v>
      </c>
      <c r="D80" s="1931"/>
      <c r="E80" s="1931"/>
      <c r="F80" s="1931"/>
      <c r="G80" s="1931"/>
      <c r="H80" s="1920"/>
      <c r="I80" s="1913"/>
      <c r="J80" s="1913"/>
      <c r="K80" s="1913"/>
      <c r="L80" s="1910"/>
      <c r="M80" s="1910"/>
      <c r="N80" s="1910"/>
      <c r="O80" s="1910"/>
      <c r="P80" s="1910"/>
      <c r="Q80" s="1910"/>
      <c r="AA80" s="2490">
        <v>80</v>
      </c>
    </row>
    <row r="81" spans="1:27" ht="39" customHeight="1">
      <c r="A81" s="3707"/>
      <c r="B81" s="3707"/>
      <c r="C81" s="3707"/>
      <c r="D81" s="3707"/>
      <c r="E81" s="3707"/>
      <c r="F81" s="3707"/>
      <c r="G81" s="3707"/>
      <c r="H81" s="3707"/>
      <c r="I81" s="3707"/>
      <c r="J81" s="3707"/>
      <c r="K81" s="3707"/>
      <c r="L81" s="3707"/>
      <c r="M81" s="3707"/>
      <c r="N81" s="3707"/>
      <c r="O81" s="3707"/>
      <c r="P81" s="3707"/>
      <c r="Q81" s="3772"/>
      <c r="AA81" s="2491">
        <v>81</v>
      </c>
    </row>
    <row r="82" spans="1:27" ht="15.75" customHeight="1">
      <c r="B82" s="1916" t="s">
        <v>1724</v>
      </c>
      <c r="C82" s="1917"/>
      <c r="D82" s="1918"/>
      <c r="E82" s="1918"/>
      <c r="F82" s="1918"/>
      <c r="G82" s="1918"/>
      <c r="H82" s="1918"/>
      <c r="I82" s="1918"/>
      <c r="J82" s="1918"/>
      <c r="K82" s="1918"/>
      <c r="L82" s="1918"/>
      <c r="M82" s="1918"/>
      <c r="N82" s="1918"/>
      <c r="O82" s="1918"/>
      <c r="P82" s="1918"/>
      <c r="Q82" s="1918"/>
      <c r="AA82" s="2490">
        <v>82</v>
      </c>
    </row>
    <row r="83" spans="1:27" ht="15" customHeight="1">
      <c r="A83" s="3710"/>
      <c r="B83" s="3710"/>
      <c r="C83" s="3710"/>
      <c r="D83" s="3710"/>
      <c r="E83" s="3710"/>
      <c r="F83" s="3710"/>
      <c r="G83" s="3710"/>
      <c r="H83" s="3710"/>
      <c r="I83" s="3710"/>
      <c r="J83" s="3710"/>
      <c r="K83" s="3710"/>
      <c r="L83" s="3710"/>
      <c r="M83" s="3710"/>
      <c r="N83" s="3710"/>
      <c r="O83" s="3710"/>
      <c r="P83" s="3710"/>
      <c r="Q83" s="3761"/>
      <c r="AA83" s="2490">
        <v>83</v>
      </c>
    </row>
    <row r="84" spans="1:27" ht="13.5" customHeight="1">
      <c r="A84" s="1910"/>
      <c r="B84" s="1913"/>
      <c r="C84" s="1918"/>
      <c r="D84" s="1918"/>
      <c r="E84" s="1918"/>
      <c r="F84" s="1918"/>
      <c r="G84" s="1918"/>
      <c r="H84" s="1918"/>
      <c r="I84" s="1918"/>
      <c r="J84" s="1918"/>
      <c r="K84" s="1918"/>
      <c r="L84" s="1918"/>
      <c r="M84" s="1918"/>
      <c r="N84" s="1918"/>
      <c r="O84" s="1918"/>
      <c r="P84" s="1918"/>
      <c r="Q84" s="1910"/>
      <c r="AA84" s="2490">
        <v>84</v>
      </c>
    </row>
    <row r="85" spans="1:27" ht="13.5" customHeight="1">
      <c r="A85" s="1915"/>
      <c r="B85" s="1913"/>
      <c r="C85" s="1918"/>
      <c r="D85" s="1918"/>
      <c r="E85" s="1918"/>
      <c r="F85" s="1918"/>
      <c r="G85" s="1918"/>
      <c r="H85" s="1918"/>
      <c r="I85" s="1918"/>
      <c r="J85" s="1918"/>
      <c r="K85" s="1918"/>
      <c r="L85" s="1918"/>
      <c r="M85" s="1918"/>
      <c r="N85" s="1918"/>
      <c r="O85" s="1918"/>
      <c r="P85" s="1918"/>
      <c r="Q85" s="1910"/>
      <c r="AA85" s="2490">
        <v>85</v>
      </c>
    </row>
    <row r="86" spans="1:27" ht="15.6" customHeight="1">
      <c r="A86" s="1919" t="s">
        <v>719</v>
      </c>
      <c r="B86" s="1919" t="s">
        <v>2417</v>
      </c>
      <c r="C86" s="1919"/>
      <c r="D86" s="1918"/>
      <c r="E86" s="1918"/>
      <c r="F86" s="1918"/>
      <c r="G86" s="1918"/>
      <c r="H86" s="1918"/>
      <c r="I86" s="1918"/>
      <c r="J86" s="1918"/>
      <c r="K86" s="1918"/>
      <c r="N86" s="1938"/>
      <c r="O86" s="1914" t="s">
        <v>1725</v>
      </c>
      <c r="P86" s="3713"/>
      <c r="Q86" s="3721"/>
      <c r="AA86" s="2490">
        <v>86</v>
      </c>
    </row>
    <row r="87" spans="1:27" ht="14.1" customHeight="1">
      <c r="A87" s="1925"/>
      <c r="B87" s="1912" t="s">
        <v>143</v>
      </c>
      <c r="F87" s="1969" t="str">
        <f>IF(L87="Ground lease/Option","Ground lease/Option:","")</f>
        <v/>
      </c>
      <c r="H87" s="1971" t="str">
        <f>IF(L87="Ground lease/Option","Annual Pymt:","")</f>
        <v/>
      </c>
      <c r="I87" s="1972" t="str">
        <f>IF(M127="Ground lease/Option",'Part V-Revenues &amp; Expenses'!$F$275,"")</f>
        <v/>
      </c>
      <c r="J87" s="1970" t="str">
        <f>IF(L87="Ground lease/Option","Term (yrs):","")</f>
        <v/>
      </c>
      <c r="K87" s="2023" t="str">
        <f>IF(M127="Ground lease/Option",'Part V-Revenues &amp; Expenses'!$L$275,"")</f>
        <v/>
      </c>
      <c r="L87" s="3828" t="s">
        <v>1641</v>
      </c>
      <c r="M87" s="3829"/>
      <c r="N87" s="3830"/>
      <c r="O87" s="3713" t="s">
        <v>1641</v>
      </c>
      <c r="P87" s="3831"/>
      <c r="Q87" s="3714"/>
      <c r="AA87" s="2490">
        <v>87</v>
      </c>
    </row>
    <row r="88" spans="1:27" ht="14.1" customHeight="1">
      <c r="A88" s="1925"/>
      <c r="B88" s="1912" t="s">
        <v>635</v>
      </c>
      <c r="L88" s="3735"/>
      <c r="M88" s="3736"/>
      <c r="N88" s="3736"/>
      <c r="O88" s="3736"/>
      <c r="P88" s="3736"/>
      <c r="Q88" s="3832"/>
      <c r="AA88" s="2490">
        <v>88</v>
      </c>
    </row>
    <row r="89" spans="1:27" ht="15.75" customHeight="1">
      <c r="B89" s="1931" t="s">
        <v>3154</v>
      </c>
      <c r="D89" s="1931"/>
      <c r="E89" s="1931"/>
      <c r="F89" s="1931"/>
      <c r="G89" s="1931"/>
      <c r="H89" s="1920"/>
      <c r="I89" s="1913"/>
      <c r="J89" s="1913"/>
      <c r="K89" s="1913"/>
      <c r="L89" s="1910"/>
      <c r="M89" s="1910"/>
      <c r="N89" s="1910"/>
      <c r="O89" s="1910"/>
      <c r="P89" s="1910"/>
      <c r="Q89" s="1910"/>
      <c r="AA89" s="2490">
        <v>89</v>
      </c>
    </row>
    <row r="90" spans="1:27" ht="30" customHeight="1">
      <c r="A90" s="3707"/>
      <c r="B90" s="3707"/>
      <c r="C90" s="3707"/>
      <c r="D90" s="3707"/>
      <c r="E90" s="3707"/>
      <c r="F90" s="3707"/>
      <c r="G90" s="3707"/>
      <c r="H90" s="3707"/>
      <c r="I90" s="3707"/>
      <c r="J90" s="3707"/>
      <c r="K90" s="3707"/>
      <c r="L90" s="3707"/>
      <c r="M90" s="3707"/>
      <c r="N90" s="3707"/>
      <c r="O90" s="3707"/>
      <c r="P90" s="3707"/>
      <c r="Q90" s="3789"/>
      <c r="AA90" s="2491">
        <v>90</v>
      </c>
    </row>
    <row r="91" spans="1:27" ht="15.75" customHeight="1">
      <c r="B91" s="1916" t="s">
        <v>1724</v>
      </c>
      <c r="C91" s="1917"/>
      <c r="D91" s="1918"/>
      <c r="E91" s="1918"/>
      <c r="F91" s="1918"/>
      <c r="G91" s="1918"/>
      <c r="H91" s="1918"/>
      <c r="I91" s="1918"/>
      <c r="J91" s="1918"/>
      <c r="K91" s="1918"/>
      <c r="L91" s="1918"/>
      <c r="M91" s="1918"/>
      <c r="N91" s="1918"/>
      <c r="O91" s="1918"/>
      <c r="P91" s="1918"/>
      <c r="Q91" s="1918"/>
      <c r="AA91" s="2490">
        <v>91</v>
      </c>
    </row>
    <row r="92" spans="1:27" ht="15" customHeight="1">
      <c r="A92" s="3710"/>
      <c r="B92" s="3710"/>
      <c r="C92" s="3710"/>
      <c r="D92" s="3710"/>
      <c r="E92" s="3710"/>
      <c r="F92" s="3710"/>
      <c r="G92" s="3710"/>
      <c r="H92" s="3710"/>
      <c r="I92" s="3710"/>
      <c r="J92" s="3710"/>
      <c r="K92" s="3710"/>
      <c r="L92" s="3710"/>
      <c r="M92" s="3710"/>
      <c r="N92" s="3710"/>
      <c r="O92" s="3710"/>
      <c r="P92" s="3710"/>
      <c r="Q92" s="3790"/>
      <c r="AA92" s="2490">
        <v>92</v>
      </c>
    </row>
    <row r="93" spans="1:27" ht="11.25" customHeight="1">
      <c r="A93" s="1910"/>
      <c r="B93" s="1913"/>
      <c r="C93" s="1918"/>
      <c r="D93" s="1918"/>
      <c r="E93" s="1918"/>
      <c r="F93" s="1918"/>
      <c r="G93" s="1918"/>
      <c r="H93" s="1918"/>
      <c r="I93" s="1918"/>
      <c r="J93" s="1918"/>
      <c r="K93" s="1918"/>
      <c r="L93" s="1918"/>
      <c r="M93" s="1918"/>
      <c r="Q93" s="1910"/>
      <c r="AA93" s="2490">
        <v>93</v>
      </c>
    </row>
    <row r="94" spans="1:27" ht="11.25" customHeight="1">
      <c r="A94" s="1915"/>
      <c r="B94" s="1913"/>
      <c r="C94" s="1918"/>
      <c r="D94" s="1918"/>
      <c r="E94" s="1918"/>
      <c r="F94" s="1918"/>
      <c r="G94" s="1918"/>
      <c r="H94" s="1918"/>
      <c r="I94" s="1918"/>
      <c r="J94" s="1918"/>
      <c r="K94" s="1918"/>
      <c r="L94" s="1918"/>
      <c r="M94" s="1918"/>
      <c r="Q94" s="1910"/>
      <c r="AA94" s="2490">
        <v>94</v>
      </c>
    </row>
    <row r="95" spans="1:27" ht="15.6" customHeight="1">
      <c r="A95" s="1919" t="s">
        <v>280</v>
      </c>
      <c r="B95" s="1919" t="s">
        <v>2418</v>
      </c>
      <c r="C95" s="1919"/>
      <c r="D95" s="1918"/>
      <c r="E95" s="1918"/>
      <c r="F95" s="1918"/>
      <c r="G95" s="1918"/>
      <c r="H95" s="1918"/>
      <c r="I95" s="1918"/>
      <c r="J95" s="1918"/>
      <c r="K95" s="1918"/>
      <c r="L95" s="1918"/>
      <c r="M95" s="1918"/>
      <c r="O95" s="1914" t="s">
        <v>1725</v>
      </c>
      <c r="P95" s="3713"/>
      <c r="Q95" s="3721"/>
      <c r="AA95" s="2490">
        <v>95</v>
      </c>
    </row>
    <row r="96" spans="1:27" ht="15.75" customHeight="1">
      <c r="B96" s="1931" t="s">
        <v>3154</v>
      </c>
      <c r="D96" s="1931"/>
      <c r="E96" s="1931"/>
      <c r="F96" s="1931"/>
      <c r="G96" s="1931"/>
      <c r="H96" s="1920"/>
      <c r="I96" s="1913"/>
      <c r="J96" s="1913"/>
      <c r="K96" s="1913"/>
      <c r="L96" s="1910"/>
      <c r="M96" s="1910"/>
      <c r="N96" s="1910"/>
      <c r="O96" s="1910"/>
      <c r="P96" s="1910"/>
      <c r="Q96" s="1910"/>
      <c r="AA96" s="2490">
        <v>96</v>
      </c>
    </row>
    <row r="97" spans="1:27" ht="26.25" customHeight="1">
      <c r="A97" s="3707"/>
      <c r="B97" s="3707"/>
      <c r="C97" s="3707"/>
      <c r="D97" s="3707"/>
      <c r="E97" s="3707"/>
      <c r="F97" s="3707"/>
      <c r="G97" s="3707"/>
      <c r="H97" s="3707"/>
      <c r="I97" s="3707"/>
      <c r="J97" s="3707"/>
      <c r="K97" s="3707"/>
      <c r="L97" s="3707"/>
      <c r="M97" s="3707"/>
      <c r="N97" s="3707"/>
      <c r="O97" s="3707"/>
      <c r="P97" s="3707"/>
      <c r="Q97" s="3789"/>
      <c r="AA97" s="2490">
        <v>97</v>
      </c>
    </row>
    <row r="98" spans="1:27" ht="15.75" customHeight="1">
      <c r="B98" s="1916" t="s">
        <v>1724</v>
      </c>
      <c r="C98" s="1917"/>
      <c r="D98" s="1918"/>
      <c r="E98" s="1918"/>
      <c r="F98" s="1918"/>
      <c r="G98" s="1918"/>
      <c r="H98" s="1918"/>
      <c r="I98" s="1918"/>
      <c r="J98" s="1918"/>
      <c r="K98" s="1918"/>
      <c r="L98" s="1918"/>
      <c r="M98" s="1918"/>
      <c r="N98" s="1918"/>
      <c r="O98" s="1918"/>
      <c r="P98" s="1918"/>
      <c r="Q98" s="1918"/>
      <c r="AA98" s="2490">
        <v>98</v>
      </c>
    </row>
    <row r="99" spans="1:27" ht="15" customHeight="1">
      <c r="A99" s="3710"/>
      <c r="B99" s="3710"/>
      <c r="C99" s="3710"/>
      <c r="D99" s="3710"/>
      <c r="E99" s="3710"/>
      <c r="F99" s="3710"/>
      <c r="G99" s="3710"/>
      <c r="H99" s="3710"/>
      <c r="I99" s="3710"/>
      <c r="J99" s="3710"/>
      <c r="K99" s="3710"/>
      <c r="L99" s="3710"/>
      <c r="M99" s="3710"/>
      <c r="N99" s="3710"/>
      <c r="O99" s="3710"/>
      <c r="P99" s="3710"/>
      <c r="Q99" s="3790"/>
      <c r="AA99" s="2490">
        <v>99</v>
      </c>
    </row>
    <row r="100" spans="1:27" ht="11.25" customHeight="1">
      <c r="B100" s="1913"/>
      <c r="C100" s="1918"/>
      <c r="D100" s="1918"/>
      <c r="E100" s="1918"/>
      <c r="F100" s="1918"/>
      <c r="G100" s="1918"/>
      <c r="H100" s="1918"/>
      <c r="I100" s="1918"/>
      <c r="J100" s="1918"/>
      <c r="K100" s="1918"/>
      <c r="L100" s="1918"/>
      <c r="M100" s="1918"/>
      <c r="N100" s="1918"/>
      <c r="O100" s="1918"/>
      <c r="P100" s="1918"/>
      <c r="Q100" s="1910"/>
      <c r="AA100" s="2490">
        <v>100</v>
      </c>
    </row>
    <row r="101" spans="1:27" ht="11.25" customHeight="1">
      <c r="A101" s="1915"/>
      <c r="B101" s="1913"/>
      <c r="C101" s="1918"/>
      <c r="D101" s="1918"/>
      <c r="E101" s="1918"/>
      <c r="F101" s="1918"/>
      <c r="G101" s="1918"/>
      <c r="H101" s="1918"/>
      <c r="I101" s="1918"/>
      <c r="J101" s="1918"/>
      <c r="K101" s="1918"/>
      <c r="L101" s="1918"/>
      <c r="M101" s="1918"/>
      <c r="N101" s="1918"/>
      <c r="O101" s="1918"/>
      <c r="P101" s="1918"/>
      <c r="Q101" s="1910"/>
      <c r="AA101" s="2490">
        <v>101</v>
      </c>
    </row>
    <row r="102" spans="1:27" ht="15.6" customHeight="1">
      <c r="A102" s="1919" t="s">
        <v>400</v>
      </c>
      <c r="B102" s="3820" t="s">
        <v>2419</v>
      </c>
      <c r="C102" s="3820"/>
      <c r="D102" s="3820"/>
      <c r="N102" s="1938"/>
      <c r="O102" s="1914" t="s">
        <v>1725</v>
      </c>
      <c r="P102" s="3713"/>
      <c r="Q102" s="3721"/>
      <c r="AA102" s="2490">
        <v>102</v>
      </c>
    </row>
    <row r="103" spans="1:27" ht="15.75" customHeight="1">
      <c r="B103" s="1931" t="s">
        <v>3154</v>
      </c>
      <c r="D103" s="1931"/>
      <c r="E103" s="1931"/>
      <c r="F103" s="1931"/>
      <c r="G103" s="1931"/>
      <c r="H103" s="1920"/>
      <c r="I103" s="1913"/>
      <c r="J103" s="1913"/>
      <c r="K103" s="1913"/>
      <c r="L103" s="1910"/>
      <c r="M103" s="1910"/>
      <c r="N103" s="1910"/>
      <c r="O103" s="1910"/>
      <c r="P103" s="1910"/>
      <c r="Q103" s="1910"/>
      <c r="AA103" s="2490">
        <v>103</v>
      </c>
    </row>
    <row r="104" spans="1:27" ht="30" customHeight="1">
      <c r="A104" s="3707"/>
      <c r="B104" s="3707"/>
      <c r="C104" s="3707"/>
      <c r="D104" s="3707"/>
      <c r="E104" s="3707"/>
      <c r="F104" s="3707"/>
      <c r="G104" s="3707"/>
      <c r="H104" s="3707"/>
      <c r="I104" s="3707"/>
      <c r="J104" s="3707"/>
      <c r="K104" s="3707"/>
      <c r="L104" s="3707"/>
      <c r="M104" s="3707"/>
      <c r="N104" s="3707"/>
      <c r="O104" s="3707"/>
      <c r="P104" s="3707"/>
      <c r="Q104" s="3789"/>
      <c r="AA104" s="2490">
        <v>104</v>
      </c>
    </row>
    <row r="105" spans="1:27" ht="15.75" customHeight="1">
      <c r="B105" s="1916" t="s">
        <v>1724</v>
      </c>
      <c r="C105" s="1917"/>
      <c r="D105" s="1918"/>
      <c r="E105" s="1918"/>
      <c r="F105" s="1918"/>
      <c r="G105" s="1918"/>
      <c r="H105" s="1918"/>
      <c r="I105" s="1918"/>
      <c r="J105" s="1918"/>
      <c r="K105" s="1918"/>
      <c r="L105" s="1918"/>
      <c r="M105" s="1918"/>
      <c r="N105" s="1918"/>
      <c r="O105" s="1918"/>
      <c r="P105" s="1918"/>
      <c r="Q105" s="1918"/>
      <c r="AA105" s="2491">
        <v>105</v>
      </c>
    </row>
    <row r="106" spans="1:27" ht="15" customHeight="1">
      <c r="A106" s="3710"/>
      <c r="B106" s="3710"/>
      <c r="C106" s="3710"/>
      <c r="D106" s="3710"/>
      <c r="E106" s="3710"/>
      <c r="F106" s="3710"/>
      <c r="G106" s="3710"/>
      <c r="H106" s="3710"/>
      <c r="I106" s="3710"/>
      <c r="J106" s="3710"/>
      <c r="K106" s="3710"/>
      <c r="L106" s="3710"/>
      <c r="M106" s="3710"/>
      <c r="N106" s="3710"/>
      <c r="O106" s="3710"/>
      <c r="P106" s="3710"/>
      <c r="Q106" s="3790"/>
      <c r="AA106" s="2490">
        <v>106</v>
      </c>
    </row>
    <row r="107" spans="1:27" ht="11.25" customHeight="1">
      <c r="A107" s="1910"/>
      <c r="B107" s="1913"/>
      <c r="C107" s="1918"/>
      <c r="D107" s="1918"/>
      <c r="E107" s="1918"/>
      <c r="F107" s="1918"/>
      <c r="G107" s="1918"/>
      <c r="H107" s="1918"/>
      <c r="I107" s="1918"/>
      <c r="J107" s="1918"/>
      <c r="K107" s="1918"/>
      <c r="L107" s="1918"/>
      <c r="M107" s="1918"/>
      <c r="N107" s="1918"/>
      <c r="O107" s="1918"/>
      <c r="P107" s="1918"/>
      <c r="Q107" s="1910"/>
      <c r="AA107" s="2490">
        <v>107</v>
      </c>
    </row>
    <row r="108" spans="1:27" ht="11.25" customHeight="1">
      <c r="A108" s="1915"/>
      <c r="B108" s="1913"/>
      <c r="C108" s="1918"/>
      <c r="D108" s="1918"/>
      <c r="E108" s="1918"/>
      <c r="F108" s="1918"/>
      <c r="G108" s="1918"/>
      <c r="H108" s="1918"/>
      <c r="I108" s="1918"/>
      <c r="J108" s="1918"/>
      <c r="K108" s="1918"/>
      <c r="L108" s="1918"/>
      <c r="M108" s="1918"/>
      <c r="N108" s="1918"/>
      <c r="O108" s="1918"/>
      <c r="P108" s="1918"/>
      <c r="Q108" s="1910"/>
      <c r="AA108" s="2490">
        <v>108</v>
      </c>
    </row>
    <row r="109" spans="1:27" ht="15.6" customHeight="1">
      <c r="A109" s="1919" t="s">
        <v>342</v>
      </c>
      <c r="B109" s="1919" t="s">
        <v>2420</v>
      </c>
      <c r="C109" s="1919"/>
      <c r="D109" s="1918"/>
      <c r="E109" s="1918"/>
      <c r="G109" s="1918"/>
      <c r="J109" s="1928"/>
      <c r="K109" s="1928"/>
      <c r="L109" s="1928"/>
      <c r="M109" s="1928"/>
      <c r="N109" s="1938"/>
      <c r="O109" s="1914" t="s">
        <v>1725</v>
      </c>
      <c r="P109" s="3762"/>
      <c r="Q109" s="3794"/>
      <c r="AA109" s="2490">
        <v>109</v>
      </c>
    </row>
    <row r="110" spans="1:27" ht="14.1" customHeight="1">
      <c r="A110" s="1925"/>
      <c r="B110" s="1912" t="s">
        <v>4652</v>
      </c>
      <c r="J110" s="1912" t="s">
        <v>4653</v>
      </c>
      <c r="M110" s="3824" t="s">
        <v>1704</v>
      </c>
      <c r="N110" s="3825"/>
      <c r="O110" s="3825"/>
      <c r="P110" s="3825"/>
      <c r="Q110" s="3826"/>
      <c r="AA110" s="2490">
        <v>110</v>
      </c>
    </row>
    <row r="111" spans="1:27" ht="14.1" customHeight="1">
      <c r="A111" s="1925"/>
      <c r="B111" s="1925"/>
      <c r="J111" s="1912" t="s">
        <v>4654</v>
      </c>
      <c r="M111" s="3811" t="s">
        <v>1704</v>
      </c>
      <c r="N111" s="3812"/>
      <c r="O111" s="3812"/>
      <c r="P111" s="3812"/>
      <c r="Q111" s="3813"/>
      <c r="AA111" s="2490">
        <v>111</v>
      </c>
    </row>
    <row r="112" spans="1:27" ht="15.75" customHeight="1">
      <c r="A112" s="1925"/>
      <c r="B112" s="1931" t="s">
        <v>3154</v>
      </c>
      <c r="C112" s="1950"/>
      <c r="D112" s="1950"/>
      <c r="E112" s="1950"/>
      <c r="F112" s="1950"/>
      <c r="H112" s="1915"/>
      <c r="I112" s="1915"/>
      <c r="J112" s="1915"/>
      <c r="K112" s="1915"/>
      <c r="L112" s="1915"/>
      <c r="M112" s="1915"/>
      <c r="N112" s="1915"/>
      <c r="O112" s="1915"/>
      <c r="P112" s="1915"/>
      <c r="Q112" s="1915"/>
      <c r="AA112" s="2490">
        <v>112</v>
      </c>
    </row>
    <row r="113" spans="1:27" ht="15" customHeight="1">
      <c r="A113" s="3707"/>
      <c r="B113" s="3707"/>
      <c r="C113" s="3707"/>
      <c r="D113" s="3707"/>
      <c r="E113" s="3707"/>
      <c r="F113" s="3707"/>
      <c r="G113" s="3707"/>
      <c r="H113" s="3707"/>
      <c r="I113" s="3707"/>
      <c r="J113" s="3707"/>
      <c r="K113" s="3707"/>
      <c r="L113" s="3707"/>
      <c r="M113" s="3707"/>
      <c r="N113" s="3707"/>
      <c r="O113" s="3707"/>
      <c r="P113" s="3707"/>
      <c r="Q113" s="3789"/>
      <c r="AA113" s="2490">
        <v>113</v>
      </c>
    </row>
    <row r="114" spans="1:27" ht="15.75" customHeight="1">
      <c r="B114" s="1916" t="s">
        <v>1724</v>
      </c>
      <c r="C114" s="1917"/>
      <c r="D114" s="1918"/>
      <c r="E114" s="1918"/>
      <c r="F114" s="1918"/>
      <c r="G114" s="1918"/>
      <c r="H114" s="1918"/>
      <c r="I114" s="1918"/>
      <c r="J114" s="1918"/>
      <c r="K114" s="1918"/>
      <c r="L114" s="1918"/>
      <c r="M114" s="1918"/>
      <c r="N114" s="1918"/>
      <c r="O114" s="1918"/>
      <c r="P114" s="1918"/>
      <c r="Q114" s="1918"/>
      <c r="AA114" s="2491">
        <v>114</v>
      </c>
    </row>
    <row r="115" spans="1:27" ht="18.600000000000001" customHeight="1">
      <c r="A115" s="3710"/>
      <c r="B115" s="3710"/>
      <c r="C115" s="3710"/>
      <c r="D115" s="3710"/>
      <c r="E115" s="3710"/>
      <c r="F115" s="3710"/>
      <c r="G115" s="3710"/>
      <c r="H115" s="3710"/>
      <c r="I115" s="3710"/>
      <c r="J115" s="3710"/>
      <c r="K115" s="3710"/>
      <c r="L115" s="3710"/>
      <c r="M115" s="3710"/>
      <c r="N115" s="3710"/>
      <c r="O115" s="3710"/>
      <c r="P115" s="3710"/>
      <c r="Q115" s="3761"/>
      <c r="AA115" s="2490">
        <v>115</v>
      </c>
    </row>
    <row r="116" spans="1:27" ht="12.75" customHeight="1">
      <c r="B116" s="1913"/>
      <c r="C116" s="1918"/>
      <c r="D116" s="1918"/>
      <c r="E116" s="1918"/>
      <c r="F116" s="1918"/>
      <c r="G116" s="1918"/>
      <c r="H116" s="1918"/>
      <c r="I116" s="1918"/>
      <c r="J116" s="1918"/>
      <c r="K116" s="1918"/>
      <c r="L116" s="1918"/>
      <c r="M116" s="1918"/>
      <c r="Q116" s="1910"/>
      <c r="AA116" s="2490">
        <v>116</v>
      </c>
    </row>
    <row r="117" spans="1:27" ht="12.75" customHeight="1">
      <c r="A117" s="1915"/>
      <c r="B117" s="1913"/>
      <c r="C117" s="1918"/>
      <c r="D117" s="1918"/>
      <c r="E117" s="1918"/>
      <c r="F117" s="1918"/>
      <c r="G117" s="1918"/>
      <c r="H117" s="1918"/>
      <c r="I117" s="1918"/>
      <c r="J117" s="1918"/>
      <c r="K117" s="1918"/>
      <c r="L117" s="1918"/>
      <c r="M117" s="1918"/>
      <c r="Q117" s="1910"/>
      <c r="AA117" s="2490">
        <v>117</v>
      </c>
    </row>
    <row r="118" spans="1:27" ht="15" customHeight="1">
      <c r="A118" s="1919" t="s">
        <v>343</v>
      </c>
      <c r="B118" s="1911" t="s">
        <v>4655</v>
      </c>
      <c r="C118" s="1911"/>
      <c r="D118" s="1911"/>
      <c r="E118" s="1911"/>
      <c r="F118" s="1911"/>
      <c r="G118" s="1918"/>
      <c r="H118" s="1918"/>
      <c r="J118" s="1918"/>
      <c r="K118" s="1918"/>
      <c r="L118" s="1918"/>
      <c r="M118" s="1918"/>
      <c r="N118" s="1938"/>
      <c r="O118" s="1914" t="s">
        <v>1725</v>
      </c>
      <c r="P118" s="3762"/>
      <c r="Q118" s="3794"/>
      <c r="AA118" s="2490">
        <v>118</v>
      </c>
    </row>
    <row r="119" spans="1:27" ht="14.4" customHeight="1">
      <c r="A119" s="1925"/>
      <c r="B119" s="1912" t="s">
        <v>4656</v>
      </c>
      <c r="J119" s="1912" t="s">
        <v>4657</v>
      </c>
      <c r="M119" s="3824" t="s">
        <v>1704</v>
      </c>
      <c r="N119" s="3825"/>
      <c r="O119" s="3825"/>
      <c r="P119" s="3825"/>
      <c r="Q119" s="3826"/>
      <c r="R119" s="1951"/>
      <c r="AA119" s="2490">
        <v>119</v>
      </c>
    </row>
    <row r="120" spans="1:27" ht="14.4" customHeight="1">
      <c r="A120" s="1950"/>
      <c r="B120" s="1925"/>
      <c r="J120" s="1912" t="s">
        <v>4658</v>
      </c>
      <c r="M120" s="3811" t="s">
        <v>1704</v>
      </c>
      <c r="N120" s="3812"/>
      <c r="O120" s="3812"/>
      <c r="P120" s="3812"/>
      <c r="Q120" s="3813"/>
      <c r="R120" s="1951"/>
      <c r="AA120" s="2490">
        <v>120</v>
      </c>
    </row>
    <row r="121" spans="1:27" ht="15.75" customHeight="1">
      <c r="B121" s="1931" t="s">
        <v>3154</v>
      </c>
      <c r="D121" s="1931"/>
      <c r="E121" s="1931"/>
      <c r="F121" s="1931"/>
      <c r="G121" s="1931"/>
      <c r="H121" s="1920"/>
      <c r="I121" s="1913"/>
      <c r="J121" s="1913"/>
      <c r="K121" s="1913"/>
      <c r="L121" s="1910"/>
      <c r="M121" s="1910"/>
      <c r="N121" s="1910"/>
      <c r="O121" s="1910"/>
      <c r="P121" s="1910"/>
      <c r="Q121" s="1910"/>
      <c r="AA121" s="2490">
        <v>121</v>
      </c>
    </row>
    <row r="122" spans="1:27" ht="15" customHeight="1">
      <c r="A122" s="3707"/>
      <c r="B122" s="3707"/>
      <c r="C122" s="3707"/>
      <c r="D122" s="3707"/>
      <c r="E122" s="3707"/>
      <c r="F122" s="3707"/>
      <c r="G122" s="3707"/>
      <c r="H122" s="3707"/>
      <c r="I122" s="3707"/>
      <c r="J122" s="3707"/>
      <c r="K122" s="3707"/>
      <c r="L122" s="3707"/>
      <c r="M122" s="3707"/>
      <c r="N122" s="3707"/>
      <c r="O122" s="3707"/>
      <c r="P122" s="3707"/>
      <c r="Q122" s="3789"/>
      <c r="AA122" s="2490">
        <v>122</v>
      </c>
    </row>
    <row r="123" spans="1:27" ht="15.75" customHeight="1">
      <c r="B123" s="1916" t="s">
        <v>1724</v>
      </c>
      <c r="C123" s="1917"/>
      <c r="D123" s="1918"/>
      <c r="E123" s="1918"/>
      <c r="F123" s="1918"/>
      <c r="G123" s="1918"/>
      <c r="H123" s="1918"/>
      <c r="I123" s="1918"/>
      <c r="J123" s="1918"/>
      <c r="K123" s="1918"/>
      <c r="L123" s="1918"/>
      <c r="M123" s="1918"/>
      <c r="N123" s="1918"/>
      <c r="O123" s="1918"/>
      <c r="P123" s="1918"/>
      <c r="Q123" s="1918"/>
      <c r="AA123" s="2490">
        <v>123</v>
      </c>
    </row>
    <row r="124" spans="1:27" ht="15" customHeight="1">
      <c r="A124" s="3710"/>
      <c r="B124" s="3710"/>
      <c r="C124" s="3710"/>
      <c r="D124" s="3710"/>
      <c r="E124" s="3710"/>
      <c r="F124" s="3710"/>
      <c r="G124" s="3710"/>
      <c r="H124" s="3710"/>
      <c r="I124" s="3710"/>
      <c r="J124" s="3710"/>
      <c r="K124" s="3710"/>
      <c r="L124" s="3710"/>
      <c r="M124" s="3710"/>
      <c r="N124" s="3710"/>
      <c r="O124" s="3710"/>
      <c r="P124" s="3710"/>
      <c r="Q124" s="3761"/>
      <c r="AA124" s="2490">
        <v>124</v>
      </c>
    </row>
    <row r="125" spans="1:27" ht="11.25" customHeight="1">
      <c r="A125" s="1910"/>
      <c r="B125" s="1913"/>
      <c r="C125" s="1918"/>
      <c r="D125" s="1918"/>
      <c r="E125" s="1918"/>
      <c r="F125" s="1918"/>
      <c r="G125" s="1918"/>
      <c r="H125" s="1918"/>
      <c r="I125" s="1918"/>
      <c r="J125" s="1918"/>
      <c r="K125" s="1918"/>
      <c r="L125" s="1918"/>
      <c r="M125" s="1918"/>
      <c r="Q125" s="1910"/>
      <c r="AA125" s="2490">
        <v>125</v>
      </c>
    </row>
    <row r="126" spans="1:27" ht="11.25" customHeight="1">
      <c r="A126" s="1915"/>
      <c r="B126" s="1913"/>
      <c r="C126" s="1918"/>
      <c r="D126" s="1918"/>
      <c r="E126" s="1918"/>
      <c r="F126" s="1918"/>
      <c r="G126" s="1918"/>
      <c r="H126" s="1918"/>
      <c r="I126" s="1918"/>
      <c r="J126" s="1918"/>
      <c r="K126" s="1918"/>
      <c r="L126" s="1918"/>
      <c r="M126" s="1918"/>
      <c r="Q126" s="1910"/>
      <c r="AA126" s="2490">
        <v>126</v>
      </c>
    </row>
    <row r="127" spans="1:27" ht="20.25" customHeight="1">
      <c r="A127" s="1919" t="s">
        <v>344</v>
      </c>
      <c r="B127" s="1919" t="s">
        <v>2422</v>
      </c>
      <c r="C127" s="1919"/>
      <c r="D127" s="1918"/>
      <c r="E127" s="1918"/>
      <c r="F127" s="1918"/>
      <c r="G127" s="1918"/>
      <c r="H127" s="1918"/>
      <c r="I127" s="1918"/>
      <c r="J127" s="1918"/>
      <c r="K127" s="1918"/>
      <c r="L127" s="1918"/>
      <c r="M127" s="1918"/>
      <c r="O127" s="1914" t="s">
        <v>1725</v>
      </c>
      <c r="P127" s="3713"/>
      <c r="Q127" s="3721"/>
      <c r="AA127" s="2490">
        <v>127</v>
      </c>
    </row>
    <row r="128" spans="1:27" ht="27.6" customHeight="1">
      <c r="A128" s="1915"/>
      <c r="B128" s="3715" t="s">
        <v>5048</v>
      </c>
      <c r="C128" s="3715"/>
      <c r="D128" s="3715"/>
      <c r="E128" s="3715"/>
      <c r="F128" s="3715"/>
      <c r="G128" s="3715"/>
      <c r="H128" s="3715"/>
      <c r="I128" s="3715"/>
      <c r="J128" s="3715"/>
      <c r="K128" s="3715"/>
      <c r="L128" s="3715"/>
      <c r="M128" s="3715"/>
      <c r="N128" s="3715"/>
      <c r="O128" s="3716"/>
      <c r="P128" s="3753" t="s">
        <v>2640</v>
      </c>
      <c r="Q128" s="3755"/>
      <c r="AA128" s="2490">
        <v>128</v>
      </c>
    </row>
    <row r="129" spans="1:27" ht="20.25" customHeight="1">
      <c r="A129" s="1925" t="s">
        <v>1835</v>
      </c>
      <c r="B129" s="1912" t="s">
        <v>4659</v>
      </c>
      <c r="O129" s="1921"/>
      <c r="P129" s="1915"/>
      <c r="Q129" s="1915"/>
      <c r="AA129" s="2491">
        <v>129</v>
      </c>
    </row>
    <row r="130" spans="1:27" ht="15" customHeight="1">
      <c r="A130" s="1925"/>
      <c r="B130" s="1920"/>
      <c r="C130" s="1912" t="s">
        <v>1786</v>
      </c>
      <c r="J130" s="1921"/>
      <c r="K130" s="1915"/>
      <c r="L130" s="1915"/>
      <c r="M130" s="3817" t="s">
        <v>5205</v>
      </c>
      <c r="N130" s="3818"/>
      <c r="O130" s="3818"/>
      <c r="P130" s="3818"/>
      <c r="Q130" s="3819"/>
      <c r="AA130" s="2490">
        <v>130</v>
      </c>
    </row>
    <row r="131" spans="1:27" ht="15" customHeight="1">
      <c r="A131" s="1925"/>
      <c r="B131" s="1920"/>
      <c r="C131" s="1920" t="s">
        <v>4599</v>
      </c>
      <c r="E131" s="1920"/>
      <c r="F131" s="1920"/>
      <c r="G131" s="1920"/>
      <c r="H131" s="1920"/>
      <c r="J131" s="1921"/>
      <c r="K131" s="1915"/>
      <c r="L131" s="1915"/>
      <c r="M131" s="3821" t="s">
        <v>5210</v>
      </c>
      <c r="N131" s="3822"/>
      <c r="O131" s="3822"/>
      <c r="P131" s="3822"/>
      <c r="Q131" s="3823"/>
      <c r="AA131" s="2490">
        <v>131</v>
      </c>
    </row>
    <row r="132" spans="1:27" ht="15" customHeight="1">
      <c r="A132" s="1925"/>
      <c r="B132" s="1920"/>
      <c r="C132" s="3807" t="s">
        <v>4084</v>
      </c>
      <c r="D132" s="3808"/>
      <c r="E132" s="3808"/>
      <c r="F132" s="3808"/>
      <c r="G132" s="3808"/>
      <c r="H132" s="3808"/>
      <c r="I132" s="3808"/>
      <c r="J132" s="3808"/>
      <c r="K132" s="3808"/>
      <c r="L132" s="3808"/>
      <c r="M132" s="3809"/>
      <c r="N132" s="3809"/>
      <c r="O132" s="3809"/>
      <c r="P132" s="3809"/>
      <c r="Q132" s="3810"/>
      <c r="AA132" s="2490">
        <v>132</v>
      </c>
    </row>
    <row r="133" spans="1:27" ht="15" customHeight="1">
      <c r="A133" s="1925"/>
      <c r="B133" s="1920"/>
      <c r="C133" s="1920" t="s">
        <v>3660</v>
      </c>
      <c r="E133" s="1920"/>
      <c r="F133" s="1920"/>
      <c r="G133" s="1920"/>
      <c r="H133" s="1920"/>
      <c r="J133" s="1921"/>
      <c r="K133" s="1915"/>
      <c r="L133" s="1915"/>
      <c r="M133" s="3811" t="s">
        <v>5211</v>
      </c>
      <c r="N133" s="3812"/>
      <c r="O133" s="3812"/>
      <c r="P133" s="3812"/>
      <c r="Q133" s="3813"/>
      <c r="AA133" s="2490">
        <v>133</v>
      </c>
    </row>
    <row r="134" spans="1:27" ht="20.25" customHeight="1">
      <c r="A134" s="1925" t="s">
        <v>1837</v>
      </c>
      <c r="B134" s="3715" t="s">
        <v>4660</v>
      </c>
      <c r="C134" s="3715"/>
      <c r="D134" s="3715"/>
      <c r="E134" s="3715"/>
      <c r="F134" s="3715"/>
      <c r="G134" s="3715"/>
      <c r="H134" s="3715"/>
      <c r="I134" s="3715"/>
      <c r="J134" s="3715"/>
      <c r="K134" s="3715"/>
      <c r="L134" s="3715"/>
      <c r="M134" s="3715"/>
      <c r="N134" s="3715"/>
      <c r="O134" s="1921"/>
      <c r="P134" s="1952"/>
      <c r="Q134" s="1910"/>
      <c r="AA134" s="2490">
        <v>134</v>
      </c>
    </row>
    <row r="135" spans="1:27" ht="27.6" customHeight="1">
      <c r="A135" s="1940"/>
      <c r="B135" s="1918"/>
      <c r="C135" s="3715" t="s">
        <v>4661</v>
      </c>
      <c r="D135" s="3715"/>
      <c r="E135" s="3715"/>
      <c r="F135" s="3715"/>
      <c r="G135" s="3715"/>
      <c r="H135" s="3715"/>
      <c r="I135" s="3715"/>
      <c r="J135" s="3715"/>
      <c r="K135" s="3715"/>
      <c r="L135" s="3715"/>
      <c r="M135" s="3715"/>
      <c r="N135" s="3715"/>
      <c r="O135" s="3715"/>
      <c r="P135" s="3715"/>
      <c r="Q135" s="3715"/>
      <c r="AA135" s="2490">
        <v>135</v>
      </c>
    </row>
    <row r="136" spans="1:27" ht="15" customHeight="1">
      <c r="A136" s="1910"/>
      <c r="B136" s="1946" t="s">
        <v>1611</v>
      </c>
      <c r="C136" s="3814" t="s">
        <v>3723</v>
      </c>
      <c r="D136" s="3815"/>
      <c r="E136" s="3815"/>
      <c r="F136" s="3815"/>
      <c r="G136" s="3815"/>
      <c r="H136" s="3816"/>
      <c r="I136" s="1915"/>
      <c r="J136" s="3774" t="s">
        <v>5087</v>
      </c>
      <c r="K136" s="3775"/>
      <c r="L136" s="3775"/>
      <c r="M136" s="3775"/>
      <c r="N136" s="3775"/>
      <c r="O136" s="3775"/>
      <c r="P136" s="3775"/>
      <c r="Q136" s="3776"/>
      <c r="AA136" s="2490">
        <v>136</v>
      </c>
    </row>
    <row r="137" spans="1:27" ht="15" customHeight="1">
      <c r="A137" s="1910"/>
      <c r="B137" s="1946" t="s">
        <v>1612</v>
      </c>
      <c r="C137" s="3795" t="s">
        <v>3725</v>
      </c>
      <c r="D137" s="3796"/>
      <c r="E137" s="3796"/>
      <c r="F137" s="3796"/>
      <c r="G137" s="3796"/>
      <c r="H137" s="3797"/>
      <c r="I137" s="1915"/>
      <c r="J137" s="3798" t="s">
        <v>5087</v>
      </c>
      <c r="K137" s="3799"/>
      <c r="L137" s="3799"/>
      <c r="M137" s="3799"/>
      <c r="N137" s="3799"/>
      <c r="O137" s="3799"/>
      <c r="P137" s="3799"/>
      <c r="Q137" s="3800"/>
      <c r="AA137" s="2490">
        <v>137</v>
      </c>
    </row>
    <row r="138" spans="1:27" ht="15" customHeight="1">
      <c r="A138" s="1910"/>
      <c r="B138" s="1946" t="s">
        <v>1613</v>
      </c>
      <c r="C138" s="3795" t="s">
        <v>3724</v>
      </c>
      <c r="D138" s="3796"/>
      <c r="E138" s="3796"/>
      <c r="F138" s="3796"/>
      <c r="G138" s="3796"/>
      <c r="H138" s="3797"/>
      <c r="I138" s="1915"/>
      <c r="J138" s="3798" t="s">
        <v>5087</v>
      </c>
      <c r="K138" s="3799"/>
      <c r="L138" s="3799"/>
      <c r="M138" s="3799"/>
      <c r="N138" s="3799"/>
      <c r="O138" s="3799"/>
      <c r="P138" s="3799"/>
      <c r="Q138" s="3800"/>
      <c r="AA138" s="2491">
        <v>138</v>
      </c>
    </row>
    <row r="139" spans="1:27" ht="15" customHeight="1">
      <c r="A139" s="1910"/>
      <c r="B139" s="1946" t="s">
        <v>2175</v>
      </c>
      <c r="C139" s="3801" t="s">
        <v>3773</v>
      </c>
      <c r="D139" s="3802"/>
      <c r="E139" s="3802"/>
      <c r="F139" s="3802"/>
      <c r="G139" s="3802"/>
      <c r="H139" s="3803"/>
      <c r="I139" s="1915"/>
      <c r="J139" s="3804" t="s">
        <v>5087</v>
      </c>
      <c r="K139" s="3805"/>
      <c r="L139" s="3805"/>
      <c r="M139" s="3805"/>
      <c r="N139" s="3805"/>
      <c r="O139" s="3805"/>
      <c r="P139" s="3805"/>
      <c r="Q139" s="3806"/>
      <c r="AA139" s="2490">
        <v>139</v>
      </c>
    </row>
    <row r="140" spans="1:27" ht="15.75" customHeight="1">
      <c r="B140" s="1922" t="s">
        <v>3154</v>
      </c>
      <c r="D140" s="1922"/>
      <c r="E140" s="1922"/>
      <c r="F140" s="1922"/>
      <c r="G140" s="1922"/>
      <c r="H140" s="1920"/>
      <c r="I140" s="1913"/>
      <c r="J140" s="1913"/>
      <c r="K140" s="1913"/>
      <c r="L140" s="1910"/>
      <c r="M140" s="1910"/>
      <c r="N140" s="1910"/>
      <c r="O140" s="1910"/>
      <c r="P140" s="1915"/>
      <c r="Q140" s="1915"/>
      <c r="AA140" s="2490">
        <v>140</v>
      </c>
    </row>
    <row r="141" spans="1:27" ht="15" customHeight="1">
      <c r="A141" s="3707"/>
      <c r="B141" s="3707"/>
      <c r="C141" s="3707"/>
      <c r="D141" s="3707"/>
      <c r="E141" s="3707"/>
      <c r="F141" s="3707"/>
      <c r="G141" s="3707"/>
      <c r="H141" s="3707"/>
      <c r="I141" s="3707"/>
      <c r="J141" s="3707"/>
      <c r="K141" s="3707"/>
      <c r="L141" s="3707"/>
      <c r="M141" s="3707"/>
      <c r="N141" s="3707"/>
      <c r="O141" s="3707"/>
      <c r="P141" s="3707"/>
      <c r="Q141" s="3789"/>
      <c r="AA141" s="2490">
        <v>141</v>
      </c>
    </row>
    <row r="142" spans="1:27" ht="15.75" customHeight="1">
      <c r="B142" s="1916" t="s">
        <v>1724</v>
      </c>
      <c r="C142" s="1917"/>
      <c r="D142" s="1918"/>
      <c r="E142" s="1918"/>
      <c r="F142" s="1918"/>
      <c r="G142" s="1918"/>
      <c r="H142" s="1918"/>
      <c r="I142" s="1918"/>
      <c r="J142" s="1918"/>
      <c r="K142" s="1918"/>
      <c r="L142" s="1918"/>
      <c r="M142" s="1918"/>
      <c r="N142" s="1918"/>
      <c r="O142" s="1918"/>
      <c r="P142" s="1918"/>
      <c r="Q142" s="1918"/>
      <c r="AA142" s="2490">
        <v>142</v>
      </c>
    </row>
    <row r="143" spans="1:27" ht="15" customHeight="1">
      <c r="A143" s="3710"/>
      <c r="B143" s="3710"/>
      <c r="C143" s="3710"/>
      <c r="D143" s="3710"/>
      <c r="E143" s="3710"/>
      <c r="F143" s="3710"/>
      <c r="G143" s="3710"/>
      <c r="H143" s="3710"/>
      <c r="I143" s="3710"/>
      <c r="J143" s="3710"/>
      <c r="K143" s="3710"/>
      <c r="L143" s="3710"/>
      <c r="M143" s="3710"/>
      <c r="N143" s="3710"/>
      <c r="O143" s="3710"/>
      <c r="P143" s="3710"/>
      <c r="Q143" s="3790"/>
      <c r="AA143" s="2490">
        <v>143</v>
      </c>
    </row>
    <row r="144" spans="1:27" ht="11.25" customHeight="1">
      <c r="A144" s="1910"/>
      <c r="B144" s="1913"/>
      <c r="C144" s="1918"/>
      <c r="D144" s="1918"/>
      <c r="E144" s="1918"/>
      <c r="F144" s="1918"/>
      <c r="G144" s="1918"/>
      <c r="H144" s="1918"/>
      <c r="I144" s="1918"/>
      <c r="J144" s="1918"/>
      <c r="K144" s="1918"/>
      <c r="L144" s="1918"/>
      <c r="M144" s="1918"/>
      <c r="Q144" s="1910"/>
      <c r="AA144" s="2490">
        <v>144</v>
      </c>
    </row>
    <row r="145" spans="1:27" ht="11.25" customHeight="1">
      <c r="A145" s="1915"/>
      <c r="B145" s="1913"/>
      <c r="C145" s="1918"/>
      <c r="D145" s="1918"/>
      <c r="E145" s="1918"/>
      <c r="F145" s="1918"/>
      <c r="G145" s="1918"/>
      <c r="H145" s="1918"/>
      <c r="I145" s="1918"/>
      <c r="J145" s="1918"/>
      <c r="K145" s="1918"/>
      <c r="L145" s="1918"/>
      <c r="M145" s="1918"/>
      <c r="Q145" s="1910"/>
      <c r="AA145" s="2490">
        <v>145</v>
      </c>
    </row>
    <row r="146" spans="1:27" ht="20.25" customHeight="1">
      <c r="A146" s="1919" t="s">
        <v>1602</v>
      </c>
      <c r="B146" s="1911" t="s">
        <v>3822</v>
      </c>
      <c r="C146" s="1911"/>
      <c r="D146" s="1911"/>
      <c r="E146" s="1911"/>
      <c r="F146" s="1911"/>
      <c r="G146" s="1911"/>
      <c r="H146" s="1918"/>
      <c r="I146" s="1918"/>
      <c r="J146" s="1918"/>
      <c r="K146" s="1918"/>
      <c r="L146" s="1953"/>
      <c r="M146" s="1954"/>
      <c r="O146" s="1914" t="s">
        <v>1725</v>
      </c>
      <c r="P146" s="3762"/>
      <c r="Q146" s="3794"/>
      <c r="AA146" s="2490">
        <v>146</v>
      </c>
    </row>
    <row r="147" spans="1:27" ht="15" customHeight="1">
      <c r="A147" s="1915"/>
      <c r="B147" s="1912" t="s">
        <v>4662</v>
      </c>
      <c r="C147" s="1915"/>
      <c r="D147" s="1915"/>
      <c r="E147" s="1915"/>
      <c r="F147" s="1915"/>
      <c r="G147" s="1915"/>
      <c r="H147" s="1915"/>
      <c r="I147" s="1915"/>
      <c r="J147" s="1915"/>
      <c r="K147" s="1915"/>
      <c r="L147" s="1915"/>
      <c r="M147" s="1915"/>
      <c r="N147" s="1913"/>
      <c r="O147" s="1915"/>
      <c r="P147" s="3739"/>
      <c r="Q147" s="3740"/>
      <c r="AA147" s="2490">
        <v>147</v>
      </c>
    </row>
    <row r="148" spans="1:27" ht="15" customHeight="1">
      <c r="A148" s="1925"/>
      <c r="B148" s="1912" t="s">
        <v>1190</v>
      </c>
      <c r="G148" s="1915"/>
      <c r="M148" s="3768" t="s">
        <v>1641</v>
      </c>
      <c r="N148" s="3858"/>
      <c r="O148" s="3858"/>
      <c r="P148" s="3859"/>
      <c r="Q148" s="3860"/>
      <c r="R148" s="1933"/>
      <c r="AA148" s="2490">
        <v>148</v>
      </c>
    </row>
    <row r="149" spans="1:27" ht="15" customHeight="1">
      <c r="A149" s="1925"/>
      <c r="B149" s="1912" t="s">
        <v>1800</v>
      </c>
      <c r="G149" s="1915"/>
      <c r="M149" s="3770"/>
      <c r="N149" s="3856"/>
      <c r="O149" s="3856"/>
      <c r="P149" s="3856"/>
      <c r="Q149" s="3857"/>
      <c r="R149" s="1933"/>
      <c r="AA149" s="2490">
        <v>149</v>
      </c>
    </row>
    <row r="150" spans="1:27" ht="15.75" customHeight="1">
      <c r="B150" s="1931" t="s">
        <v>3154</v>
      </c>
      <c r="D150" s="1931"/>
      <c r="E150" s="1931"/>
      <c r="F150" s="1931"/>
      <c r="G150" s="1931"/>
      <c r="H150" s="1920"/>
      <c r="I150" s="1913"/>
      <c r="J150" s="1913"/>
      <c r="K150" s="1913"/>
      <c r="L150" s="1910"/>
      <c r="M150" s="1910"/>
      <c r="N150" s="1910"/>
      <c r="O150" s="1910"/>
      <c r="P150" s="1910"/>
      <c r="Q150" s="1910"/>
      <c r="AA150" s="2490">
        <v>150</v>
      </c>
    </row>
    <row r="151" spans="1:27" ht="45" customHeight="1">
      <c r="A151" s="3707"/>
      <c r="B151" s="3707"/>
      <c r="C151" s="3707"/>
      <c r="D151" s="3707"/>
      <c r="E151" s="3707"/>
      <c r="F151" s="3707"/>
      <c r="G151" s="3707"/>
      <c r="H151" s="3707"/>
      <c r="I151" s="3707"/>
      <c r="J151" s="3707"/>
      <c r="K151" s="3707"/>
      <c r="L151" s="3707"/>
      <c r="M151" s="3707"/>
      <c r="N151" s="3707"/>
      <c r="O151" s="3707"/>
      <c r="P151" s="3707"/>
      <c r="Q151" s="3789"/>
      <c r="AA151" s="2490">
        <v>151</v>
      </c>
    </row>
    <row r="152" spans="1:27" ht="15.75" customHeight="1">
      <c r="B152" s="1916" t="s">
        <v>1724</v>
      </c>
      <c r="C152" s="1917"/>
      <c r="D152" s="1918"/>
      <c r="E152" s="1918"/>
      <c r="F152" s="1918"/>
      <c r="G152" s="1918"/>
      <c r="H152" s="1918"/>
      <c r="I152" s="1918"/>
      <c r="J152" s="1918"/>
      <c r="K152" s="1918"/>
      <c r="L152" s="1918"/>
      <c r="M152" s="1918"/>
      <c r="N152" s="1918"/>
      <c r="O152" s="1918"/>
      <c r="P152" s="1918"/>
      <c r="Q152" s="1918"/>
      <c r="AA152" s="2490">
        <v>152</v>
      </c>
    </row>
    <row r="153" spans="1:27" ht="15" customHeight="1">
      <c r="A153" s="3710"/>
      <c r="B153" s="3710"/>
      <c r="C153" s="3710"/>
      <c r="D153" s="3710"/>
      <c r="E153" s="3710"/>
      <c r="F153" s="3710"/>
      <c r="G153" s="3710"/>
      <c r="H153" s="3710"/>
      <c r="I153" s="3710"/>
      <c r="J153" s="3710"/>
      <c r="K153" s="3710"/>
      <c r="L153" s="3710"/>
      <c r="M153" s="3710"/>
      <c r="N153" s="3710"/>
      <c r="O153" s="3710"/>
      <c r="P153" s="3710"/>
      <c r="Q153" s="3790"/>
      <c r="AA153" s="2491">
        <v>153</v>
      </c>
    </row>
    <row r="154" spans="1:27" ht="11.25" customHeight="1">
      <c r="A154" s="1910"/>
      <c r="B154" s="1913"/>
      <c r="C154" s="1918"/>
      <c r="D154" s="1918"/>
      <c r="E154" s="1918"/>
      <c r="F154" s="1918"/>
      <c r="G154" s="1918"/>
      <c r="H154" s="1918"/>
      <c r="I154" s="1918"/>
      <c r="J154" s="1918"/>
      <c r="K154" s="1918"/>
      <c r="L154" s="1918"/>
      <c r="M154" s="1918"/>
      <c r="Q154" s="1910"/>
      <c r="AA154" s="2490">
        <v>154</v>
      </c>
    </row>
    <row r="155" spans="1:27" ht="11.25" customHeight="1">
      <c r="A155" s="1915"/>
      <c r="B155" s="1913"/>
      <c r="C155" s="1918"/>
      <c r="D155" s="1918"/>
      <c r="E155" s="1918"/>
      <c r="F155" s="1918"/>
      <c r="G155" s="1918"/>
      <c r="H155" s="1918"/>
      <c r="I155" s="1918"/>
      <c r="J155" s="1918"/>
      <c r="K155" s="1918"/>
      <c r="L155" s="1918"/>
      <c r="M155" s="1918"/>
      <c r="Q155" s="1910"/>
      <c r="AA155" s="2490">
        <v>155</v>
      </c>
    </row>
    <row r="156" spans="1:27" ht="20.25" customHeight="1">
      <c r="A156" s="1919" t="s">
        <v>2487</v>
      </c>
      <c r="B156" s="1911" t="s">
        <v>2423</v>
      </c>
      <c r="C156" s="1911"/>
      <c r="D156" s="1911"/>
      <c r="E156" s="1911"/>
      <c r="F156" s="1911"/>
      <c r="G156" s="1911"/>
      <c r="H156" s="1918"/>
      <c r="I156" s="1918"/>
      <c r="J156" s="1918"/>
      <c r="K156" s="1918"/>
      <c r="L156" s="1918"/>
      <c r="M156" s="1918"/>
      <c r="O156" s="1914" t="s">
        <v>1725</v>
      </c>
      <c r="P156" s="3713"/>
      <c r="Q156" s="3721"/>
      <c r="AA156" s="2490">
        <v>156</v>
      </c>
    </row>
    <row r="157" spans="1:27" ht="15.75" customHeight="1">
      <c r="B157" s="1931" t="s">
        <v>3154</v>
      </c>
      <c r="D157" s="1931"/>
      <c r="E157" s="1931"/>
      <c r="F157" s="1931"/>
      <c r="G157" s="1931"/>
      <c r="H157" s="1920"/>
      <c r="I157" s="1913"/>
      <c r="J157" s="1913"/>
      <c r="K157" s="1913"/>
      <c r="L157" s="1910"/>
      <c r="M157" s="1910"/>
      <c r="N157" s="1910"/>
      <c r="O157" s="1910"/>
      <c r="P157" s="1910"/>
      <c r="Q157" s="1910"/>
      <c r="AA157" s="2490">
        <v>157</v>
      </c>
    </row>
    <row r="158" spans="1:27" ht="30" customHeight="1">
      <c r="A158" s="3707"/>
      <c r="B158" s="3707"/>
      <c r="C158" s="3707"/>
      <c r="D158" s="3707"/>
      <c r="E158" s="3707"/>
      <c r="F158" s="3707"/>
      <c r="G158" s="3707"/>
      <c r="H158" s="3707"/>
      <c r="I158" s="3707"/>
      <c r="J158" s="3707"/>
      <c r="K158" s="3707"/>
      <c r="L158" s="3707"/>
      <c r="M158" s="3707"/>
      <c r="N158" s="3707"/>
      <c r="O158" s="3707"/>
      <c r="P158" s="3707"/>
      <c r="Q158" s="3789"/>
      <c r="AA158" s="2490">
        <v>158</v>
      </c>
    </row>
    <row r="159" spans="1:27" ht="15.75" customHeight="1">
      <c r="B159" s="1916" t="s">
        <v>1724</v>
      </c>
      <c r="C159" s="1917"/>
      <c r="D159" s="1918"/>
      <c r="E159" s="1918"/>
      <c r="F159" s="1918"/>
      <c r="G159" s="1918"/>
      <c r="H159" s="1918"/>
      <c r="I159" s="1918"/>
      <c r="J159" s="1918"/>
      <c r="K159" s="1918"/>
      <c r="L159" s="1918"/>
      <c r="M159" s="1918"/>
      <c r="N159" s="1918"/>
      <c r="O159" s="1918"/>
      <c r="P159" s="1918"/>
      <c r="Q159" s="1918"/>
      <c r="AA159" s="2490">
        <v>159</v>
      </c>
    </row>
    <row r="160" spans="1:27" ht="15" customHeight="1">
      <c r="A160" s="3710"/>
      <c r="B160" s="3710"/>
      <c r="C160" s="3710"/>
      <c r="D160" s="3710"/>
      <c r="E160" s="3710"/>
      <c r="F160" s="3710"/>
      <c r="G160" s="3710"/>
      <c r="H160" s="3710"/>
      <c r="I160" s="3710"/>
      <c r="J160" s="3710"/>
      <c r="K160" s="3710"/>
      <c r="L160" s="3710"/>
      <c r="M160" s="3710"/>
      <c r="N160" s="3710"/>
      <c r="O160" s="3710"/>
      <c r="P160" s="3710"/>
      <c r="Q160" s="3790"/>
      <c r="AA160" s="2490">
        <v>160</v>
      </c>
    </row>
    <row r="161" spans="1:27" ht="11.25" customHeight="1">
      <c r="AA161" s="2490">
        <v>161</v>
      </c>
    </row>
    <row r="162" spans="1:27" ht="11.25" customHeight="1">
      <c r="A162" s="1915"/>
      <c r="AA162" s="2491">
        <v>162</v>
      </c>
    </row>
    <row r="163" spans="1:27" ht="17.100000000000001" customHeight="1">
      <c r="A163" s="1919" t="s">
        <v>2074</v>
      </c>
      <c r="B163" s="1919" t="s">
        <v>2424</v>
      </c>
      <c r="C163" s="1919"/>
      <c r="D163" s="1918"/>
      <c r="E163" s="1918"/>
      <c r="F163" s="1918"/>
      <c r="G163" s="1918"/>
      <c r="H163" s="1918"/>
      <c r="I163" s="1918"/>
      <c r="J163" s="1918"/>
      <c r="K163" s="1918"/>
      <c r="L163" s="1918"/>
      <c r="M163" s="1918"/>
      <c r="O163" s="1914" t="s">
        <v>1725</v>
      </c>
      <c r="P163" s="3713"/>
      <c r="Q163" s="3721"/>
      <c r="AA163" s="2490">
        <v>163</v>
      </c>
    </row>
    <row r="164" spans="1:27" ht="15" customHeight="1">
      <c r="A164" s="1925" t="s">
        <v>1835</v>
      </c>
      <c r="B164" s="1911" t="s">
        <v>4089</v>
      </c>
      <c r="G164" s="1915"/>
      <c r="J164" s="1915"/>
      <c r="K164" s="1915"/>
      <c r="L164" s="1915"/>
      <c r="M164" s="1915"/>
      <c r="N164" s="1915"/>
      <c r="O164" s="1921"/>
      <c r="P164" s="1915"/>
      <c r="Q164" s="1915"/>
      <c r="AA164" s="2490">
        <v>164</v>
      </c>
    </row>
    <row r="165" spans="1:27" ht="29.4" customHeight="1">
      <c r="B165" s="3723" t="s">
        <v>5049</v>
      </c>
      <c r="C165" s="3723"/>
      <c r="D165" s="3723"/>
      <c r="E165" s="3723"/>
      <c r="F165" s="3723"/>
      <c r="G165" s="3723"/>
      <c r="H165" s="3723"/>
      <c r="I165" s="3723"/>
      <c r="J165" s="3723"/>
      <c r="K165" s="3723"/>
      <c r="L165" s="3723"/>
      <c r="M165" s="3723"/>
      <c r="N165" s="3723"/>
      <c r="O165" s="3724"/>
      <c r="P165" s="3787"/>
      <c r="Q165" s="3788"/>
      <c r="AA165" s="2490">
        <v>165</v>
      </c>
    </row>
    <row r="166" spans="1:27" ht="17.100000000000001" customHeight="1">
      <c r="A166" s="1925" t="s">
        <v>1837</v>
      </c>
      <c r="B166" s="1911" t="s">
        <v>297</v>
      </c>
      <c r="G166" s="1915"/>
      <c r="L166" s="3791" t="s">
        <v>3246</v>
      </c>
      <c r="M166" s="3792"/>
      <c r="N166" s="3792"/>
      <c r="O166" s="3792"/>
      <c r="P166" s="3792"/>
      <c r="Q166" s="3793"/>
      <c r="AA166" s="2490">
        <v>166</v>
      </c>
    </row>
    <row r="167" spans="1:27" ht="15.75" customHeight="1">
      <c r="B167" s="1931" t="s">
        <v>3154</v>
      </c>
      <c r="M167" s="1913"/>
      <c r="N167" s="1913"/>
      <c r="O167" s="1955"/>
      <c r="P167" s="1910"/>
      <c r="AA167" s="2490">
        <v>167</v>
      </c>
    </row>
    <row r="168" spans="1:27" ht="15" customHeight="1">
      <c r="A168" s="3707"/>
      <c r="B168" s="3707"/>
      <c r="C168" s="3707"/>
      <c r="D168" s="3707"/>
      <c r="E168" s="3707"/>
      <c r="F168" s="3707"/>
      <c r="G168" s="3707"/>
      <c r="H168" s="3707"/>
      <c r="I168" s="3707"/>
      <c r="J168" s="3707"/>
      <c r="K168" s="3707"/>
      <c r="L168" s="3707"/>
      <c r="M168" s="3707"/>
      <c r="N168" s="3707"/>
      <c r="O168" s="3707"/>
      <c r="P168" s="3707"/>
      <c r="Q168" s="3789"/>
      <c r="AA168" s="2490">
        <v>168</v>
      </c>
    </row>
    <row r="169" spans="1:27" ht="15.75" customHeight="1">
      <c r="B169" s="1916" t="s">
        <v>1724</v>
      </c>
      <c r="C169" s="1917"/>
      <c r="D169" s="1918"/>
      <c r="E169" s="1918"/>
      <c r="F169" s="1918"/>
      <c r="G169" s="1918"/>
      <c r="H169" s="1918"/>
      <c r="I169" s="1918"/>
      <c r="J169" s="1918"/>
      <c r="K169" s="1918"/>
      <c r="L169" s="1918"/>
      <c r="M169" s="1918"/>
      <c r="N169" s="1918"/>
      <c r="O169" s="1918"/>
      <c r="P169" s="1918"/>
      <c r="Q169" s="1918"/>
      <c r="AA169" s="2490">
        <v>169</v>
      </c>
    </row>
    <row r="170" spans="1:27" ht="15" customHeight="1">
      <c r="A170" s="3710"/>
      <c r="B170" s="3710"/>
      <c r="C170" s="3710"/>
      <c r="D170" s="3710"/>
      <c r="E170" s="3710"/>
      <c r="F170" s="3710"/>
      <c r="G170" s="3710"/>
      <c r="H170" s="3710"/>
      <c r="I170" s="3710"/>
      <c r="J170" s="3710"/>
      <c r="K170" s="3710"/>
      <c r="L170" s="3710"/>
      <c r="M170" s="3710"/>
      <c r="N170" s="3710"/>
      <c r="O170" s="3710"/>
      <c r="P170" s="3710"/>
      <c r="Q170" s="3761"/>
      <c r="AA170" s="2490">
        <v>170</v>
      </c>
    </row>
    <row r="171" spans="1:27" ht="11.25" customHeight="1">
      <c r="F171" s="1910"/>
      <c r="G171" s="1910"/>
      <c r="H171" s="1910"/>
      <c r="I171" s="1910"/>
      <c r="J171" s="1920"/>
      <c r="K171" s="1920"/>
      <c r="L171" s="1920"/>
      <c r="M171" s="1913"/>
      <c r="N171" s="1910"/>
      <c r="O171" s="1910"/>
      <c r="P171" s="1955"/>
      <c r="AA171" s="2490">
        <v>171</v>
      </c>
    </row>
    <row r="172" spans="1:27" ht="11.25" customHeight="1">
      <c r="A172" s="1915"/>
      <c r="F172" s="1910"/>
      <c r="G172" s="1910"/>
      <c r="H172" s="1910"/>
      <c r="I172" s="1910"/>
      <c r="J172" s="1920"/>
      <c r="K172" s="1920"/>
      <c r="L172" s="1920"/>
      <c r="M172" s="1913"/>
      <c r="N172" s="1910"/>
      <c r="O172" s="1910"/>
      <c r="P172" s="1955"/>
      <c r="AA172" s="2490">
        <v>172</v>
      </c>
    </row>
    <row r="173" spans="1:27" ht="17.100000000000001" customHeight="1">
      <c r="A173" s="1919" t="s">
        <v>3279</v>
      </c>
      <c r="B173" s="1919" t="s">
        <v>2425</v>
      </c>
      <c r="C173" s="1956"/>
      <c r="D173" s="1956"/>
      <c r="E173" s="1918"/>
      <c r="F173" s="1918"/>
      <c r="G173" s="1918"/>
      <c r="H173" s="1918"/>
      <c r="I173" s="1918"/>
      <c r="J173" s="1918"/>
      <c r="K173" s="1918"/>
      <c r="L173" s="1918"/>
      <c r="M173" s="1918"/>
      <c r="O173" s="1914" t="s">
        <v>1725</v>
      </c>
      <c r="P173" s="3762"/>
      <c r="Q173" s="3763"/>
      <c r="AA173" s="2490">
        <v>173</v>
      </c>
    </row>
    <row r="174" spans="1:27" ht="15" customHeight="1">
      <c r="A174" s="1915"/>
      <c r="B174" s="1912" t="s">
        <v>4662</v>
      </c>
      <c r="C174" s="1915"/>
      <c r="D174" s="1915"/>
      <c r="E174" s="1915"/>
      <c r="F174" s="1915"/>
      <c r="G174" s="1915"/>
      <c r="H174" s="1915"/>
      <c r="I174" s="1915"/>
      <c r="J174" s="1915"/>
      <c r="K174" s="1915"/>
      <c r="L174" s="1915"/>
      <c r="M174" s="1915"/>
      <c r="N174" s="1913"/>
      <c r="O174" s="1915"/>
      <c r="P174" s="3739"/>
      <c r="Q174" s="3764"/>
      <c r="AA174" s="2490">
        <v>174</v>
      </c>
    </row>
    <row r="175" spans="1:27" ht="30.6" customHeight="1">
      <c r="A175" s="1915"/>
      <c r="B175" s="3715" t="s">
        <v>5050</v>
      </c>
      <c r="C175" s="3715"/>
      <c r="D175" s="3715"/>
      <c r="E175" s="3715"/>
      <c r="F175" s="3715"/>
      <c r="G175" s="3715"/>
      <c r="H175" s="3715"/>
      <c r="I175" s="3715"/>
      <c r="J175" s="3715"/>
      <c r="K175" s="3715"/>
      <c r="L175" s="3715"/>
      <c r="M175" s="3715"/>
      <c r="N175" s="3715"/>
      <c r="O175" s="3715"/>
      <c r="P175" s="3781"/>
      <c r="Q175" s="3782"/>
      <c r="AA175" s="2490">
        <v>175</v>
      </c>
    </row>
    <row r="176" spans="1:27">
      <c r="A176" s="1925" t="s">
        <v>1835</v>
      </c>
      <c r="B176" s="1919" t="s">
        <v>4972</v>
      </c>
      <c r="C176" s="1918"/>
      <c r="D176" s="1918"/>
      <c r="E176" s="1918"/>
      <c r="F176" s="1918"/>
      <c r="G176" s="1918"/>
      <c r="H176" s="1918"/>
      <c r="I176" s="1918"/>
      <c r="J176" s="1918"/>
      <c r="K176" s="1915"/>
      <c r="L176" s="2056"/>
      <c r="M176" s="1960"/>
      <c r="N176" s="2055"/>
      <c r="O176" s="1921"/>
      <c r="P176" s="1921"/>
      <c r="Q176" s="1921"/>
      <c r="AA176" s="2490">
        <v>176</v>
      </c>
    </row>
    <row r="177" spans="1:27" ht="45" customHeight="1">
      <c r="A177" s="1915"/>
      <c r="B177" s="3718" t="s">
        <v>5051</v>
      </c>
      <c r="C177" s="3718"/>
      <c r="D177" s="3718"/>
      <c r="E177" s="3718"/>
      <c r="F177" s="3718"/>
      <c r="G177" s="3718"/>
      <c r="H177" s="3718"/>
      <c r="I177" s="3718"/>
      <c r="J177" s="3718"/>
      <c r="K177" s="3718"/>
      <c r="L177" s="3718"/>
      <c r="M177" s="3718"/>
      <c r="N177" s="3718"/>
      <c r="O177" s="3718"/>
      <c r="P177" s="1921"/>
      <c r="Q177" s="1921"/>
      <c r="AA177" s="2491">
        <v>177</v>
      </c>
    </row>
    <row r="178" spans="1:27" ht="28.5" customHeight="1">
      <c r="A178" s="1915"/>
      <c r="B178" s="1915"/>
      <c r="C178" s="1944"/>
      <c r="D178" s="3723" t="s">
        <v>4984</v>
      </c>
      <c r="E178" s="3723"/>
      <c r="F178" s="3723"/>
      <c r="G178" s="3723"/>
      <c r="H178" s="3723"/>
      <c r="I178" s="3723"/>
      <c r="J178" s="3723"/>
      <c r="K178" s="3723"/>
      <c r="L178" s="3723"/>
      <c r="M178" s="3723"/>
      <c r="N178" s="3723"/>
      <c r="O178" s="3723"/>
      <c r="P178" s="3784">
        <f>'Part VIII Scoring Criteria'!O105</f>
        <v>0</v>
      </c>
      <c r="Q178" s="3785"/>
      <c r="AA178" s="2490">
        <v>178</v>
      </c>
    </row>
    <row r="179" spans="1:27" ht="12" customHeight="1">
      <c r="A179" s="1915"/>
      <c r="C179" s="1915"/>
      <c r="D179" s="1915"/>
      <c r="E179" s="1915"/>
      <c r="F179" s="1915"/>
      <c r="G179" s="1915"/>
      <c r="H179" s="1915"/>
      <c r="I179" s="1915"/>
      <c r="J179" s="1915"/>
      <c r="K179" s="1915"/>
      <c r="L179" s="3783" t="s">
        <v>4663</v>
      </c>
      <c r="M179" s="3783"/>
      <c r="N179" s="1913"/>
      <c r="O179" s="1915"/>
      <c r="P179" s="1952"/>
      <c r="Q179" s="1910"/>
      <c r="AA179" s="2490">
        <v>179</v>
      </c>
    </row>
    <row r="180" spans="1:27" ht="17.100000000000001" customHeight="1">
      <c r="A180" s="1925" t="s">
        <v>1837</v>
      </c>
      <c r="B180" s="1919" t="s">
        <v>4775</v>
      </c>
      <c r="D180" s="1957"/>
      <c r="E180" s="1957"/>
      <c r="F180" s="1957"/>
      <c r="G180" s="1957"/>
      <c r="H180" s="1957"/>
      <c r="I180" s="1957"/>
      <c r="J180" s="1957"/>
      <c r="K180" s="1957"/>
      <c r="L180" s="1912" t="s">
        <v>4664</v>
      </c>
      <c r="M180" s="1913" t="s">
        <v>4665</v>
      </c>
      <c r="N180" s="1957"/>
      <c r="O180" s="1921"/>
      <c r="P180" s="3786" t="s">
        <v>4997</v>
      </c>
      <c r="Q180" s="3786"/>
      <c r="AA180" s="2490">
        <v>180</v>
      </c>
    </row>
    <row r="181" spans="1:27" ht="15" customHeight="1">
      <c r="A181" s="1925"/>
      <c r="B181" s="1912" t="s">
        <v>4666</v>
      </c>
      <c r="C181" s="1915"/>
      <c r="D181" s="1928"/>
      <c r="E181" s="1928"/>
      <c r="F181" s="1928"/>
      <c r="G181" s="1928"/>
      <c r="H181" s="1915"/>
      <c r="K181" s="1958"/>
      <c r="L181" s="1959">
        <f>ROUNDUP('Part V-Revenues &amp; Expenses'!$P$76*M181,0)</f>
        <v>8</v>
      </c>
      <c r="M181" s="1960">
        <f>'DCA Underwriting Assumptions'!$Q$148</f>
        <v>0.05</v>
      </c>
      <c r="N181" s="2055" t="s">
        <v>4776</v>
      </c>
      <c r="O181" s="1921"/>
      <c r="P181" s="3739"/>
      <c r="Q181" s="3764"/>
      <c r="R181" s="2472" t="str">
        <f>IF(P181&lt;L181,"Check Actual against Minimum!","")</f>
        <v>Check Actual against Minimum!</v>
      </c>
      <c r="AA181" s="2490">
        <v>181</v>
      </c>
    </row>
    <row r="182" spans="1:27" ht="15" customHeight="1">
      <c r="A182" s="1925"/>
      <c r="B182" s="1920"/>
      <c r="D182" s="3715" t="s">
        <v>5052</v>
      </c>
      <c r="E182" s="3715"/>
      <c r="F182" s="3715"/>
      <c r="G182" s="3715"/>
      <c r="H182" s="3715"/>
      <c r="I182" s="3715"/>
      <c r="J182" s="3715"/>
      <c r="K182" s="1958"/>
      <c r="L182" s="1961">
        <f>ROUNDUP(L181*M182,0)</f>
        <v>4</v>
      </c>
      <c r="M182" s="1960">
        <f>'DCA Underwriting Assumptions'!$Q$149</f>
        <v>0.4</v>
      </c>
      <c r="N182" s="2055" t="s">
        <v>4777</v>
      </c>
      <c r="O182" s="1921"/>
      <c r="P182" s="3730"/>
      <c r="Q182" s="3765"/>
      <c r="R182" s="2472" t="str">
        <f t="shared" ref="R182:R183" si="0">IF(P182&lt;L182,"Check Actual against Minimum!","")</f>
        <v>Check Actual against Minimum!</v>
      </c>
      <c r="AA182" s="2490">
        <v>182</v>
      </c>
    </row>
    <row r="183" spans="1:27" ht="15" customHeight="1">
      <c r="A183" s="1925"/>
      <c r="B183" s="3715" t="s">
        <v>4667</v>
      </c>
      <c r="C183" s="3715"/>
      <c r="D183" s="3715"/>
      <c r="E183" s="3715"/>
      <c r="F183" s="3715"/>
      <c r="G183" s="3715"/>
      <c r="H183" s="3715"/>
      <c r="I183" s="3715"/>
      <c r="J183" s="3715"/>
      <c r="K183" s="1915"/>
      <c r="L183" s="1962">
        <f>ROUNDUP('Part V-Revenues &amp; Expenses'!$P$76*M183,0)</f>
        <v>4</v>
      </c>
      <c r="M183" s="1960">
        <f>'DCA Underwriting Assumptions'!$Q$150</f>
        <v>0.02</v>
      </c>
      <c r="N183" s="2055" t="s">
        <v>4776</v>
      </c>
      <c r="O183" s="1921"/>
      <c r="P183" s="3733"/>
      <c r="Q183" s="3773"/>
      <c r="R183" s="2472" t="str">
        <f t="shared" si="0"/>
        <v>Check Actual against Minimum!</v>
      </c>
      <c r="AA183" s="2490">
        <v>183</v>
      </c>
    </row>
    <row r="184" spans="1:27" ht="15" customHeight="1">
      <c r="A184" s="1925" t="s">
        <v>697</v>
      </c>
      <c r="B184" s="1919" t="s">
        <v>4778</v>
      </c>
      <c r="C184" s="1918"/>
      <c r="D184" s="1918"/>
      <c r="E184" s="1918"/>
      <c r="F184" s="1918"/>
      <c r="G184" s="1918"/>
      <c r="H184" s="1918"/>
      <c r="I184" s="1918"/>
      <c r="J184" s="1918"/>
      <c r="K184" s="1915"/>
      <c r="L184" s="2056"/>
      <c r="M184" s="1960"/>
      <c r="N184" s="2055"/>
      <c r="O184" s="1921"/>
      <c r="P184" s="1921"/>
      <c r="Q184" s="1921"/>
      <c r="AA184" s="2490">
        <v>184</v>
      </c>
    </row>
    <row r="185" spans="1:27" ht="15.6" customHeight="1">
      <c r="A185" s="1925"/>
      <c r="B185" s="1912" t="s">
        <v>4781</v>
      </c>
      <c r="G185" s="1915"/>
      <c r="M185" s="3778"/>
      <c r="N185" s="3779"/>
      <c r="O185" s="3779"/>
      <c r="P185" s="3779"/>
      <c r="Q185" s="3780"/>
      <c r="AA185" s="2490">
        <v>185</v>
      </c>
    </row>
    <row r="186" spans="1:27" ht="15.6" customHeight="1">
      <c r="A186" s="1925"/>
      <c r="C186" s="1915"/>
      <c r="D186" s="1912" t="s">
        <v>4779</v>
      </c>
      <c r="O186" s="1921"/>
      <c r="P186" s="1939"/>
      <c r="Q186" s="1932"/>
      <c r="R186" s="1921"/>
      <c r="AA186" s="2491">
        <v>186</v>
      </c>
    </row>
    <row r="187" spans="1:27" ht="15.6" customHeight="1">
      <c r="A187" s="1925"/>
      <c r="C187" s="1915"/>
      <c r="D187" s="1912" t="s">
        <v>4780</v>
      </c>
      <c r="O187" s="1921"/>
      <c r="P187" s="1936"/>
      <c r="Q187" s="1937"/>
      <c r="R187" s="1921"/>
      <c r="AA187" s="2490">
        <v>187</v>
      </c>
    </row>
    <row r="188" spans="1:27" ht="15.75" customHeight="1">
      <c r="B188" s="1931" t="s">
        <v>3154</v>
      </c>
      <c r="D188" s="1931"/>
      <c r="E188" s="1931"/>
      <c r="F188" s="1931"/>
      <c r="G188" s="1931"/>
      <c r="H188" s="1920"/>
      <c r="I188" s="1913"/>
      <c r="J188" s="1913"/>
      <c r="K188" s="1913"/>
      <c r="L188" s="1910"/>
      <c r="M188" s="1910"/>
      <c r="N188" s="1910"/>
      <c r="O188" s="1910"/>
      <c r="P188" s="1910"/>
      <c r="Q188" s="1910"/>
      <c r="AA188" s="2490">
        <v>188</v>
      </c>
    </row>
    <row r="189" spans="1:27" ht="17.100000000000001" customHeight="1">
      <c r="A189" s="3707"/>
      <c r="B189" s="3707"/>
      <c r="C189" s="3707"/>
      <c r="D189" s="3707"/>
      <c r="E189" s="3707"/>
      <c r="F189" s="3707"/>
      <c r="G189" s="3707"/>
      <c r="H189" s="3707"/>
      <c r="I189" s="3707"/>
      <c r="J189" s="3707"/>
      <c r="K189" s="3707"/>
      <c r="L189" s="3707"/>
      <c r="M189" s="3707"/>
      <c r="N189" s="3707"/>
      <c r="O189" s="3707"/>
      <c r="P189" s="3707"/>
      <c r="Q189" s="3772"/>
      <c r="AA189" s="2490">
        <v>189</v>
      </c>
    </row>
    <row r="190" spans="1:27" ht="15.75" customHeight="1">
      <c r="B190" s="1916" t="s">
        <v>1724</v>
      </c>
      <c r="C190" s="1917"/>
      <c r="D190" s="1918"/>
      <c r="E190" s="1918"/>
      <c r="F190" s="1918"/>
      <c r="G190" s="1918"/>
      <c r="H190" s="1918"/>
      <c r="I190" s="1918"/>
      <c r="J190" s="1918"/>
      <c r="K190" s="1918"/>
      <c r="L190" s="1918"/>
      <c r="M190" s="1918"/>
      <c r="N190" s="1918"/>
      <c r="O190" s="1918"/>
      <c r="P190" s="1918"/>
      <c r="Q190" s="1918"/>
      <c r="AA190" s="2490">
        <v>190</v>
      </c>
    </row>
    <row r="191" spans="1:27" ht="15" customHeight="1">
      <c r="A191" s="3710"/>
      <c r="B191" s="3710"/>
      <c r="C191" s="3710"/>
      <c r="D191" s="3710"/>
      <c r="E191" s="3710"/>
      <c r="F191" s="3710"/>
      <c r="G191" s="3710"/>
      <c r="H191" s="3710"/>
      <c r="I191" s="3710"/>
      <c r="J191" s="3710"/>
      <c r="K191" s="3710"/>
      <c r="L191" s="3710"/>
      <c r="M191" s="3710"/>
      <c r="N191" s="3710"/>
      <c r="O191" s="3710"/>
      <c r="P191" s="3710"/>
      <c r="Q191" s="3761"/>
      <c r="AA191" s="2490">
        <v>191</v>
      </c>
    </row>
    <row r="192" spans="1:27" ht="11.25" customHeight="1">
      <c r="A192" s="1918"/>
      <c r="B192" s="1918"/>
      <c r="C192" s="1918"/>
      <c r="D192" s="1918"/>
      <c r="E192" s="1918"/>
      <c r="F192" s="1918"/>
      <c r="G192" s="1918"/>
      <c r="H192" s="1918"/>
      <c r="I192" s="1918"/>
      <c r="J192" s="1918"/>
      <c r="K192" s="1918"/>
      <c r="L192" s="1918"/>
      <c r="M192" s="1918"/>
      <c r="N192" s="1918"/>
      <c r="O192" s="1918"/>
      <c r="P192" s="1918"/>
      <c r="Q192" s="1918"/>
      <c r="AA192" s="2490">
        <v>192</v>
      </c>
    </row>
    <row r="193" spans="1:27" ht="11.25" customHeight="1">
      <c r="A193" s="1915"/>
      <c r="B193" s="1918"/>
      <c r="C193" s="1918"/>
      <c r="D193" s="1918"/>
      <c r="E193" s="1918"/>
      <c r="F193" s="1918"/>
      <c r="G193" s="1918"/>
      <c r="H193" s="1918"/>
      <c r="I193" s="1918"/>
      <c r="J193" s="1918"/>
      <c r="K193" s="1918"/>
      <c r="L193" s="1918"/>
      <c r="M193" s="1918"/>
      <c r="N193" s="1918"/>
      <c r="O193" s="1918"/>
      <c r="P193" s="2030"/>
      <c r="Q193" s="2030"/>
      <c r="AA193" s="2490">
        <v>193</v>
      </c>
    </row>
    <row r="194" spans="1:27" ht="20.25" customHeight="1">
      <c r="A194" s="1919" t="s">
        <v>3280</v>
      </c>
      <c r="B194" s="1911" t="s">
        <v>2426</v>
      </c>
      <c r="C194" s="1911"/>
      <c r="D194" s="1911"/>
      <c r="E194" s="1911"/>
      <c r="F194" s="1911"/>
      <c r="G194" s="1911"/>
      <c r="H194" s="1918"/>
      <c r="I194" s="1918"/>
      <c r="J194" s="1918"/>
      <c r="K194" s="1918"/>
      <c r="L194" s="1918"/>
      <c r="M194" s="1918"/>
      <c r="O194" s="1914" t="s">
        <v>1725</v>
      </c>
      <c r="P194" s="3713"/>
      <c r="Q194" s="3760"/>
      <c r="AA194" s="2490">
        <v>194</v>
      </c>
    </row>
    <row r="195" spans="1:27" ht="15" customHeight="1">
      <c r="B195" s="1912" t="s">
        <v>4662</v>
      </c>
      <c r="P195" s="3739"/>
      <c r="Q195" s="3764"/>
      <c r="AA195" s="2490">
        <v>195</v>
      </c>
    </row>
    <row r="196" spans="1:27" ht="28.5" customHeight="1">
      <c r="B196" s="3715" t="s">
        <v>5053</v>
      </c>
      <c r="C196" s="3715"/>
      <c r="D196" s="3715"/>
      <c r="E196" s="3715"/>
      <c r="F196" s="3715"/>
      <c r="G196" s="3715"/>
      <c r="H196" s="3715"/>
      <c r="I196" s="3715"/>
      <c r="J196" s="3715"/>
      <c r="K196" s="3715"/>
      <c r="L196" s="3715"/>
      <c r="M196" s="3715"/>
      <c r="N196" s="3715"/>
      <c r="P196" s="3733"/>
      <c r="Q196" s="3773"/>
      <c r="AA196" s="2490">
        <v>196</v>
      </c>
    </row>
    <row r="197" spans="1:27" ht="20.25" customHeight="1">
      <c r="A197" s="1925" t="s">
        <v>1835</v>
      </c>
      <c r="B197" s="1911" t="s">
        <v>432</v>
      </c>
      <c r="D197" s="1911"/>
      <c r="E197" s="1911"/>
      <c r="F197" s="1911"/>
      <c r="G197" s="1911"/>
      <c r="H197" s="1911"/>
      <c r="I197" s="1911"/>
      <c r="J197" s="1911"/>
      <c r="K197" s="1911"/>
      <c r="L197" s="1911"/>
      <c r="M197" s="1911"/>
      <c r="O197" s="1921"/>
      <c r="P197" s="1910"/>
      <c r="Q197" s="1910"/>
      <c r="AA197" s="2490">
        <v>197</v>
      </c>
    </row>
    <row r="198" spans="1:27" ht="59.25" customHeight="1">
      <c r="B198" s="1946" t="s">
        <v>1611</v>
      </c>
      <c r="C198" s="3723" t="s">
        <v>4717</v>
      </c>
      <c r="D198" s="3723"/>
      <c r="E198" s="3723"/>
      <c r="F198" s="3774" t="s">
        <v>4978</v>
      </c>
      <c r="G198" s="3775"/>
      <c r="H198" s="3775"/>
      <c r="I198" s="3775"/>
      <c r="J198" s="3775"/>
      <c r="K198" s="3775"/>
      <c r="L198" s="3775"/>
      <c r="M198" s="3775"/>
      <c r="N198" s="3775"/>
      <c r="O198" s="3775"/>
      <c r="P198" s="3775"/>
      <c r="Q198" s="3776"/>
      <c r="AA198" s="2490">
        <v>198</v>
      </c>
    </row>
    <row r="199" spans="1:27" ht="60" customHeight="1">
      <c r="B199" s="1946" t="s">
        <v>1612</v>
      </c>
      <c r="C199" s="3723" t="s">
        <v>5082</v>
      </c>
      <c r="D199" s="3723"/>
      <c r="E199" s="3723"/>
      <c r="F199" s="3777" t="s">
        <v>4093</v>
      </c>
      <c r="G199" s="3777"/>
      <c r="H199" s="3777"/>
      <c r="I199" s="3777"/>
      <c r="J199" s="3777"/>
      <c r="K199" s="3777"/>
      <c r="L199" s="3777"/>
      <c r="M199" s="3777"/>
      <c r="N199" s="3777"/>
      <c r="O199" s="3777"/>
      <c r="P199" s="3777"/>
      <c r="Q199" s="3777"/>
      <c r="AA199" s="2490">
        <v>199</v>
      </c>
    </row>
    <row r="200" spans="1:27" ht="20.25" customHeight="1">
      <c r="A200" s="1925"/>
      <c r="B200" s="1946" t="s">
        <v>1613</v>
      </c>
      <c r="C200" s="3715" t="s">
        <v>4668</v>
      </c>
      <c r="D200" s="3715"/>
      <c r="E200" s="3715"/>
      <c r="F200" s="3715"/>
      <c r="G200" s="3715"/>
      <c r="H200" s="3715"/>
      <c r="I200" s="3715"/>
      <c r="J200" s="3715"/>
      <c r="K200" s="3715"/>
      <c r="L200" s="3715"/>
      <c r="M200" s="3715"/>
      <c r="N200" s="3715"/>
      <c r="O200" s="3715"/>
      <c r="P200" s="3715"/>
      <c r="Q200" s="3715"/>
      <c r="AA200" s="2490">
        <v>200</v>
      </c>
    </row>
    <row r="201" spans="1:27" ht="15.6" customHeight="1">
      <c r="A201" s="1925"/>
      <c r="B201" s="1921"/>
      <c r="C201" s="3768"/>
      <c r="D201" s="3768"/>
      <c r="E201" s="3768"/>
      <c r="F201" s="3768"/>
      <c r="G201" s="3768"/>
      <c r="H201" s="3768"/>
      <c r="I201" s="3768"/>
      <c r="J201" s="3768"/>
      <c r="K201" s="3768"/>
      <c r="L201" s="3768"/>
      <c r="M201" s="3768"/>
      <c r="N201" s="3768"/>
      <c r="O201" s="3768"/>
      <c r="P201" s="3768"/>
      <c r="Q201" s="3769"/>
      <c r="AA201" s="2491">
        <v>201</v>
      </c>
    </row>
    <row r="202" spans="1:27" ht="15.6" customHeight="1">
      <c r="A202" s="1925"/>
      <c r="B202" s="1921"/>
      <c r="C202" s="3770"/>
      <c r="D202" s="3770"/>
      <c r="E202" s="3770"/>
      <c r="F202" s="3770"/>
      <c r="G202" s="3770"/>
      <c r="H202" s="3770"/>
      <c r="I202" s="3770"/>
      <c r="J202" s="3770"/>
      <c r="K202" s="3770"/>
      <c r="L202" s="3770"/>
      <c r="M202" s="3770"/>
      <c r="N202" s="3770"/>
      <c r="O202" s="3770"/>
      <c r="P202" s="3770"/>
      <c r="Q202" s="3771"/>
      <c r="AA202" s="2490">
        <v>202</v>
      </c>
    </row>
    <row r="203" spans="1:27" ht="15.75" customHeight="1">
      <c r="B203" s="1931" t="s">
        <v>3154</v>
      </c>
      <c r="D203" s="1931"/>
      <c r="E203" s="1931"/>
      <c r="F203" s="1931"/>
      <c r="G203" s="1931"/>
      <c r="H203" s="1920"/>
      <c r="I203" s="1913"/>
      <c r="J203" s="1913"/>
      <c r="K203" s="1913"/>
      <c r="L203" s="1910"/>
      <c r="M203" s="1910"/>
      <c r="N203" s="1910"/>
      <c r="O203" s="1910"/>
      <c r="P203" s="1910"/>
      <c r="Q203" s="1910"/>
      <c r="AA203" s="2490">
        <v>203</v>
      </c>
    </row>
    <row r="204" spans="1:27" ht="15" customHeight="1">
      <c r="A204" s="3707"/>
      <c r="B204" s="3707"/>
      <c r="C204" s="3707"/>
      <c r="D204" s="3707"/>
      <c r="E204" s="3707"/>
      <c r="F204" s="3707"/>
      <c r="G204" s="3707"/>
      <c r="H204" s="3707"/>
      <c r="I204" s="3707"/>
      <c r="J204" s="3707"/>
      <c r="K204" s="3707"/>
      <c r="L204" s="3707"/>
      <c r="M204" s="3707"/>
      <c r="N204" s="3707"/>
      <c r="O204" s="3707"/>
      <c r="P204" s="3707"/>
      <c r="Q204" s="3772"/>
      <c r="AA204" s="2490">
        <v>204</v>
      </c>
    </row>
    <row r="205" spans="1:27" ht="15.75" customHeight="1">
      <c r="B205" s="1916" t="s">
        <v>1724</v>
      </c>
      <c r="C205" s="1917"/>
      <c r="D205" s="1918"/>
      <c r="E205" s="1918"/>
      <c r="F205" s="1918"/>
      <c r="G205" s="1918"/>
      <c r="H205" s="1918"/>
      <c r="I205" s="1918"/>
      <c r="J205" s="1918"/>
      <c r="K205" s="1918"/>
      <c r="L205" s="1918"/>
      <c r="M205" s="1918"/>
      <c r="N205" s="1918"/>
      <c r="O205" s="1918"/>
      <c r="P205" s="1918"/>
      <c r="Q205" s="1918"/>
      <c r="AA205" s="2490">
        <v>205</v>
      </c>
    </row>
    <row r="206" spans="1:27" ht="15" customHeight="1">
      <c r="A206" s="3710"/>
      <c r="B206" s="3710"/>
      <c r="C206" s="3710"/>
      <c r="D206" s="3710"/>
      <c r="E206" s="3710"/>
      <c r="F206" s="3710"/>
      <c r="G206" s="3710"/>
      <c r="H206" s="3710"/>
      <c r="I206" s="3710"/>
      <c r="J206" s="3710"/>
      <c r="K206" s="3710"/>
      <c r="L206" s="3710"/>
      <c r="M206" s="3710"/>
      <c r="N206" s="3710"/>
      <c r="O206" s="3710"/>
      <c r="P206" s="3710"/>
      <c r="Q206" s="3761"/>
      <c r="AA206" s="2490">
        <v>206</v>
      </c>
    </row>
    <row r="207" spans="1:27" ht="11.25" customHeight="1">
      <c r="A207" s="1918"/>
      <c r="B207" s="1918"/>
      <c r="C207" s="1918"/>
      <c r="D207" s="1918"/>
      <c r="E207" s="1918"/>
      <c r="F207" s="1918"/>
      <c r="G207" s="1918"/>
      <c r="H207" s="1918"/>
      <c r="I207" s="1918"/>
      <c r="J207" s="1918"/>
      <c r="K207" s="1918"/>
      <c r="L207" s="1918"/>
      <c r="M207" s="1918"/>
      <c r="N207" s="1918"/>
      <c r="O207" s="1918"/>
      <c r="P207" s="1963"/>
      <c r="Q207" s="1963"/>
      <c r="AA207" s="2490">
        <v>207</v>
      </c>
    </row>
    <row r="208" spans="1:27" ht="11.25" customHeight="1">
      <c r="A208" s="1915"/>
      <c r="B208" s="1918"/>
      <c r="C208" s="1918"/>
      <c r="D208" s="1918"/>
      <c r="E208" s="1918"/>
      <c r="F208" s="1918"/>
      <c r="G208" s="1918"/>
      <c r="H208" s="1918"/>
      <c r="I208" s="1918"/>
      <c r="J208" s="1918"/>
      <c r="K208" s="1918"/>
      <c r="L208" s="1918"/>
      <c r="M208" s="1918"/>
      <c r="N208" s="1918"/>
      <c r="O208" s="1918"/>
      <c r="P208" s="2030"/>
      <c r="Q208" s="2030"/>
      <c r="AA208" s="2490">
        <v>208</v>
      </c>
    </row>
    <row r="209" spans="1:28" ht="20.25" customHeight="1">
      <c r="A209" s="1919" t="s">
        <v>3278</v>
      </c>
      <c r="B209" s="1919" t="s">
        <v>4782</v>
      </c>
      <c r="C209" s="1919"/>
      <c r="D209" s="1918"/>
      <c r="E209" s="1918"/>
      <c r="F209" s="1918"/>
      <c r="G209" s="1918"/>
      <c r="H209" s="1918"/>
      <c r="N209" s="1938"/>
      <c r="O209" s="1914" t="s">
        <v>1725</v>
      </c>
      <c r="P209" s="3762"/>
      <c r="Q209" s="3763"/>
      <c r="AA209" s="2490">
        <v>209</v>
      </c>
    </row>
    <row r="210" spans="1:28" ht="15" customHeight="1">
      <c r="A210" s="1925"/>
      <c r="B210" s="1912" t="s">
        <v>5054</v>
      </c>
      <c r="O210" s="1921"/>
      <c r="P210" s="3739" t="s">
        <v>1641</v>
      </c>
      <c r="Q210" s="3764"/>
      <c r="AA210" s="2491">
        <v>210</v>
      </c>
    </row>
    <row r="211" spans="1:28" ht="15" customHeight="1">
      <c r="A211" s="1925"/>
      <c r="B211" s="1912" t="s">
        <v>5055</v>
      </c>
      <c r="O211" s="1921"/>
      <c r="P211" s="3730" t="s">
        <v>1641</v>
      </c>
      <c r="Q211" s="3765"/>
      <c r="AA211" s="2490">
        <v>211</v>
      </c>
    </row>
    <row r="212" spans="1:28" ht="15" customHeight="1">
      <c r="A212" s="1925"/>
      <c r="B212" s="1912" t="s">
        <v>5056</v>
      </c>
      <c r="C212" s="1915"/>
      <c r="K212" s="1913"/>
      <c r="M212" s="1921"/>
      <c r="O212" s="1964"/>
      <c r="P212" s="3730" t="s">
        <v>1641</v>
      </c>
      <c r="Q212" s="3765"/>
      <c r="AA212" s="2490">
        <v>212</v>
      </c>
    </row>
    <row r="213" spans="1:28" ht="29.4" customHeight="1">
      <c r="A213" s="1925"/>
      <c r="B213" s="3715" t="s">
        <v>5057</v>
      </c>
      <c r="C213" s="3715"/>
      <c r="D213" s="3715"/>
      <c r="E213" s="3715"/>
      <c r="F213" s="3715"/>
      <c r="G213" s="3715"/>
      <c r="H213" s="3715"/>
      <c r="I213" s="3715"/>
      <c r="J213" s="3715"/>
      <c r="K213" s="3715"/>
      <c r="L213" s="3715"/>
      <c r="M213" s="3715"/>
      <c r="N213" s="3715"/>
      <c r="O213" s="3715"/>
      <c r="P213" s="3766" t="s">
        <v>1641</v>
      </c>
      <c r="Q213" s="3767"/>
      <c r="AA213" s="2490">
        <v>213</v>
      </c>
    </row>
    <row r="214" spans="1:28" ht="15.6" customHeight="1">
      <c r="A214" s="1925"/>
      <c r="B214" s="1912" t="s">
        <v>5058</v>
      </c>
      <c r="M214" s="1915"/>
      <c r="N214" s="1915"/>
      <c r="O214" s="3753" t="s">
        <v>1641</v>
      </c>
      <c r="P214" s="3754"/>
      <c r="Q214" s="3755"/>
      <c r="AA214" s="2490">
        <v>214</v>
      </c>
    </row>
    <row r="215" spans="1:28" ht="15.6" customHeight="1">
      <c r="A215" s="1925"/>
      <c r="B215" s="1911" t="s">
        <v>4669</v>
      </c>
      <c r="I215" s="3713" t="s">
        <v>1641</v>
      </c>
      <c r="J215" s="3831"/>
      <c r="K215" s="3831"/>
      <c r="L215" s="3714"/>
      <c r="M215" s="1915"/>
      <c r="N215" s="1915"/>
      <c r="O215" s="1915"/>
      <c r="P215" s="1915"/>
      <c r="Q215" s="1915"/>
      <c r="AA215" s="2490">
        <v>215</v>
      </c>
    </row>
    <row r="216" spans="1:28" ht="15.75" customHeight="1">
      <c r="B216" s="1931" t="s">
        <v>3154</v>
      </c>
      <c r="D216" s="1931"/>
      <c r="E216" s="1931"/>
      <c r="F216" s="1931"/>
      <c r="G216" s="1931"/>
      <c r="H216" s="1920"/>
      <c r="I216" s="1913"/>
      <c r="J216" s="1913"/>
      <c r="K216" s="1913"/>
      <c r="L216" s="1910"/>
      <c r="M216" s="1910"/>
      <c r="N216" s="1910"/>
      <c r="O216" s="1910"/>
      <c r="P216" s="1910"/>
      <c r="Q216" s="1910"/>
      <c r="AA216" s="2490">
        <v>216</v>
      </c>
    </row>
    <row r="217" spans="1:28" ht="30" customHeight="1">
      <c r="A217" s="3750"/>
      <c r="B217" s="3756"/>
      <c r="C217" s="3756"/>
      <c r="D217" s="3756"/>
      <c r="E217" s="3756"/>
      <c r="F217" s="3756"/>
      <c r="G217" s="3756"/>
      <c r="H217" s="3756"/>
      <c r="I217" s="3756"/>
      <c r="J217" s="3756"/>
      <c r="K217" s="3756"/>
      <c r="L217" s="3756"/>
      <c r="M217" s="3756"/>
      <c r="N217" s="3756"/>
      <c r="O217" s="3756"/>
      <c r="P217" s="3756"/>
      <c r="Q217" s="3757"/>
      <c r="AA217" s="2490">
        <v>217</v>
      </c>
    </row>
    <row r="218" spans="1:28" ht="15.75" customHeight="1">
      <c r="B218" s="1916" t="s">
        <v>1724</v>
      </c>
      <c r="C218" s="1917"/>
      <c r="D218" s="1918"/>
      <c r="E218" s="1918"/>
      <c r="F218" s="1918"/>
      <c r="G218" s="1918"/>
      <c r="H218" s="1918"/>
      <c r="I218" s="1918"/>
      <c r="J218" s="1918"/>
      <c r="K218" s="1918"/>
      <c r="L218" s="1918"/>
      <c r="M218" s="1918"/>
      <c r="N218" s="1918"/>
      <c r="O218" s="1915"/>
      <c r="P218" s="1918"/>
      <c r="Q218" s="1918"/>
      <c r="AA218" s="2490">
        <v>218</v>
      </c>
    </row>
    <row r="219" spans="1:28" ht="15" customHeight="1">
      <c r="A219" s="3744"/>
      <c r="B219" s="3758"/>
      <c r="C219" s="3758"/>
      <c r="D219" s="3758"/>
      <c r="E219" s="3758"/>
      <c r="F219" s="3758"/>
      <c r="G219" s="3758"/>
      <c r="H219" s="3758"/>
      <c r="I219" s="3758"/>
      <c r="J219" s="3758"/>
      <c r="K219" s="3758"/>
      <c r="L219" s="3758"/>
      <c r="M219" s="3758"/>
      <c r="N219" s="3758"/>
      <c r="O219" s="3758"/>
      <c r="P219" s="3758"/>
      <c r="Q219" s="3759"/>
      <c r="AA219" s="2490">
        <v>219</v>
      </c>
    </row>
    <row r="220" spans="1:28" ht="11.25" customHeight="1">
      <c r="A220" s="1910"/>
      <c r="B220" s="1913"/>
      <c r="C220" s="1918"/>
      <c r="D220" s="1918"/>
      <c r="E220" s="1918"/>
      <c r="F220" s="1918"/>
      <c r="G220" s="1918"/>
      <c r="H220" s="1918"/>
      <c r="I220" s="1918"/>
      <c r="J220" s="1918"/>
      <c r="K220" s="1918"/>
      <c r="L220" s="1918"/>
      <c r="M220" s="1918"/>
      <c r="N220" s="1918"/>
      <c r="O220" s="1918"/>
      <c r="P220" s="1918"/>
      <c r="Q220" s="1910"/>
      <c r="AA220" s="2490">
        <v>220</v>
      </c>
    </row>
    <row r="221" spans="1:28" ht="11.25" customHeight="1">
      <c r="A221" s="1915"/>
      <c r="B221" s="1913"/>
      <c r="C221" s="1918"/>
      <c r="D221" s="1918"/>
      <c r="E221" s="1918"/>
      <c r="F221" s="1918"/>
      <c r="G221" s="1918"/>
      <c r="H221" s="1918"/>
      <c r="I221" s="1918"/>
      <c r="J221" s="1918"/>
      <c r="K221" s="1918"/>
      <c r="L221" s="1918"/>
      <c r="M221" s="1918"/>
      <c r="N221" s="1918"/>
      <c r="O221" s="1918"/>
      <c r="P221" s="1918"/>
      <c r="Q221" s="1910"/>
      <c r="AA221" s="2490">
        <v>221</v>
      </c>
    </row>
    <row r="222" spans="1:28" ht="20.25" customHeight="1">
      <c r="A222" s="1919" t="s">
        <v>3281</v>
      </c>
      <c r="B222" s="1911" t="s">
        <v>4427</v>
      </c>
      <c r="C222" s="1911"/>
      <c r="D222" s="1911"/>
      <c r="E222" s="1911"/>
      <c r="F222" s="1911"/>
      <c r="G222" s="1911"/>
      <c r="H222" s="1918"/>
      <c r="I222" s="1918"/>
      <c r="J222" s="1918"/>
      <c r="K222" s="1918"/>
      <c r="L222" s="1918"/>
      <c r="M222" s="1918"/>
      <c r="N222" s="1965"/>
      <c r="O222" s="1914" t="s">
        <v>1725</v>
      </c>
      <c r="P222" s="3713"/>
      <c r="Q222" s="3760"/>
      <c r="AA222" s="2490">
        <v>222</v>
      </c>
    </row>
    <row r="223" spans="1:28" ht="33.75" customHeight="1">
      <c r="A223" s="1919"/>
      <c r="B223" s="3715" t="s">
        <v>4670</v>
      </c>
      <c r="C223" s="3715"/>
      <c r="D223" s="3715"/>
      <c r="E223" s="3715"/>
      <c r="F223" s="3715"/>
      <c r="G223" s="3715"/>
      <c r="H223" s="3715"/>
      <c r="I223" s="3715"/>
      <c r="J223" s="3715"/>
      <c r="K223" s="3715"/>
      <c r="L223" s="3715"/>
      <c r="M223" s="3715"/>
      <c r="N223" s="3715"/>
      <c r="O223" s="3716"/>
      <c r="P223" s="3753"/>
      <c r="Q223" s="3755"/>
      <c r="AA223" s="2490">
        <v>223</v>
      </c>
    </row>
    <row r="224" spans="1:28" s="1966" customFormat="1">
      <c r="A224" s="1940" t="s">
        <v>1835</v>
      </c>
      <c r="B224" s="2057" t="s">
        <v>4784</v>
      </c>
      <c r="C224" s="2057"/>
      <c r="D224" s="2057"/>
      <c r="E224" s="2057"/>
      <c r="F224" s="2057"/>
      <c r="G224" s="2057"/>
      <c r="H224" s="2057"/>
      <c r="I224" s="2057"/>
      <c r="J224" s="2057"/>
      <c r="K224" s="2057"/>
      <c r="L224" s="2057"/>
      <c r="M224" s="2057"/>
      <c r="N224" s="2057"/>
      <c r="O224" s="2057"/>
      <c r="P224" s="2057"/>
      <c r="Q224" s="2057"/>
      <c r="R224" s="2057"/>
      <c r="S224" s="2028"/>
      <c r="T224" s="2028"/>
      <c r="U224" s="2028"/>
      <c r="V224" s="2028"/>
      <c r="W224" s="2028"/>
      <c r="X224" s="2028"/>
      <c r="Y224" s="2028"/>
      <c r="Z224" s="2028"/>
      <c r="AA224" s="2490">
        <v>224</v>
      </c>
      <c r="AB224" s="2028"/>
    </row>
    <row r="225" spans="1:28" s="1966" customFormat="1" ht="30.75" customHeight="1">
      <c r="A225" s="1940"/>
      <c r="C225" s="2449" t="s">
        <v>4783</v>
      </c>
      <c r="D225" s="2450"/>
      <c r="E225" s="2450"/>
      <c r="F225" s="2451"/>
      <c r="G225" s="3748" t="s">
        <v>4959</v>
      </c>
      <c r="H225" s="3748"/>
      <c r="I225" s="3748"/>
      <c r="J225" s="3748"/>
      <c r="K225" s="3748"/>
      <c r="L225" s="3748"/>
      <c r="M225" s="3748"/>
      <c r="N225" s="3748"/>
      <c r="O225" s="3749"/>
      <c r="P225" s="2058"/>
      <c r="Q225" s="1932"/>
      <c r="R225" s="2028"/>
      <c r="S225" s="2028"/>
      <c r="T225" s="2028"/>
      <c r="U225" s="2028"/>
      <c r="V225" s="2028"/>
      <c r="W225" s="2028"/>
      <c r="X225" s="2028"/>
      <c r="Y225" s="2028"/>
      <c r="Z225" s="2028"/>
      <c r="AA225" s="2491">
        <v>225</v>
      </c>
      <c r="AB225" s="2028"/>
    </row>
    <row r="226" spans="1:28" s="1966" customFormat="1" ht="30.75" customHeight="1">
      <c r="A226" s="1940"/>
      <c r="C226" s="3723" t="s">
        <v>4785</v>
      </c>
      <c r="D226" s="3723"/>
      <c r="E226" s="3723"/>
      <c r="F226" s="3723"/>
      <c r="G226" s="3723" t="s">
        <v>4960</v>
      </c>
      <c r="H226" s="3723"/>
      <c r="I226" s="3723"/>
      <c r="J226" s="3723"/>
      <c r="K226" s="3723"/>
      <c r="L226" s="3723"/>
      <c r="M226" s="3723"/>
      <c r="N226" s="3723"/>
      <c r="O226" s="3724"/>
      <c r="P226" s="2059"/>
      <c r="Q226" s="1937"/>
      <c r="R226" s="2028"/>
      <c r="S226" s="2028"/>
      <c r="T226" s="2028"/>
      <c r="U226" s="2028"/>
      <c r="V226" s="2028"/>
      <c r="W226" s="2028"/>
      <c r="X226" s="2028"/>
      <c r="Y226" s="2028"/>
      <c r="Z226" s="2028"/>
      <c r="AA226" s="2490">
        <v>226</v>
      </c>
      <c r="AB226" s="2028"/>
    </row>
    <row r="227" spans="1:28" ht="44.25" customHeight="1">
      <c r="A227" s="1940" t="s">
        <v>1837</v>
      </c>
      <c r="B227" s="3723" t="s">
        <v>4786</v>
      </c>
      <c r="C227" s="3723"/>
      <c r="D227" s="3723"/>
      <c r="E227" s="3723"/>
      <c r="F227" s="3723"/>
      <c r="G227" s="3723"/>
      <c r="H227" s="3723"/>
      <c r="I227" s="3723"/>
      <c r="J227" s="3723"/>
      <c r="K227" s="3723"/>
      <c r="L227" s="3723"/>
      <c r="M227" s="3723"/>
      <c r="N227" s="3723"/>
      <c r="O227" s="3723"/>
      <c r="P227" s="2062"/>
      <c r="Q227" s="2061"/>
      <c r="AA227" s="2490">
        <v>227</v>
      </c>
    </row>
    <row r="228" spans="1:28" ht="20.25" customHeight="1">
      <c r="A228" s="1925" t="s">
        <v>697</v>
      </c>
      <c r="B228" s="1912" t="s">
        <v>4787</v>
      </c>
      <c r="G228" s="1912" t="s">
        <v>4788</v>
      </c>
      <c r="P228" s="2062"/>
      <c r="Q228" s="2061"/>
      <c r="AA228" s="2490">
        <v>228</v>
      </c>
    </row>
    <row r="229" spans="1:28" ht="45" customHeight="1">
      <c r="A229" s="1940" t="s">
        <v>1956</v>
      </c>
      <c r="B229" s="3723" t="s">
        <v>4671</v>
      </c>
      <c r="C229" s="3723"/>
      <c r="D229" s="3723"/>
      <c r="E229" s="3723"/>
      <c r="F229" s="3723"/>
      <c r="G229" s="3723"/>
      <c r="H229" s="3723"/>
      <c r="I229" s="3723"/>
      <c r="J229" s="3723"/>
      <c r="K229" s="3723"/>
      <c r="L229" s="3723"/>
      <c r="M229" s="3723"/>
      <c r="N229" s="3723"/>
      <c r="O229" s="3723"/>
      <c r="P229" s="2062"/>
      <c r="Q229" s="2061"/>
      <c r="AA229" s="2490">
        <v>229</v>
      </c>
    </row>
    <row r="230" spans="1:28" ht="15.75" customHeight="1">
      <c r="B230" s="1931" t="s">
        <v>3154</v>
      </c>
      <c r="D230" s="1931"/>
      <c r="E230" s="1931"/>
      <c r="F230" s="1931"/>
      <c r="G230" s="1931"/>
      <c r="H230" s="1920"/>
      <c r="I230" s="1913"/>
      <c r="J230" s="1913"/>
      <c r="K230" s="1913"/>
      <c r="L230" s="1910"/>
      <c r="M230" s="1910"/>
      <c r="N230" s="1910"/>
      <c r="O230" s="1910"/>
      <c r="P230" s="1910"/>
      <c r="Q230" s="1910"/>
      <c r="AA230" s="2490">
        <v>230</v>
      </c>
    </row>
    <row r="231" spans="1:28" ht="45" customHeight="1">
      <c r="A231" s="3750"/>
      <c r="B231" s="3751"/>
      <c r="C231" s="3751"/>
      <c r="D231" s="3751"/>
      <c r="E231" s="3751"/>
      <c r="F231" s="3751"/>
      <c r="G231" s="3751"/>
      <c r="H231" s="3751"/>
      <c r="I231" s="3751"/>
      <c r="J231" s="3751"/>
      <c r="K231" s="3751"/>
      <c r="L231" s="3751"/>
      <c r="M231" s="3751"/>
      <c r="N231" s="3751"/>
      <c r="O231" s="3751"/>
      <c r="P231" s="3751"/>
      <c r="Q231" s="3752"/>
      <c r="AA231" s="2490">
        <v>231</v>
      </c>
    </row>
    <row r="232" spans="1:28" ht="15.75" customHeight="1">
      <c r="B232" s="1916" t="s">
        <v>1724</v>
      </c>
      <c r="C232" s="1917"/>
      <c r="D232" s="1918"/>
      <c r="E232" s="1918"/>
      <c r="F232" s="1918"/>
      <c r="G232" s="1918"/>
      <c r="H232" s="1918"/>
      <c r="I232" s="1918"/>
      <c r="J232" s="1918"/>
      <c r="K232" s="1918"/>
      <c r="L232" s="1918"/>
      <c r="M232" s="1918"/>
      <c r="N232" s="1918"/>
      <c r="O232" s="1918"/>
      <c r="P232" s="1918"/>
      <c r="Q232" s="1918"/>
      <c r="AA232" s="2490">
        <v>232</v>
      </c>
    </row>
    <row r="233" spans="1:28" ht="15" customHeight="1">
      <c r="A233" s="3744"/>
      <c r="B233" s="3745"/>
      <c r="C233" s="3745"/>
      <c r="D233" s="3745"/>
      <c r="E233" s="3745"/>
      <c r="F233" s="3745"/>
      <c r="G233" s="3745"/>
      <c r="H233" s="3745"/>
      <c r="I233" s="3745"/>
      <c r="J233" s="3745"/>
      <c r="K233" s="3745"/>
      <c r="L233" s="3745"/>
      <c r="M233" s="3745"/>
      <c r="N233" s="3745"/>
      <c r="O233" s="3745"/>
      <c r="P233" s="3745"/>
      <c r="Q233" s="3746"/>
      <c r="AA233" s="2490">
        <v>233</v>
      </c>
    </row>
    <row r="234" spans="1:28" ht="11.25" customHeight="1">
      <c r="A234" s="1910"/>
      <c r="B234" s="1913"/>
      <c r="C234" s="1918"/>
      <c r="D234" s="1918"/>
      <c r="E234" s="1918"/>
      <c r="F234" s="1918"/>
      <c r="G234" s="1918"/>
      <c r="H234" s="1918"/>
      <c r="I234" s="1918"/>
      <c r="J234" s="1918"/>
      <c r="K234" s="1918"/>
      <c r="L234" s="1918"/>
      <c r="M234" s="1918"/>
      <c r="N234" s="1918"/>
      <c r="O234" s="1918"/>
      <c r="P234" s="1918"/>
      <c r="Q234" s="1910"/>
      <c r="AA234" s="2491">
        <v>234</v>
      </c>
    </row>
    <row r="235" spans="1:28" ht="11.25" customHeight="1">
      <c r="A235" s="1919"/>
      <c r="B235" s="1913"/>
      <c r="C235" s="1918"/>
      <c r="D235" s="1918"/>
      <c r="E235" s="1918"/>
      <c r="F235" s="1918"/>
      <c r="G235" s="1918"/>
      <c r="H235" s="1918"/>
      <c r="I235" s="1918"/>
      <c r="J235" s="1918"/>
      <c r="K235" s="1918"/>
      <c r="L235" s="1918"/>
      <c r="M235" s="1918"/>
      <c r="N235" s="1918"/>
      <c r="O235" s="1918"/>
      <c r="P235" s="1918"/>
      <c r="Q235" s="1910"/>
      <c r="AA235" s="2490">
        <v>235</v>
      </c>
    </row>
    <row r="236" spans="1:28" ht="20.25" customHeight="1">
      <c r="A236" s="1919" t="s">
        <v>3282</v>
      </c>
      <c r="B236" s="1911" t="s">
        <v>3267</v>
      </c>
      <c r="C236" s="1911"/>
      <c r="D236" s="1911"/>
      <c r="E236" s="1911"/>
      <c r="F236" s="1911"/>
      <c r="G236" s="1911"/>
      <c r="H236" s="1918"/>
      <c r="I236" s="1918"/>
      <c r="J236" s="1918"/>
      <c r="K236" s="1918"/>
      <c r="L236" s="1918"/>
      <c r="M236" s="1918"/>
      <c r="N236" s="1967"/>
      <c r="O236" s="1914" t="s">
        <v>1725</v>
      </c>
      <c r="P236" s="3713"/>
      <c r="Q236" s="3714"/>
      <c r="AA236" s="2490">
        <v>236</v>
      </c>
    </row>
    <row r="237" spans="1:28" ht="15" customHeight="1">
      <c r="A237" s="1925"/>
      <c r="B237" s="3747" t="s">
        <v>3268</v>
      </c>
      <c r="C237" s="3747"/>
      <c r="D237" s="3747"/>
      <c r="E237" s="3747"/>
      <c r="F237" s="3747"/>
      <c r="I237" s="3824"/>
      <c r="J237" s="3825"/>
      <c r="K237" s="3825"/>
      <c r="L237" s="3825"/>
      <c r="M237" s="3825"/>
      <c r="N237" s="3825"/>
      <c r="O237" s="3825"/>
      <c r="P237" s="3825"/>
      <c r="Q237" s="3826"/>
      <c r="AA237" s="2490">
        <v>237</v>
      </c>
    </row>
    <row r="238" spans="1:28" ht="15" customHeight="1">
      <c r="A238" s="1925"/>
      <c r="B238" s="3747" t="s">
        <v>3269</v>
      </c>
      <c r="C238" s="3747"/>
      <c r="D238" s="3747"/>
      <c r="E238" s="3747"/>
      <c r="F238" s="3747"/>
      <c r="I238" s="3811"/>
      <c r="J238" s="3812"/>
      <c r="K238" s="3812"/>
      <c r="L238" s="3812"/>
      <c r="M238" s="3812"/>
      <c r="N238" s="3812"/>
      <c r="O238" s="3812"/>
      <c r="P238" s="3812"/>
      <c r="Q238" s="3813"/>
      <c r="AA238" s="2490">
        <v>238</v>
      </c>
    </row>
    <row r="239" spans="1:28" ht="30" customHeight="1" thickBot="1">
      <c r="A239" s="1925"/>
      <c r="B239" s="3723" t="s">
        <v>4961</v>
      </c>
      <c r="C239" s="3723"/>
      <c r="D239" s="3723"/>
      <c r="E239" s="3723"/>
      <c r="F239" s="3723"/>
      <c r="G239" s="3723"/>
      <c r="H239" s="3723"/>
      <c r="I239" s="3723"/>
      <c r="J239" s="3723"/>
      <c r="K239" s="3723"/>
      <c r="L239" s="3723"/>
      <c r="M239" s="3723"/>
      <c r="N239" s="3723"/>
      <c r="O239" s="3741"/>
      <c r="P239" s="3742"/>
      <c r="Q239" s="3743"/>
      <c r="AA239" s="2490">
        <v>239</v>
      </c>
    </row>
    <row r="240" spans="1:28" ht="15.75" customHeight="1">
      <c r="B240" s="1931" t="s">
        <v>3154</v>
      </c>
      <c r="D240" s="1931"/>
      <c r="E240" s="1931"/>
      <c r="F240" s="1931"/>
      <c r="G240" s="1931"/>
      <c r="H240" s="1920"/>
      <c r="I240" s="1913"/>
      <c r="J240" s="1913"/>
      <c r="K240" s="1913"/>
      <c r="L240" s="1910"/>
      <c r="M240" s="1910"/>
      <c r="N240" s="1910"/>
      <c r="O240" s="1910"/>
      <c r="P240" s="1910"/>
      <c r="Q240" s="1910"/>
      <c r="AA240" s="2490">
        <v>240</v>
      </c>
    </row>
    <row r="241" spans="1:27" ht="30" customHeight="1">
      <c r="A241" s="3707"/>
      <c r="B241" s="3708"/>
      <c r="C241" s="3708"/>
      <c r="D241" s="3708"/>
      <c r="E241" s="3708"/>
      <c r="F241" s="3708"/>
      <c r="G241" s="3708"/>
      <c r="H241" s="3708"/>
      <c r="I241" s="3708"/>
      <c r="J241" s="3708"/>
      <c r="K241" s="3708"/>
      <c r="L241" s="3708"/>
      <c r="M241" s="3708"/>
      <c r="N241" s="3708"/>
      <c r="O241" s="3708"/>
      <c r="P241" s="3708"/>
      <c r="Q241" s="3709"/>
      <c r="AA241" s="2490">
        <v>241</v>
      </c>
    </row>
    <row r="242" spans="1:27" ht="15.75" customHeight="1">
      <c r="B242" s="1916" t="s">
        <v>1724</v>
      </c>
      <c r="C242" s="1917"/>
      <c r="D242" s="1918"/>
      <c r="E242" s="1918"/>
      <c r="F242" s="1918"/>
      <c r="G242" s="1918"/>
      <c r="H242" s="1918"/>
      <c r="I242" s="1918"/>
      <c r="J242" s="1918"/>
      <c r="K242" s="1918"/>
      <c r="L242" s="1918"/>
      <c r="M242" s="1918"/>
      <c r="N242" s="1918"/>
      <c r="O242" s="1918"/>
      <c r="P242" s="1918"/>
      <c r="Q242" s="1918"/>
      <c r="AA242" s="2490">
        <v>242</v>
      </c>
    </row>
    <row r="243" spans="1:27" ht="15" customHeight="1">
      <c r="A243" s="3710"/>
      <c r="B243" s="3711"/>
      <c r="C243" s="3711"/>
      <c r="D243" s="3711"/>
      <c r="E243" s="3711"/>
      <c r="F243" s="3711"/>
      <c r="G243" s="3711"/>
      <c r="H243" s="3711"/>
      <c r="I243" s="3711"/>
      <c r="J243" s="3711"/>
      <c r="K243" s="3711"/>
      <c r="L243" s="3711"/>
      <c r="M243" s="3711"/>
      <c r="N243" s="3711"/>
      <c r="O243" s="3711"/>
      <c r="P243" s="3711"/>
      <c r="Q243" s="3712"/>
      <c r="AA243" s="2490">
        <v>243</v>
      </c>
    </row>
    <row r="244" spans="1:27" ht="11.1" customHeight="1">
      <c r="A244" s="1910"/>
      <c r="B244" s="1913"/>
      <c r="C244" s="1918"/>
      <c r="D244" s="1918"/>
      <c r="E244" s="1918"/>
      <c r="F244" s="1918"/>
      <c r="G244" s="1918"/>
      <c r="H244" s="1918"/>
      <c r="I244" s="1918"/>
      <c r="J244" s="1918"/>
      <c r="K244" s="1918"/>
      <c r="L244" s="1918"/>
      <c r="M244" s="1918"/>
      <c r="Q244" s="1910"/>
      <c r="AA244" s="2490">
        <v>244</v>
      </c>
    </row>
    <row r="245" spans="1:27" ht="11.1" customHeight="1">
      <c r="A245" s="1915"/>
      <c r="B245" s="1913"/>
      <c r="C245" s="1918"/>
      <c r="D245" s="1918"/>
      <c r="E245" s="1918"/>
      <c r="F245" s="1918"/>
      <c r="G245" s="1918"/>
      <c r="H245" s="1918"/>
      <c r="I245" s="1918"/>
      <c r="J245" s="1918"/>
      <c r="K245" s="1918"/>
      <c r="L245" s="1918"/>
      <c r="M245" s="1918"/>
      <c r="Q245" s="1910"/>
      <c r="AA245" s="2490">
        <v>245</v>
      </c>
    </row>
    <row r="246" spans="1:27" ht="20.25" customHeight="1">
      <c r="A246" s="1919" t="s">
        <v>3285</v>
      </c>
      <c r="B246" s="1911" t="s">
        <v>2427</v>
      </c>
      <c r="C246" s="1911"/>
      <c r="D246" s="1911"/>
      <c r="E246" s="1918"/>
      <c r="G246" s="1912" t="s">
        <v>654</v>
      </c>
      <c r="H246" s="1918"/>
      <c r="I246" s="1918"/>
      <c r="J246" s="1918"/>
      <c r="K246" s="1918"/>
      <c r="L246" s="1918"/>
      <c r="M246" s="1918"/>
      <c r="O246" s="1914" t="s">
        <v>1725</v>
      </c>
      <c r="P246" s="3713"/>
      <c r="Q246" s="3714"/>
      <c r="AA246" s="2490">
        <v>246</v>
      </c>
    </row>
    <row r="247" spans="1:27" ht="15.6" customHeight="1">
      <c r="A247" s="1925"/>
      <c r="B247" s="1912" t="s">
        <v>2430</v>
      </c>
      <c r="D247" s="1928"/>
      <c r="E247" s="1928"/>
      <c r="O247" s="1921"/>
      <c r="P247" s="3739"/>
      <c r="Q247" s="3740"/>
      <c r="AA247" s="2490">
        <v>247</v>
      </c>
    </row>
    <row r="248" spans="1:27" ht="15.6" customHeight="1">
      <c r="A248" s="1925"/>
      <c r="B248" s="1912" t="s">
        <v>3056</v>
      </c>
      <c r="D248" s="1928"/>
      <c r="E248" s="1928"/>
      <c r="O248" s="1921"/>
      <c r="P248" s="3730"/>
      <c r="Q248" s="3731"/>
      <c r="AA248" s="2490">
        <v>248</v>
      </c>
    </row>
    <row r="249" spans="1:27" ht="15.6" customHeight="1">
      <c r="A249" s="1925"/>
      <c r="B249" s="1912" t="s">
        <v>689</v>
      </c>
      <c r="D249" s="3735"/>
      <c r="E249" s="3736"/>
      <c r="F249" s="3736"/>
      <c r="G249" s="3736"/>
      <c r="H249" s="3736"/>
      <c r="I249" s="3736"/>
      <c r="J249" s="3736"/>
      <c r="K249" s="3736"/>
      <c r="L249" s="3736"/>
      <c r="M249" s="3736"/>
      <c r="N249" s="3736"/>
      <c r="O249" s="3736"/>
      <c r="P249" s="3737"/>
      <c r="Q249" s="3738"/>
      <c r="AA249" s="2491">
        <v>249</v>
      </c>
    </row>
    <row r="250" spans="1:27" ht="15.75" customHeight="1">
      <c r="B250" s="1931" t="s">
        <v>3154</v>
      </c>
      <c r="D250" s="1931"/>
      <c r="E250" s="1931"/>
      <c r="F250" s="1931"/>
      <c r="G250" s="1931"/>
      <c r="H250" s="1920"/>
      <c r="I250" s="1913"/>
      <c r="J250" s="1913"/>
      <c r="K250" s="1913"/>
      <c r="L250" s="1910"/>
      <c r="M250" s="1910"/>
      <c r="N250" s="1910"/>
      <c r="O250" s="1910"/>
      <c r="P250" s="1910"/>
      <c r="Q250" s="1910"/>
      <c r="AA250" s="2490">
        <v>250</v>
      </c>
    </row>
    <row r="251" spans="1:27" ht="15" customHeight="1">
      <c r="A251" s="3707"/>
      <c r="B251" s="3708"/>
      <c r="C251" s="3708"/>
      <c r="D251" s="3708"/>
      <c r="E251" s="3708"/>
      <c r="F251" s="3708"/>
      <c r="G251" s="3708"/>
      <c r="H251" s="3708"/>
      <c r="I251" s="3708"/>
      <c r="J251" s="3708"/>
      <c r="K251" s="3708"/>
      <c r="L251" s="3708"/>
      <c r="M251" s="3708"/>
      <c r="N251" s="3708"/>
      <c r="O251" s="3708"/>
      <c r="P251" s="3708"/>
      <c r="Q251" s="3709"/>
      <c r="AA251" s="2490">
        <v>251</v>
      </c>
    </row>
    <row r="252" spans="1:27" ht="15.75" customHeight="1">
      <c r="B252" s="1916" t="s">
        <v>1724</v>
      </c>
      <c r="C252" s="1917"/>
      <c r="D252" s="1918"/>
      <c r="E252" s="1918"/>
      <c r="F252" s="1918"/>
      <c r="G252" s="1918"/>
      <c r="H252" s="1918"/>
      <c r="I252" s="1918"/>
      <c r="J252" s="1918"/>
      <c r="K252" s="1918"/>
      <c r="L252" s="1918"/>
      <c r="M252" s="1918"/>
      <c r="N252" s="1918"/>
      <c r="O252" s="1918"/>
      <c r="P252" s="1918"/>
      <c r="Q252" s="1918"/>
      <c r="AA252" s="2490">
        <v>252</v>
      </c>
    </row>
    <row r="253" spans="1:27" ht="15" customHeight="1">
      <c r="A253" s="3710"/>
      <c r="B253" s="3711"/>
      <c r="C253" s="3711"/>
      <c r="D253" s="3711"/>
      <c r="E253" s="3711"/>
      <c r="F253" s="3711"/>
      <c r="G253" s="3711"/>
      <c r="H253" s="3711"/>
      <c r="I253" s="3711"/>
      <c r="J253" s="3711"/>
      <c r="K253" s="3711"/>
      <c r="L253" s="3711"/>
      <c r="M253" s="3711"/>
      <c r="N253" s="3711"/>
      <c r="O253" s="3711"/>
      <c r="P253" s="3711"/>
      <c r="Q253" s="3712"/>
      <c r="AA253" s="2490">
        <v>253</v>
      </c>
    </row>
    <row r="254" spans="1:27" ht="11.1" customHeight="1">
      <c r="A254" s="1910"/>
      <c r="B254" s="1913"/>
      <c r="C254" s="1918"/>
      <c r="D254" s="1918"/>
      <c r="E254" s="1918"/>
      <c r="F254" s="1918"/>
      <c r="G254" s="1918"/>
      <c r="H254" s="1918"/>
      <c r="I254" s="1918"/>
      <c r="J254" s="1918"/>
      <c r="K254" s="1918"/>
      <c r="L254" s="1918"/>
      <c r="M254" s="1918"/>
      <c r="N254" s="1918"/>
      <c r="O254" s="1918"/>
      <c r="P254" s="1918"/>
      <c r="Q254" s="1910"/>
      <c r="AA254" s="2490">
        <v>254</v>
      </c>
    </row>
    <row r="255" spans="1:27" ht="11.1" customHeight="1">
      <c r="A255" s="1915"/>
      <c r="B255" s="1913"/>
      <c r="C255" s="1918"/>
      <c r="D255" s="1918"/>
      <c r="E255" s="1918"/>
      <c r="F255" s="1918"/>
      <c r="G255" s="1918"/>
      <c r="H255" s="1918"/>
      <c r="I255" s="1918"/>
      <c r="J255" s="1918"/>
      <c r="K255" s="1918"/>
      <c r="L255" s="1918"/>
      <c r="M255" s="1918"/>
      <c r="N255" s="1918"/>
      <c r="O255" s="1918"/>
      <c r="P255" s="1918"/>
      <c r="Q255" s="1910"/>
      <c r="AA255" s="2490">
        <v>255</v>
      </c>
    </row>
    <row r="256" spans="1:27" ht="20.25" customHeight="1">
      <c r="A256" s="1919" t="s">
        <v>3286</v>
      </c>
      <c r="B256" s="1911" t="s">
        <v>3810</v>
      </c>
      <c r="C256" s="1911"/>
      <c r="D256" s="1911"/>
      <c r="E256" s="1911"/>
      <c r="F256" s="1911"/>
      <c r="G256" s="1911"/>
      <c r="H256" s="1918"/>
      <c r="I256" s="1918"/>
      <c r="J256" s="1918"/>
      <c r="K256" s="1918"/>
      <c r="L256" s="1918"/>
      <c r="M256" s="1918"/>
      <c r="O256" s="1914" t="s">
        <v>1725</v>
      </c>
      <c r="P256" s="3713"/>
      <c r="Q256" s="3714"/>
      <c r="AA256" s="2490">
        <v>256</v>
      </c>
    </row>
    <row r="257" spans="1:27" ht="15.6" customHeight="1">
      <c r="B257" s="1912" t="s">
        <v>4142</v>
      </c>
      <c r="O257" s="1921"/>
      <c r="P257" s="3739"/>
      <c r="Q257" s="3740"/>
      <c r="AA257" s="2490">
        <v>257</v>
      </c>
    </row>
    <row r="258" spans="1:27" ht="15.6" customHeight="1">
      <c r="A258" s="1925"/>
      <c r="B258" s="3729" t="s">
        <v>700</v>
      </c>
      <c r="C258" s="3729"/>
      <c r="D258" s="3729"/>
      <c r="E258" s="3729"/>
      <c r="F258" s="3729"/>
      <c r="G258" s="3729"/>
      <c r="H258" s="3729"/>
      <c r="I258" s="3729"/>
      <c r="J258" s="3729"/>
      <c r="K258" s="3729"/>
      <c r="L258" s="3729"/>
      <c r="M258" s="3729"/>
      <c r="N258" s="3729"/>
      <c r="O258" s="3729"/>
      <c r="P258" s="3730"/>
      <c r="Q258" s="3731"/>
      <c r="AA258" s="2491">
        <v>258</v>
      </c>
    </row>
    <row r="259" spans="1:27" ht="15.6" customHeight="1">
      <c r="B259" s="3729" t="s">
        <v>4789</v>
      </c>
      <c r="C259" s="3729"/>
      <c r="D259" s="3729"/>
      <c r="E259" s="3729"/>
      <c r="F259" s="3729"/>
      <c r="G259" s="3729"/>
      <c r="H259" s="3729"/>
      <c r="I259" s="3729"/>
      <c r="J259" s="3729"/>
      <c r="K259" s="3729"/>
      <c r="L259" s="3729"/>
      <c r="M259" s="3729"/>
      <c r="N259" s="3729"/>
      <c r="O259" s="3729"/>
      <c r="P259" s="3730"/>
      <c r="Q259" s="3731"/>
      <c r="AA259" s="2490">
        <v>259</v>
      </c>
    </row>
    <row r="260" spans="1:27" ht="27.9" customHeight="1">
      <c r="A260" s="1925"/>
      <c r="B260" s="3732" t="s">
        <v>5060</v>
      </c>
      <c r="C260" s="3732"/>
      <c r="D260" s="3732"/>
      <c r="E260" s="3732"/>
      <c r="F260" s="3732"/>
      <c r="G260" s="3732"/>
      <c r="H260" s="3732"/>
      <c r="I260" s="3732"/>
      <c r="J260" s="3732"/>
      <c r="K260" s="3732"/>
      <c r="L260" s="3732"/>
      <c r="M260" s="3732"/>
      <c r="N260" s="3732"/>
      <c r="O260" s="3732"/>
      <c r="P260" s="3733"/>
      <c r="Q260" s="3734"/>
      <c r="AA260" s="2490">
        <v>260</v>
      </c>
    </row>
    <row r="261" spans="1:27" ht="15.75" customHeight="1">
      <c r="B261" s="1931" t="s">
        <v>3154</v>
      </c>
      <c r="D261" s="1931"/>
      <c r="E261" s="1931"/>
      <c r="F261" s="1931"/>
      <c r="G261" s="1931"/>
      <c r="H261" s="1920"/>
      <c r="I261" s="1913"/>
      <c r="J261" s="1913"/>
      <c r="K261" s="1913"/>
      <c r="AA261" s="2490">
        <v>261</v>
      </c>
    </row>
    <row r="262" spans="1:27" ht="15" customHeight="1">
      <c r="A262" s="3707"/>
      <c r="B262" s="3708"/>
      <c r="C262" s="3708"/>
      <c r="D262" s="3708"/>
      <c r="E262" s="3708"/>
      <c r="F262" s="3708"/>
      <c r="G262" s="3708"/>
      <c r="H262" s="3708"/>
      <c r="I262" s="3708"/>
      <c r="J262" s="3708"/>
      <c r="K262" s="3708"/>
      <c r="L262" s="3708"/>
      <c r="M262" s="3708"/>
      <c r="N262" s="3708"/>
      <c r="O262" s="3708"/>
      <c r="P262" s="3708"/>
      <c r="Q262" s="3709"/>
      <c r="AA262" s="2490">
        <v>262</v>
      </c>
    </row>
    <row r="263" spans="1:27" ht="15.75" customHeight="1">
      <c r="B263" s="1916" t="s">
        <v>1724</v>
      </c>
      <c r="C263" s="1917"/>
      <c r="D263" s="1918"/>
      <c r="E263" s="1918"/>
      <c r="F263" s="1918"/>
      <c r="G263" s="1918"/>
      <c r="H263" s="1918"/>
      <c r="I263" s="1918"/>
      <c r="J263" s="1918"/>
      <c r="K263" s="1918"/>
      <c r="L263" s="1918"/>
      <c r="M263" s="1918"/>
      <c r="N263" s="1918"/>
      <c r="O263" s="1918"/>
      <c r="P263" s="1918"/>
      <c r="Q263" s="1918"/>
      <c r="AA263" s="2490">
        <v>263</v>
      </c>
    </row>
    <row r="264" spans="1:27" ht="15" customHeight="1">
      <c r="A264" s="3710"/>
      <c r="B264" s="3711"/>
      <c r="C264" s="3711"/>
      <c r="D264" s="3711"/>
      <c r="E264" s="3711"/>
      <c r="F264" s="3711"/>
      <c r="G264" s="3711"/>
      <c r="H264" s="3711"/>
      <c r="I264" s="3711"/>
      <c r="J264" s="3711"/>
      <c r="K264" s="3711"/>
      <c r="L264" s="3711"/>
      <c r="M264" s="3711"/>
      <c r="N264" s="3711"/>
      <c r="O264" s="3711"/>
      <c r="P264" s="3711"/>
      <c r="Q264" s="3712"/>
      <c r="AA264" s="2490">
        <v>264</v>
      </c>
    </row>
    <row r="265" spans="1:27" ht="11.1" customHeight="1">
      <c r="A265" s="1910"/>
      <c r="B265" s="1913"/>
      <c r="C265" s="1918"/>
      <c r="D265" s="1918"/>
      <c r="E265" s="1918"/>
      <c r="F265" s="1918"/>
      <c r="G265" s="1918"/>
      <c r="H265" s="1918"/>
      <c r="I265" s="1918"/>
      <c r="J265" s="1918"/>
      <c r="K265" s="1918"/>
      <c r="L265" s="1918"/>
      <c r="M265" s="1918"/>
      <c r="Q265" s="1910"/>
      <c r="AA265" s="2490">
        <v>265</v>
      </c>
    </row>
    <row r="266" spans="1:27" ht="11.1" customHeight="1">
      <c r="A266" s="1915"/>
      <c r="B266" s="1913"/>
      <c r="C266" s="1918"/>
      <c r="D266" s="1918"/>
      <c r="E266" s="1918"/>
      <c r="F266" s="1918"/>
      <c r="G266" s="1918"/>
      <c r="H266" s="1918"/>
      <c r="I266" s="1918"/>
      <c r="J266" s="1918"/>
      <c r="K266" s="1918"/>
      <c r="L266" s="1918"/>
      <c r="M266" s="1918"/>
      <c r="Q266" s="1910"/>
      <c r="AA266" s="2490">
        <v>266</v>
      </c>
    </row>
    <row r="267" spans="1:27" ht="20.25" customHeight="1">
      <c r="A267" s="1919" t="s">
        <v>3287</v>
      </c>
      <c r="B267" s="1911" t="s">
        <v>2500</v>
      </c>
      <c r="C267" s="1911"/>
      <c r="D267" s="1911"/>
      <c r="E267" s="1918"/>
      <c r="F267" s="1918"/>
      <c r="G267" s="1918"/>
      <c r="H267" s="1918"/>
      <c r="O267" s="1914" t="s">
        <v>1725</v>
      </c>
      <c r="P267" s="3721"/>
      <c r="Q267" s="3721"/>
      <c r="AA267" s="2490">
        <v>267</v>
      </c>
    </row>
    <row r="268" spans="1:27" ht="28.5" customHeight="1">
      <c r="A268" s="1915"/>
      <c r="B268" s="3715" t="s">
        <v>5059</v>
      </c>
      <c r="C268" s="3715"/>
      <c r="D268" s="3715"/>
      <c r="E268" s="3715"/>
      <c r="F268" s="3715"/>
      <c r="G268" s="3715"/>
      <c r="H268" s="3715"/>
      <c r="I268" s="3715"/>
      <c r="J268" s="3715"/>
      <c r="K268" s="3715"/>
      <c r="L268" s="3715"/>
      <c r="M268" s="3715"/>
      <c r="N268" s="3715"/>
      <c r="O268" s="1968"/>
      <c r="P268" s="3727"/>
      <c r="Q268" s="3728"/>
      <c r="AA268" s="2490">
        <v>268</v>
      </c>
    </row>
    <row r="269" spans="1:27" ht="44.4" customHeight="1">
      <c r="A269" s="1940"/>
      <c r="B269" s="3723" t="s">
        <v>4674</v>
      </c>
      <c r="C269" s="3723"/>
      <c r="D269" s="3723"/>
      <c r="E269" s="3723"/>
      <c r="F269" s="3723"/>
      <c r="G269" s="3723"/>
      <c r="H269" s="3723"/>
      <c r="I269" s="3723"/>
      <c r="J269" s="3723"/>
      <c r="K269" s="3723"/>
      <c r="L269" s="3723"/>
      <c r="M269" s="3723"/>
      <c r="N269" s="3723"/>
      <c r="O269" s="3724"/>
      <c r="P269" s="3720"/>
      <c r="Q269" s="3720"/>
      <c r="AA269" s="2490">
        <v>269</v>
      </c>
    </row>
    <row r="270" spans="1:27" ht="15.75" customHeight="1">
      <c r="B270" s="1931" t="s">
        <v>3154</v>
      </c>
      <c r="D270" s="1931"/>
      <c r="E270" s="1931"/>
      <c r="F270" s="1931"/>
      <c r="G270" s="1931"/>
      <c r="H270" s="1920"/>
      <c r="I270" s="1913"/>
      <c r="J270" s="1913"/>
      <c r="K270" s="1913"/>
      <c r="L270" s="1910"/>
      <c r="M270" s="1910"/>
      <c r="N270" s="1910"/>
      <c r="O270" s="1910"/>
      <c r="P270" s="1910"/>
      <c r="Q270" s="1910"/>
      <c r="AA270" s="2490">
        <v>270</v>
      </c>
    </row>
    <row r="271" spans="1:27" ht="30" customHeight="1">
      <c r="A271" s="3707"/>
      <c r="B271" s="3708"/>
      <c r="C271" s="3708"/>
      <c r="D271" s="3708"/>
      <c r="E271" s="3708"/>
      <c r="F271" s="3708"/>
      <c r="G271" s="3708"/>
      <c r="H271" s="3708"/>
      <c r="I271" s="3708"/>
      <c r="J271" s="3708"/>
      <c r="K271" s="3708"/>
      <c r="L271" s="3708"/>
      <c r="M271" s="3708"/>
      <c r="N271" s="3708"/>
      <c r="O271" s="3708"/>
      <c r="P271" s="3708"/>
      <c r="Q271" s="3709"/>
      <c r="AA271" s="2490">
        <v>271</v>
      </c>
    </row>
    <row r="272" spans="1:27" ht="15.75" customHeight="1">
      <c r="B272" s="1916" t="s">
        <v>1724</v>
      </c>
      <c r="C272" s="1917"/>
      <c r="D272" s="1918"/>
      <c r="E272" s="1918"/>
      <c r="F272" s="1918"/>
      <c r="G272" s="1918"/>
      <c r="H272" s="1918"/>
      <c r="I272" s="1918"/>
      <c r="J272" s="1918"/>
      <c r="K272" s="1918"/>
      <c r="L272" s="1918"/>
      <c r="M272" s="1918"/>
      <c r="N272" s="1918"/>
      <c r="O272" s="1918"/>
      <c r="P272" s="1918"/>
      <c r="Q272" s="1918"/>
      <c r="AA272" s="2490">
        <v>272</v>
      </c>
    </row>
    <row r="273" spans="1:27" ht="15" customHeight="1">
      <c r="A273" s="3710"/>
      <c r="B273" s="3711"/>
      <c r="C273" s="3711"/>
      <c r="D273" s="3711"/>
      <c r="E273" s="3711"/>
      <c r="F273" s="3711"/>
      <c r="G273" s="3711"/>
      <c r="H273" s="3711"/>
      <c r="I273" s="3711"/>
      <c r="J273" s="3711"/>
      <c r="K273" s="3711"/>
      <c r="L273" s="3711"/>
      <c r="M273" s="3711"/>
      <c r="N273" s="3711"/>
      <c r="O273" s="3711"/>
      <c r="P273" s="3711"/>
      <c r="Q273" s="3712"/>
      <c r="AA273" s="2491">
        <v>273</v>
      </c>
    </row>
    <row r="274" spans="1:27" ht="11.4" customHeight="1">
      <c r="A274" s="1910"/>
      <c r="B274" s="1913"/>
      <c r="C274" s="1918"/>
      <c r="D274" s="1918"/>
      <c r="E274" s="1918"/>
      <c r="F274" s="1918"/>
      <c r="G274" s="1918"/>
      <c r="H274" s="1918"/>
      <c r="I274" s="1918"/>
      <c r="J274" s="1918"/>
      <c r="K274" s="1918"/>
      <c r="L274" s="1918"/>
      <c r="M274" s="1918"/>
      <c r="Q274" s="1910"/>
      <c r="AA274" s="2490">
        <v>274</v>
      </c>
    </row>
    <row r="275" spans="1:27" ht="11.4" customHeight="1">
      <c r="A275" s="1910"/>
      <c r="B275" s="1913"/>
      <c r="C275" s="1918"/>
      <c r="D275" s="1918"/>
      <c r="E275" s="1918"/>
      <c r="F275" s="1918"/>
      <c r="G275" s="1918"/>
      <c r="H275" s="1918"/>
      <c r="I275" s="1918"/>
      <c r="J275" s="1918"/>
      <c r="K275" s="1918"/>
      <c r="L275" s="1918"/>
      <c r="M275" s="1918"/>
      <c r="Q275" s="1910"/>
      <c r="AA275" s="2490">
        <v>275</v>
      </c>
    </row>
    <row r="276" spans="1:27" ht="14.25" customHeight="1">
      <c r="A276" s="1919" t="s">
        <v>3288</v>
      </c>
      <c r="B276" s="1919" t="s">
        <v>4790</v>
      </c>
      <c r="C276" s="1918"/>
      <c r="D276" s="1918"/>
      <c r="E276" s="1918"/>
      <c r="F276" s="1918"/>
      <c r="G276" s="1918"/>
      <c r="H276" s="1918"/>
      <c r="I276" s="1918"/>
      <c r="J276" s="1918"/>
      <c r="K276" s="1918"/>
      <c r="L276" s="1918"/>
      <c r="M276" s="1918"/>
      <c r="O276" s="1914" t="s">
        <v>1725</v>
      </c>
      <c r="P276" s="3721"/>
      <c r="Q276" s="3721"/>
      <c r="AA276" s="2490">
        <v>276</v>
      </c>
    </row>
    <row r="277" spans="1:27" ht="14.25" customHeight="1">
      <c r="A277" s="2060" t="s">
        <v>1835</v>
      </c>
      <c r="B277" s="1919" t="s">
        <v>4791</v>
      </c>
      <c r="C277" s="1919"/>
      <c r="D277" s="1920"/>
      <c r="E277" s="1918"/>
      <c r="F277" s="1918"/>
      <c r="G277" s="1918"/>
      <c r="H277" s="1918"/>
      <c r="I277" s="1918"/>
      <c r="J277" s="1918"/>
      <c r="K277" s="1918"/>
      <c r="L277" s="1918"/>
      <c r="M277" s="1918"/>
      <c r="P277" s="3726"/>
      <c r="Q277" s="3726"/>
      <c r="AA277" s="2490">
        <v>277</v>
      </c>
    </row>
    <row r="278" spans="1:27" ht="30" customHeight="1">
      <c r="A278" s="1920"/>
      <c r="B278" s="3723" t="s">
        <v>4962</v>
      </c>
      <c r="C278" s="3723"/>
      <c r="D278" s="3723"/>
      <c r="E278" s="3723"/>
      <c r="F278" s="3723"/>
      <c r="G278" s="3723"/>
      <c r="H278" s="3723"/>
      <c r="I278" s="3723"/>
      <c r="J278" s="3723"/>
      <c r="K278" s="3723"/>
      <c r="L278" s="3723"/>
      <c r="M278" s="3723"/>
      <c r="N278" s="3723"/>
      <c r="O278" s="3724"/>
      <c r="P278" s="3725"/>
      <c r="Q278" s="3725"/>
      <c r="AA278" s="2490">
        <v>278</v>
      </c>
    </row>
    <row r="279" spans="1:27" ht="14.25" customHeight="1">
      <c r="A279" s="2060" t="s">
        <v>1837</v>
      </c>
      <c r="B279" s="1919" t="s">
        <v>4792</v>
      </c>
      <c r="C279" s="1915"/>
      <c r="D279" s="1920"/>
      <c r="E279" s="1918"/>
      <c r="F279" s="1918"/>
      <c r="G279" s="1918"/>
      <c r="H279" s="1918"/>
      <c r="I279" s="1918"/>
      <c r="J279" s="1918"/>
      <c r="K279" s="1918"/>
      <c r="L279" s="1918"/>
      <c r="M279" s="1918"/>
      <c r="P279" s="3725"/>
      <c r="Q279" s="3725"/>
      <c r="AA279" s="2490">
        <v>279</v>
      </c>
    </row>
    <row r="280" spans="1:27" ht="29.25" customHeight="1">
      <c r="A280" s="1920"/>
      <c r="B280" s="3723" t="s">
        <v>4968</v>
      </c>
      <c r="C280" s="3723"/>
      <c r="D280" s="3723"/>
      <c r="E280" s="3723"/>
      <c r="F280" s="3723"/>
      <c r="G280" s="3723"/>
      <c r="H280" s="3723"/>
      <c r="I280" s="3723"/>
      <c r="J280" s="3723"/>
      <c r="K280" s="3723"/>
      <c r="L280" s="3723"/>
      <c r="M280" s="3723"/>
      <c r="N280" s="3723"/>
      <c r="O280" s="3724"/>
      <c r="P280" s="3720"/>
      <c r="Q280" s="3720"/>
      <c r="AA280" s="2490">
        <v>280</v>
      </c>
    </row>
    <row r="281" spans="1:27" ht="15.75" customHeight="1">
      <c r="A281" s="1919"/>
      <c r="B281" s="1931" t="s">
        <v>3154</v>
      </c>
      <c r="D281" s="1931"/>
      <c r="E281" s="1931"/>
      <c r="F281" s="1931"/>
      <c r="G281" s="1931"/>
      <c r="H281" s="1920"/>
      <c r="I281" s="1913"/>
      <c r="J281" s="1913"/>
      <c r="K281" s="1913"/>
      <c r="L281" s="1910"/>
      <c r="M281" s="1910"/>
      <c r="N281" s="1910"/>
      <c r="O281" s="1910"/>
      <c r="P281" s="1910"/>
      <c r="Q281" s="1910"/>
      <c r="AA281" s="2490">
        <v>281</v>
      </c>
    </row>
    <row r="282" spans="1:27" ht="15" customHeight="1">
      <c r="A282" s="3707"/>
      <c r="B282" s="3708"/>
      <c r="C282" s="3708"/>
      <c r="D282" s="3708"/>
      <c r="E282" s="3708"/>
      <c r="F282" s="3708"/>
      <c r="G282" s="3708"/>
      <c r="H282" s="3708"/>
      <c r="I282" s="3708"/>
      <c r="J282" s="3708"/>
      <c r="K282" s="3708"/>
      <c r="L282" s="3708"/>
      <c r="M282" s="3708"/>
      <c r="N282" s="3708"/>
      <c r="O282" s="3708"/>
      <c r="P282" s="3708"/>
      <c r="Q282" s="3709"/>
      <c r="AA282" s="2491">
        <v>282</v>
      </c>
    </row>
    <row r="283" spans="1:27" ht="15.75" customHeight="1">
      <c r="B283" s="1916" t="s">
        <v>1724</v>
      </c>
      <c r="C283" s="1917"/>
      <c r="D283" s="1918"/>
      <c r="E283" s="1918"/>
      <c r="F283" s="1918"/>
      <c r="G283" s="1918"/>
      <c r="H283" s="1918"/>
      <c r="I283" s="1918"/>
      <c r="J283" s="1918"/>
      <c r="K283" s="1918"/>
      <c r="L283" s="1918"/>
      <c r="M283" s="1918"/>
      <c r="N283" s="1918"/>
      <c r="O283" s="1918"/>
      <c r="P283" s="1918"/>
      <c r="Q283" s="1918"/>
      <c r="AA283" s="2490">
        <v>283</v>
      </c>
    </row>
    <row r="284" spans="1:27" ht="15" customHeight="1">
      <c r="A284" s="3710"/>
      <c r="B284" s="3711"/>
      <c r="C284" s="3711"/>
      <c r="D284" s="3711"/>
      <c r="E284" s="3711"/>
      <c r="F284" s="3711"/>
      <c r="G284" s="3711"/>
      <c r="H284" s="3711"/>
      <c r="I284" s="3711"/>
      <c r="J284" s="3711"/>
      <c r="K284" s="3711"/>
      <c r="L284" s="3711"/>
      <c r="M284" s="3711"/>
      <c r="N284" s="3711"/>
      <c r="O284" s="3711"/>
      <c r="P284" s="3711"/>
      <c r="Q284" s="3712"/>
      <c r="AA284" s="2490">
        <v>284</v>
      </c>
    </row>
    <row r="285" spans="1:27" ht="14.25" customHeight="1">
      <c r="A285" s="1919"/>
      <c r="B285" s="1913"/>
      <c r="C285" s="1918"/>
      <c r="D285" s="1918"/>
      <c r="E285" s="1918"/>
      <c r="F285" s="1918"/>
      <c r="G285" s="1918"/>
      <c r="H285" s="1918"/>
      <c r="I285" s="1918"/>
      <c r="J285" s="1918"/>
      <c r="K285" s="1918"/>
      <c r="L285" s="1918"/>
      <c r="M285" s="1918"/>
      <c r="Q285" s="1910"/>
      <c r="AA285" s="2490">
        <v>285</v>
      </c>
    </row>
    <row r="286" spans="1:27" ht="14.25" customHeight="1">
      <c r="A286" s="1919"/>
      <c r="B286" s="1913"/>
      <c r="C286" s="1918"/>
      <c r="D286" s="1918"/>
      <c r="E286" s="1918"/>
      <c r="F286" s="1918"/>
      <c r="G286" s="1918"/>
      <c r="H286" s="1918"/>
      <c r="I286" s="1918"/>
      <c r="J286" s="1918"/>
      <c r="K286" s="1918"/>
      <c r="L286" s="1918"/>
      <c r="M286" s="1918"/>
      <c r="Q286" s="1910"/>
      <c r="AA286" s="2490">
        <v>286</v>
      </c>
    </row>
    <row r="287" spans="1:27" ht="14.25" customHeight="1">
      <c r="A287" s="1919" t="s">
        <v>3289</v>
      </c>
      <c r="B287" s="1919" t="s">
        <v>4793</v>
      </c>
      <c r="C287" s="1918"/>
      <c r="D287" s="1918"/>
      <c r="E287" s="1918"/>
      <c r="F287" s="1918"/>
      <c r="G287" s="1918"/>
      <c r="H287" s="1918"/>
      <c r="I287" s="1918"/>
      <c r="J287" s="1918"/>
      <c r="K287" s="1918"/>
      <c r="L287" s="1918"/>
      <c r="M287" s="1918"/>
      <c r="O287" s="1914" t="s">
        <v>1725</v>
      </c>
      <c r="P287" s="3721"/>
      <c r="Q287" s="3721"/>
      <c r="AA287" s="2490">
        <v>287</v>
      </c>
    </row>
    <row r="288" spans="1:27" ht="30.75" customHeight="1">
      <c r="A288" s="1919"/>
      <c r="B288" s="3715" t="s">
        <v>5061</v>
      </c>
      <c r="C288" s="3715"/>
      <c r="D288" s="3715"/>
      <c r="E288" s="3715"/>
      <c r="F288" s="3715"/>
      <c r="G288" s="3715"/>
      <c r="H288" s="3715"/>
      <c r="I288" s="3715"/>
      <c r="J288" s="3715"/>
      <c r="K288" s="3715"/>
      <c r="L288" s="3715"/>
      <c r="M288" s="3715"/>
      <c r="N288" s="3715"/>
      <c r="O288" s="3716"/>
      <c r="P288" s="3722"/>
      <c r="Q288" s="3722"/>
      <c r="AA288" s="2490">
        <v>288</v>
      </c>
    </row>
    <row r="289" spans="1:27" ht="20.25" customHeight="1">
      <c r="A289" s="1919"/>
      <c r="B289" s="1931" t="s">
        <v>3154</v>
      </c>
      <c r="D289" s="1931"/>
      <c r="E289" s="1931"/>
      <c r="F289" s="1931"/>
      <c r="G289" s="1931"/>
      <c r="H289" s="1920"/>
      <c r="I289" s="1913"/>
      <c r="J289" s="1913"/>
      <c r="K289" s="1913"/>
      <c r="L289" s="1910"/>
      <c r="M289" s="1910"/>
      <c r="N289" s="1910"/>
      <c r="O289" s="1910"/>
      <c r="P289" s="1910"/>
      <c r="Q289" s="1910"/>
      <c r="AA289" s="2490">
        <v>289</v>
      </c>
    </row>
    <row r="290" spans="1:27" ht="15" customHeight="1">
      <c r="A290" s="3707"/>
      <c r="B290" s="3708"/>
      <c r="C290" s="3708"/>
      <c r="D290" s="3708"/>
      <c r="E290" s="3708"/>
      <c r="F290" s="3708"/>
      <c r="G290" s="3708"/>
      <c r="H290" s="3708"/>
      <c r="I290" s="3708"/>
      <c r="J290" s="3708"/>
      <c r="K290" s="3708"/>
      <c r="L290" s="3708"/>
      <c r="M290" s="3708"/>
      <c r="N290" s="3708"/>
      <c r="O290" s="3708"/>
      <c r="P290" s="3708"/>
      <c r="Q290" s="3709"/>
      <c r="AA290" s="2490">
        <v>290</v>
      </c>
    </row>
    <row r="291" spans="1:27" ht="20.25" customHeight="1">
      <c r="B291" s="1916" t="s">
        <v>1724</v>
      </c>
      <c r="C291" s="1917"/>
      <c r="D291" s="1918"/>
      <c r="E291" s="1918"/>
      <c r="F291" s="1918"/>
      <c r="G291" s="1918"/>
      <c r="H291" s="1918"/>
      <c r="I291" s="1918"/>
      <c r="J291" s="1918"/>
      <c r="K291" s="1918"/>
      <c r="L291" s="1918"/>
      <c r="M291" s="1918"/>
      <c r="N291" s="1918"/>
      <c r="O291" s="1918"/>
      <c r="P291" s="1918"/>
      <c r="Q291" s="1918"/>
      <c r="AA291" s="2490">
        <v>291</v>
      </c>
    </row>
    <row r="292" spans="1:27" ht="15" customHeight="1">
      <c r="A292" s="3710"/>
      <c r="B292" s="3711"/>
      <c r="C292" s="3711"/>
      <c r="D292" s="3711"/>
      <c r="E292" s="3711"/>
      <c r="F292" s="3711"/>
      <c r="G292" s="3711"/>
      <c r="H292" s="3711"/>
      <c r="I292" s="3711"/>
      <c r="J292" s="3711"/>
      <c r="K292" s="3711"/>
      <c r="L292" s="3711"/>
      <c r="M292" s="3711"/>
      <c r="N292" s="3711"/>
      <c r="O292" s="3711"/>
      <c r="P292" s="3711"/>
      <c r="Q292" s="3712"/>
      <c r="AA292" s="2490">
        <v>292</v>
      </c>
    </row>
    <row r="293" spans="1:27" ht="14.25" customHeight="1">
      <c r="A293" s="1919"/>
      <c r="B293" s="1913"/>
      <c r="C293" s="1918"/>
      <c r="D293" s="1918"/>
      <c r="E293" s="1918"/>
      <c r="F293" s="1918"/>
      <c r="G293" s="1918"/>
      <c r="H293" s="1918"/>
      <c r="I293" s="1918"/>
      <c r="J293" s="1918"/>
      <c r="K293" s="1918"/>
      <c r="L293" s="1918"/>
      <c r="M293" s="1918"/>
      <c r="Q293" s="1910"/>
      <c r="AA293" s="2490">
        <v>293</v>
      </c>
    </row>
    <row r="294" spans="1:27" ht="14.25" customHeight="1">
      <c r="A294" s="1919"/>
      <c r="B294" s="1913"/>
      <c r="C294" s="1918"/>
      <c r="D294" s="1918"/>
      <c r="E294" s="1918"/>
      <c r="F294" s="1918"/>
      <c r="G294" s="1918"/>
      <c r="H294" s="1918"/>
      <c r="I294" s="1918"/>
      <c r="J294" s="1918"/>
      <c r="K294" s="1918"/>
      <c r="L294" s="1918"/>
      <c r="M294" s="1918"/>
      <c r="Q294" s="1910"/>
      <c r="AA294" s="2490">
        <v>294</v>
      </c>
    </row>
    <row r="295" spans="1:27" ht="20.25" customHeight="1">
      <c r="A295" s="1919" t="s">
        <v>3290</v>
      </c>
      <c r="B295" s="1911" t="s">
        <v>4795</v>
      </c>
      <c r="C295" s="1915"/>
      <c r="D295" s="1911"/>
      <c r="E295" s="1918"/>
      <c r="F295" s="1918"/>
      <c r="G295" s="1918"/>
      <c r="H295" s="1918"/>
      <c r="J295" s="1918"/>
      <c r="K295" s="1918"/>
      <c r="L295" s="1918"/>
      <c r="M295" s="1918"/>
      <c r="O295" s="1914" t="s">
        <v>1725</v>
      </c>
      <c r="P295" s="3713"/>
      <c r="Q295" s="3714"/>
      <c r="S295" s="1915"/>
      <c r="T295" s="1915"/>
      <c r="AA295" s="2490">
        <v>295</v>
      </c>
    </row>
    <row r="296" spans="1:27">
      <c r="A296" s="1919"/>
      <c r="B296" s="3715" t="s">
        <v>4971</v>
      </c>
      <c r="C296" s="3715"/>
      <c r="D296" s="3715"/>
      <c r="E296" s="3715"/>
      <c r="F296" s="3715"/>
      <c r="G296" s="3715"/>
      <c r="H296" s="3715"/>
      <c r="I296" s="3715"/>
      <c r="J296" s="3715"/>
      <c r="K296" s="3715"/>
      <c r="L296" s="3715"/>
      <c r="M296" s="3715"/>
      <c r="N296" s="3715"/>
      <c r="O296" s="3716"/>
      <c r="P296" s="3717"/>
      <c r="Q296" s="3717"/>
      <c r="AA296" s="2490">
        <v>296</v>
      </c>
    </row>
    <row r="297" spans="1:27" ht="45" customHeight="1">
      <c r="A297" s="1919"/>
      <c r="B297" s="3718" t="s">
        <v>4796</v>
      </c>
      <c r="C297" s="3718"/>
      <c r="D297" s="3718"/>
      <c r="E297" s="3718"/>
      <c r="F297" s="3718"/>
      <c r="G297" s="3718"/>
      <c r="H297" s="3718"/>
      <c r="I297" s="3718"/>
      <c r="J297" s="3718"/>
      <c r="K297" s="3718"/>
      <c r="L297" s="3718"/>
      <c r="M297" s="3718"/>
      <c r="N297" s="3718"/>
      <c r="O297" s="3719"/>
      <c r="P297" s="3720"/>
      <c r="Q297" s="3720"/>
      <c r="AA297" s="2491">
        <v>297</v>
      </c>
    </row>
    <row r="298" spans="1:27" ht="15" customHeight="1">
      <c r="A298" s="1919"/>
      <c r="B298" s="1931" t="s">
        <v>3154</v>
      </c>
      <c r="D298" s="1931"/>
      <c r="E298" s="1931"/>
      <c r="F298" s="1931"/>
      <c r="G298" s="1931"/>
      <c r="H298" s="1920"/>
      <c r="I298" s="1913"/>
      <c r="J298" s="1913"/>
      <c r="K298" s="1913"/>
      <c r="L298" s="1910"/>
      <c r="M298" s="1910"/>
      <c r="N298" s="1910"/>
      <c r="O298" s="1910"/>
      <c r="P298" s="1910"/>
      <c r="Q298" s="1910"/>
      <c r="AA298" s="2490">
        <v>298</v>
      </c>
    </row>
    <row r="299" spans="1:27" ht="15" customHeight="1">
      <c r="A299" s="3707"/>
      <c r="B299" s="3708"/>
      <c r="C299" s="3708"/>
      <c r="D299" s="3708"/>
      <c r="E299" s="3708"/>
      <c r="F299" s="3708"/>
      <c r="G299" s="3708"/>
      <c r="H299" s="3708"/>
      <c r="I299" s="3708"/>
      <c r="J299" s="3708"/>
      <c r="K299" s="3708"/>
      <c r="L299" s="3708"/>
      <c r="M299" s="3708"/>
      <c r="N299" s="3708"/>
      <c r="O299" s="3708"/>
      <c r="P299" s="3708"/>
      <c r="Q299" s="3709"/>
      <c r="AA299" s="2490">
        <v>299</v>
      </c>
    </row>
    <row r="300" spans="1:27" ht="15" customHeight="1">
      <c r="B300" s="1916" t="s">
        <v>1724</v>
      </c>
      <c r="C300" s="1917"/>
      <c r="D300" s="1918"/>
      <c r="E300" s="1918"/>
      <c r="F300" s="1918"/>
      <c r="G300" s="1918"/>
      <c r="H300" s="1918"/>
      <c r="I300" s="1918"/>
      <c r="J300" s="1918"/>
      <c r="K300" s="1918"/>
      <c r="L300" s="1918"/>
      <c r="M300" s="1918"/>
      <c r="N300" s="1918"/>
      <c r="O300" s="1918"/>
      <c r="P300" s="1918"/>
      <c r="Q300" s="1918"/>
      <c r="AA300" s="2490">
        <v>300</v>
      </c>
    </row>
    <row r="301" spans="1:27" ht="15" customHeight="1">
      <c r="A301" s="3710"/>
      <c r="B301" s="3711"/>
      <c r="C301" s="3711"/>
      <c r="D301" s="3711"/>
      <c r="E301" s="3711"/>
      <c r="F301" s="3711"/>
      <c r="G301" s="3711"/>
      <c r="H301" s="3711"/>
      <c r="I301" s="3711"/>
      <c r="J301" s="3711"/>
      <c r="K301" s="3711"/>
      <c r="L301" s="3711"/>
      <c r="M301" s="3711"/>
      <c r="N301" s="3711"/>
      <c r="O301" s="3711"/>
      <c r="P301" s="3711"/>
      <c r="Q301" s="3712"/>
      <c r="AA301" s="2490">
        <v>301</v>
      </c>
    </row>
    <row r="302" spans="1:27" ht="15.6" customHeight="1">
      <c r="A302" s="1910"/>
      <c r="B302" s="1913"/>
      <c r="C302" s="1918"/>
      <c r="D302" s="1918"/>
      <c r="E302" s="1918"/>
      <c r="F302" s="1918"/>
      <c r="G302" s="1918"/>
      <c r="H302" s="1918"/>
      <c r="I302" s="1918"/>
      <c r="J302" s="1918"/>
      <c r="K302" s="1918"/>
      <c r="L302" s="1918"/>
      <c r="M302" s="1918"/>
      <c r="N302" s="1918"/>
      <c r="O302" s="1918"/>
      <c r="P302" s="1918"/>
      <c r="Q302" s="1910"/>
      <c r="AA302" s="2490">
        <v>302</v>
      </c>
    </row>
    <row r="303" spans="1:27" ht="14.25" customHeight="1">
      <c r="A303" s="1919"/>
      <c r="B303" s="1913"/>
      <c r="C303" s="1918"/>
      <c r="D303" s="1918"/>
      <c r="E303" s="1918"/>
      <c r="F303" s="1918"/>
      <c r="G303" s="1918"/>
      <c r="H303" s="1918"/>
      <c r="I303" s="1918"/>
      <c r="J303" s="1918"/>
      <c r="K303" s="1918"/>
      <c r="L303" s="1918"/>
      <c r="M303" s="1918"/>
      <c r="Q303" s="1910"/>
      <c r="AA303" s="2490">
        <v>303</v>
      </c>
    </row>
    <row r="304" spans="1:27" ht="20.25" customHeight="1">
      <c r="A304" s="1919" t="s">
        <v>3677</v>
      </c>
      <c r="B304" s="1911" t="s">
        <v>2428</v>
      </c>
      <c r="C304" s="1915"/>
      <c r="D304" s="1911"/>
      <c r="E304" s="1918"/>
      <c r="F304" s="1918"/>
      <c r="G304" s="1918"/>
      <c r="H304" s="1918"/>
      <c r="J304" s="1918"/>
      <c r="K304" s="1918"/>
      <c r="L304" s="1918"/>
      <c r="M304" s="1918"/>
      <c r="O304" s="1914" t="s">
        <v>1725</v>
      </c>
      <c r="P304" s="3713"/>
      <c r="Q304" s="3714"/>
      <c r="AA304" s="2490">
        <v>304</v>
      </c>
    </row>
    <row r="305" spans="1:27" ht="15" customHeight="1">
      <c r="A305" s="1919"/>
      <c r="B305" s="1931" t="s">
        <v>3154</v>
      </c>
      <c r="D305" s="1931"/>
      <c r="E305" s="1931"/>
      <c r="F305" s="1931"/>
      <c r="G305" s="1931"/>
      <c r="H305" s="1920"/>
      <c r="I305" s="1913"/>
      <c r="J305" s="1913"/>
      <c r="K305" s="1913"/>
      <c r="L305" s="1910"/>
      <c r="M305" s="1910"/>
      <c r="N305" s="1910"/>
      <c r="O305" s="1910"/>
      <c r="P305" s="1910"/>
      <c r="Q305" s="1910"/>
      <c r="AA305" s="2490">
        <v>305</v>
      </c>
    </row>
    <row r="306" spans="1:27" ht="30" customHeight="1">
      <c r="A306" s="3707"/>
      <c r="B306" s="3708"/>
      <c r="C306" s="3708"/>
      <c r="D306" s="3708"/>
      <c r="E306" s="3708"/>
      <c r="F306" s="3708"/>
      <c r="G306" s="3708"/>
      <c r="H306" s="3708"/>
      <c r="I306" s="3708"/>
      <c r="J306" s="3708"/>
      <c r="K306" s="3708"/>
      <c r="L306" s="3708"/>
      <c r="M306" s="3708"/>
      <c r="N306" s="3708"/>
      <c r="O306" s="3708"/>
      <c r="P306" s="3708"/>
      <c r="Q306" s="3709"/>
      <c r="AA306" s="2491">
        <v>306</v>
      </c>
    </row>
    <row r="307" spans="1:27" ht="15" customHeight="1">
      <c r="B307" s="1916" t="s">
        <v>1724</v>
      </c>
      <c r="C307" s="1917"/>
      <c r="D307" s="1918"/>
      <c r="E307" s="1918"/>
      <c r="F307" s="1918"/>
      <c r="G307" s="1918"/>
      <c r="H307" s="1918"/>
      <c r="I307" s="1918"/>
      <c r="J307" s="1918"/>
      <c r="K307" s="1918"/>
      <c r="L307" s="1918"/>
      <c r="M307" s="1918"/>
      <c r="N307" s="1918"/>
      <c r="O307" s="1918"/>
      <c r="P307" s="1918"/>
      <c r="Q307" s="1918"/>
      <c r="AA307" s="2490">
        <v>307</v>
      </c>
    </row>
    <row r="308" spans="1:27" ht="15" customHeight="1">
      <c r="A308" s="3710"/>
      <c r="B308" s="3711"/>
      <c r="C308" s="3711"/>
      <c r="D308" s="3711"/>
      <c r="E308" s="3711"/>
      <c r="F308" s="3711"/>
      <c r="G308" s="3711"/>
      <c r="H308" s="3711"/>
      <c r="I308" s="3711"/>
      <c r="J308" s="3711"/>
      <c r="K308" s="3711"/>
      <c r="L308" s="3711"/>
      <c r="M308" s="3711"/>
      <c r="N308" s="3711"/>
      <c r="O308" s="3711"/>
      <c r="P308" s="3711"/>
      <c r="Q308" s="3712"/>
      <c r="AA308" s="2490">
        <v>308</v>
      </c>
    </row>
    <row r="309" spans="1:27" ht="20.25" customHeight="1">
      <c r="A309" s="1918"/>
      <c r="B309" s="1918"/>
      <c r="C309" s="1918"/>
      <c r="D309" s="1918"/>
      <c r="E309" s="1918"/>
      <c r="F309" s="1918"/>
      <c r="G309" s="1918"/>
      <c r="H309" s="1918"/>
      <c r="I309" s="1918"/>
      <c r="J309" s="1918"/>
      <c r="K309" s="1918"/>
      <c r="L309" s="1918"/>
      <c r="M309" s="1918"/>
      <c r="N309" s="1918"/>
      <c r="O309" s="1918"/>
      <c r="P309" s="1918"/>
      <c r="Q309" s="1918"/>
      <c r="R309" s="1964"/>
      <c r="AA309" s="2490">
        <v>309</v>
      </c>
    </row>
    <row r="310" spans="1:27" ht="20.25" customHeight="1">
      <c r="A310" s="1918"/>
      <c r="B310" s="1918"/>
      <c r="C310" s="1918"/>
      <c r="D310" s="1918"/>
      <c r="E310" s="1918"/>
      <c r="F310" s="1918"/>
      <c r="G310" s="1918"/>
      <c r="H310" s="1918"/>
      <c r="I310" s="1918"/>
      <c r="J310" s="1918"/>
      <c r="K310" s="1918"/>
      <c r="L310" s="1918"/>
      <c r="M310" s="1918"/>
      <c r="N310" s="1918"/>
      <c r="O310" s="1918"/>
      <c r="P310" s="1918"/>
      <c r="Q310" s="1918"/>
      <c r="R310" s="1964"/>
      <c r="S310" s="1964"/>
      <c r="AA310" s="2490">
        <v>310</v>
      </c>
    </row>
    <row r="311" spans="1:27">
      <c r="R311" s="1964"/>
      <c r="S311" s="1964"/>
      <c r="AA311" s="2490">
        <v>311</v>
      </c>
    </row>
    <row r="312" spans="1:27">
      <c r="R312" s="1964"/>
      <c r="S312" s="1964"/>
      <c r="AA312" s="2490">
        <v>312</v>
      </c>
    </row>
    <row r="313" spans="1:27">
      <c r="R313" s="1964"/>
      <c r="S313" s="1964"/>
      <c r="AA313" s="2490">
        <v>313</v>
      </c>
    </row>
    <row r="314" spans="1:27">
      <c r="R314" s="1964"/>
      <c r="S314" s="1964"/>
      <c r="AA314" s="2490">
        <v>314</v>
      </c>
    </row>
    <row r="315" spans="1:27">
      <c r="R315" s="1964"/>
      <c r="S315" s="1964"/>
      <c r="AA315" s="2490">
        <v>315</v>
      </c>
    </row>
    <row r="316" spans="1:27">
      <c r="R316" s="1964"/>
      <c r="S316" s="1964"/>
      <c r="AA316" s="2490">
        <v>316</v>
      </c>
    </row>
    <row r="317" spans="1:27">
      <c r="R317" s="1964"/>
      <c r="S317" s="1964"/>
      <c r="AA317" s="2490">
        <v>317</v>
      </c>
    </row>
    <row r="318" spans="1:27">
      <c r="R318" s="1964"/>
      <c r="S318" s="1964"/>
      <c r="AA318" s="2490">
        <v>318</v>
      </c>
    </row>
    <row r="319" spans="1:27">
      <c r="R319" s="1964"/>
      <c r="S319" s="1964"/>
      <c r="AA319" s="2490">
        <v>319</v>
      </c>
    </row>
    <row r="320" spans="1:27">
      <c r="R320" s="1964"/>
      <c r="S320" s="1964"/>
      <c r="AA320" s="2490">
        <v>320</v>
      </c>
    </row>
    <row r="321" spans="18:27">
      <c r="R321" s="1964"/>
      <c r="S321" s="1964"/>
      <c r="AA321" s="2491">
        <v>321</v>
      </c>
    </row>
    <row r="322" spans="18:27">
      <c r="R322" s="1964"/>
      <c r="S322" s="1964"/>
      <c r="AA322" s="2490">
        <v>322</v>
      </c>
    </row>
    <row r="323" spans="18:27">
      <c r="R323" s="1964"/>
      <c r="S323" s="1964"/>
      <c r="AA323" s="2490">
        <v>323</v>
      </c>
    </row>
    <row r="324" spans="18:27">
      <c r="R324" s="1964"/>
      <c r="S324" s="1964"/>
      <c r="AA324" s="2490">
        <v>324</v>
      </c>
    </row>
    <row r="325" spans="18:27">
      <c r="R325" s="1964"/>
      <c r="S325" s="1964"/>
      <c r="AA325" s="2490">
        <v>325</v>
      </c>
    </row>
    <row r="326" spans="18:27">
      <c r="R326" s="1964"/>
      <c r="S326" s="1964"/>
      <c r="AA326" s="2490">
        <v>326</v>
      </c>
    </row>
    <row r="327" spans="18:27">
      <c r="R327" s="1964"/>
      <c r="S327" s="1964"/>
      <c r="AA327" s="2490">
        <v>327</v>
      </c>
    </row>
    <row r="328" spans="18:27">
      <c r="R328" s="1964"/>
      <c r="S328" s="1964"/>
      <c r="AA328" s="2490">
        <v>328</v>
      </c>
    </row>
    <row r="329" spans="18:27">
      <c r="R329" s="1964"/>
      <c r="S329" s="1964"/>
      <c r="AA329" s="2490">
        <v>329</v>
      </c>
    </row>
    <row r="330" spans="18:27">
      <c r="R330" s="1964"/>
      <c r="S330" s="1964"/>
      <c r="AA330" s="2491">
        <v>330</v>
      </c>
    </row>
    <row r="331" spans="18:27">
      <c r="R331" s="1964"/>
      <c r="S331" s="1964"/>
      <c r="AA331" s="2490">
        <v>331</v>
      </c>
    </row>
    <row r="332" spans="18:27">
      <c r="R332" s="1964"/>
      <c r="S332" s="1964"/>
      <c r="AA332" s="2490">
        <v>332</v>
      </c>
    </row>
    <row r="333" spans="18:27">
      <c r="R333" s="1964"/>
      <c r="S333" s="1964"/>
      <c r="AA333" s="2490">
        <v>333</v>
      </c>
    </row>
    <row r="334" spans="18:27">
      <c r="R334" s="1964"/>
      <c r="S334" s="1964"/>
      <c r="AA334" s="2490">
        <v>334</v>
      </c>
    </row>
    <row r="335" spans="18:27">
      <c r="R335" s="1964"/>
      <c r="S335" s="1964"/>
      <c r="AA335" s="2490">
        <v>335</v>
      </c>
    </row>
    <row r="336" spans="18:27">
      <c r="R336" s="1964"/>
      <c r="S336" s="1964"/>
      <c r="AA336" s="2490">
        <v>336</v>
      </c>
    </row>
    <row r="337" spans="18:27">
      <c r="R337" s="1964"/>
      <c r="S337" s="1964"/>
      <c r="AA337" s="2490">
        <v>337</v>
      </c>
    </row>
    <row r="338" spans="18:27">
      <c r="R338" s="1964"/>
      <c r="S338" s="1964"/>
      <c r="AA338" s="2490">
        <v>338</v>
      </c>
    </row>
    <row r="339" spans="18:27">
      <c r="R339" s="1964"/>
      <c r="S339" s="1964"/>
    </row>
    <row r="340" spans="18:27">
      <c r="R340" s="1964"/>
      <c r="S340" s="1964"/>
    </row>
    <row r="341" spans="18:27">
      <c r="R341" s="1964"/>
      <c r="S341" s="1964"/>
    </row>
    <row r="342" spans="18:27">
      <c r="R342" s="1964"/>
      <c r="S342" s="1964"/>
    </row>
    <row r="343" spans="18:27">
      <c r="R343" s="1964"/>
      <c r="S343" s="1964"/>
    </row>
    <row r="344" spans="18:27">
      <c r="R344" s="1964"/>
      <c r="S344" s="1964"/>
    </row>
    <row r="345" spans="18:27">
      <c r="R345" s="1964"/>
      <c r="S345" s="1964"/>
    </row>
    <row r="346" spans="18:27">
      <c r="R346" s="1964"/>
      <c r="S346" s="1964"/>
    </row>
    <row r="347" spans="18:27">
      <c r="R347" s="1964"/>
      <c r="S347" s="1964"/>
    </row>
    <row r="348" spans="18:27">
      <c r="R348" s="1964"/>
      <c r="S348" s="1964"/>
    </row>
    <row r="349" spans="18:27">
      <c r="R349" s="1964"/>
      <c r="S349" s="1964"/>
    </row>
    <row r="350" spans="18:27">
      <c r="R350" s="1964"/>
      <c r="S350" s="1964"/>
    </row>
    <row r="351" spans="18:27">
      <c r="R351" s="1964"/>
      <c r="S351" s="1964"/>
    </row>
    <row r="352" spans="18:27">
      <c r="R352" s="1964"/>
      <c r="S352" s="1964"/>
    </row>
    <row r="353" spans="18:19">
      <c r="R353" s="1964"/>
      <c r="S353" s="1964"/>
    </row>
    <row r="354" spans="18:19">
      <c r="R354" s="1964"/>
      <c r="S354" s="1964"/>
    </row>
    <row r="355" spans="18:19">
      <c r="R355" s="1964"/>
      <c r="S355" s="1964"/>
    </row>
    <row r="356" spans="18:19">
      <c r="R356" s="1964"/>
      <c r="S356" s="1964"/>
    </row>
    <row r="357" spans="18:19">
      <c r="R357" s="1964"/>
      <c r="S357" s="1964"/>
    </row>
    <row r="358" spans="18:19">
      <c r="R358" s="1964"/>
      <c r="S358" s="1964"/>
    </row>
    <row r="359" spans="18:19">
      <c r="R359" s="1964"/>
      <c r="S359" s="1964"/>
    </row>
    <row r="360" spans="18:19">
      <c r="R360" s="1964"/>
      <c r="S360" s="1964"/>
    </row>
    <row r="361" spans="18:19">
      <c r="R361" s="1964"/>
      <c r="S361" s="1964"/>
    </row>
    <row r="362" spans="18:19">
      <c r="R362" s="1964"/>
      <c r="S362" s="1964"/>
    </row>
    <row r="363" spans="18:19">
      <c r="R363" s="1964"/>
      <c r="S363" s="1964"/>
    </row>
    <row r="364" spans="18:19">
      <c r="R364" s="1964"/>
      <c r="S364" s="1964"/>
    </row>
    <row r="365" spans="18:19">
      <c r="R365" s="1964"/>
      <c r="S365" s="1964"/>
    </row>
    <row r="366" spans="18:19">
      <c r="R366" s="1964"/>
      <c r="S366" s="1964"/>
    </row>
    <row r="367" spans="18:19">
      <c r="R367" s="1964"/>
      <c r="S367" s="1964"/>
    </row>
    <row r="368" spans="18:19">
      <c r="R368" s="1964"/>
      <c r="S368" s="1964"/>
    </row>
    <row r="369" spans="1:20">
      <c r="R369" s="1964"/>
      <c r="S369" s="1964"/>
    </row>
    <row r="370" spans="1:20">
      <c r="R370" s="1964"/>
      <c r="S370" s="1964"/>
    </row>
    <row r="371" spans="1:20">
      <c r="R371" s="1964"/>
      <c r="S371" s="1964"/>
    </row>
    <row r="372" spans="1:20">
      <c r="R372" s="1964"/>
      <c r="S372" s="1964"/>
    </row>
    <row r="373" spans="1:20">
      <c r="R373" s="1964"/>
      <c r="S373" s="1964"/>
    </row>
    <row r="374" spans="1:20">
      <c r="R374" s="1964"/>
      <c r="S374" s="1964"/>
    </row>
    <row r="375" spans="1:20">
      <c r="R375" s="1964"/>
      <c r="S375" s="1964"/>
    </row>
    <row r="376" spans="1:20">
      <c r="R376" s="1964"/>
      <c r="S376" s="1964"/>
    </row>
    <row r="377" spans="1:20">
      <c r="R377" s="1964"/>
      <c r="S377" s="1964"/>
    </row>
    <row r="378" spans="1:20">
      <c r="R378" s="1964"/>
      <c r="S378" s="1964"/>
    </row>
    <row r="379" spans="1:20">
      <c r="R379" s="1964"/>
      <c r="S379" s="1964"/>
    </row>
    <row r="380" spans="1:20">
      <c r="A380" s="2415"/>
      <c r="B380" s="2415"/>
      <c r="C380" s="2415"/>
      <c r="D380" s="2415"/>
      <c r="E380" s="2415"/>
      <c r="F380" s="2415"/>
      <c r="G380" s="2415"/>
      <c r="H380" s="2415"/>
      <c r="I380" s="2415"/>
      <c r="J380" s="2415"/>
      <c r="K380" s="2415"/>
      <c r="L380" s="2415"/>
      <c r="M380" s="2415"/>
      <c r="N380" s="2415"/>
      <c r="O380" s="2415"/>
      <c r="P380" s="2415"/>
      <c r="Q380" s="2415"/>
      <c r="R380" s="1964"/>
      <c r="S380" s="1964"/>
    </row>
    <row r="381" spans="1:20">
      <c r="A381" s="2415"/>
      <c r="B381" s="2415"/>
      <c r="C381" s="2415"/>
      <c r="D381" s="2415"/>
      <c r="E381" s="2415"/>
      <c r="F381" s="2415"/>
      <c r="G381" s="2415"/>
      <c r="H381" s="2415"/>
      <c r="I381" s="2415"/>
      <c r="J381" s="2415"/>
      <c r="K381" s="2415"/>
      <c r="L381" s="2415"/>
      <c r="M381" s="2415"/>
      <c r="N381" s="2415"/>
      <c r="O381" s="2415"/>
      <c r="P381" s="2415"/>
      <c r="Q381" s="2415"/>
      <c r="R381" s="1964"/>
      <c r="S381" s="1964"/>
    </row>
    <row r="382" spans="1:20">
      <c r="A382" s="2415"/>
      <c r="B382" s="2415"/>
      <c r="C382" s="2415"/>
      <c r="D382" s="2415"/>
      <c r="E382" s="2415"/>
      <c r="F382" s="2415"/>
      <c r="G382" s="2415"/>
      <c r="H382" s="2415"/>
      <c r="I382" s="2415"/>
      <c r="J382" s="2415" t="s">
        <v>949</v>
      </c>
      <c r="K382" s="2415"/>
      <c r="L382" s="2415"/>
      <c r="M382" s="2415"/>
      <c r="N382" s="2415"/>
      <c r="O382" s="2415" t="s">
        <v>1641</v>
      </c>
      <c r="P382" s="2415"/>
      <c r="Q382" s="2415"/>
      <c r="R382" s="1964"/>
      <c r="S382" s="1964"/>
    </row>
    <row r="383" spans="1:20" ht="20.25" customHeight="1">
      <c r="A383" s="2415"/>
      <c r="B383" s="2415"/>
      <c r="C383" s="2415" t="s">
        <v>1641</v>
      </c>
      <c r="D383" s="2415"/>
      <c r="E383" s="2415"/>
      <c r="F383" s="2415"/>
      <c r="G383" s="2415"/>
      <c r="H383" s="2415"/>
      <c r="I383" s="2415"/>
      <c r="J383" s="2416" t="s">
        <v>1542</v>
      </c>
      <c r="K383" s="2415"/>
      <c r="L383" s="2415"/>
      <c r="M383" s="2415"/>
      <c r="N383" s="2417"/>
      <c r="O383" s="2416" t="s">
        <v>3912</v>
      </c>
      <c r="P383" s="2418"/>
      <c r="Q383" s="2415"/>
      <c r="R383" s="1964"/>
      <c r="S383" s="1964"/>
      <c r="T383" s="1964"/>
    </row>
    <row r="384" spans="1:20" ht="20.25" customHeight="1">
      <c r="A384" s="2415"/>
      <c r="B384" s="2415"/>
      <c r="C384" s="2416" t="s">
        <v>1310</v>
      </c>
      <c r="D384" s="2415"/>
      <c r="E384" s="2415"/>
      <c r="F384" s="2415"/>
      <c r="G384" s="2415"/>
      <c r="H384" s="2415"/>
      <c r="I384" s="2415"/>
      <c r="J384" s="2416" t="s">
        <v>1947</v>
      </c>
      <c r="K384" s="2415"/>
      <c r="L384" s="2415"/>
      <c r="M384" s="2415"/>
      <c r="N384" s="2417"/>
      <c r="O384" s="2416" t="s">
        <v>3913</v>
      </c>
      <c r="P384" s="2418"/>
      <c r="Q384" s="2415"/>
      <c r="R384" s="1964"/>
      <c r="S384" s="1964"/>
      <c r="T384" s="1964"/>
    </row>
    <row r="385" spans="1:20" ht="20.25" customHeight="1">
      <c r="A385" s="2415"/>
      <c r="B385" s="2415"/>
      <c r="C385" s="2416" t="s">
        <v>1311</v>
      </c>
      <c r="D385" s="2415"/>
      <c r="E385" s="2415"/>
      <c r="F385" s="2415"/>
      <c r="G385" s="2415"/>
      <c r="H385" s="2415"/>
      <c r="I385" s="2415"/>
      <c r="J385" s="2416" t="s">
        <v>1535</v>
      </c>
      <c r="K385" s="2415"/>
      <c r="L385" s="2415"/>
      <c r="M385" s="2415"/>
      <c r="N385" s="2417"/>
      <c r="O385" s="2416" t="s">
        <v>3914</v>
      </c>
      <c r="P385" s="2418"/>
      <c r="Q385" s="2415"/>
      <c r="R385" s="1964"/>
      <c r="S385" s="1964"/>
      <c r="T385" s="1964"/>
    </row>
    <row r="386" spans="1:20" ht="20.25" customHeight="1">
      <c r="A386" s="2415"/>
      <c r="B386" s="2415"/>
      <c r="C386" s="2416" t="s">
        <v>1974</v>
      </c>
      <c r="D386" s="2415"/>
      <c r="E386" s="2415"/>
      <c r="F386" s="2415"/>
      <c r="G386" s="2415"/>
      <c r="H386" s="2415"/>
      <c r="I386" s="2415"/>
      <c r="J386" s="2416" t="s">
        <v>1119</v>
      </c>
      <c r="K386" s="2415"/>
      <c r="L386" s="2415"/>
      <c r="M386" s="2415"/>
      <c r="N386" s="2417"/>
      <c r="O386" s="2416" t="s">
        <v>3918</v>
      </c>
      <c r="P386" s="2418"/>
      <c r="Q386" s="2415"/>
      <c r="R386" s="1964"/>
      <c r="S386" s="1964"/>
      <c r="T386" s="1964"/>
    </row>
    <row r="387" spans="1:20" ht="20.25" customHeight="1">
      <c r="A387" s="2415"/>
      <c r="B387" s="2415"/>
      <c r="C387" s="2416" t="s">
        <v>1307</v>
      </c>
      <c r="D387" s="2415"/>
      <c r="E387" s="2415"/>
      <c r="F387" s="2415"/>
      <c r="G387" s="2415"/>
      <c r="H387" s="2415"/>
      <c r="I387" s="2415"/>
      <c r="J387" s="2416" t="s">
        <v>548</v>
      </c>
      <c r="K387" s="2415"/>
      <c r="L387" s="2415"/>
      <c r="M387" s="2415"/>
      <c r="N387" s="2417"/>
      <c r="O387" s="2416" t="s">
        <v>3915</v>
      </c>
      <c r="P387" s="2418"/>
      <c r="Q387" s="2415"/>
      <c r="R387" s="1964"/>
      <c r="S387" s="1964"/>
      <c r="T387" s="1964"/>
    </row>
    <row r="388" spans="1:20" ht="20.25" customHeight="1">
      <c r="A388" s="2415"/>
      <c r="B388" s="2415"/>
      <c r="C388" s="2416" t="s">
        <v>1308</v>
      </c>
      <c r="D388" s="2415"/>
      <c r="E388" s="2415"/>
      <c r="F388" s="2415"/>
      <c r="G388" s="2415"/>
      <c r="H388" s="2415"/>
      <c r="I388" s="2415"/>
      <c r="J388" s="2416" t="s">
        <v>1541</v>
      </c>
      <c r="K388" s="2415"/>
      <c r="L388" s="2415"/>
      <c r="M388" s="2415"/>
      <c r="N388" s="2417"/>
      <c r="O388" s="2416" t="s">
        <v>3916</v>
      </c>
      <c r="P388" s="2418"/>
      <c r="Q388" s="2415"/>
      <c r="R388" s="1964"/>
      <c r="S388" s="1964"/>
      <c r="T388" s="1964"/>
    </row>
    <row r="389" spans="1:20" ht="20.25" customHeight="1">
      <c r="A389" s="2415"/>
      <c r="B389" s="2415"/>
      <c r="C389" s="2416" t="s">
        <v>1969</v>
      </c>
      <c r="D389" s="2415"/>
      <c r="E389" s="2415"/>
      <c r="F389" s="2415"/>
      <c r="G389" s="2415"/>
      <c r="H389" s="2415"/>
      <c r="I389" s="2415"/>
      <c r="J389" s="2416" t="s">
        <v>1116</v>
      </c>
      <c r="K389" s="2415"/>
      <c r="L389" s="2415"/>
      <c r="M389" s="2415"/>
      <c r="N389" s="2417"/>
      <c r="O389" s="2416" t="s">
        <v>3917</v>
      </c>
      <c r="P389" s="2418"/>
      <c r="Q389" s="2415"/>
      <c r="R389" s="1964"/>
      <c r="S389" s="1964"/>
      <c r="T389" s="1964"/>
    </row>
    <row r="390" spans="1:20" ht="20.25" customHeight="1">
      <c r="A390" s="2415"/>
      <c r="B390" s="2415"/>
      <c r="C390" s="2416" t="s">
        <v>1970</v>
      </c>
      <c r="D390" s="2415"/>
      <c r="E390" s="2415"/>
      <c r="F390" s="2415"/>
      <c r="G390" s="2415"/>
      <c r="H390" s="2415"/>
      <c r="I390" s="2415"/>
      <c r="J390" s="2416" t="s">
        <v>1115</v>
      </c>
      <c r="K390" s="2415"/>
      <c r="L390" s="2415"/>
      <c r="M390" s="2415"/>
      <c r="N390" s="2417"/>
      <c r="O390" s="2415" t="s">
        <v>3191</v>
      </c>
      <c r="P390" s="2418"/>
      <c r="Q390" s="2415"/>
      <c r="R390" s="1964"/>
      <c r="S390" s="1964"/>
      <c r="T390" s="1964"/>
    </row>
    <row r="391" spans="1:20" ht="20.25" customHeight="1">
      <c r="A391" s="2415"/>
      <c r="B391" s="2415"/>
      <c r="C391" s="2416" t="s">
        <v>1971</v>
      </c>
      <c r="D391" s="2415"/>
      <c r="E391" s="2415"/>
      <c r="F391" s="2415"/>
      <c r="G391" s="2415"/>
      <c r="H391" s="2415"/>
      <c r="I391" s="2415"/>
      <c r="J391" s="2416" t="s">
        <v>1601</v>
      </c>
      <c r="K391" s="2415"/>
      <c r="L391" s="2415"/>
      <c r="M391" s="2415"/>
      <c r="N391" s="2417"/>
      <c r="O391" s="2415" t="s">
        <v>3192</v>
      </c>
      <c r="P391" s="2418"/>
      <c r="Q391" s="2415"/>
      <c r="R391" s="1964"/>
      <c r="S391" s="1964"/>
      <c r="T391" s="1964"/>
    </row>
    <row r="392" spans="1:20" ht="20.25" customHeight="1">
      <c r="A392" s="2415"/>
      <c r="B392" s="2415"/>
      <c r="C392" s="2416" t="s">
        <v>1972</v>
      </c>
      <c r="D392" s="2415"/>
      <c r="E392" s="2415"/>
      <c r="F392" s="2415"/>
      <c r="G392" s="2415"/>
      <c r="H392" s="2415"/>
      <c r="I392" s="2415"/>
      <c r="J392" s="2416" t="s">
        <v>1544</v>
      </c>
      <c r="K392" s="2415"/>
      <c r="L392" s="2415"/>
      <c r="M392" s="2415"/>
      <c r="N392" s="2417"/>
      <c r="O392" s="2416"/>
      <c r="P392" s="2418"/>
      <c r="Q392" s="2415"/>
      <c r="R392" s="1964"/>
      <c r="S392" s="1964"/>
      <c r="T392" s="1964"/>
    </row>
    <row r="393" spans="1:20" ht="20.25" customHeight="1">
      <c r="A393" s="2415"/>
      <c r="B393" s="2415"/>
      <c r="C393" s="2416" t="s">
        <v>1973</v>
      </c>
      <c r="D393" s="2415"/>
      <c r="E393" s="2415"/>
      <c r="F393" s="2415"/>
      <c r="G393" s="2415"/>
      <c r="H393" s="2415"/>
      <c r="I393" s="2415"/>
      <c r="J393" s="2416" t="s">
        <v>1536</v>
      </c>
      <c r="K393" s="2415"/>
      <c r="L393" s="2415"/>
      <c r="M393" s="2415"/>
      <c r="N393" s="2417"/>
      <c r="O393" s="2415" t="s">
        <v>1641</v>
      </c>
      <c r="P393" s="2418"/>
      <c r="Q393" s="2415"/>
      <c r="R393" s="1964"/>
      <c r="S393" s="1964"/>
      <c r="T393" s="1964"/>
    </row>
    <row r="394" spans="1:20" ht="20.25" customHeight="1">
      <c r="A394" s="2415"/>
      <c r="B394" s="2415"/>
      <c r="C394" s="2416" t="s">
        <v>1309</v>
      </c>
      <c r="D394" s="2415"/>
      <c r="E394" s="2415"/>
      <c r="F394" s="2415"/>
      <c r="G394" s="2415"/>
      <c r="H394" s="2415"/>
      <c r="I394" s="2415"/>
      <c r="J394" s="2416" t="s">
        <v>1946</v>
      </c>
      <c r="K394" s="2415"/>
      <c r="L394" s="2415"/>
      <c r="M394" s="2415"/>
      <c r="N394" s="2417"/>
      <c r="O394" s="2416" t="s">
        <v>4993</v>
      </c>
      <c r="P394" s="2418"/>
      <c r="Q394" s="2415"/>
      <c r="R394" s="1964"/>
      <c r="S394" s="1964"/>
      <c r="T394" s="1964"/>
    </row>
    <row r="395" spans="1:20" ht="20.25" customHeight="1">
      <c r="A395" s="2415"/>
      <c r="B395" s="2415"/>
      <c r="C395" s="2416" t="s">
        <v>2102</v>
      </c>
      <c r="D395" s="2415"/>
      <c r="E395" s="2415"/>
      <c r="F395" s="2415"/>
      <c r="G395" s="2415"/>
      <c r="H395" s="2415"/>
      <c r="I395" s="2415"/>
      <c r="J395" s="2415"/>
      <c r="K395" s="2415"/>
      <c r="L395" s="2415"/>
      <c r="M395" s="2415"/>
      <c r="N395" s="2417"/>
      <c r="O395" s="2416" t="s">
        <v>4994</v>
      </c>
      <c r="P395" s="2418"/>
      <c r="Q395" s="2415"/>
      <c r="R395" s="1964"/>
      <c r="S395" s="1964"/>
      <c r="T395" s="1964"/>
    </row>
    <row r="396" spans="1:20" ht="20.25" customHeight="1">
      <c r="A396" s="2415"/>
      <c r="B396" s="2415"/>
      <c r="C396" s="2415"/>
      <c r="D396" s="2415"/>
      <c r="E396" s="2415"/>
      <c r="F396" s="2415"/>
      <c r="G396" s="2415"/>
      <c r="H396" s="2415"/>
      <c r="I396" s="2415"/>
      <c r="J396" s="2415"/>
      <c r="K396" s="2415"/>
      <c r="L396" s="2415"/>
      <c r="M396" s="2415"/>
      <c r="N396" s="2417"/>
      <c r="O396" s="2416" t="s">
        <v>4995</v>
      </c>
      <c r="P396" s="2418"/>
      <c r="Q396" s="2415"/>
      <c r="R396" s="1964"/>
      <c r="S396" s="1964"/>
      <c r="T396" s="1964"/>
    </row>
    <row r="397" spans="1:20" ht="20.25" customHeight="1">
      <c r="A397" s="2415"/>
      <c r="B397" s="2415"/>
      <c r="C397" s="2415"/>
      <c r="D397" s="2415"/>
      <c r="E397" s="2415"/>
      <c r="F397" s="2415"/>
      <c r="G397" s="2415"/>
      <c r="H397" s="2415"/>
      <c r="I397" s="2415"/>
      <c r="J397" s="2415"/>
      <c r="K397" s="2415"/>
      <c r="L397" s="2415"/>
      <c r="M397" s="2415"/>
      <c r="N397" s="2415"/>
      <c r="O397" s="2416" t="s">
        <v>4996</v>
      </c>
      <c r="P397" s="2415"/>
      <c r="Q397" s="2415"/>
      <c r="R397" s="1964"/>
      <c r="S397" s="1964"/>
      <c r="T397" s="1964"/>
    </row>
    <row r="398" spans="1:20" ht="20.25" customHeight="1">
      <c r="A398" s="2415"/>
      <c r="B398" s="2415"/>
      <c r="C398" s="2419" t="s">
        <v>1659</v>
      </c>
      <c r="D398" s="2415"/>
      <c r="E398" s="2415"/>
      <c r="F398" s="2415"/>
      <c r="G398" s="2415"/>
      <c r="H398" s="2415"/>
      <c r="I398" s="2415"/>
      <c r="J398" s="2415"/>
      <c r="K398" s="2415"/>
      <c r="L398" s="2415"/>
      <c r="M398" s="2415"/>
      <c r="N398" s="2415"/>
      <c r="O398" s="2415"/>
      <c r="P398" s="2415"/>
      <c r="Q398" s="2415"/>
      <c r="R398" s="1964"/>
      <c r="S398" s="1964"/>
      <c r="T398" s="1964"/>
    </row>
    <row r="399" spans="1:20" ht="20.25" customHeight="1">
      <c r="A399" s="2415"/>
      <c r="B399" s="2415"/>
      <c r="C399" s="2415" t="s">
        <v>868</v>
      </c>
      <c r="D399" s="2415"/>
      <c r="E399" s="2415"/>
      <c r="F399" s="2415"/>
      <c r="G399" s="2415"/>
      <c r="H399" s="2415"/>
      <c r="I399" s="2415"/>
      <c r="J399" s="2415"/>
      <c r="K399" s="2415"/>
      <c r="L399" s="2415"/>
      <c r="M399" s="2415"/>
      <c r="N399" s="2415"/>
      <c r="O399" s="2415"/>
      <c r="P399" s="2415"/>
      <c r="Q399" s="2415"/>
      <c r="R399" s="1964"/>
      <c r="S399" s="1964"/>
      <c r="T399" s="1964"/>
    </row>
    <row r="400" spans="1:20" ht="20.25" customHeight="1">
      <c r="A400" s="2415"/>
      <c r="B400" s="2415"/>
      <c r="C400" s="2416" t="s">
        <v>1520</v>
      </c>
      <c r="D400" s="2415"/>
      <c r="E400" s="2415"/>
      <c r="F400" s="2415"/>
      <c r="G400" s="2415"/>
      <c r="H400" s="2415"/>
      <c r="I400" s="2415"/>
      <c r="J400" s="2415"/>
      <c r="K400" s="2415"/>
      <c r="L400" s="2415"/>
      <c r="M400" s="2415"/>
      <c r="N400" s="2415"/>
      <c r="O400" s="2415"/>
      <c r="P400" s="2415"/>
      <c r="Q400" s="2415"/>
      <c r="R400" s="1964"/>
      <c r="S400" s="1964"/>
      <c r="T400" s="1964"/>
    </row>
    <row r="401" spans="1:20" ht="20.25" customHeight="1">
      <c r="A401" s="2415"/>
      <c r="B401" s="2415"/>
      <c r="C401" s="2416" t="s">
        <v>671</v>
      </c>
      <c r="D401" s="2415"/>
      <c r="E401" s="2415"/>
      <c r="F401" s="2415"/>
      <c r="G401" s="2415"/>
      <c r="H401" s="2415"/>
      <c r="I401" s="2415"/>
      <c r="J401" s="2415"/>
      <c r="K401" s="2415"/>
      <c r="L401" s="2416"/>
      <c r="M401" s="2415"/>
      <c r="N401" s="2415"/>
      <c r="O401" s="2415"/>
      <c r="P401" s="2415"/>
      <c r="Q401" s="2415"/>
      <c r="R401" s="1964"/>
      <c r="S401" s="1964"/>
      <c r="T401" s="1964"/>
    </row>
    <row r="402" spans="1:20" ht="20.25" customHeight="1">
      <c r="A402" s="2415"/>
      <c r="B402" s="2415"/>
      <c r="C402" s="2416" t="s">
        <v>672</v>
      </c>
      <c r="D402" s="2415"/>
      <c r="E402" s="2415"/>
      <c r="F402" s="2415"/>
      <c r="G402" s="2415"/>
      <c r="H402" s="2415"/>
      <c r="I402" s="2415"/>
      <c r="J402" s="2415"/>
      <c r="K402" s="2415"/>
      <c r="L402" s="2416"/>
      <c r="M402" s="2415"/>
      <c r="N402" s="2415"/>
      <c r="O402" s="2415"/>
      <c r="P402" s="2415"/>
      <c r="Q402" s="2415"/>
      <c r="R402" s="1964"/>
      <c r="S402" s="1964"/>
      <c r="T402" s="1964"/>
    </row>
    <row r="403" spans="1:20" ht="20.25" customHeight="1">
      <c r="A403" s="2415"/>
      <c r="B403" s="2415"/>
      <c r="C403" s="2416" t="s">
        <v>1995</v>
      </c>
      <c r="D403" s="2415"/>
      <c r="E403" s="2415"/>
      <c r="F403" s="2415"/>
      <c r="G403" s="2415"/>
      <c r="H403" s="2415"/>
      <c r="I403" s="2415"/>
      <c r="J403" s="2415"/>
      <c r="K403" s="2415"/>
      <c r="L403" s="2416"/>
      <c r="M403" s="2415"/>
      <c r="N403" s="2415"/>
      <c r="O403" s="2415"/>
      <c r="P403" s="2415"/>
      <c r="Q403" s="2415"/>
      <c r="R403" s="1964"/>
      <c r="S403" s="1964"/>
      <c r="T403" s="1964"/>
    </row>
    <row r="404" spans="1:20" ht="20.25" customHeight="1">
      <c r="A404" s="2415"/>
      <c r="B404" s="2415"/>
      <c r="C404" s="2416" t="s">
        <v>120</v>
      </c>
      <c r="D404" s="2415"/>
      <c r="E404" s="2415"/>
      <c r="F404" s="2415"/>
      <c r="G404" s="2415"/>
      <c r="H404" s="2415"/>
      <c r="I404" s="2415"/>
      <c r="J404" s="2415"/>
      <c r="K404" s="2415"/>
      <c r="L404" s="2416"/>
      <c r="M404" s="2415"/>
      <c r="N404" s="2415"/>
      <c r="O404" s="2415"/>
      <c r="P404" s="2415"/>
      <c r="Q404" s="2415"/>
      <c r="R404" s="1964"/>
      <c r="S404" s="1964"/>
      <c r="T404" s="1964"/>
    </row>
    <row r="405" spans="1:20" ht="20.25" customHeight="1">
      <c r="A405" s="2415"/>
      <c r="B405" s="2415"/>
      <c r="C405" s="2415" t="s">
        <v>118</v>
      </c>
      <c r="D405" s="2415"/>
      <c r="E405" s="2415"/>
      <c r="F405" s="2415"/>
      <c r="G405" s="2415"/>
      <c r="H405" s="2415"/>
      <c r="I405" s="2415"/>
      <c r="J405" s="2415"/>
      <c r="K405" s="2415"/>
      <c r="L405" s="2416"/>
      <c r="M405" s="2415"/>
      <c r="N405" s="2415"/>
      <c r="O405" s="2415"/>
      <c r="P405" s="2415"/>
      <c r="Q405" s="2415"/>
      <c r="R405" s="1964"/>
      <c r="S405" s="1964"/>
      <c r="T405" s="1964"/>
    </row>
    <row r="406" spans="1:20" ht="20.25" customHeight="1">
      <c r="A406" s="2415"/>
      <c r="B406" s="2415"/>
      <c r="C406" s="2415" t="s">
        <v>1735</v>
      </c>
      <c r="D406" s="2415"/>
      <c r="E406" s="2415"/>
      <c r="F406" s="2415"/>
      <c r="G406" s="2415"/>
      <c r="H406" s="2415"/>
      <c r="I406" s="2415"/>
      <c r="J406" s="2415"/>
      <c r="K406" s="2415"/>
      <c r="L406" s="2415"/>
      <c r="M406" s="2415"/>
      <c r="N406" s="2415"/>
      <c r="O406" s="2415"/>
      <c r="P406" s="2415"/>
      <c r="Q406" s="2415"/>
      <c r="R406" s="1964"/>
      <c r="S406" s="1964"/>
      <c r="T406" s="1964"/>
    </row>
    <row r="407" spans="1:20" ht="20.25" customHeight="1">
      <c r="A407" s="2415"/>
      <c r="B407" s="2415"/>
      <c r="C407" s="2416" t="s">
        <v>887</v>
      </c>
      <c r="D407" s="2415"/>
      <c r="E407" s="2415"/>
      <c r="F407" s="2415"/>
      <c r="G407" s="2415"/>
      <c r="H407" s="2415"/>
      <c r="I407" s="2415"/>
      <c r="J407" s="2415"/>
      <c r="K407" s="2415"/>
      <c r="L407" s="2416"/>
      <c r="M407" s="2415"/>
      <c r="N407" s="2415"/>
      <c r="O407" s="2415"/>
      <c r="P407" s="2415"/>
      <c r="Q407" s="2415"/>
      <c r="R407" s="1964"/>
      <c r="S407" s="1964"/>
      <c r="T407" s="1964"/>
    </row>
    <row r="408" spans="1:20" ht="20.25" customHeight="1">
      <c r="A408" s="2415"/>
      <c r="B408" s="2415"/>
      <c r="C408" s="2415" t="s">
        <v>119</v>
      </c>
      <c r="D408" s="2415"/>
      <c r="E408" s="2415"/>
      <c r="F408" s="2415"/>
      <c r="G408" s="2415"/>
      <c r="H408" s="2415"/>
      <c r="I408" s="2415"/>
      <c r="J408" s="2415"/>
      <c r="K408" s="2415"/>
      <c r="L408" s="2416"/>
      <c r="M408" s="2415"/>
      <c r="N408" s="2415"/>
      <c r="O408" s="2415"/>
      <c r="P408" s="2415"/>
      <c r="Q408" s="2415"/>
      <c r="R408" s="1964"/>
      <c r="S408" s="1964"/>
      <c r="T408" s="1964"/>
    </row>
    <row r="409" spans="1:20" ht="20.25" customHeight="1">
      <c r="A409" s="2415"/>
      <c r="B409" s="2415"/>
      <c r="C409" s="2415" t="s">
        <v>120</v>
      </c>
      <c r="D409" s="2415"/>
      <c r="E409" s="2415"/>
      <c r="F409" s="2415"/>
      <c r="G409" s="2415"/>
      <c r="H409" s="2415"/>
      <c r="I409" s="2415"/>
      <c r="J409" s="2415"/>
      <c r="K409" s="2415"/>
      <c r="L409" s="2416"/>
      <c r="M409" s="2415"/>
      <c r="N409" s="2415"/>
      <c r="O409" s="2415"/>
      <c r="P409" s="2415"/>
      <c r="Q409" s="2415"/>
      <c r="R409" s="1964"/>
      <c r="S409" s="1964"/>
      <c r="T409" s="1964"/>
    </row>
    <row r="410" spans="1:20" ht="20.25" customHeight="1">
      <c r="A410" s="2415"/>
      <c r="B410" s="2415"/>
      <c r="C410" s="2415" t="s">
        <v>121</v>
      </c>
      <c r="D410" s="2415"/>
      <c r="E410" s="2415"/>
      <c r="F410" s="2415"/>
      <c r="G410" s="2415"/>
      <c r="H410" s="2415"/>
      <c r="I410" s="2415"/>
      <c r="J410" s="2415"/>
      <c r="K410" s="2415"/>
      <c r="L410" s="2416"/>
      <c r="M410" s="2415"/>
      <c r="N410" s="2415"/>
      <c r="O410" s="2415"/>
      <c r="P410" s="2415"/>
      <c r="Q410" s="2415"/>
      <c r="R410" s="1964"/>
      <c r="S410" s="1964"/>
      <c r="T410" s="1964"/>
    </row>
    <row r="411" spans="1:20" ht="20.25" customHeight="1">
      <c r="A411" s="2415"/>
      <c r="B411" s="2415"/>
      <c r="C411" s="2415" t="s">
        <v>2431</v>
      </c>
      <c r="D411" s="2415"/>
      <c r="E411" s="2415"/>
      <c r="F411" s="2415"/>
      <c r="G411" s="2415"/>
      <c r="H411" s="2415"/>
      <c r="I411" s="2415"/>
      <c r="J411" s="2415"/>
      <c r="K411" s="2415"/>
      <c r="L411" s="2415"/>
      <c r="M411" s="2415"/>
      <c r="N411" s="2415"/>
      <c r="O411" s="2415"/>
      <c r="P411" s="2415"/>
      <c r="Q411" s="2415"/>
      <c r="R411" s="1964"/>
      <c r="S411" s="1964"/>
      <c r="T411" s="1964"/>
    </row>
    <row r="412" spans="1:20" ht="20.25" customHeight="1">
      <c r="A412" s="2415"/>
      <c r="B412" s="2415"/>
      <c r="C412" s="2416" t="s">
        <v>1859</v>
      </c>
      <c r="D412" s="2415"/>
      <c r="E412" s="2415"/>
      <c r="F412" s="2415"/>
      <c r="G412" s="2415"/>
      <c r="H412" s="2415"/>
      <c r="I412" s="2415"/>
      <c r="J412" s="2415"/>
      <c r="K412" s="2415"/>
      <c r="L412" s="2416"/>
      <c r="M412" s="2415"/>
      <c r="N412" s="2415"/>
      <c r="O412" s="2415"/>
      <c r="P412" s="2415"/>
      <c r="Q412" s="2415"/>
      <c r="R412" s="1964"/>
      <c r="S412" s="1964"/>
      <c r="T412" s="1964"/>
    </row>
    <row r="413" spans="1:20" ht="20.25" customHeight="1">
      <c r="A413" s="2415"/>
      <c r="B413" s="2415"/>
      <c r="C413" s="2415" t="s">
        <v>2432</v>
      </c>
      <c r="D413" s="2415"/>
      <c r="E413" s="2415"/>
      <c r="F413" s="2415"/>
      <c r="G413" s="2415"/>
      <c r="H413" s="2415"/>
      <c r="I413" s="2415"/>
      <c r="J413" s="2415"/>
      <c r="K413" s="2415"/>
      <c r="L413" s="2416"/>
      <c r="M413" s="2415"/>
      <c r="N413" s="2415"/>
      <c r="O413" s="2415"/>
      <c r="P413" s="2415"/>
      <c r="Q413" s="2415"/>
      <c r="R413" s="1964"/>
      <c r="S413" s="1964"/>
      <c r="T413" s="1964"/>
    </row>
    <row r="414" spans="1:20" ht="20.25" customHeight="1">
      <c r="A414" s="2415"/>
      <c r="B414" s="2415"/>
      <c r="C414" s="2415" t="s">
        <v>1302</v>
      </c>
      <c r="D414" s="2415"/>
      <c r="E414" s="2415"/>
      <c r="F414" s="2415"/>
      <c r="G414" s="2415"/>
      <c r="H414" s="2415"/>
      <c r="I414" s="2415"/>
      <c r="J414" s="2415"/>
      <c r="K414" s="2415"/>
      <c r="L414" s="2416"/>
      <c r="M414" s="2415"/>
      <c r="N414" s="2415"/>
      <c r="O414" s="2415"/>
      <c r="P414" s="2415"/>
      <c r="Q414" s="2415"/>
      <c r="R414" s="1964"/>
      <c r="S414" s="1964"/>
      <c r="T414" s="1964"/>
    </row>
    <row r="415" spans="1:20" ht="20.25" customHeight="1">
      <c r="A415" s="2415"/>
      <c r="B415" s="2415"/>
      <c r="C415" s="2415" t="s">
        <v>1483</v>
      </c>
      <c r="D415" s="2415"/>
      <c r="E415" s="2415"/>
      <c r="F415" s="2415"/>
      <c r="G415" s="2415"/>
      <c r="H415" s="2415"/>
      <c r="I415" s="2415"/>
      <c r="J415" s="2415"/>
      <c r="K415" s="2419" t="s">
        <v>433</v>
      </c>
      <c r="L415" s="2416"/>
      <c r="M415" s="2415"/>
      <c r="N415" s="2415"/>
      <c r="O415" s="2415"/>
      <c r="P415" s="2415"/>
      <c r="Q415" s="2415"/>
      <c r="R415" s="1964"/>
      <c r="S415" s="1964"/>
      <c r="T415" s="1964"/>
    </row>
    <row r="416" spans="1:20" ht="20.25" customHeight="1">
      <c r="A416" s="2415"/>
      <c r="B416" s="2415"/>
      <c r="C416" s="2415" t="s">
        <v>2433</v>
      </c>
      <c r="D416" s="2415"/>
      <c r="E416" s="2415"/>
      <c r="F416" s="2415"/>
      <c r="G416" s="2415"/>
      <c r="H416" s="2415"/>
      <c r="I416" s="2415"/>
      <c r="J416" s="2415"/>
      <c r="K416" s="2415" t="s">
        <v>1017</v>
      </c>
      <c r="L416" s="2416"/>
      <c r="M416" s="2415"/>
      <c r="N416" s="2415"/>
      <c r="O416" s="2415"/>
      <c r="P416" s="2415"/>
      <c r="Q416" s="2415"/>
      <c r="R416" s="1964"/>
      <c r="S416" s="1964"/>
      <c r="T416" s="1964"/>
    </row>
    <row r="417" spans="1:28" ht="20.25" customHeight="1">
      <c r="A417" s="2415"/>
      <c r="B417" s="2415"/>
      <c r="C417" s="2415" t="s">
        <v>2434</v>
      </c>
      <c r="D417" s="2415"/>
      <c r="E417" s="2415"/>
      <c r="F417" s="2415"/>
      <c r="G417" s="2415"/>
      <c r="H417" s="2415"/>
      <c r="I417" s="2415"/>
      <c r="J417" s="2415"/>
      <c r="K417" s="2415" t="s">
        <v>4977</v>
      </c>
      <c r="L417" s="2415"/>
      <c r="M417" s="2415"/>
      <c r="N417" s="2415"/>
      <c r="O417" s="2415"/>
      <c r="P417" s="2415"/>
      <c r="Q417" s="2415"/>
      <c r="R417" s="1964"/>
      <c r="S417" s="1964"/>
      <c r="T417" s="1964"/>
    </row>
    <row r="418" spans="1:28" ht="20.25" customHeight="1">
      <c r="A418" s="2415"/>
      <c r="B418" s="2415"/>
      <c r="C418" s="2416" t="s">
        <v>1129</v>
      </c>
      <c r="D418" s="2415"/>
      <c r="E418" s="2415"/>
      <c r="F418" s="2415"/>
      <c r="G418" s="2415"/>
      <c r="H418" s="2415"/>
      <c r="I418" s="2415"/>
      <c r="J418" s="2415"/>
      <c r="K418" s="2415" t="s">
        <v>4093</v>
      </c>
      <c r="L418" s="2415"/>
      <c r="M418" s="2415"/>
      <c r="N418" s="2415"/>
      <c r="O418" s="2415"/>
      <c r="P418" s="2415"/>
      <c r="Q418" s="2415"/>
      <c r="R418" s="1964"/>
      <c r="S418" s="1964"/>
      <c r="T418" s="1964"/>
    </row>
    <row r="419" spans="1:28" ht="20.25" customHeight="1">
      <c r="A419" s="2415"/>
      <c r="B419" s="2415"/>
      <c r="C419" s="2415"/>
      <c r="D419" s="2415"/>
      <c r="E419" s="2415"/>
      <c r="F419" s="2415"/>
      <c r="G419" s="2415"/>
      <c r="H419" s="2415"/>
      <c r="I419" s="2415"/>
      <c r="J419" s="2415"/>
      <c r="K419" s="2415"/>
      <c r="L419" s="2415"/>
      <c r="M419" s="2415"/>
      <c r="N419" s="2415"/>
      <c r="O419" s="2415"/>
      <c r="P419" s="2415"/>
      <c r="Q419" s="2415"/>
      <c r="R419" s="1964"/>
      <c r="S419" s="1964"/>
      <c r="T419" s="1964"/>
    </row>
    <row r="420" spans="1:28" ht="20.25" customHeight="1">
      <c r="A420" s="2415"/>
      <c r="B420" s="2415"/>
      <c r="C420" s="2419" t="s">
        <v>244</v>
      </c>
      <c r="D420" s="2415"/>
      <c r="E420" s="2415"/>
      <c r="F420" s="2415"/>
      <c r="G420" s="2415"/>
      <c r="H420" s="2415"/>
      <c r="I420" s="2415"/>
      <c r="J420" s="2415"/>
      <c r="K420" s="2419" t="s">
        <v>2066</v>
      </c>
      <c r="L420" s="2415"/>
      <c r="M420" s="2415"/>
      <c r="N420" s="2415"/>
      <c r="O420" s="2415"/>
      <c r="P420" s="2415"/>
      <c r="Q420" s="2415"/>
      <c r="R420" s="1964"/>
      <c r="S420" s="1964"/>
      <c r="T420" s="1964"/>
    </row>
    <row r="421" spans="1:28" ht="20.25" customHeight="1">
      <c r="A421" s="2415"/>
      <c r="B421" s="2415"/>
      <c r="C421" s="2415" t="s">
        <v>1018</v>
      </c>
      <c r="D421" s="2415"/>
      <c r="E421" s="2415"/>
      <c r="F421" s="2415"/>
      <c r="G421" s="2415"/>
      <c r="H421" s="2415"/>
      <c r="I421" s="2415"/>
      <c r="J421" s="2415"/>
      <c r="K421" s="2415" t="s">
        <v>2140</v>
      </c>
      <c r="L421" s="2415"/>
      <c r="M421" s="2415"/>
      <c r="N421" s="2415"/>
      <c r="O421" s="2415"/>
      <c r="P421" s="2415"/>
      <c r="Q421" s="2415"/>
      <c r="R421" s="1964"/>
      <c r="S421" s="1964"/>
      <c r="T421" s="1964"/>
    </row>
    <row r="422" spans="1:28" ht="20.25" customHeight="1">
      <c r="A422" s="2415"/>
      <c r="B422" s="2415"/>
      <c r="C422" s="2415" t="s">
        <v>163</v>
      </c>
      <c r="D422" s="2415"/>
      <c r="E422" s="2415"/>
      <c r="F422" s="2415"/>
      <c r="G422" s="2415"/>
      <c r="H422" s="2415"/>
      <c r="I422" s="2415"/>
      <c r="J422" s="2415"/>
      <c r="K422" s="2415" t="s">
        <v>4978</v>
      </c>
      <c r="L422" s="2415"/>
      <c r="M422" s="2415"/>
      <c r="N422" s="2415"/>
      <c r="O422" s="2415"/>
      <c r="P422" s="2415"/>
      <c r="Q422" s="2415"/>
      <c r="R422" s="1964"/>
      <c r="S422" s="1964"/>
      <c r="T422" s="1964"/>
    </row>
    <row r="423" spans="1:28" ht="20.25" customHeight="1">
      <c r="A423" s="2415"/>
      <c r="B423" s="2415"/>
      <c r="C423" s="2415" t="s">
        <v>1427</v>
      </c>
      <c r="D423" s="2415"/>
      <c r="E423" s="2415"/>
      <c r="F423" s="2415"/>
      <c r="G423" s="2415"/>
      <c r="H423" s="2415"/>
      <c r="I423" s="2415"/>
      <c r="J423" s="2415"/>
      <c r="K423" s="2415" t="s">
        <v>4979</v>
      </c>
      <c r="L423" s="2415"/>
      <c r="M423" s="2415"/>
      <c r="N423" s="2415"/>
      <c r="O423" s="2415"/>
      <c r="P423" s="2415"/>
      <c r="Q423" s="2415"/>
      <c r="R423" s="1964"/>
      <c r="S423" s="1964"/>
      <c r="T423" s="1964"/>
    </row>
    <row r="424" spans="1:28" ht="20.25" customHeight="1">
      <c r="A424" s="2415"/>
      <c r="B424" s="2415"/>
      <c r="C424" s="2415" t="s">
        <v>1959</v>
      </c>
      <c r="D424" s="2415"/>
      <c r="E424" s="2415"/>
      <c r="F424" s="2415"/>
      <c r="G424" s="2415"/>
      <c r="H424" s="2415"/>
      <c r="I424" s="2415"/>
      <c r="J424" s="2415"/>
      <c r="K424" s="2415" t="s">
        <v>4980</v>
      </c>
      <c r="L424" s="2415"/>
      <c r="M424" s="2415"/>
      <c r="N424" s="2415"/>
      <c r="O424" s="2415"/>
      <c r="P424" s="2415"/>
      <c r="Q424" s="2415"/>
      <c r="R424" s="1964"/>
      <c r="S424" s="1964"/>
      <c r="T424" s="1964"/>
    </row>
    <row r="425" spans="1:28" ht="20.25" customHeight="1">
      <c r="A425" s="2415"/>
      <c r="B425" s="2415"/>
      <c r="C425" s="2415" t="s">
        <v>162</v>
      </c>
      <c r="D425" s="2415"/>
      <c r="E425" s="2415"/>
      <c r="F425" s="2415"/>
      <c r="G425" s="2415"/>
      <c r="H425" s="2415"/>
      <c r="I425" s="2415"/>
      <c r="J425" s="2415"/>
      <c r="K425" s="2415" t="s">
        <v>4981</v>
      </c>
      <c r="L425" s="2415"/>
      <c r="M425" s="2415"/>
      <c r="N425" s="2415"/>
      <c r="O425" s="2415"/>
      <c r="P425" s="2415"/>
      <c r="Q425" s="2415"/>
      <c r="R425" s="1964"/>
      <c r="S425" s="1964"/>
      <c r="T425" s="1964"/>
    </row>
    <row r="426" spans="1:28" ht="20.25" customHeight="1">
      <c r="A426" s="2415"/>
      <c r="B426" s="2415"/>
      <c r="C426" s="2415"/>
      <c r="D426" s="2415"/>
      <c r="E426" s="2415"/>
      <c r="F426" s="2415"/>
      <c r="G426" s="2415"/>
      <c r="H426" s="2415"/>
      <c r="I426" s="2415"/>
      <c r="J426" s="2415"/>
      <c r="K426" s="2419" t="s">
        <v>1803</v>
      </c>
      <c r="L426" s="2415"/>
      <c r="M426" s="2415"/>
      <c r="N426" s="2415"/>
      <c r="O426" s="2415"/>
      <c r="P426" s="2415"/>
      <c r="Q426" s="2415"/>
      <c r="R426" s="1964"/>
      <c r="S426" s="1964"/>
      <c r="T426" s="1964"/>
    </row>
    <row r="427" spans="1:28" s="1912" customFormat="1" ht="20.25" customHeight="1">
      <c r="D427" s="2415"/>
      <c r="E427" s="2415"/>
      <c r="F427" s="2415"/>
      <c r="G427" s="2415"/>
      <c r="H427" s="2415"/>
      <c r="I427" s="2415"/>
      <c r="J427" s="2415"/>
      <c r="K427" s="2415" t="s">
        <v>1016</v>
      </c>
      <c r="L427" s="2415"/>
      <c r="M427" s="2415"/>
      <c r="N427" s="2415"/>
      <c r="O427" s="2415"/>
      <c r="P427" s="2415"/>
      <c r="Q427" s="2415"/>
      <c r="R427" s="1964"/>
      <c r="S427" s="1964"/>
      <c r="T427" s="1964"/>
      <c r="U427" s="1964"/>
      <c r="V427" s="1964"/>
      <c r="W427" s="1964"/>
      <c r="X427" s="1964"/>
      <c r="Y427" s="1964"/>
      <c r="Z427" s="1964"/>
      <c r="AA427" s="2492"/>
      <c r="AB427" s="1964"/>
    </row>
    <row r="428" spans="1:28" s="1912" customFormat="1" ht="20.25" customHeight="1">
      <c r="D428" s="2415"/>
      <c r="E428" s="2415"/>
      <c r="F428" s="2415"/>
      <c r="G428" s="2415"/>
      <c r="H428" s="2415"/>
      <c r="I428" s="2415"/>
      <c r="J428" s="2415"/>
      <c r="K428" s="2415" t="s">
        <v>1625</v>
      </c>
      <c r="L428" s="2415"/>
      <c r="M428" s="2415"/>
      <c r="N428" s="2415"/>
      <c r="O428" s="2415"/>
      <c r="P428" s="2415"/>
      <c r="Q428" s="2415"/>
      <c r="R428" s="1964"/>
      <c r="S428" s="1964"/>
      <c r="T428" s="1964"/>
      <c r="U428" s="1964"/>
      <c r="V428" s="1964"/>
      <c r="W428" s="1964"/>
      <c r="X428" s="1964"/>
      <c r="Y428" s="1964"/>
      <c r="Z428" s="1964"/>
      <c r="AA428" s="2492"/>
      <c r="AB428" s="1964"/>
    </row>
    <row r="429" spans="1:28" s="1912" customFormat="1" ht="20.25" customHeight="1">
      <c r="D429" s="2415"/>
      <c r="E429" s="2415"/>
      <c r="F429" s="2415"/>
      <c r="G429" s="2415"/>
      <c r="H429" s="2415"/>
      <c r="I429" s="2415"/>
      <c r="J429" s="2415"/>
      <c r="K429" s="2415" t="s">
        <v>1066</v>
      </c>
      <c r="L429" s="2415"/>
      <c r="M429" s="2415"/>
      <c r="N429" s="2415"/>
      <c r="O429" s="2415"/>
      <c r="P429" s="2415"/>
      <c r="Q429" s="2415"/>
      <c r="R429" s="1964"/>
      <c r="S429" s="1964"/>
      <c r="T429" s="1964"/>
      <c r="U429" s="1964"/>
      <c r="V429" s="1964"/>
      <c r="W429" s="1964"/>
      <c r="X429" s="1964"/>
      <c r="Y429" s="1964"/>
      <c r="Z429" s="1964"/>
      <c r="AA429" s="2492"/>
      <c r="AB429" s="1964"/>
    </row>
    <row r="430" spans="1:28" s="1912" customFormat="1" ht="20.25" customHeight="1">
      <c r="D430" s="2415"/>
      <c r="E430" s="2415"/>
      <c r="F430" s="2415"/>
      <c r="G430" s="2415"/>
      <c r="H430" s="2415"/>
      <c r="I430" s="2415"/>
      <c r="J430" s="2415"/>
      <c r="K430" s="2415" t="s">
        <v>1626</v>
      </c>
      <c r="L430" s="2415"/>
      <c r="M430" s="2415"/>
      <c r="N430" s="2415"/>
      <c r="O430" s="2415"/>
      <c r="P430" s="2415"/>
      <c r="Q430" s="2415"/>
      <c r="R430" s="1964"/>
      <c r="S430" s="1964"/>
      <c r="T430" s="1964"/>
      <c r="U430" s="1964"/>
      <c r="V430" s="1964"/>
      <c r="W430" s="1964"/>
      <c r="X430" s="1964"/>
      <c r="Y430" s="1964"/>
      <c r="Z430" s="1964"/>
      <c r="AA430" s="2492"/>
      <c r="AB430" s="1964"/>
    </row>
    <row r="431" spans="1:28" s="1912" customFormat="1" ht="20.25" customHeight="1">
      <c r="D431" s="2415"/>
      <c r="E431" s="2415"/>
      <c r="F431" s="2415"/>
      <c r="G431" s="2415"/>
      <c r="H431" s="2415"/>
      <c r="I431" s="2415"/>
      <c r="J431" s="2415"/>
      <c r="K431" s="2415" t="s">
        <v>2178</v>
      </c>
      <c r="L431" s="2415"/>
      <c r="M431" s="2415"/>
      <c r="N431" s="2415"/>
      <c r="O431" s="2415"/>
      <c r="P431" s="2415"/>
      <c r="Q431" s="2415"/>
      <c r="R431" s="1964"/>
      <c r="S431" s="1964"/>
      <c r="T431" s="1964"/>
      <c r="U431" s="1964"/>
      <c r="V431" s="1964"/>
      <c r="W431" s="1964"/>
      <c r="X431" s="1964"/>
      <c r="Y431" s="1964"/>
      <c r="Z431" s="1964"/>
      <c r="AA431" s="2492"/>
      <c r="AB431" s="1964"/>
    </row>
    <row r="432" spans="1:28" s="1912" customFormat="1" ht="20.25" customHeight="1">
      <c r="B432" s="2415"/>
      <c r="C432" s="2415"/>
      <c r="D432" s="2415"/>
      <c r="E432" s="2415"/>
      <c r="F432" s="2415"/>
      <c r="G432" s="2415"/>
      <c r="H432" s="2415"/>
      <c r="I432" s="2415"/>
      <c r="J432" s="2415"/>
      <c r="K432" s="2415"/>
      <c r="L432" s="2415"/>
      <c r="M432" s="2415"/>
      <c r="N432" s="2415"/>
      <c r="O432" s="2415"/>
      <c r="P432" s="2415"/>
      <c r="Q432" s="2415"/>
      <c r="R432" s="1964"/>
      <c r="S432" s="1964"/>
      <c r="T432" s="1964"/>
      <c r="U432" s="1964"/>
      <c r="V432" s="1964"/>
      <c r="W432" s="1964"/>
      <c r="X432" s="1964"/>
      <c r="Y432" s="1964"/>
      <c r="Z432" s="1964"/>
      <c r="AA432" s="2492"/>
      <c r="AB432" s="1964"/>
    </row>
    <row r="433" spans="2:28" s="1912" customFormat="1" ht="20.25" customHeight="1">
      <c r="B433" s="2415"/>
      <c r="C433" s="2419" t="s">
        <v>950</v>
      </c>
      <c r="D433" s="2415"/>
      <c r="E433" s="2415"/>
      <c r="F433" s="2415"/>
      <c r="G433" s="2415"/>
      <c r="H433" s="2415"/>
      <c r="I433" s="2415"/>
      <c r="J433" s="2415"/>
      <c r="K433" s="2415"/>
      <c r="L433" s="2415"/>
      <c r="M433" s="2419" t="s">
        <v>3726</v>
      </c>
      <c r="N433" s="2415"/>
      <c r="O433" s="2415"/>
      <c r="P433" s="2415"/>
      <c r="Q433" s="2415"/>
      <c r="R433" s="1964"/>
      <c r="S433" s="1964"/>
      <c r="T433" s="1964"/>
      <c r="U433" s="1964"/>
      <c r="V433" s="1964"/>
      <c r="W433" s="1964"/>
      <c r="X433" s="1964"/>
      <c r="Y433" s="1964"/>
      <c r="Z433" s="1964"/>
      <c r="AA433" s="2492"/>
      <c r="AB433" s="1964"/>
    </row>
    <row r="434" spans="2:28" s="1912" customFormat="1" ht="20.25" customHeight="1">
      <c r="B434" s="2415"/>
      <c r="C434" s="2415" t="s">
        <v>949</v>
      </c>
      <c r="D434" s="2415"/>
      <c r="E434" s="2415"/>
      <c r="F434" s="2415"/>
      <c r="G434" s="2415"/>
      <c r="H434" s="2415"/>
      <c r="I434" s="2415"/>
      <c r="J434" s="2415"/>
      <c r="K434" s="2415"/>
      <c r="L434" s="2415"/>
      <c r="M434" s="2415" t="s">
        <v>949</v>
      </c>
      <c r="N434" s="2415"/>
      <c r="O434" s="2415"/>
      <c r="P434" s="2415"/>
      <c r="Q434" s="2415"/>
      <c r="R434" s="1964"/>
      <c r="S434" s="1964"/>
      <c r="T434" s="1964"/>
      <c r="U434" s="1964"/>
      <c r="V434" s="1964"/>
      <c r="W434" s="1964"/>
      <c r="X434" s="1964"/>
      <c r="Y434" s="1964"/>
      <c r="Z434" s="1964"/>
      <c r="AA434" s="2492"/>
      <c r="AB434" s="1964"/>
    </row>
    <row r="435" spans="2:28" s="1912" customFormat="1" ht="20.25" customHeight="1">
      <c r="B435" s="2415"/>
      <c r="C435" s="2415" t="s">
        <v>1932</v>
      </c>
      <c r="D435" s="2415"/>
      <c r="E435" s="2415"/>
      <c r="F435" s="2415"/>
      <c r="G435" s="2415"/>
      <c r="H435" s="2415"/>
      <c r="I435" s="2415"/>
      <c r="J435" s="2415"/>
      <c r="K435" s="2415"/>
      <c r="L435" s="2415"/>
      <c r="M435" s="2415" t="s">
        <v>3723</v>
      </c>
      <c r="N435" s="2415"/>
      <c r="O435" s="2415"/>
      <c r="P435" s="2415"/>
      <c r="Q435" s="2415"/>
      <c r="R435" s="1964"/>
      <c r="S435" s="1964"/>
      <c r="T435" s="1964"/>
      <c r="U435" s="1964"/>
      <c r="V435" s="1964"/>
      <c r="W435" s="1964"/>
      <c r="X435" s="1964"/>
      <c r="Y435" s="1964"/>
      <c r="Z435" s="1964"/>
      <c r="AA435" s="2492"/>
      <c r="AB435" s="1964"/>
    </row>
    <row r="436" spans="2:28" s="1912" customFormat="1" ht="20.25" customHeight="1">
      <c r="B436" s="2415"/>
      <c r="C436" s="2415" t="s">
        <v>2334</v>
      </c>
      <c r="D436" s="2415"/>
      <c r="E436" s="2415"/>
      <c r="F436" s="2415"/>
      <c r="G436" s="2415"/>
      <c r="H436" s="2415"/>
      <c r="I436" s="2415"/>
      <c r="J436" s="2415"/>
      <c r="K436" s="2415"/>
      <c r="L436" s="2415"/>
      <c r="M436" s="2415" t="s">
        <v>3754</v>
      </c>
      <c r="N436" s="2415"/>
      <c r="O436" s="2415"/>
      <c r="P436" s="2415"/>
      <c r="Q436" s="2415"/>
      <c r="R436" s="1964"/>
      <c r="S436" s="1964"/>
      <c r="T436" s="1964"/>
      <c r="U436" s="1964"/>
      <c r="V436" s="1964"/>
      <c r="W436" s="1964"/>
      <c r="X436" s="1964"/>
      <c r="Y436" s="1964"/>
      <c r="Z436" s="1964"/>
      <c r="AA436" s="2492"/>
      <c r="AB436" s="1964"/>
    </row>
    <row r="437" spans="2:28" s="1912" customFormat="1" ht="20.25" customHeight="1">
      <c r="B437" s="2415"/>
      <c r="C437" s="2415" t="s">
        <v>1933</v>
      </c>
      <c r="D437" s="2415"/>
      <c r="E437" s="2415"/>
      <c r="F437" s="2415"/>
      <c r="G437" s="2415"/>
      <c r="H437" s="2415"/>
      <c r="I437" s="2415"/>
      <c r="J437" s="2415"/>
      <c r="K437" s="2415"/>
      <c r="L437" s="2415"/>
      <c r="M437" s="2415" t="s">
        <v>1538</v>
      </c>
      <c r="N437" s="2415"/>
      <c r="O437" s="2415"/>
      <c r="P437" s="2415"/>
      <c r="Q437" s="2415"/>
      <c r="R437" s="1964"/>
      <c r="S437" s="1964"/>
      <c r="T437" s="1964"/>
      <c r="U437" s="1964"/>
      <c r="V437" s="1964"/>
      <c r="W437" s="1964"/>
      <c r="X437" s="1964"/>
      <c r="Y437" s="1964"/>
      <c r="Z437" s="1964"/>
      <c r="AA437" s="2492"/>
      <c r="AB437" s="1964"/>
    </row>
    <row r="438" spans="2:28" s="1912" customFormat="1" ht="20.25" customHeight="1">
      <c r="B438" s="2415"/>
      <c r="C438" s="2415" t="s">
        <v>1804</v>
      </c>
      <c r="D438" s="2415"/>
      <c r="E438" s="2415"/>
      <c r="F438" s="2415"/>
      <c r="G438" s="2415"/>
      <c r="H438" s="2415"/>
      <c r="I438" s="2415"/>
      <c r="J438" s="2415"/>
      <c r="K438" s="2415"/>
      <c r="L438" s="2415"/>
      <c r="M438" s="2415" t="s">
        <v>3724</v>
      </c>
      <c r="N438" s="2415"/>
      <c r="O438" s="2415"/>
      <c r="P438" s="2415"/>
      <c r="Q438" s="2415"/>
      <c r="R438" s="1964"/>
      <c r="S438" s="1964"/>
      <c r="T438" s="1964"/>
      <c r="U438" s="1964"/>
      <c r="V438" s="1964"/>
      <c r="W438" s="1964"/>
      <c r="X438" s="1964"/>
      <c r="Y438" s="1964"/>
      <c r="Z438" s="1964"/>
      <c r="AA438" s="2492"/>
      <c r="AB438" s="1964"/>
    </row>
    <row r="439" spans="2:28" s="1912" customFormat="1" ht="20.25" customHeight="1">
      <c r="B439" s="2415"/>
      <c r="C439" s="2415" t="s">
        <v>547</v>
      </c>
      <c r="D439" s="2415"/>
      <c r="E439" s="2415"/>
      <c r="F439" s="2415"/>
      <c r="G439" s="2415"/>
      <c r="H439" s="2415"/>
      <c r="I439" s="2415"/>
      <c r="J439" s="2415"/>
      <c r="K439" s="2415"/>
      <c r="L439" s="2415"/>
      <c r="M439" s="2415" t="s">
        <v>3773</v>
      </c>
      <c r="N439" s="2415"/>
      <c r="O439" s="2415"/>
      <c r="P439" s="2415"/>
      <c r="Q439" s="2415"/>
      <c r="R439" s="1964"/>
      <c r="S439" s="1964"/>
      <c r="T439" s="1964"/>
      <c r="U439" s="1964"/>
      <c r="V439" s="1964"/>
      <c r="W439" s="1964"/>
      <c r="X439" s="1964"/>
      <c r="Y439" s="1964"/>
      <c r="Z439" s="1964"/>
      <c r="AA439" s="2492"/>
      <c r="AB439" s="1964"/>
    </row>
    <row r="440" spans="2:28" s="1912" customFormat="1" ht="20.25" customHeight="1">
      <c r="B440" s="2415"/>
      <c r="C440" s="2415" t="s">
        <v>2029</v>
      </c>
      <c r="D440" s="2415"/>
      <c r="E440" s="2415"/>
      <c r="F440" s="2415"/>
      <c r="G440" s="2415"/>
      <c r="H440" s="2415"/>
      <c r="I440" s="2415"/>
      <c r="J440" s="2415"/>
      <c r="K440" s="2415"/>
      <c r="L440" s="2415"/>
      <c r="M440" s="2415" t="s">
        <v>3774</v>
      </c>
      <c r="N440" s="2415"/>
      <c r="O440" s="2415"/>
      <c r="P440" s="2415"/>
      <c r="Q440" s="2415"/>
      <c r="R440" s="1964"/>
      <c r="S440" s="1964"/>
      <c r="T440" s="1964"/>
      <c r="U440" s="1964"/>
      <c r="V440" s="1964"/>
      <c r="W440" s="1964"/>
      <c r="X440" s="1964"/>
      <c r="Y440" s="1964"/>
      <c r="Z440" s="1964"/>
      <c r="AA440" s="2492"/>
      <c r="AB440" s="1964"/>
    </row>
    <row r="441" spans="2:28" s="1912" customFormat="1" ht="20.25" customHeight="1">
      <c r="B441" s="2415"/>
      <c r="C441" s="2415" t="s">
        <v>30</v>
      </c>
      <c r="D441" s="2415"/>
      <c r="E441" s="2415"/>
      <c r="F441" s="2415"/>
      <c r="G441" s="2415"/>
      <c r="H441" s="2415"/>
      <c r="I441" s="2415"/>
      <c r="J441" s="2415"/>
      <c r="K441" s="2415"/>
      <c r="L441" s="2415"/>
      <c r="M441" s="2415" t="s">
        <v>3725</v>
      </c>
      <c r="N441" s="2415"/>
      <c r="O441" s="2415"/>
      <c r="P441" s="2415"/>
      <c r="Q441" s="2415"/>
      <c r="R441" s="1964"/>
      <c r="S441" s="1964"/>
      <c r="T441" s="1964"/>
      <c r="U441" s="1964"/>
      <c r="V441" s="1964"/>
      <c r="W441" s="1964"/>
      <c r="X441" s="1964"/>
      <c r="Y441" s="1964"/>
      <c r="Z441" s="1964"/>
      <c r="AA441" s="2492"/>
      <c r="AB441" s="1964"/>
    </row>
    <row r="442" spans="2:28" s="1912" customFormat="1" ht="20.25" customHeight="1">
      <c r="D442" s="2415"/>
      <c r="E442" s="2415"/>
      <c r="F442" s="2415"/>
      <c r="G442" s="2415"/>
      <c r="H442" s="2415"/>
      <c r="I442" s="2415"/>
      <c r="J442" s="2415"/>
      <c r="K442" s="2415"/>
      <c r="L442" s="2415"/>
      <c r="M442" s="2415" t="s">
        <v>1946</v>
      </c>
      <c r="N442" s="2415"/>
      <c r="O442" s="2415"/>
      <c r="P442" s="2415"/>
      <c r="Q442" s="2415"/>
      <c r="R442" s="1964"/>
      <c r="S442" s="1964"/>
      <c r="T442" s="1964"/>
      <c r="U442" s="1964"/>
      <c r="V442" s="1964"/>
      <c r="W442" s="1964"/>
      <c r="X442" s="1964"/>
      <c r="Y442" s="1964"/>
      <c r="Z442" s="1964"/>
      <c r="AA442" s="2492"/>
      <c r="AB442" s="1964"/>
    </row>
    <row r="443" spans="2:28" s="1912" customFormat="1" ht="20.25" customHeight="1">
      <c r="D443" s="2415"/>
      <c r="E443" s="2415"/>
      <c r="F443" s="2415"/>
      <c r="G443" s="2415"/>
      <c r="H443" s="2415"/>
      <c r="I443" s="2415"/>
      <c r="J443" s="2415"/>
      <c r="K443" s="2415"/>
      <c r="L443" s="2415"/>
      <c r="M443" s="2415" t="s">
        <v>4982</v>
      </c>
      <c r="N443" s="2415"/>
      <c r="O443" s="2415"/>
      <c r="P443" s="2415"/>
      <c r="Q443" s="2415"/>
      <c r="R443" s="1964"/>
      <c r="S443" s="1964"/>
      <c r="T443" s="1964"/>
      <c r="U443" s="1964"/>
      <c r="V443" s="1964"/>
      <c r="W443" s="1964"/>
      <c r="X443" s="1964"/>
      <c r="Y443" s="1964"/>
      <c r="Z443" s="1964"/>
      <c r="AA443" s="2492"/>
      <c r="AB443" s="1964"/>
    </row>
    <row r="444" spans="2:28" s="1912" customFormat="1" ht="20.25" customHeight="1">
      <c r="D444" s="2415"/>
      <c r="E444" s="2415"/>
      <c r="F444" s="2415"/>
      <c r="G444" s="2415"/>
      <c r="H444" s="2415"/>
      <c r="I444" s="2415"/>
      <c r="J444" s="2415"/>
      <c r="K444" s="2415"/>
      <c r="L444" s="2415"/>
      <c r="M444" s="2415"/>
      <c r="N444" s="2415"/>
      <c r="O444" s="2415"/>
      <c r="P444" s="2415"/>
      <c r="Q444" s="2415"/>
      <c r="R444" s="1964"/>
      <c r="S444" s="1964"/>
      <c r="T444" s="1964"/>
      <c r="U444" s="1964"/>
      <c r="V444" s="1964"/>
      <c r="W444" s="1964"/>
      <c r="X444" s="1964"/>
      <c r="Y444" s="1964"/>
      <c r="Z444" s="1964"/>
      <c r="AA444" s="2492"/>
      <c r="AB444" s="1964"/>
    </row>
    <row r="445" spans="2:28" s="1912" customFormat="1" ht="20.25" customHeight="1">
      <c r="D445" s="2415"/>
      <c r="E445" s="2415"/>
      <c r="F445" s="2415"/>
      <c r="G445" s="2415"/>
      <c r="H445" s="2415"/>
      <c r="I445" s="2415"/>
      <c r="J445" s="2415"/>
      <c r="K445" s="2415"/>
      <c r="L445" s="2415"/>
      <c r="M445" s="2420" t="s">
        <v>297</v>
      </c>
      <c r="N445" s="2415"/>
      <c r="O445" s="2415"/>
      <c r="P445" s="2415"/>
      <c r="Q445" s="2415"/>
      <c r="R445" s="1964"/>
      <c r="S445" s="1964"/>
      <c r="T445" s="1964"/>
      <c r="U445" s="1964"/>
      <c r="V445" s="1964"/>
      <c r="W445" s="1964"/>
      <c r="X445" s="1964"/>
      <c r="Y445" s="1964"/>
      <c r="Z445" s="1964"/>
      <c r="AA445" s="2492"/>
      <c r="AB445" s="1964"/>
    </row>
    <row r="446" spans="2:28" s="1912" customFormat="1" ht="20.25" customHeight="1">
      <c r="D446" s="2415"/>
      <c r="E446" s="2415"/>
      <c r="F446" s="2415"/>
      <c r="G446" s="2415"/>
      <c r="H446" s="2415"/>
      <c r="I446" s="2415"/>
      <c r="J446" s="2415"/>
      <c r="K446" s="2415"/>
      <c r="L446" s="2415"/>
      <c r="M446" s="2415" t="s">
        <v>3246</v>
      </c>
      <c r="N446" s="2415"/>
      <c r="O446" s="2415"/>
      <c r="P446" s="2415"/>
      <c r="Q446" s="2415"/>
      <c r="R446" s="1964"/>
      <c r="S446" s="1964"/>
      <c r="T446" s="1964"/>
      <c r="U446" s="1964"/>
      <c r="V446" s="1964"/>
      <c r="W446" s="1964"/>
      <c r="X446" s="1964"/>
      <c r="Y446" s="1964"/>
      <c r="Z446" s="1964"/>
      <c r="AA446" s="2492"/>
      <c r="AB446" s="1964"/>
    </row>
    <row r="447" spans="2:28" s="1912" customFormat="1" ht="20.25" customHeight="1">
      <c r="D447" s="2415"/>
      <c r="E447" s="2415"/>
      <c r="F447" s="2415"/>
      <c r="G447" s="2415"/>
      <c r="H447" s="2415"/>
      <c r="I447" s="2415"/>
      <c r="J447" s="2415"/>
      <c r="K447" s="2415"/>
      <c r="L447" s="2415"/>
      <c r="M447" s="2415" t="s">
        <v>3168</v>
      </c>
      <c r="N447" s="2415"/>
      <c r="O447" s="2415"/>
      <c r="P447" s="2415"/>
      <c r="Q447" s="2415"/>
      <c r="R447" s="1964"/>
      <c r="S447" s="1964"/>
      <c r="T447" s="1964"/>
      <c r="U447" s="1964"/>
      <c r="V447" s="1964"/>
      <c r="W447" s="1964"/>
      <c r="X447" s="1964"/>
      <c r="Y447" s="1964"/>
      <c r="Z447" s="1964"/>
      <c r="AA447" s="2492"/>
      <c r="AB447" s="1964"/>
    </row>
    <row r="448" spans="2:28" s="1912" customFormat="1" ht="20.25" customHeight="1">
      <c r="D448" s="2415"/>
      <c r="E448" s="2415"/>
      <c r="F448" s="2415"/>
      <c r="G448" s="2415"/>
      <c r="H448" s="2415"/>
      <c r="I448" s="2415"/>
      <c r="J448" s="2415"/>
      <c r="K448" s="2415"/>
      <c r="L448" s="2415"/>
      <c r="M448" s="2415" t="s">
        <v>4987</v>
      </c>
      <c r="N448" s="2415"/>
      <c r="O448" s="2415"/>
      <c r="P448" s="2415"/>
      <c r="Q448" s="2415"/>
      <c r="R448" s="1964"/>
      <c r="S448" s="1964"/>
      <c r="T448" s="1964"/>
      <c r="U448" s="1964"/>
      <c r="V448" s="1964"/>
      <c r="W448" s="1964"/>
      <c r="X448" s="1964"/>
      <c r="Y448" s="1964"/>
      <c r="Z448" s="1964"/>
      <c r="AA448" s="2492"/>
      <c r="AB448" s="1964"/>
    </row>
    <row r="449" spans="4:28" s="1912" customFormat="1" ht="20.25" customHeight="1">
      <c r="D449" s="2415"/>
      <c r="E449" s="2415"/>
      <c r="F449" s="2415"/>
      <c r="G449" s="2415"/>
      <c r="H449" s="2415"/>
      <c r="I449" s="2415"/>
      <c r="J449" s="2415"/>
      <c r="K449" s="2415"/>
      <c r="L449" s="2415"/>
      <c r="M449" s="2415" t="s">
        <v>3169</v>
      </c>
      <c r="N449" s="2415"/>
      <c r="O449" s="2415"/>
      <c r="P449" s="2415"/>
      <c r="Q449" s="2415"/>
      <c r="R449" s="1964"/>
      <c r="S449" s="1964"/>
      <c r="T449" s="1964"/>
      <c r="U449" s="1964"/>
      <c r="V449" s="1964"/>
      <c r="W449" s="1964"/>
      <c r="X449" s="1964"/>
      <c r="Y449" s="1964"/>
      <c r="Z449" s="1964"/>
      <c r="AA449" s="2492"/>
      <c r="AB449" s="1964"/>
    </row>
    <row r="450" spans="4:28" s="1912" customFormat="1" ht="20.25" customHeight="1">
      <c r="D450" s="2420" t="s">
        <v>1882</v>
      </c>
      <c r="E450" s="2415"/>
      <c r="F450" s="2415"/>
      <c r="G450" s="2415"/>
      <c r="H450" s="2415"/>
      <c r="I450" s="2415"/>
      <c r="J450" s="2415"/>
      <c r="K450" s="2415"/>
      <c r="L450" s="2415"/>
      <c r="M450" s="2415" t="s">
        <v>3170</v>
      </c>
      <c r="N450" s="2415"/>
      <c r="O450" s="2415"/>
      <c r="P450" s="2415"/>
      <c r="Q450" s="2415"/>
      <c r="R450" s="1964"/>
      <c r="S450" s="1964"/>
      <c r="T450" s="1964"/>
      <c r="U450" s="1964"/>
      <c r="V450" s="1964"/>
      <c r="W450" s="1964"/>
      <c r="X450" s="1964"/>
      <c r="Y450" s="1964"/>
      <c r="Z450" s="1964"/>
      <c r="AA450" s="2492"/>
      <c r="AB450" s="1964"/>
    </row>
    <row r="451" spans="4:28" s="1912" customFormat="1" ht="20.25" customHeight="1">
      <c r="D451" s="2415"/>
      <c r="E451" s="2415"/>
      <c r="F451" s="2415"/>
      <c r="G451" s="2415"/>
      <c r="H451" s="2415"/>
      <c r="I451" s="2415"/>
      <c r="J451" s="2415"/>
      <c r="K451" s="2415"/>
      <c r="L451" s="2415"/>
      <c r="M451" s="2415" t="s">
        <v>4988</v>
      </c>
      <c r="N451" s="2415"/>
      <c r="O451" s="2415"/>
      <c r="P451" s="2415"/>
      <c r="Q451" s="2415"/>
      <c r="R451" s="1964"/>
      <c r="S451" s="1964"/>
      <c r="T451" s="1964"/>
      <c r="U451" s="1964"/>
      <c r="V451" s="1964"/>
      <c r="W451" s="1964"/>
      <c r="X451" s="1964"/>
      <c r="Y451" s="1964"/>
      <c r="Z451" s="1964"/>
      <c r="AA451" s="2492"/>
      <c r="AB451" s="1964"/>
    </row>
    <row r="452" spans="4:28" s="1912" customFormat="1" ht="20.25" customHeight="1">
      <c r="D452" s="2415"/>
      <c r="E452" s="2415"/>
      <c r="F452" s="2415"/>
      <c r="G452" s="2415"/>
      <c r="H452" s="2415"/>
      <c r="I452" s="2415"/>
      <c r="J452" s="2415"/>
      <c r="K452" s="2415"/>
      <c r="L452" s="2415"/>
      <c r="M452" s="2415" t="s">
        <v>3242</v>
      </c>
      <c r="N452" s="2415"/>
      <c r="O452" s="2415"/>
      <c r="P452" s="2415"/>
      <c r="Q452" s="2415"/>
      <c r="R452" s="1964"/>
      <c r="S452" s="1964"/>
      <c r="T452" s="1964"/>
      <c r="U452" s="1964"/>
      <c r="V452" s="1964"/>
      <c r="W452" s="1964"/>
      <c r="X452" s="1964"/>
      <c r="Y452" s="1964"/>
      <c r="Z452" s="1964"/>
      <c r="AA452" s="2492"/>
      <c r="AB452" s="1964"/>
    </row>
    <row r="453" spans="4:28" s="1912" customFormat="1" ht="20.25" customHeight="1">
      <c r="D453" s="2415"/>
      <c r="E453" s="2415"/>
      <c r="F453" s="2415"/>
      <c r="G453" s="2415"/>
      <c r="H453" s="2415"/>
      <c r="I453" s="2415"/>
      <c r="J453" s="2415"/>
      <c r="K453" s="2415"/>
      <c r="L453" s="2415"/>
      <c r="M453" s="2415" t="s">
        <v>4989</v>
      </c>
      <c r="N453" s="2415"/>
      <c r="O453" s="2415"/>
      <c r="P453" s="2415"/>
      <c r="Q453" s="2415"/>
      <c r="R453" s="1964"/>
      <c r="S453" s="1964"/>
      <c r="T453" s="1964"/>
      <c r="U453" s="1964"/>
      <c r="V453" s="1964"/>
      <c r="W453" s="1964"/>
      <c r="X453" s="1964"/>
      <c r="Y453" s="1964"/>
      <c r="Z453" s="1964"/>
      <c r="AA453" s="2492"/>
      <c r="AB453" s="1964"/>
    </row>
    <row r="454" spans="4:28" s="1912" customFormat="1" ht="20.25" customHeight="1">
      <c r="D454" s="2415"/>
      <c r="E454" s="2415"/>
      <c r="F454" s="2415"/>
      <c r="G454" s="2415"/>
      <c r="H454" s="2415"/>
      <c r="I454" s="2415"/>
      <c r="J454" s="2415"/>
      <c r="K454" s="2415"/>
      <c r="L454" s="2415"/>
      <c r="M454" s="2415" t="s">
        <v>4990</v>
      </c>
      <c r="N454" s="2415"/>
      <c r="O454" s="2415"/>
      <c r="P454" s="2415"/>
      <c r="Q454" s="2415"/>
      <c r="R454" s="1964"/>
      <c r="S454" s="1964"/>
      <c r="T454" s="1964"/>
      <c r="U454" s="1964"/>
      <c r="V454" s="1964"/>
      <c r="W454" s="1964"/>
      <c r="X454" s="1964"/>
      <c r="Y454" s="1964"/>
      <c r="Z454" s="1964"/>
      <c r="AA454" s="2492"/>
      <c r="AB454" s="1964"/>
    </row>
    <row r="455" spans="4:28" s="1912" customFormat="1" ht="20.25" customHeight="1">
      <c r="D455" s="2415"/>
      <c r="E455" s="2415"/>
      <c r="F455" s="2415"/>
      <c r="G455" s="2415"/>
      <c r="H455" s="2415"/>
      <c r="I455" s="2415"/>
      <c r="J455" s="2415"/>
      <c r="K455" s="2415"/>
      <c r="L455" s="2415"/>
      <c r="M455" s="2415" t="s">
        <v>4991</v>
      </c>
      <c r="N455" s="2415"/>
      <c r="O455" s="2415"/>
      <c r="P455" s="2415"/>
      <c r="Q455" s="2415"/>
      <c r="R455" s="1964"/>
      <c r="S455" s="1964"/>
      <c r="T455" s="1964"/>
      <c r="U455" s="1964"/>
      <c r="V455" s="1964"/>
      <c r="W455" s="1964"/>
      <c r="X455" s="1964"/>
      <c r="Y455" s="1964"/>
      <c r="Z455" s="1964"/>
      <c r="AA455" s="2492"/>
      <c r="AB455" s="1964"/>
    </row>
    <row r="456" spans="4:28" s="1912" customFormat="1" ht="20.25" customHeight="1">
      <c r="D456" s="2415"/>
      <c r="E456" s="2415"/>
      <c r="F456" s="2415"/>
      <c r="G456" s="2415"/>
      <c r="H456" s="2415"/>
      <c r="I456" s="2415"/>
      <c r="J456" s="2415"/>
      <c r="K456" s="2415"/>
      <c r="L456" s="2415"/>
      <c r="M456" s="2415" t="s">
        <v>4992</v>
      </c>
      <c r="N456" s="2415"/>
      <c r="O456" s="2415"/>
      <c r="P456" s="2415"/>
      <c r="Q456" s="2415"/>
      <c r="R456" s="1964"/>
      <c r="S456" s="1964"/>
      <c r="T456" s="1964"/>
      <c r="U456" s="1964"/>
      <c r="V456" s="1964"/>
      <c r="W456" s="1964"/>
      <c r="X456" s="1964"/>
      <c r="Y456" s="1964"/>
      <c r="Z456" s="1964"/>
      <c r="AA456" s="2492"/>
      <c r="AB456" s="1964"/>
    </row>
    <row r="457" spans="4:28" s="1912" customFormat="1" ht="20.25" customHeight="1">
      <c r="D457" s="2415"/>
      <c r="E457" s="2415"/>
      <c r="F457" s="2415"/>
      <c r="G457" s="2415"/>
      <c r="H457" s="2415"/>
      <c r="I457" s="2415"/>
      <c r="J457" s="2415"/>
      <c r="K457" s="2415"/>
      <c r="L457" s="2415"/>
      <c r="M457" s="2415"/>
      <c r="N457" s="2415"/>
      <c r="O457" s="2415"/>
      <c r="P457" s="2415"/>
      <c r="Q457" s="2415"/>
      <c r="R457" s="1964"/>
      <c r="S457" s="1964"/>
      <c r="T457" s="1964"/>
      <c r="U457" s="1964"/>
      <c r="V457" s="1964"/>
      <c r="W457" s="1964"/>
      <c r="X457" s="1964"/>
      <c r="Y457" s="1964"/>
      <c r="Z457" s="1964"/>
      <c r="AA457" s="2492"/>
      <c r="AB457" s="1964"/>
    </row>
    <row r="458" spans="4:28" s="1912" customFormat="1" ht="20.25" customHeight="1">
      <c r="D458" s="2415"/>
      <c r="E458" s="2415"/>
      <c r="F458" s="2415"/>
      <c r="G458" s="2415"/>
      <c r="H458" s="2415"/>
      <c r="I458" s="2415"/>
      <c r="J458" s="2415"/>
      <c r="K458" s="2415"/>
      <c r="L458" s="2415"/>
      <c r="M458" s="2415"/>
      <c r="N458" s="2415"/>
      <c r="O458" s="2415"/>
      <c r="P458" s="2415"/>
      <c r="Q458" s="2415"/>
      <c r="R458" s="1964"/>
      <c r="S458" s="1964"/>
      <c r="T458" s="1964"/>
      <c r="U458" s="1964"/>
      <c r="V458" s="1964"/>
      <c r="W458" s="1964"/>
      <c r="X458" s="1964"/>
      <c r="Y458" s="1964"/>
      <c r="Z458" s="1964"/>
      <c r="AA458" s="2492"/>
      <c r="AB458" s="1964"/>
    </row>
    <row r="459" spans="4:28" s="1912" customFormat="1" ht="20.25" customHeight="1">
      <c r="D459" s="2415"/>
      <c r="E459" s="2415"/>
      <c r="F459" s="2415"/>
      <c r="G459" s="2415"/>
      <c r="H459" s="2415"/>
      <c r="I459" s="2415"/>
      <c r="J459" s="2415"/>
      <c r="K459" s="2415"/>
      <c r="L459" s="2415"/>
      <c r="M459" s="2415"/>
      <c r="N459" s="2415"/>
      <c r="O459" s="2415"/>
      <c r="P459" s="2415"/>
      <c r="Q459" s="2415"/>
      <c r="R459" s="1964"/>
      <c r="S459" s="1964"/>
      <c r="T459" s="1964"/>
      <c r="U459" s="1964"/>
      <c r="V459" s="1964"/>
      <c r="W459" s="1964"/>
      <c r="X459" s="1964"/>
      <c r="Y459" s="1964"/>
      <c r="Z459" s="1964"/>
      <c r="AA459" s="2492"/>
      <c r="AB459" s="1964"/>
    </row>
    <row r="460" spans="4:28" s="1912" customFormat="1" ht="20.25" customHeight="1">
      <c r="D460" s="2415"/>
      <c r="E460" s="2415"/>
      <c r="F460" s="2415"/>
      <c r="G460" s="2415"/>
      <c r="H460" s="2415"/>
      <c r="I460" s="2415"/>
      <c r="J460" s="2415"/>
      <c r="K460" s="2415"/>
      <c r="L460" s="2415"/>
      <c r="M460" s="2415"/>
      <c r="N460" s="2415"/>
      <c r="O460" s="2415"/>
      <c r="P460" s="2415"/>
      <c r="Q460" s="2415"/>
      <c r="R460" s="1964"/>
      <c r="S460" s="1964"/>
      <c r="T460" s="1964"/>
      <c r="U460" s="1964"/>
      <c r="V460" s="1964"/>
      <c r="W460" s="1964"/>
      <c r="X460" s="1964"/>
      <c r="Y460" s="1964"/>
      <c r="Z460" s="1964"/>
      <c r="AA460" s="2492"/>
      <c r="AB460" s="1964"/>
    </row>
    <row r="461" spans="4:28" s="1912" customFormat="1" ht="20.25" customHeight="1">
      <c r="D461" s="2415"/>
      <c r="E461" s="2415"/>
      <c r="F461" s="2415"/>
      <c r="G461" s="2415"/>
      <c r="H461" s="2415"/>
      <c r="I461" s="2415"/>
      <c r="J461" s="2415"/>
      <c r="K461" s="2415"/>
      <c r="L461" s="2415"/>
      <c r="M461" s="2415"/>
      <c r="N461" s="2415"/>
      <c r="O461" s="2415"/>
      <c r="P461" s="2415"/>
      <c r="Q461" s="2415"/>
      <c r="R461" s="1964"/>
      <c r="S461" s="1964"/>
      <c r="T461" s="1964"/>
      <c r="U461" s="1964"/>
      <c r="V461" s="1964"/>
      <c r="W461" s="1964"/>
      <c r="X461" s="1964"/>
      <c r="Y461" s="1964"/>
      <c r="Z461" s="1964"/>
      <c r="AA461" s="2492"/>
      <c r="AB461" s="1964"/>
    </row>
    <row r="462" spans="4:28" s="1912" customFormat="1" ht="20.25" customHeight="1">
      <c r="D462" s="2415"/>
      <c r="E462" s="2415"/>
      <c r="F462" s="2415"/>
      <c r="G462" s="2415"/>
      <c r="H462" s="2415"/>
      <c r="I462" s="2415"/>
      <c r="J462" s="2415"/>
      <c r="K462" s="2415"/>
      <c r="L462" s="2415"/>
      <c r="M462" s="2415"/>
      <c r="N462" s="2415"/>
      <c r="O462" s="2415"/>
      <c r="P462" s="2415"/>
      <c r="Q462" s="2415"/>
      <c r="R462" s="1964"/>
      <c r="S462" s="1964"/>
      <c r="T462" s="1964"/>
      <c r="U462" s="1964"/>
      <c r="V462" s="1964"/>
      <c r="W462" s="1964"/>
      <c r="X462" s="1964"/>
      <c r="Y462" s="1964"/>
      <c r="Z462" s="1964"/>
      <c r="AA462" s="2492"/>
      <c r="AB462" s="1964"/>
    </row>
    <row r="463" spans="4:28" s="1912" customFormat="1" ht="20.25" customHeight="1">
      <c r="D463" s="2415"/>
      <c r="E463" s="2415"/>
      <c r="F463" s="2415"/>
      <c r="G463" s="2415"/>
      <c r="H463" s="2415"/>
      <c r="I463" s="2415"/>
      <c r="J463" s="2415"/>
      <c r="K463" s="2415"/>
      <c r="L463" s="2415"/>
      <c r="M463" s="2415"/>
      <c r="N463" s="2415"/>
      <c r="O463" s="2415"/>
      <c r="P463" s="2415"/>
      <c r="Q463" s="2415"/>
      <c r="R463" s="1964"/>
      <c r="S463" s="1964"/>
      <c r="T463" s="1964"/>
      <c r="U463" s="1964"/>
      <c r="V463" s="1964"/>
      <c r="W463" s="1964"/>
      <c r="X463" s="1964"/>
      <c r="Y463" s="1964"/>
      <c r="Z463" s="1964"/>
      <c r="AA463" s="2492"/>
      <c r="AB463" s="1964"/>
    </row>
    <row r="464" spans="4:28" s="1912" customFormat="1" ht="20.25" customHeight="1">
      <c r="D464" s="2415"/>
      <c r="E464" s="2415"/>
      <c r="F464" s="2415"/>
      <c r="G464" s="2415"/>
      <c r="H464" s="2415"/>
      <c r="I464" s="2415"/>
      <c r="J464" s="2415"/>
      <c r="K464" s="2415"/>
      <c r="L464" s="2415"/>
      <c r="M464" s="2415"/>
      <c r="N464" s="2415"/>
      <c r="O464" s="2415"/>
      <c r="P464" s="2415"/>
      <c r="Q464" s="2415"/>
      <c r="R464" s="1964"/>
      <c r="S464" s="1964"/>
      <c r="T464" s="1964"/>
      <c r="U464" s="1964"/>
      <c r="V464" s="1964"/>
      <c r="W464" s="1964"/>
      <c r="X464" s="1964"/>
      <c r="Y464" s="1964"/>
      <c r="Z464" s="1964"/>
      <c r="AA464" s="2492"/>
      <c r="AB464" s="1964"/>
    </row>
    <row r="465" spans="4:28" s="1912" customFormat="1" ht="20.25" customHeight="1">
      <c r="D465" s="2415"/>
      <c r="E465" s="2415"/>
      <c r="F465" s="2415"/>
      <c r="G465" s="2415"/>
      <c r="H465" s="2415"/>
      <c r="I465" s="2415"/>
      <c r="J465" s="2415"/>
      <c r="K465" s="2415"/>
      <c r="L465" s="2415"/>
      <c r="M465" s="2415"/>
      <c r="N465" s="2415"/>
      <c r="O465" s="2415"/>
      <c r="P465" s="2415"/>
      <c r="Q465" s="2415"/>
      <c r="R465" s="1964"/>
      <c r="S465" s="1964"/>
      <c r="T465" s="1964"/>
      <c r="U465" s="1964"/>
      <c r="V465" s="1964"/>
      <c r="W465" s="1964"/>
      <c r="X465" s="1964"/>
      <c r="Y465" s="1964"/>
      <c r="Z465" s="1964"/>
      <c r="AA465" s="2492"/>
      <c r="AB465" s="1964"/>
    </row>
    <row r="466" spans="4:28" s="1912" customFormat="1" ht="20.25" customHeight="1">
      <c r="D466" s="2415"/>
      <c r="E466" s="2415"/>
      <c r="F466" s="2415"/>
      <c r="G466" s="2415"/>
      <c r="H466" s="2415"/>
      <c r="I466" s="2415"/>
      <c r="J466" s="2415"/>
      <c r="K466" s="2415"/>
      <c r="L466" s="2415"/>
      <c r="M466" s="2415"/>
      <c r="N466" s="2415"/>
      <c r="O466" s="2415"/>
      <c r="P466" s="2415"/>
      <c r="Q466" s="2415"/>
      <c r="R466" s="1964"/>
      <c r="S466" s="1964"/>
      <c r="T466" s="1964"/>
      <c r="U466" s="1964"/>
      <c r="V466" s="1964"/>
      <c r="W466" s="1964"/>
      <c r="X466" s="1964"/>
      <c r="Y466" s="1964"/>
      <c r="Z466" s="1964"/>
      <c r="AA466" s="2492"/>
      <c r="AB466" s="1964"/>
    </row>
    <row r="467" spans="4:28" s="1912" customFormat="1" ht="20.25" customHeight="1">
      <c r="D467" s="2415"/>
      <c r="E467" s="2415"/>
      <c r="F467" s="2415"/>
      <c r="G467" s="2415"/>
      <c r="H467" s="2415"/>
      <c r="I467" s="2415"/>
      <c r="J467" s="2415"/>
      <c r="K467" s="2415"/>
      <c r="L467" s="2415"/>
      <c r="M467" s="2415"/>
      <c r="N467" s="2415"/>
      <c r="O467" s="2415"/>
      <c r="P467" s="2415"/>
      <c r="Q467" s="2415"/>
      <c r="R467" s="1964"/>
      <c r="S467" s="1964"/>
      <c r="T467" s="1964"/>
      <c r="U467" s="1964"/>
      <c r="V467" s="1964"/>
      <c r="W467" s="1964"/>
      <c r="X467" s="1964"/>
      <c r="Y467" s="1964"/>
      <c r="Z467" s="1964"/>
      <c r="AA467" s="2492"/>
      <c r="AB467" s="1964"/>
    </row>
    <row r="468" spans="4:28" s="1912" customFormat="1" ht="20.25" customHeight="1">
      <c r="D468" s="2415"/>
      <c r="E468" s="2415"/>
      <c r="F468" s="2415"/>
      <c r="G468" s="2415"/>
      <c r="H468" s="2415"/>
      <c r="I468" s="2415"/>
      <c r="J468" s="2415"/>
      <c r="K468" s="2415"/>
      <c r="L468" s="2415"/>
      <c r="M468" s="2415"/>
      <c r="N468" s="2415"/>
      <c r="O468" s="2415"/>
      <c r="P468" s="2415"/>
      <c r="Q468" s="2415"/>
      <c r="R468" s="1964"/>
      <c r="S468" s="1964"/>
      <c r="T468" s="1964"/>
      <c r="U468" s="1964"/>
      <c r="V468" s="1964"/>
      <c r="W468" s="1964"/>
      <c r="X468" s="1964"/>
      <c r="Y468" s="1964"/>
      <c r="Z468" s="1964"/>
      <c r="AA468" s="2492"/>
      <c r="AB468" s="1964"/>
    </row>
    <row r="469" spans="4:28" s="1912" customFormat="1" ht="20.25" customHeight="1">
      <c r="D469" s="2415"/>
      <c r="E469" s="2415"/>
      <c r="F469" s="2415"/>
      <c r="G469" s="2415"/>
      <c r="H469" s="2415"/>
      <c r="I469" s="2415"/>
      <c r="J469" s="2415"/>
      <c r="K469" s="2415"/>
      <c r="L469" s="2415"/>
      <c r="M469" s="2415"/>
      <c r="N469" s="2415"/>
      <c r="O469" s="2415"/>
      <c r="P469" s="2415"/>
      <c r="Q469" s="2415"/>
      <c r="R469" s="1964"/>
      <c r="S469" s="1964"/>
      <c r="T469" s="1964"/>
      <c r="U469" s="1964"/>
      <c r="V469" s="1964"/>
      <c r="W469" s="1964"/>
      <c r="X469" s="1964"/>
      <c r="Y469" s="1964"/>
      <c r="Z469" s="1964"/>
      <c r="AA469" s="2492"/>
      <c r="AB469" s="1964"/>
    </row>
    <row r="470" spans="4:28" s="1912" customFormat="1" ht="20.25" customHeight="1">
      <c r="D470" s="2415"/>
      <c r="E470" s="2415"/>
      <c r="F470" s="2415"/>
      <c r="G470" s="2415"/>
      <c r="H470" s="2415"/>
      <c r="I470" s="2415"/>
      <c r="J470" s="2415"/>
      <c r="K470" s="2415"/>
      <c r="L470" s="2415"/>
      <c r="M470" s="2415"/>
      <c r="N470" s="2415"/>
      <c r="O470" s="2415"/>
      <c r="P470" s="2415"/>
      <c r="Q470" s="2415"/>
      <c r="R470" s="1964"/>
      <c r="S470" s="1964"/>
      <c r="T470" s="1964"/>
      <c r="U470" s="1964"/>
      <c r="V470" s="1964"/>
      <c r="W470" s="1964"/>
      <c r="X470" s="1964"/>
      <c r="Y470" s="1964"/>
      <c r="Z470" s="1964"/>
      <c r="AA470" s="2492"/>
      <c r="AB470" s="1964"/>
    </row>
    <row r="471" spans="4:28" s="1912" customFormat="1" ht="20.25" customHeight="1">
      <c r="D471" s="2415"/>
      <c r="E471" s="2415"/>
      <c r="F471" s="2415"/>
      <c r="G471" s="2415"/>
      <c r="H471" s="2415"/>
      <c r="I471" s="2415"/>
      <c r="J471" s="2415"/>
      <c r="K471" s="2415"/>
      <c r="L471" s="2415"/>
      <c r="M471" s="2415"/>
      <c r="N471" s="2415"/>
      <c r="O471" s="2415"/>
      <c r="P471" s="2415"/>
      <c r="Q471" s="2415"/>
      <c r="R471" s="1964"/>
      <c r="S471" s="1964"/>
      <c r="T471" s="1964"/>
      <c r="U471" s="1964"/>
      <c r="V471" s="1964"/>
      <c r="W471" s="1964"/>
      <c r="X471" s="1964"/>
      <c r="Y471" s="1964"/>
      <c r="Z471" s="1964"/>
      <c r="AA471" s="2492"/>
      <c r="AB471" s="1964"/>
    </row>
    <row r="472" spans="4:28" s="1912" customFormat="1" ht="20.25" customHeight="1">
      <c r="D472" s="2415"/>
      <c r="E472" s="2415"/>
      <c r="F472" s="2415"/>
      <c r="G472" s="2415"/>
      <c r="H472" s="2415"/>
      <c r="I472" s="2415"/>
      <c r="J472" s="2415"/>
      <c r="K472" s="2415"/>
      <c r="L472" s="2415"/>
      <c r="M472" s="2415"/>
      <c r="N472" s="2415"/>
      <c r="O472" s="2415"/>
      <c r="P472" s="2415"/>
      <c r="Q472" s="2415"/>
      <c r="R472" s="1964"/>
      <c r="S472" s="1964"/>
      <c r="T472" s="1964"/>
      <c r="U472" s="1964"/>
      <c r="V472" s="1964"/>
      <c r="W472" s="1964"/>
      <c r="X472" s="1964"/>
      <c r="Y472" s="1964"/>
      <c r="Z472" s="1964"/>
      <c r="AA472" s="2492"/>
      <c r="AB472" s="1964"/>
    </row>
    <row r="473" spans="4:28" s="1912" customFormat="1" ht="20.25" customHeight="1">
      <c r="D473" s="2415"/>
      <c r="E473" s="2415"/>
      <c r="F473" s="2415"/>
      <c r="G473" s="2415"/>
      <c r="H473" s="2415"/>
      <c r="I473" s="2415"/>
      <c r="J473" s="2415"/>
      <c r="K473" s="2415"/>
      <c r="L473" s="2415"/>
      <c r="M473" s="2415"/>
      <c r="N473" s="2415"/>
      <c r="O473" s="2415"/>
      <c r="P473" s="2415"/>
      <c r="Q473" s="2415"/>
      <c r="R473" s="1964"/>
      <c r="S473" s="1964"/>
      <c r="T473" s="1964"/>
      <c r="U473" s="1964"/>
      <c r="V473" s="1964"/>
      <c r="W473" s="1964"/>
      <c r="X473" s="1964"/>
      <c r="Y473" s="1964"/>
      <c r="Z473" s="1964"/>
      <c r="AA473" s="2492"/>
      <c r="AB473" s="1964"/>
    </row>
    <row r="474" spans="4:28" s="1912" customFormat="1" ht="20.25" customHeight="1">
      <c r="D474" s="2415"/>
      <c r="E474" s="2415"/>
      <c r="F474" s="2415"/>
      <c r="G474" s="2415"/>
      <c r="H474" s="2415"/>
      <c r="I474" s="2415"/>
      <c r="J474" s="2415"/>
      <c r="K474" s="2415"/>
      <c r="L474" s="2415"/>
      <c r="M474" s="2415"/>
      <c r="N474" s="2415"/>
      <c r="O474" s="2415"/>
      <c r="P474" s="2415"/>
      <c r="Q474" s="2415"/>
      <c r="R474" s="1964"/>
      <c r="S474" s="1964"/>
      <c r="T474" s="1964"/>
      <c r="U474" s="1964"/>
      <c r="V474" s="1964"/>
      <c r="W474" s="1964"/>
      <c r="X474" s="1964"/>
      <c r="Y474" s="1964"/>
      <c r="Z474" s="1964"/>
      <c r="AA474" s="2492"/>
      <c r="AB474" s="1964"/>
    </row>
    <row r="475" spans="4:28" s="1912" customFormat="1" ht="20.25" customHeight="1">
      <c r="D475" s="2415"/>
      <c r="E475" s="2415"/>
      <c r="F475" s="2415"/>
      <c r="G475" s="2415"/>
      <c r="H475" s="2415"/>
      <c r="I475" s="2415"/>
      <c r="J475" s="2415"/>
      <c r="K475" s="2415"/>
      <c r="L475" s="2415"/>
      <c r="M475" s="2415"/>
      <c r="N475" s="2415"/>
      <c r="O475" s="2415"/>
      <c r="P475" s="2415"/>
      <c r="Q475" s="2415"/>
      <c r="R475" s="1964"/>
      <c r="S475" s="1964"/>
      <c r="T475" s="1964"/>
      <c r="U475" s="1964"/>
      <c r="V475" s="1964"/>
      <c r="W475" s="1964"/>
      <c r="X475" s="1964"/>
      <c r="Y475" s="1964"/>
      <c r="Z475" s="1964"/>
      <c r="AA475" s="2492"/>
      <c r="AB475" s="1964"/>
    </row>
    <row r="476" spans="4:28" s="1912" customFormat="1" ht="20.25" customHeight="1">
      <c r="D476" s="2415"/>
      <c r="E476" s="2415"/>
      <c r="F476" s="2415"/>
      <c r="G476" s="2415"/>
      <c r="H476" s="2415"/>
      <c r="I476" s="2415"/>
      <c r="J476" s="2415"/>
      <c r="K476" s="2415"/>
      <c r="L476" s="2415"/>
      <c r="M476" s="2415"/>
      <c r="N476" s="2415"/>
      <c r="O476" s="2415"/>
      <c r="P476" s="2415"/>
      <c r="Q476" s="2415"/>
      <c r="R476" s="1964"/>
      <c r="S476" s="1964"/>
      <c r="T476" s="1964"/>
      <c r="U476" s="1964"/>
      <c r="V476" s="1964"/>
      <c r="W476" s="1964"/>
      <c r="X476" s="1964"/>
      <c r="Y476" s="1964"/>
      <c r="Z476" s="1964"/>
      <c r="AA476" s="2492"/>
      <c r="AB476" s="1964"/>
    </row>
    <row r="477" spans="4:28" s="1912" customFormat="1" ht="20.25" customHeight="1">
      <c r="D477" s="2415"/>
      <c r="E477" s="2415"/>
      <c r="F477" s="2415"/>
      <c r="G477" s="2415"/>
      <c r="H477" s="2415"/>
      <c r="I477" s="2415"/>
      <c r="J477" s="2415"/>
      <c r="K477" s="2415"/>
      <c r="L477" s="2415"/>
      <c r="M477" s="2415"/>
      <c r="N477" s="2415"/>
      <c r="O477" s="2415"/>
      <c r="P477" s="2415"/>
      <c r="Q477" s="2415"/>
      <c r="R477" s="1964"/>
      <c r="S477" s="1964"/>
      <c r="T477" s="1964"/>
      <c r="U477" s="1964"/>
      <c r="V477" s="1964"/>
      <c r="W477" s="1964"/>
      <c r="X477" s="1964"/>
      <c r="Y477" s="1964"/>
      <c r="Z477" s="1964"/>
      <c r="AA477" s="2492"/>
      <c r="AB477" s="1964"/>
    </row>
    <row r="478" spans="4:28" s="1912" customFormat="1" ht="20.25" customHeight="1">
      <c r="D478" s="2415"/>
      <c r="E478" s="2415"/>
      <c r="F478" s="2415"/>
      <c r="G478" s="2415"/>
      <c r="H478" s="2415"/>
      <c r="I478" s="2415"/>
      <c r="J478" s="2415"/>
      <c r="K478" s="2415"/>
      <c r="L478" s="2415"/>
      <c r="M478" s="2415"/>
      <c r="N478" s="2415"/>
      <c r="O478" s="2415"/>
      <c r="P478" s="2415"/>
      <c r="Q478" s="2415"/>
      <c r="R478" s="1964"/>
      <c r="S478" s="1964"/>
      <c r="T478" s="1964"/>
      <c r="U478" s="1964"/>
      <c r="V478" s="1964"/>
      <c r="W478" s="1964"/>
      <c r="X478" s="1964"/>
      <c r="Y478" s="1964"/>
      <c r="Z478" s="1964"/>
      <c r="AA478" s="2492"/>
      <c r="AB478" s="1964"/>
    </row>
    <row r="479" spans="4:28" s="1912" customFormat="1" ht="20.25" customHeight="1">
      <c r="D479" s="2415"/>
      <c r="E479" s="2415"/>
      <c r="F479" s="2415"/>
      <c r="G479" s="2415"/>
      <c r="H479" s="2415"/>
      <c r="I479" s="2415"/>
      <c r="J479" s="2415"/>
      <c r="K479" s="2415"/>
      <c r="L479" s="2415"/>
      <c r="M479" s="2415"/>
      <c r="N479" s="2415"/>
      <c r="O479" s="2415"/>
      <c r="P479" s="2415"/>
      <c r="Q479" s="2415"/>
      <c r="R479" s="1964"/>
      <c r="S479" s="1964"/>
      <c r="T479" s="1964"/>
      <c r="U479" s="1964"/>
      <c r="V479" s="1964"/>
      <c r="W479" s="1964"/>
      <c r="X479" s="1964"/>
      <c r="Y479" s="1964"/>
      <c r="Z479" s="1964"/>
      <c r="AA479" s="2492"/>
      <c r="AB479" s="1964"/>
    </row>
    <row r="480" spans="4:28" s="1912" customFormat="1" ht="20.25" customHeight="1">
      <c r="D480" s="2415"/>
      <c r="E480" s="2415"/>
      <c r="F480" s="2415"/>
      <c r="G480" s="2415"/>
      <c r="H480" s="2415"/>
      <c r="I480" s="2415"/>
      <c r="J480" s="2415"/>
      <c r="K480" s="2415"/>
      <c r="L480" s="2415"/>
      <c r="M480" s="2415"/>
      <c r="N480" s="2415"/>
      <c r="O480" s="2415"/>
      <c r="P480" s="2415"/>
      <c r="Q480" s="2415"/>
      <c r="R480" s="1964"/>
      <c r="S480" s="1964"/>
      <c r="T480" s="1964"/>
      <c r="U480" s="1964"/>
      <c r="V480" s="1964"/>
      <c r="W480" s="1964"/>
      <c r="X480" s="1964"/>
      <c r="Y480" s="1964"/>
      <c r="Z480" s="1964"/>
      <c r="AA480" s="2492"/>
      <c r="AB480" s="1964"/>
    </row>
    <row r="481" spans="4:28" s="1912" customFormat="1" ht="20.25" customHeight="1">
      <c r="D481" s="2415"/>
      <c r="E481" s="2415"/>
      <c r="F481" s="2415"/>
      <c r="G481" s="2415"/>
      <c r="H481" s="2415"/>
      <c r="I481" s="2415"/>
      <c r="J481" s="2415"/>
      <c r="K481" s="2415"/>
      <c r="L481" s="2415"/>
      <c r="M481" s="2415"/>
      <c r="N481" s="2415"/>
      <c r="O481" s="2415"/>
      <c r="P481" s="2415"/>
      <c r="Q481" s="2415"/>
      <c r="R481" s="1964"/>
      <c r="S481" s="1964"/>
      <c r="T481" s="1964"/>
      <c r="U481" s="1964"/>
      <c r="V481" s="1964"/>
      <c r="W481" s="1964"/>
      <c r="X481" s="1964"/>
      <c r="Y481" s="1964"/>
      <c r="Z481" s="1964"/>
      <c r="AA481" s="2492"/>
      <c r="AB481" s="1964"/>
    </row>
    <row r="482" spans="4:28" s="1912" customFormat="1" ht="20.25" customHeight="1">
      <c r="D482" s="2415"/>
      <c r="E482" s="2415"/>
      <c r="F482" s="2415"/>
      <c r="G482" s="2415"/>
      <c r="H482" s="2415"/>
      <c r="I482" s="2415"/>
      <c r="J482" s="2415"/>
      <c r="K482" s="2415"/>
      <c r="L482" s="2415"/>
      <c r="M482" s="2415"/>
      <c r="N482" s="2415"/>
      <c r="O482" s="2415"/>
      <c r="P482" s="2415"/>
      <c r="Q482" s="2415"/>
      <c r="R482" s="1964"/>
      <c r="S482" s="1964"/>
      <c r="T482" s="1964"/>
      <c r="U482" s="1964"/>
      <c r="V482" s="1964"/>
      <c r="W482" s="1964"/>
      <c r="X482" s="1964"/>
      <c r="Y482" s="1964"/>
      <c r="Z482" s="1964"/>
      <c r="AA482" s="2492"/>
      <c r="AB482" s="1964"/>
    </row>
    <row r="483" spans="4:28" s="1912" customFormat="1" ht="20.25" customHeight="1">
      <c r="D483" s="2415"/>
      <c r="E483" s="2415"/>
      <c r="F483" s="2415"/>
      <c r="G483" s="2415"/>
      <c r="H483" s="2415"/>
      <c r="I483" s="2415"/>
      <c r="J483" s="2415"/>
      <c r="K483" s="2415"/>
      <c r="L483" s="2415"/>
      <c r="M483" s="2415"/>
      <c r="N483" s="2415"/>
      <c r="O483" s="2415"/>
      <c r="P483" s="2415"/>
      <c r="Q483" s="2415"/>
      <c r="R483" s="1964"/>
      <c r="S483" s="1964"/>
      <c r="T483" s="1964"/>
      <c r="U483" s="1964"/>
      <c r="V483" s="1964"/>
      <c r="W483" s="1964"/>
      <c r="X483" s="1964"/>
      <c r="Y483" s="1964"/>
      <c r="Z483" s="1964"/>
      <c r="AA483" s="2492"/>
      <c r="AB483" s="1964"/>
    </row>
    <row r="484" spans="4:28" s="1912" customFormat="1" ht="20.25" customHeight="1">
      <c r="D484" s="2415"/>
      <c r="E484" s="2415"/>
      <c r="F484" s="2415"/>
      <c r="G484" s="2415"/>
      <c r="H484" s="2415"/>
      <c r="I484" s="2415"/>
      <c r="J484" s="2415"/>
      <c r="K484" s="2415"/>
      <c r="L484" s="2415"/>
      <c r="M484" s="2415"/>
      <c r="N484" s="2415"/>
      <c r="O484" s="2415"/>
      <c r="P484" s="2415"/>
      <c r="Q484" s="2415"/>
      <c r="R484" s="1964"/>
      <c r="S484" s="1964"/>
      <c r="T484" s="1964"/>
      <c r="U484" s="1964"/>
      <c r="V484" s="1964"/>
      <c r="W484" s="1964"/>
      <c r="X484" s="1964"/>
      <c r="Y484" s="1964"/>
      <c r="Z484" s="1964"/>
      <c r="AA484" s="2492"/>
      <c r="AB484" s="1964"/>
    </row>
    <row r="485" spans="4:28" s="1912" customFormat="1" ht="20.25" customHeight="1">
      <c r="D485" s="2415"/>
      <c r="E485" s="2415"/>
      <c r="F485" s="2415"/>
      <c r="G485" s="2415"/>
      <c r="H485" s="2415"/>
      <c r="I485" s="2415"/>
      <c r="J485" s="2415"/>
      <c r="K485" s="2415"/>
      <c r="L485" s="2415"/>
      <c r="M485" s="2415"/>
      <c r="N485" s="2415"/>
      <c r="O485" s="2415"/>
      <c r="P485" s="2415"/>
      <c r="Q485" s="2415"/>
      <c r="R485" s="1964"/>
      <c r="S485" s="1964"/>
      <c r="T485" s="1964"/>
      <c r="U485" s="1964"/>
      <c r="V485" s="1964"/>
      <c r="W485" s="1964"/>
      <c r="X485" s="1964"/>
      <c r="Y485" s="1964"/>
      <c r="Z485" s="1964"/>
      <c r="AA485" s="2492"/>
      <c r="AB485" s="1964"/>
    </row>
    <row r="486" spans="4:28" s="1912" customFormat="1" ht="20.25" customHeight="1">
      <c r="D486" s="2415"/>
      <c r="E486" s="2415"/>
      <c r="F486" s="2415"/>
      <c r="G486" s="2415"/>
      <c r="H486" s="2415"/>
      <c r="I486" s="2415"/>
      <c r="J486" s="2415"/>
      <c r="K486" s="2415"/>
      <c r="L486" s="2415"/>
      <c r="M486" s="2415"/>
      <c r="N486" s="2415"/>
      <c r="O486" s="2415"/>
      <c r="P486" s="2415"/>
      <c r="Q486" s="2415"/>
      <c r="R486" s="1964"/>
      <c r="S486" s="1964"/>
      <c r="T486" s="1964"/>
      <c r="U486" s="1964"/>
      <c r="V486" s="1964"/>
      <c r="W486" s="1964"/>
      <c r="X486" s="1964"/>
      <c r="Y486" s="1964"/>
      <c r="Z486" s="1964"/>
      <c r="AA486" s="2492"/>
      <c r="AB486" s="1964"/>
    </row>
    <row r="487" spans="4:28" s="1912" customFormat="1" ht="20.25" customHeight="1">
      <c r="D487" s="2415"/>
      <c r="E487" s="2415"/>
      <c r="F487" s="2415"/>
      <c r="G487" s="2415"/>
      <c r="H487" s="2415"/>
      <c r="I487" s="2415"/>
      <c r="J487" s="2415"/>
      <c r="K487" s="2415"/>
      <c r="L487" s="2415"/>
      <c r="M487" s="2415"/>
      <c r="N487" s="2415"/>
      <c r="O487" s="2415"/>
      <c r="P487" s="2415"/>
      <c r="Q487" s="2415"/>
      <c r="R487" s="1964"/>
      <c r="S487" s="1964"/>
      <c r="T487" s="1964"/>
      <c r="U487" s="1964"/>
      <c r="V487" s="1964"/>
      <c r="W487" s="1964"/>
      <c r="X487" s="1964"/>
      <c r="Y487" s="1964"/>
      <c r="Z487" s="1964"/>
      <c r="AA487" s="2492"/>
      <c r="AB487" s="1964"/>
    </row>
    <row r="488" spans="4:28" s="1912" customFormat="1" ht="20.25" customHeight="1">
      <c r="D488" s="2415"/>
      <c r="E488" s="2415"/>
      <c r="F488" s="2415"/>
      <c r="G488" s="2415"/>
      <c r="H488" s="2415"/>
      <c r="I488" s="2415"/>
      <c r="J488" s="2415"/>
      <c r="K488" s="2415"/>
      <c r="L488" s="2415"/>
      <c r="M488" s="2415"/>
      <c r="N488" s="2415"/>
      <c r="O488" s="2415"/>
      <c r="P488" s="2415"/>
      <c r="Q488" s="2415"/>
      <c r="R488" s="1964"/>
      <c r="S488" s="1964"/>
      <c r="T488" s="1964"/>
      <c r="U488" s="1964"/>
      <c r="V488" s="1964"/>
      <c r="W488" s="1964"/>
      <c r="X488" s="1964"/>
      <c r="Y488" s="1964"/>
      <c r="Z488" s="1964"/>
      <c r="AA488" s="2492"/>
      <c r="AB488" s="1964"/>
    </row>
    <row r="489" spans="4:28" s="1912" customFormat="1" ht="20.25" customHeight="1">
      <c r="D489" s="2415"/>
      <c r="E489" s="2415"/>
      <c r="F489" s="2415"/>
      <c r="G489" s="2415"/>
      <c r="H489" s="2415"/>
      <c r="I489" s="2415"/>
      <c r="J489" s="2415"/>
      <c r="K489" s="2415"/>
      <c r="L489" s="2415"/>
      <c r="M489" s="2415"/>
      <c r="N489" s="2415"/>
      <c r="O489" s="2415"/>
      <c r="P489" s="2415"/>
      <c r="Q489" s="2415"/>
      <c r="R489" s="1964"/>
      <c r="S489" s="1964"/>
      <c r="T489" s="1964"/>
      <c r="U489" s="1964"/>
      <c r="V489" s="1964"/>
      <c r="W489" s="1964"/>
      <c r="X489" s="1964"/>
      <c r="Y489" s="1964"/>
      <c r="Z489" s="1964"/>
      <c r="AA489" s="2492"/>
      <c r="AB489" s="1964"/>
    </row>
    <row r="490" spans="4:28" s="1912" customFormat="1" ht="20.25" customHeight="1">
      <c r="D490" s="2415"/>
      <c r="E490" s="2415"/>
      <c r="F490" s="2415"/>
      <c r="G490" s="2415"/>
      <c r="H490" s="2415"/>
      <c r="I490" s="2415"/>
      <c r="J490" s="2415"/>
      <c r="K490" s="2415"/>
      <c r="L490" s="2415"/>
      <c r="M490" s="2415"/>
      <c r="N490" s="2415"/>
      <c r="O490" s="2415"/>
      <c r="P490" s="2415"/>
      <c r="Q490" s="2415"/>
      <c r="R490" s="1964"/>
      <c r="S490" s="1964"/>
      <c r="T490" s="1964"/>
      <c r="U490" s="1964"/>
      <c r="V490" s="1964"/>
      <c r="W490" s="1964"/>
      <c r="X490" s="1964"/>
      <c r="Y490" s="1964"/>
      <c r="Z490" s="1964"/>
      <c r="AA490" s="2492"/>
      <c r="AB490" s="1964"/>
    </row>
    <row r="491" spans="4:28" s="1912" customFormat="1" ht="20.25" customHeight="1">
      <c r="D491" s="2415"/>
      <c r="E491" s="2415"/>
      <c r="F491" s="2415"/>
      <c r="G491" s="2415"/>
      <c r="H491" s="2415"/>
      <c r="I491" s="2415"/>
      <c r="J491" s="2415"/>
      <c r="K491" s="2415"/>
      <c r="L491" s="2415"/>
      <c r="M491" s="2415"/>
      <c r="N491" s="2415"/>
      <c r="O491" s="2415"/>
      <c r="P491" s="2415"/>
      <c r="Q491" s="2415"/>
      <c r="R491" s="1964"/>
      <c r="S491" s="1964"/>
      <c r="T491" s="1964"/>
      <c r="U491" s="1964"/>
      <c r="V491" s="1964"/>
      <c r="W491" s="1964"/>
      <c r="X491" s="1964"/>
      <c r="Y491" s="1964"/>
      <c r="Z491" s="1964"/>
      <c r="AA491" s="2492"/>
      <c r="AB491" s="1964"/>
    </row>
    <row r="492" spans="4:28" s="1912" customFormat="1" ht="20.25" customHeight="1">
      <c r="R492" s="1964"/>
      <c r="S492" s="1964"/>
      <c r="T492" s="1964"/>
      <c r="U492" s="1964"/>
      <c r="V492" s="1964"/>
      <c r="W492" s="1964"/>
      <c r="X492" s="1964"/>
      <c r="Y492" s="1964"/>
      <c r="Z492" s="1964"/>
      <c r="AA492" s="2492"/>
      <c r="AB492" s="1964"/>
    </row>
    <row r="493" spans="4:28" s="1912" customFormat="1" ht="20.25" customHeight="1">
      <c r="R493" s="1964"/>
      <c r="S493" s="1964"/>
      <c r="T493" s="1964"/>
      <c r="U493" s="1964"/>
      <c r="V493" s="1964"/>
      <c r="W493" s="1964"/>
      <c r="X493" s="1964"/>
      <c r="Y493" s="1964"/>
      <c r="Z493" s="1964"/>
      <c r="AA493" s="2492"/>
      <c r="AB493" s="1964"/>
    </row>
    <row r="494" spans="4:28" s="1912" customFormat="1" ht="20.25" customHeight="1">
      <c r="R494" s="1964"/>
      <c r="S494" s="1964"/>
      <c r="T494" s="1964"/>
      <c r="U494" s="1964"/>
      <c r="V494" s="1964"/>
      <c r="W494" s="1964"/>
      <c r="X494" s="1964"/>
      <c r="Y494" s="1964"/>
      <c r="Z494" s="1964"/>
      <c r="AA494" s="2492"/>
      <c r="AB494" s="1964"/>
    </row>
    <row r="495" spans="4:28" s="1912" customFormat="1" ht="20.25" customHeight="1">
      <c r="R495" s="1964"/>
      <c r="S495" s="1964"/>
      <c r="T495" s="1964"/>
      <c r="U495" s="1964"/>
      <c r="V495" s="1964"/>
      <c r="W495" s="1964"/>
      <c r="X495" s="1964"/>
      <c r="Y495" s="1964"/>
      <c r="Z495" s="1964"/>
      <c r="AA495" s="2492"/>
      <c r="AB495" s="1964"/>
    </row>
    <row r="496" spans="4:28" s="1912" customFormat="1" ht="20.25" customHeight="1">
      <c r="R496" s="1964"/>
      <c r="S496" s="1964"/>
      <c r="T496" s="1964"/>
      <c r="U496" s="1964"/>
      <c r="V496" s="1964"/>
      <c r="W496" s="1964"/>
      <c r="X496" s="1964"/>
      <c r="Y496" s="1964"/>
      <c r="Z496" s="1964"/>
      <c r="AA496" s="2492"/>
      <c r="AB496" s="1964"/>
    </row>
    <row r="497" spans="18:28" s="1912" customFormat="1" ht="20.25" customHeight="1">
      <c r="R497" s="1964"/>
      <c r="S497" s="1964"/>
      <c r="T497" s="1964"/>
      <c r="U497" s="1964"/>
      <c r="V497" s="1964"/>
      <c r="W497" s="1964"/>
      <c r="X497" s="1964"/>
      <c r="Y497" s="1964"/>
      <c r="Z497" s="1964"/>
      <c r="AA497" s="2492"/>
      <c r="AB497" s="1964"/>
    </row>
    <row r="498" spans="18:28" s="1912" customFormat="1" ht="20.25" customHeight="1">
      <c r="R498" s="1964"/>
      <c r="S498" s="1964"/>
      <c r="T498" s="1964"/>
      <c r="U498" s="1964"/>
      <c r="V498" s="1964"/>
      <c r="W498" s="1964"/>
      <c r="X498" s="1964"/>
      <c r="Y498" s="1964"/>
      <c r="Z498" s="1964"/>
      <c r="AA498" s="2492"/>
      <c r="AB498" s="1964"/>
    </row>
    <row r="499" spans="18:28" s="1912" customFormat="1" ht="20.25" customHeight="1">
      <c r="R499" s="1964"/>
      <c r="S499" s="1964"/>
      <c r="T499" s="1964"/>
      <c r="U499" s="1964"/>
      <c r="V499" s="1964"/>
      <c r="W499" s="1964"/>
      <c r="X499" s="1964"/>
      <c r="Y499" s="1964"/>
      <c r="Z499" s="1964"/>
      <c r="AA499" s="2492"/>
      <c r="AB499" s="1964"/>
    </row>
    <row r="500" spans="18:28" s="1912" customFormat="1" ht="20.25" customHeight="1">
      <c r="R500" s="1964"/>
      <c r="S500" s="1964"/>
      <c r="T500" s="1964"/>
      <c r="U500" s="1964"/>
      <c r="V500" s="1964"/>
      <c r="W500" s="1964"/>
      <c r="X500" s="1964"/>
      <c r="Y500" s="1964"/>
      <c r="Z500" s="1964"/>
      <c r="AA500" s="2492"/>
      <c r="AB500" s="1964"/>
    </row>
    <row r="501" spans="18:28" s="1912" customFormat="1" ht="20.25" customHeight="1">
      <c r="R501" s="1964"/>
      <c r="S501" s="1964"/>
      <c r="T501" s="1964"/>
      <c r="U501" s="1964"/>
      <c r="V501" s="1964"/>
      <c r="W501" s="1964"/>
      <c r="X501" s="1964"/>
      <c r="Y501" s="1964"/>
      <c r="Z501" s="1964"/>
      <c r="AA501" s="2492"/>
      <c r="AB501" s="1964"/>
    </row>
    <row r="502" spans="18:28" s="1912" customFormat="1" ht="20.25" customHeight="1">
      <c r="R502" s="1964"/>
      <c r="S502" s="1964"/>
      <c r="T502" s="1964"/>
      <c r="U502" s="1964"/>
      <c r="V502" s="1964"/>
      <c r="W502" s="1964"/>
      <c r="X502" s="1964"/>
      <c r="Y502" s="1964"/>
      <c r="Z502" s="1964"/>
      <c r="AA502" s="2492"/>
      <c r="AB502" s="1964"/>
    </row>
    <row r="503" spans="18:28" s="1912" customFormat="1" ht="20.25" customHeight="1">
      <c r="R503" s="1964"/>
      <c r="S503" s="1964"/>
      <c r="T503" s="1964"/>
      <c r="U503" s="1964"/>
      <c r="V503" s="1964"/>
      <c r="W503" s="1964"/>
      <c r="X503" s="1964"/>
      <c r="Y503" s="1964"/>
      <c r="Z503" s="1964"/>
      <c r="AA503" s="2492"/>
      <c r="AB503" s="1964"/>
    </row>
    <row r="504" spans="18:28" s="1912" customFormat="1" ht="20.25" customHeight="1">
      <c r="R504" s="1964"/>
      <c r="S504" s="1964"/>
      <c r="T504" s="1964"/>
      <c r="U504" s="1964"/>
      <c r="V504" s="1964"/>
      <c r="W504" s="1964"/>
      <c r="X504" s="1964"/>
      <c r="Y504" s="1964"/>
      <c r="Z504" s="1964"/>
      <c r="AA504" s="2492"/>
      <c r="AB504" s="1964"/>
    </row>
    <row r="505" spans="18:28" s="1912" customFormat="1" ht="20.25" customHeight="1">
      <c r="R505" s="1964"/>
      <c r="S505" s="1964"/>
      <c r="T505" s="1964"/>
      <c r="U505" s="1964"/>
      <c r="V505" s="1964"/>
      <c r="W505" s="1964"/>
      <c r="X505" s="1964"/>
      <c r="Y505" s="1964"/>
      <c r="Z505" s="1964"/>
      <c r="AA505" s="2492"/>
      <c r="AB505" s="1964"/>
    </row>
    <row r="506" spans="18:28" s="1912" customFormat="1" ht="20.25" customHeight="1">
      <c r="R506" s="1964"/>
      <c r="S506" s="1964"/>
      <c r="T506" s="1964"/>
      <c r="U506" s="1964"/>
      <c r="V506" s="1964"/>
      <c r="W506" s="1964"/>
      <c r="X506" s="1964"/>
      <c r="Y506" s="1964"/>
      <c r="Z506" s="1964"/>
      <c r="AA506" s="2492"/>
      <c r="AB506" s="1964"/>
    </row>
    <row r="507" spans="18:28" s="1912" customFormat="1" ht="20.25" customHeight="1">
      <c r="R507" s="1964"/>
      <c r="S507" s="1964"/>
      <c r="T507" s="1964"/>
      <c r="U507" s="1964"/>
      <c r="V507" s="1964"/>
      <c r="W507" s="1964"/>
      <c r="X507" s="1964"/>
      <c r="Y507" s="1964"/>
      <c r="Z507" s="1964"/>
      <c r="AA507" s="2492"/>
      <c r="AB507" s="1964"/>
    </row>
    <row r="508" spans="18:28" s="1912" customFormat="1" ht="20.25" customHeight="1">
      <c r="R508" s="1964"/>
      <c r="S508" s="1964"/>
      <c r="T508" s="1964"/>
      <c r="U508" s="1964"/>
      <c r="V508" s="1964"/>
      <c r="W508" s="1964"/>
      <c r="X508" s="1964"/>
      <c r="Y508" s="1964"/>
      <c r="Z508" s="1964"/>
      <c r="AA508" s="2492"/>
      <c r="AB508" s="1964"/>
    </row>
    <row r="509" spans="18:28" s="1912" customFormat="1" ht="20.25" customHeight="1">
      <c r="R509" s="1964"/>
      <c r="S509" s="1964"/>
      <c r="T509" s="1964"/>
      <c r="U509" s="1964"/>
      <c r="V509" s="1964"/>
      <c r="W509" s="1964"/>
      <c r="X509" s="1964"/>
      <c r="Y509" s="1964"/>
      <c r="Z509" s="1964"/>
      <c r="AA509" s="2492"/>
      <c r="AB509" s="1964"/>
    </row>
    <row r="510" spans="18:28" s="1912" customFormat="1" ht="20.25" customHeight="1">
      <c r="R510" s="1964"/>
      <c r="S510" s="1964"/>
      <c r="T510" s="1964"/>
      <c r="U510" s="1964"/>
      <c r="V510" s="1964"/>
      <c r="W510" s="1964"/>
      <c r="X510" s="1964"/>
      <c r="Y510" s="1964"/>
      <c r="Z510" s="1964"/>
      <c r="AA510" s="2492"/>
      <c r="AB510" s="1964"/>
    </row>
    <row r="511" spans="18:28" s="1912" customFormat="1" ht="20.25" customHeight="1">
      <c r="R511" s="1964"/>
      <c r="S511" s="1964"/>
      <c r="T511" s="1964"/>
      <c r="U511" s="1964"/>
      <c r="V511" s="1964"/>
      <c r="W511" s="1964"/>
      <c r="X511" s="1964"/>
      <c r="Y511" s="1964"/>
      <c r="Z511" s="1964"/>
      <c r="AA511" s="2492"/>
      <c r="AB511" s="1964"/>
    </row>
    <row r="512" spans="18:28" s="1912" customFormat="1" ht="20.25" customHeight="1">
      <c r="R512" s="1964"/>
      <c r="S512" s="1964"/>
      <c r="T512" s="1964"/>
      <c r="U512" s="1964"/>
      <c r="V512" s="1964"/>
      <c r="W512" s="1964"/>
      <c r="X512" s="1964"/>
      <c r="Y512" s="1964"/>
      <c r="Z512" s="1964"/>
      <c r="AA512" s="2492"/>
      <c r="AB512" s="1964"/>
    </row>
    <row r="513" spans="18:28" s="1912" customFormat="1" ht="20.25" customHeight="1">
      <c r="R513" s="1964"/>
      <c r="S513" s="1964"/>
      <c r="T513" s="1964"/>
      <c r="U513" s="1964"/>
      <c r="V513" s="1964"/>
      <c r="W513" s="1964"/>
      <c r="X513" s="1964"/>
      <c r="Y513" s="1964"/>
      <c r="Z513" s="1964"/>
      <c r="AA513" s="2492"/>
      <c r="AB513" s="1964"/>
    </row>
    <row r="514" spans="18:28" s="1912" customFormat="1" ht="20.25" customHeight="1">
      <c r="R514" s="1964"/>
      <c r="S514" s="1964"/>
      <c r="T514" s="1964"/>
      <c r="U514" s="1964"/>
      <c r="V514" s="1964"/>
      <c r="W514" s="1964"/>
      <c r="X514" s="1964"/>
      <c r="Y514" s="1964"/>
      <c r="Z514" s="1964"/>
      <c r="AA514" s="2492"/>
      <c r="AB514" s="1964"/>
    </row>
    <row r="515" spans="18:28" s="1912" customFormat="1" ht="20.25" customHeight="1">
      <c r="R515" s="1964"/>
      <c r="S515" s="1964"/>
      <c r="T515" s="1964"/>
      <c r="U515" s="1964"/>
      <c r="V515" s="1964"/>
      <c r="W515" s="1964"/>
      <c r="X515" s="1964"/>
      <c r="Y515" s="1964"/>
      <c r="Z515" s="1964"/>
      <c r="AA515" s="2492"/>
      <c r="AB515" s="1964"/>
    </row>
    <row r="516" spans="18:28" s="1912" customFormat="1" ht="20.25" customHeight="1">
      <c r="R516" s="1964"/>
      <c r="S516" s="1964"/>
      <c r="T516" s="1964"/>
      <c r="U516" s="1964"/>
      <c r="V516" s="1964"/>
      <c r="W516" s="1964"/>
      <c r="X516" s="1964"/>
      <c r="Y516" s="1964"/>
      <c r="Z516" s="1964"/>
      <c r="AA516" s="2492"/>
      <c r="AB516" s="1964"/>
    </row>
    <row r="517" spans="18:28" s="1912" customFormat="1" ht="20.25" customHeight="1">
      <c r="R517" s="1964"/>
      <c r="S517" s="1964"/>
      <c r="T517" s="1964"/>
      <c r="U517" s="1964"/>
      <c r="V517" s="1964"/>
      <c r="W517" s="1964"/>
      <c r="X517" s="1964"/>
      <c r="Y517" s="1964"/>
      <c r="Z517" s="1964"/>
      <c r="AA517" s="2492"/>
      <c r="AB517" s="1964"/>
    </row>
    <row r="518" spans="18:28" s="1912" customFormat="1" ht="20.25" customHeight="1">
      <c r="R518" s="1964"/>
      <c r="S518" s="1964"/>
      <c r="T518" s="1964"/>
      <c r="U518" s="1964"/>
      <c r="V518" s="1964"/>
      <c r="W518" s="1964"/>
      <c r="X518" s="1964"/>
      <c r="Y518" s="1964"/>
      <c r="Z518" s="1964"/>
      <c r="AA518" s="2492"/>
      <c r="AB518" s="1964"/>
    </row>
    <row r="519" spans="18:28" s="1912" customFormat="1" ht="20.25" customHeight="1">
      <c r="R519" s="1964"/>
      <c r="S519" s="1964"/>
      <c r="T519" s="1964"/>
      <c r="U519" s="1964"/>
      <c r="V519" s="1964"/>
      <c r="W519" s="1964"/>
      <c r="X519" s="1964"/>
      <c r="Y519" s="1964"/>
      <c r="Z519" s="1964"/>
      <c r="AA519" s="2492"/>
      <c r="AB519" s="1964"/>
    </row>
    <row r="520" spans="18:28" s="1912" customFormat="1" ht="20.25" customHeight="1">
      <c r="R520" s="1964"/>
      <c r="S520" s="1964"/>
      <c r="T520" s="1964"/>
      <c r="U520" s="1964"/>
      <c r="V520" s="1964"/>
      <c r="W520" s="1964"/>
      <c r="X520" s="1964"/>
      <c r="Y520" s="1964"/>
      <c r="Z520" s="1964"/>
      <c r="AA520" s="2492"/>
      <c r="AB520" s="1964"/>
    </row>
    <row r="521" spans="18:28" s="1912" customFormat="1" ht="20.25" customHeight="1">
      <c r="R521" s="1964"/>
      <c r="S521" s="1964"/>
      <c r="T521" s="1964"/>
      <c r="U521" s="1964"/>
      <c r="V521" s="1964"/>
      <c r="W521" s="1964"/>
      <c r="X521" s="1964"/>
      <c r="Y521" s="1964"/>
      <c r="Z521" s="1964"/>
      <c r="AA521" s="2492"/>
      <c r="AB521" s="1964"/>
    </row>
    <row r="522" spans="18:28" s="1912" customFormat="1" ht="20.25" customHeight="1">
      <c r="R522" s="1964"/>
      <c r="S522" s="1964"/>
      <c r="T522" s="1964"/>
      <c r="U522" s="1964"/>
      <c r="V522" s="1964"/>
      <c r="W522" s="1964"/>
      <c r="X522" s="1964"/>
      <c r="Y522" s="1964"/>
      <c r="Z522" s="1964"/>
      <c r="AA522" s="2492"/>
      <c r="AB522" s="1964"/>
    </row>
    <row r="523" spans="18:28" s="1912" customFormat="1" ht="20.25" customHeight="1">
      <c r="R523" s="1964"/>
      <c r="S523" s="1964"/>
      <c r="T523" s="1964"/>
      <c r="U523" s="1964"/>
      <c r="V523" s="1964"/>
      <c r="W523" s="1964"/>
      <c r="X523" s="1964"/>
      <c r="Y523" s="1964"/>
      <c r="Z523" s="1964"/>
      <c r="AA523" s="2492"/>
      <c r="AB523" s="1964"/>
    </row>
    <row r="524" spans="18:28" s="1912" customFormat="1" ht="20.25" customHeight="1">
      <c r="R524" s="1964"/>
      <c r="S524" s="1964"/>
      <c r="T524" s="1964"/>
      <c r="U524" s="1964"/>
      <c r="V524" s="1964"/>
      <c r="W524" s="1964"/>
      <c r="X524" s="1964"/>
      <c r="Y524" s="1964"/>
      <c r="Z524" s="1964"/>
      <c r="AA524" s="2492"/>
      <c r="AB524" s="1964"/>
    </row>
    <row r="525" spans="18:28" s="1912" customFormat="1" ht="20.25" customHeight="1">
      <c r="R525" s="1964"/>
      <c r="S525" s="1964"/>
      <c r="T525" s="1964"/>
      <c r="U525" s="1964"/>
      <c r="V525" s="1964"/>
      <c r="W525" s="1964"/>
      <c r="X525" s="1964"/>
      <c r="Y525" s="1964"/>
      <c r="Z525" s="1964"/>
      <c r="AA525" s="2492"/>
      <c r="AB525" s="1964"/>
    </row>
    <row r="526" spans="18:28" s="1912" customFormat="1" ht="20.25" customHeight="1">
      <c r="R526" s="1964"/>
      <c r="S526" s="1964"/>
      <c r="T526" s="1964"/>
      <c r="U526" s="1964"/>
      <c r="V526" s="1964"/>
      <c r="W526" s="1964"/>
      <c r="X526" s="1964"/>
      <c r="Y526" s="1964"/>
      <c r="Z526" s="1964"/>
      <c r="AA526" s="2492"/>
      <c r="AB526" s="1964"/>
    </row>
    <row r="527" spans="18:28" s="1912" customFormat="1" ht="20.25" customHeight="1">
      <c r="R527" s="1964"/>
      <c r="S527" s="1964"/>
      <c r="T527" s="1964"/>
      <c r="U527" s="1964"/>
      <c r="V527" s="1964"/>
      <c r="W527" s="1964"/>
      <c r="X527" s="1964"/>
      <c r="Y527" s="1964"/>
      <c r="Z527" s="1964"/>
      <c r="AA527" s="2492"/>
      <c r="AB527" s="1964"/>
    </row>
    <row r="528" spans="18:28" s="1912" customFormat="1" ht="20.25" customHeight="1">
      <c r="R528" s="1964"/>
      <c r="S528" s="1964"/>
      <c r="T528" s="1964"/>
      <c r="U528" s="1964"/>
      <c r="V528" s="1964"/>
      <c r="W528" s="1964"/>
      <c r="X528" s="1964"/>
      <c r="Y528" s="1964"/>
      <c r="Z528" s="1964"/>
      <c r="AA528" s="2492"/>
      <c r="AB528" s="1964"/>
    </row>
    <row r="529" spans="18:28" s="1912" customFormat="1" ht="20.25" customHeight="1">
      <c r="R529" s="1964"/>
      <c r="S529" s="1964"/>
      <c r="T529" s="1964"/>
      <c r="U529" s="1964"/>
      <c r="V529" s="1964"/>
      <c r="W529" s="1964"/>
      <c r="X529" s="1964"/>
      <c r="Y529" s="1964"/>
      <c r="Z529" s="1964"/>
      <c r="AA529" s="2492"/>
      <c r="AB529" s="1964"/>
    </row>
    <row r="530" spans="18:28" s="1912" customFormat="1" ht="20.25" customHeight="1">
      <c r="R530" s="1964"/>
      <c r="S530" s="1964"/>
      <c r="T530" s="1964"/>
      <c r="U530" s="1964"/>
      <c r="V530" s="1964"/>
      <c r="W530" s="1964"/>
      <c r="X530" s="1964"/>
      <c r="Y530" s="1964"/>
      <c r="Z530" s="1964"/>
      <c r="AA530" s="2492"/>
      <c r="AB530" s="1964"/>
    </row>
    <row r="531" spans="18:28" s="1912" customFormat="1" ht="20.25" customHeight="1">
      <c r="R531" s="1964"/>
      <c r="S531" s="1964"/>
      <c r="T531" s="1964"/>
      <c r="U531" s="1964"/>
      <c r="V531" s="1964"/>
      <c r="W531" s="1964"/>
      <c r="X531" s="1964"/>
      <c r="Y531" s="1964"/>
      <c r="Z531" s="1964"/>
      <c r="AA531" s="2492"/>
      <c r="AB531" s="1964"/>
    </row>
    <row r="532" spans="18:28" s="1912" customFormat="1" ht="20.25" customHeight="1">
      <c r="R532" s="1964"/>
      <c r="S532" s="1964"/>
      <c r="T532" s="1964"/>
      <c r="U532" s="1964"/>
      <c r="V532" s="1964"/>
      <c r="W532" s="1964"/>
      <c r="X532" s="1964"/>
      <c r="Y532" s="1964"/>
      <c r="Z532" s="1964"/>
      <c r="AA532" s="2492"/>
      <c r="AB532" s="1964"/>
    </row>
    <row r="533" spans="18:28" s="1912" customFormat="1" ht="20.25" customHeight="1">
      <c r="R533" s="1964"/>
      <c r="S533" s="1964"/>
      <c r="T533" s="1964"/>
      <c r="U533" s="1964"/>
      <c r="V533" s="1964"/>
      <c r="W533" s="1964"/>
      <c r="X533" s="1964"/>
      <c r="Y533" s="1964"/>
      <c r="Z533" s="1964"/>
      <c r="AA533" s="2492"/>
      <c r="AB533" s="1964"/>
    </row>
    <row r="534" spans="18:28" s="1912" customFormat="1" ht="20.25" customHeight="1">
      <c r="R534" s="1964"/>
      <c r="S534" s="1964"/>
      <c r="T534" s="1964"/>
      <c r="U534" s="1964"/>
      <c r="V534" s="1964"/>
      <c r="W534" s="1964"/>
      <c r="X534" s="1964"/>
      <c r="Y534" s="1964"/>
      <c r="Z534" s="1964"/>
      <c r="AA534" s="2492"/>
      <c r="AB534" s="1964"/>
    </row>
    <row r="535" spans="18:28" s="1912" customFormat="1" ht="20.25" customHeight="1">
      <c r="R535" s="1964"/>
      <c r="S535" s="1964"/>
      <c r="T535" s="1964"/>
      <c r="U535" s="1964"/>
      <c r="V535" s="1964"/>
      <c r="W535" s="1964"/>
      <c r="X535" s="1964"/>
      <c r="Y535" s="1964"/>
      <c r="Z535" s="1964"/>
      <c r="AA535" s="2492"/>
      <c r="AB535" s="1964"/>
    </row>
    <row r="536" spans="18:28" s="1912" customFormat="1" ht="20.25" customHeight="1">
      <c r="R536" s="1964"/>
      <c r="S536" s="1964"/>
      <c r="T536" s="1964"/>
      <c r="U536" s="1964"/>
      <c r="V536" s="1964"/>
      <c r="W536" s="1964"/>
      <c r="X536" s="1964"/>
      <c r="Y536" s="1964"/>
      <c r="Z536" s="1964"/>
      <c r="AA536" s="2492"/>
      <c r="AB536" s="1964"/>
    </row>
    <row r="537" spans="18:28" s="1912" customFormat="1" ht="20.25" customHeight="1">
      <c r="R537" s="1964"/>
      <c r="S537" s="1964"/>
      <c r="T537" s="1964"/>
      <c r="U537" s="1964"/>
      <c r="V537" s="1964"/>
      <c r="W537" s="1964"/>
      <c r="X537" s="1964"/>
      <c r="Y537" s="1964"/>
      <c r="Z537" s="1964"/>
      <c r="AA537" s="2492"/>
      <c r="AB537" s="1964"/>
    </row>
    <row r="538" spans="18:28" s="1912" customFormat="1" ht="20.25" customHeight="1">
      <c r="R538" s="1964"/>
      <c r="S538" s="1964"/>
      <c r="T538" s="1964"/>
      <c r="U538" s="1964"/>
      <c r="V538" s="1964"/>
      <c r="W538" s="1964"/>
      <c r="X538" s="1964"/>
      <c r="Y538" s="1964"/>
      <c r="Z538" s="1964"/>
      <c r="AA538" s="2492"/>
      <c r="AB538" s="1964"/>
    </row>
    <row r="539" spans="18:28" s="1912" customFormat="1" ht="20.25" customHeight="1">
      <c r="R539" s="1964"/>
      <c r="S539" s="1964"/>
      <c r="T539" s="1964"/>
      <c r="U539" s="1964"/>
      <c r="V539" s="1964"/>
      <c r="W539" s="1964"/>
      <c r="X539" s="1964"/>
      <c r="Y539" s="1964"/>
      <c r="Z539" s="1964"/>
      <c r="AA539" s="2492"/>
      <c r="AB539" s="1964"/>
    </row>
    <row r="540" spans="18:28" s="1912" customFormat="1" ht="20.25" customHeight="1">
      <c r="R540" s="1964"/>
      <c r="S540" s="1964"/>
      <c r="T540" s="1964"/>
      <c r="U540" s="1964"/>
      <c r="V540" s="1964"/>
      <c r="W540" s="1964"/>
      <c r="X540" s="1964"/>
      <c r="Y540" s="1964"/>
      <c r="Z540" s="1964"/>
      <c r="AA540" s="2492"/>
      <c r="AB540" s="1964"/>
    </row>
    <row r="541" spans="18:28" s="1912" customFormat="1" ht="20.25" customHeight="1">
      <c r="R541" s="1964"/>
      <c r="S541" s="1964"/>
      <c r="T541" s="1964"/>
      <c r="U541" s="1964"/>
      <c r="V541" s="1964"/>
      <c r="W541" s="1964"/>
      <c r="X541" s="1964"/>
      <c r="Y541" s="1964"/>
      <c r="Z541" s="1964"/>
      <c r="AA541" s="2492"/>
      <c r="AB541" s="1964"/>
    </row>
    <row r="542" spans="18:28" s="1912" customFormat="1" ht="20.25" customHeight="1">
      <c r="R542" s="1964"/>
      <c r="S542" s="1964"/>
      <c r="T542" s="1964"/>
      <c r="U542" s="1964"/>
      <c r="V542" s="1964"/>
      <c r="W542" s="1964"/>
      <c r="X542" s="1964"/>
      <c r="Y542" s="1964"/>
      <c r="Z542" s="1964"/>
      <c r="AA542" s="2492"/>
      <c r="AB542" s="1964"/>
    </row>
    <row r="543" spans="18:28" s="1912" customFormat="1" ht="20.25" customHeight="1">
      <c r="R543" s="1964"/>
      <c r="S543" s="1964"/>
      <c r="T543" s="1964"/>
      <c r="U543" s="1964"/>
      <c r="V543" s="1964"/>
      <c r="W543" s="1964"/>
      <c r="X543" s="1964"/>
      <c r="Y543" s="1964"/>
      <c r="Z543" s="1964"/>
      <c r="AA543" s="2492"/>
      <c r="AB543" s="1964"/>
    </row>
    <row r="544" spans="18:28" s="1912" customFormat="1" ht="20.25" customHeight="1">
      <c r="R544" s="1964"/>
      <c r="S544" s="1964"/>
      <c r="T544" s="1964"/>
      <c r="U544" s="1964"/>
      <c r="V544" s="1964"/>
      <c r="W544" s="1964"/>
      <c r="X544" s="1964"/>
      <c r="Y544" s="1964"/>
      <c r="Z544" s="1964"/>
      <c r="AA544" s="2492"/>
      <c r="AB544" s="1964"/>
    </row>
    <row r="545" spans="1:28" s="1912" customFormat="1" ht="20.25" customHeight="1">
      <c r="R545" s="1964"/>
      <c r="S545" s="1964"/>
      <c r="T545" s="1964"/>
      <c r="U545" s="1964"/>
      <c r="V545" s="1964"/>
      <c r="W545" s="1964"/>
      <c r="X545" s="1964"/>
      <c r="Y545" s="1964"/>
      <c r="Z545" s="1964"/>
      <c r="AA545" s="2492"/>
      <c r="AB545" s="1964"/>
    </row>
    <row r="546" spans="1:28" s="1912" customFormat="1" ht="20.25" customHeight="1">
      <c r="R546" s="1964"/>
      <c r="S546" s="1964"/>
      <c r="T546" s="1964"/>
      <c r="U546" s="1964"/>
      <c r="V546" s="1964"/>
      <c r="W546" s="1964"/>
      <c r="X546" s="1964"/>
      <c r="Y546" s="1964"/>
      <c r="Z546" s="1964"/>
      <c r="AA546" s="2492"/>
      <c r="AB546" s="1964"/>
    </row>
    <row r="547" spans="1:28" s="1912" customFormat="1" ht="20.25" customHeight="1">
      <c r="R547" s="1964"/>
      <c r="S547" s="1964"/>
      <c r="T547" s="1964"/>
      <c r="U547" s="1964"/>
      <c r="V547" s="1964"/>
      <c r="W547" s="1964"/>
      <c r="X547" s="1964"/>
      <c r="Y547" s="1964"/>
      <c r="Z547" s="1964"/>
      <c r="AA547" s="2492"/>
      <c r="AB547" s="1964"/>
    </row>
    <row r="548" spans="1:28" s="1912" customFormat="1" ht="20.25" customHeight="1">
      <c r="R548" s="1964"/>
      <c r="S548" s="1964"/>
      <c r="T548" s="1964"/>
      <c r="U548" s="1964"/>
      <c r="V548" s="1964"/>
      <c r="W548" s="1964"/>
      <c r="X548" s="1964"/>
      <c r="Y548" s="1964"/>
      <c r="Z548" s="1964"/>
      <c r="AA548" s="2492"/>
      <c r="AB548" s="1964"/>
    </row>
    <row r="549" spans="1:28" s="1912" customFormat="1" ht="20.25" customHeight="1">
      <c r="R549" s="1964"/>
      <c r="S549" s="1964"/>
      <c r="T549" s="1964"/>
      <c r="U549" s="1964"/>
      <c r="V549" s="1964"/>
      <c r="W549" s="1964"/>
      <c r="X549" s="1964"/>
      <c r="Y549" s="1964"/>
      <c r="Z549" s="1964"/>
      <c r="AA549" s="2492"/>
      <c r="AB549" s="1964"/>
    </row>
    <row r="550" spans="1:28" s="1912" customFormat="1" ht="20.25" customHeight="1">
      <c r="R550" s="1964"/>
      <c r="S550" s="1964"/>
      <c r="T550" s="1964"/>
      <c r="U550" s="1964"/>
      <c r="V550" s="1964"/>
      <c r="W550" s="1964"/>
      <c r="X550" s="1964"/>
      <c r="Y550" s="1964"/>
      <c r="Z550" s="1964"/>
      <c r="AA550" s="2492"/>
      <c r="AB550" s="1964"/>
    </row>
    <row r="551" spans="1:28" s="1912" customFormat="1" ht="20.25" customHeight="1">
      <c r="R551" s="1964"/>
      <c r="S551" s="1964"/>
      <c r="T551" s="1964"/>
      <c r="U551" s="1964"/>
      <c r="V551" s="1964"/>
      <c r="W551" s="1964"/>
      <c r="X551" s="1964"/>
      <c r="Y551" s="1964"/>
      <c r="Z551" s="1964"/>
      <c r="AA551" s="2492"/>
      <c r="AB551" s="1964"/>
    </row>
    <row r="552" spans="1:28" s="1912" customFormat="1" ht="20.25" customHeight="1">
      <c r="R552" s="1964"/>
      <c r="S552" s="1964"/>
      <c r="T552" s="1964"/>
      <c r="U552" s="1964"/>
      <c r="V552" s="1964"/>
      <c r="W552" s="1964"/>
      <c r="X552" s="1964"/>
      <c r="Y552" s="1964"/>
      <c r="Z552" s="1964"/>
      <c r="AA552" s="2492"/>
      <c r="AB552" s="1964"/>
    </row>
    <row r="553" spans="1:28" s="1912" customFormat="1" ht="20.25" customHeight="1">
      <c r="R553" s="1964"/>
      <c r="S553" s="1964"/>
      <c r="T553" s="1964"/>
      <c r="U553" s="1964"/>
      <c r="V553" s="1964"/>
      <c r="W553" s="1964"/>
      <c r="X553" s="1964"/>
      <c r="Y553" s="1964"/>
      <c r="Z553" s="1964"/>
      <c r="AA553" s="2492"/>
      <c r="AB553" s="1964"/>
    </row>
    <row r="554" spans="1:28" s="1912" customFormat="1" ht="20.25" customHeight="1">
      <c r="R554" s="1964"/>
      <c r="S554" s="1964"/>
      <c r="T554" s="1964"/>
      <c r="U554" s="1964"/>
      <c r="V554" s="1964"/>
      <c r="W554" s="1964"/>
      <c r="X554" s="1964"/>
      <c r="Y554" s="1964"/>
      <c r="Z554" s="1964"/>
      <c r="AA554" s="2492"/>
      <c r="AB554" s="1964"/>
    </row>
    <row r="555" spans="1:28" s="1912" customFormat="1" ht="20.25" customHeight="1">
      <c r="R555" s="1964"/>
      <c r="S555" s="1964"/>
      <c r="T555" s="1964"/>
      <c r="U555" s="1964"/>
      <c r="V555" s="1964"/>
      <c r="W555" s="1964"/>
      <c r="X555" s="1964"/>
      <c r="Y555" s="1964"/>
      <c r="Z555" s="1964"/>
      <c r="AA555" s="2492"/>
      <c r="AB555" s="1964"/>
    </row>
    <row r="556" spans="1:28" s="1912" customFormat="1" ht="20.25" customHeight="1">
      <c r="R556" s="1964"/>
      <c r="S556" s="1964"/>
      <c r="T556" s="1964"/>
      <c r="U556" s="1964"/>
      <c r="V556" s="1964"/>
      <c r="W556" s="1964"/>
      <c r="X556" s="1964"/>
      <c r="Y556" s="1964"/>
      <c r="Z556" s="1964"/>
      <c r="AA556" s="2492"/>
      <c r="AB556" s="1964"/>
    </row>
    <row r="557" spans="1:28" s="1912" customFormat="1" ht="20.25" customHeight="1">
      <c r="J557" s="1920"/>
      <c r="R557" s="1964"/>
      <c r="S557" s="1964"/>
      <c r="T557" s="1964"/>
      <c r="U557" s="1964"/>
      <c r="V557" s="1964"/>
      <c r="W557" s="1964"/>
      <c r="X557" s="1964"/>
      <c r="Y557" s="1964"/>
      <c r="Z557" s="1964"/>
      <c r="AA557" s="2492"/>
      <c r="AB557" s="1964"/>
    </row>
    <row r="558" spans="1:28" s="1912" customFormat="1" ht="20.25" customHeight="1">
      <c r="A558" s="1910"/>
      <c r="B558" s="1910"/>
      <c r="C558" s="1910"/>
      <c r="G558" s="1920"/>
      <c r="H558" s="1920"/>
      <c r="I558" s="1920"/>
      <c r="J558" s="1920"/>
      <c r="K558" s="1910"/>
      <c r="L558" s="1910"/>
      <c r="M558" s="1910"/>
      <c r="P558" s="1920"/>
      <c r="Q558" s="1910"/>
      <c r="R558" s="1964"/>
      <c r="S558" s="1964"/>
      <c r="T558" s="1964"/>
      <c r="U558" s="1964"/>
      <c r="V558" s="1964"/>
      <c r="W558" s="1964"/>
      <c r="X558" s="1964"/>
      <c r="Y558" s="1964"/>
      <c r="Z558" s="1964"/>
      <c r="AA558" s="2492"/>
      <c r="AB558" s="1964"/>
    </row>
    <row r="559" spans="1:28" s="1912" customFormat="1" ht="20.25" customHeight="1">
      <c r="A559" s="1920"/>
      <c r="B559" s="1920"/>
      <c r="C559" s="1920"/>
      <c r="G559" s="1920"/>
      <c r="H559" s="1920"/>
      <c r="I559" s="1920"/>
      <c r="J559" s="1920"/>
      <c r="K559" s="1920"/>
      <c r="L559" s="1920"/>
      <c r="M559" s="1920"/>
      <c r="O559" s="1920"/>
      <c r="P559" s="1920"/>
      <c r="Q559" s="1920"/>
      <c r="R559" s="1964"/>
      <c r="S559" s="1964"/>
      <c r="T559" s="1964"/>
      <c r="U559" s="1964"/>
      <c r="V559" s="1964"/>
      <c r="W559" s="1964"/>
      <c r="X559" s="1964"/>
      <c r="Y559" s="1964"/>
      <c r="Z559" s="1964"/>
      <c r="AA559" s="2492"/>
      <c r="AB559" s="1964"/>
    </row>
    <row r="560" spans="1:28" ht="20.25" customHeight="1">
      <c r="A560" s="1920"/>
      <c r="B560" s="1920"/>
      <c r="C560" s="1920"/>
      <c r="G560" s="1920"/>
      <c r="H560" s="1920"/>
      <c r="I560" s="1920"/>
      <c r="J560" s="1920"/>
      <c r="K560" s="1920"/>
      <c r="L560" s="1920"/>
      <c r="M560" s="1920"/>
      <c r="O560" s="1920"/>
      <c r="P560" s="1920"/>
      <c r="Q560" s="1920"/>
      <c r="R560" s="1964"/>
      <c r="S560" s="1964"/>
    </row>
    <row r="561" spans="1:19" ht="20.25" customHeight="1">
      <c r="A561" s="1920"/>
      <c r="B561" s="1920"/>
      <c r="C561" s="1920"/>
      <c r="G561" s="1920"/>
      <c r="H561" s="1920"/>
      <c r="I561" s="1920"/>
      <c r="J561" s="1920"/>
      <c r="K561" s="1920"/>
      <c r="L561" s="1920"/>
      <c r="M561" s="1920"/>
      <c r="O561" s="1920"/>
      <c r="P561" s="1920"/>
      <c r="Q561" s="1920"/>
      <c r="R561" s="1964"/>
      <c r="S561" s="1964"/>
    </row>
    <row r="562" spans="1:19" ht="20.25" customHeight="1">
      <c r="A562" s="1920"/>
      <c r="B562" s="1920"/>
      <c r="C562" s="1920"/>
      <c r="I562" s="1920"/>
      <c r="K562" s="1920"/>
      <c r="L562" s="1920"/>
      <c r="M562" s="1920"/>
      <c r="O562" s="1920"/>
      <c r="Q562" s="1920"/>
      <c r="R562" s="1964"/>
      <c r="S562" s="1964"/>
    </row>
    <row r="563" spans="1:19" ht="20.25" customHeight="1">
      <c r="A563" s="1920"/>
      <c r="B563" s="1920"/>
      <c r="C563" s="1920"/>
      <c r="K563" s="1920"/>
      <c r="L563" s="1920"/>
      <c r="M563" s="1920"/>
      <c r="O563" s="1920"/>
      <c r="Q563" s="1920"/>
      <c r="R563" s="1964"/>
      <c r="S563" s="1964"/>
    </row>
    <row r="564" spans="1:19">
      <c r="R564" s="1964"/>
      <c r="S564" s="1964"/>
    </row>
    <row r="565" spans="1:19">
      <c r="R565" s="1964"/>
      <c r="S565" s="1964"/>
    </row>
  </sheetData>
  <sheetProtection algorithmName="SHA-512" hashValue="GdJ2wzZtDkkRtUOROdqZmBgmf/qKYH+lED3I0yHmCOi1DQ2lDs1Q4lgCONUSZlcizbX8qYRdofmrqFmxo+Qs+g==" saltValue="W9FfL3TaY6fyUQExtQoxGQ==" spinCount="100000" sheet="1" objects="1" scenarios="1" formatRows="0"/>
  <mergeCells count="2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5:Q25"/>
    <mergeCell ref="P27:Q27"/>
    <mergeCell ref="A29:Q29"/>
    <mergeCell ref="A31:Q31"/>
    <mergeCell ref="P33:Q33"/>
    <mergeCell ref="A21:Q21"/>
    <mergeCell ref="A22:Q22"/>
    <mergeCell ref="A23:Q23"/>
    <mergeCell ref="A24:Q24"/>
    <mergeCell ref="P49:Q49"/>
    <mergeCell ref="B34:O34"/>
    <mergeCell ref="P34:Q34"/>
    <mergeCell ref="A36:Q36"/>
    <mergeCell ref="A38:Q38"/>
    <mergeCell ref="P41:Q41"/>
    <mergeCell ref="P42:Q42"/>
    <mergeCell ref="A44:Q44"/>
    <mergeCell ref="A46:Q46"/>
    <mergeCell ref="B78:Q78"/>
    <mergeCell ref="B79:Q79"/>
    <mergeCell ref="A81:Q81"/>
    <mergeCell ref="A83:Q83"/>
    <mergeCell ref="P86:Q86"/>
    <mergeCell ref="L87:N87"/>
    <mergeCell ref="O87:Q87"/>
    <mergeCell ref="L88:Q88"/>
    <mergeCell ref="A113:Q113"/>
    <mergeCell ref="A115:Q115"/>
    <mergeCell ref="P118:Q118"/>
    <mergeCell ref="B102:D102"/>
    <mergeCell ref="P102:Q102"/>
    <mergeCell ref="A104:Q104"/>
    <mergeCell ref="A106:Q106"/>
    <mergeCell ref="P109:Q109"/>
    <mergeCell ref="M131:Q131"/>
    <mergeCell ref="M120:Q120"/>
    <mergeCell ref="M119:Q119"/>
    <mergeCell ref="M111:Q111"/>
    <mergeCell ref="M110:Q110"/>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41:Q141"/>
    <mergeCell ref="A143:Q143"/>
    <mergeCell ref="P146:Q146"/>
    <mergeCell ref="P147:Q147"/>
    <mergeCell ref="C137:H137"/>
    <mergeCell ref="J137:Q137"/>
    <mergeCell ref="C138:H138"/>
    <mergeCell ref="J138:Q138"/>
    <mergeCell ref="C139:H139"/>
    <mergeCell ref="J139:Q139"/>
    <mergeCell ref="B165:O165"/>
    <mergeCell ref="P165:Q165"/>
    <mergeCell ref="A168:Q168"/>
    <mergeCell ref="A170:Q170"/>
    <mergeCell ref="P173:Q173"/>
    <mergeCell ref="A151:Q151"/>
    <mergeCell ref="A153:Q153"/>
    <mergeCell ref="P156:Q156"/>
    <mergeCell ref="A158:Q158"/>
    <mergeCell ref="A160:Q160"/>
    <mergeCell ref="P163:Q163"/>
    <mergeCell ref="L166:Q166"/>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A233:Q233"/>
    <mergeCell ref="P236:Q236"/>
    <mergeCell ref="B237:F237"/>
    <mergeCell ref="B238:F238"/>
    <mergeCell ref="G225:O225"/>
    <mergeCell ref="C226:F226"/>
    <mergeCell ref="G226:O226"/>
    <mergeCell ref="B227:O227"/>
    <mergeCell ref="B229:O229"/>
    <mergeCell ref="A231:Q231"/>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99:Q299"/>
    <mergeCell ref="A301:Q301"/>
    <mergeCell ref="P304:Q304"/>
    <mergeCell ref="A306:Q306"/>
    <mergeCell ref="A308:Q308"/>
    <mergeCell ref="A292:Q292"/>
    <mergeCell ref="P295:Q295"/>
    <mergeCell ref="B296:O296"/>
    <mergeCell ref="P296:Q296"/>
    <mergeCell ref="B297:O297"/>
    <mergeCell ref="P297:Q297"/>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90"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abSelected="1" topLeftCell="A129" zoomScale="115" zoomScaleNormal="115" workbookViewId="0">
      <selection activeCell="B135" sqref="B135"/>
    </sheetView>
  </sheetViews>
  <sheetFormatPr defaultColWidth="9.33203125" defaultRowHeight="13.8"/>
  <cols>
    <col min="1" max="1" width="6" style="2074" customWidth="1"/>
    <col min="2" max="2" width="3.44140625" style="2074" customWidth="1"/>
    <col min="3" max="3" width="12.44140625" style="2074" customWidth="1"/>
    <col min="4" max="4" width="12.109375" style="2074" customWidth="1"/>
    <col min="5" max="5" width="7.44140625" style="2074" customWidth="1"/>
    <col min="6" max="7" width="15.33203125" style="2074" customWidth="1"/>
    <col min="8" max="9" width="14.109375" style="2074" customWidth="1"/>
    <col min="10" max="10" width="11" style="2074" customWidth="1"/>
    <col min="11" max="11" width="13.44140625" style="2074" customWidth="1"/>
    <col min="12" max="12" width="14.6640625" style="2074" customWidth="1"/>
    <col min="13" max="13" width="6.6640625" style="2074" customWidth="1"/>
    <col min="14" max="14" width="3.5546875" style="2095" customWidth="1"/>
    <col min="15" max="16" width="8.6640625" style="2087" customWidth="1"/>
    <col min="17" max="17" width="6" style="2074" customWidth="1"/>
    <col min="18" max="20" width="9.33203125" style="2074"/>
    <col min="21" max="21" width="10" style="2074" customWidth="1"/>
    <col min="22" max="22" width="10.88671875" style="2074" customWidth="1"/>
    <col min="23" max="23" width="10" style="2074" customWidth="1"/>
    <col min="24" max="24" width="10.33203125" style="2074" customWidth="1"/>
    <col min="25" max="25" width="11.5546875" style="2074" customWidth="1"/>
    <col min="26" max="27" width="9.33203125" style="2074"/>
    <col min="28" max="32" width="10.44140625" style="2074" customWidth="1"/>
    <col min="33" max="38" width="9.33203125" style="2074"/>
    <col min="39" max="39" width="9.33203125" style="2495"/>
    <col min="40" max="42" width="9.33203125" style="2074"/>
    <col min="43" max="47" width="10.44140625" style="2074" customWidth="1"/>
    <col min="48" max="16384" width="9.33203125" style="2074"/>
  </cols>
  <sheetData>
    <row r="1" spans="1:39" ht="14.1" customHeight="1">
      <c r="A1" s="4088" t="str">
        <f>CONCATENATE("PART EIGHT - SCORING CRITERIA","  -  ",'Part I-Project Identification'!$O$7," ",'Part I-Project Identification'!$F$26,", ",'Part I-Project Identification'!F27,", ",'Part I-Project Identification'!J27," County")</f>
        <v>PART EIGHT - SCORING CRITERIA  -  2025-0 Retreat at Madison Place, Decatur, DeKalb County</v>
      </c>
      <c r="B1" s="4089"/>
      <c r="C1" s="4089"/>
      <c r="D1" s="4089"/>
      <c r="E1" s="4089"/>
      <c r="F1" s="4089"/>
      <c r="G1" s="4089"/>
      <c r="H1" s="4089"/>
      <c r="I1" s="4089"/>
      <c r="J1" s="4089"/>
      <c r="K1" s="4089"/>
      <c r="L1" s="4089"/>
      <c r="M1" s="4089"/>
      <c r="N1" s="4089"/>
      <c r="O1" s="4089"/>
      <c r="P1" s="4090"/>
      <c r="Q1" s="2072"/>
      <c r="R1" s="2072"/>
      <c r="S1" s="2072"/>
      <c r="T1" s="2072"/>
      <c r="U1" s="2072"/>
      <c r="V1" s="2072"/>
      <c r="W1" s="2072"/>
      <c r="X1" s="2073"/>
      <c r="AM1" s="2493">
        <v>1</v>
      </c>
    </row>
    <row r="2" spans="1:39" ht="4.3499999999999996" customHeight="1">
      <c r="A2" s="2075"/>
      <c r="B2" s="2075"/>
      <c r="C2" s="2076"/>
      <c r="D2" s="2075"/>
      <c r="E2" s="2075"/>
      <c r="F2" s="2075"/>
      <c r="G2" s="2075"/>
      <c r="H2" s="2075"/>
      <c r="I2" s="2075"/>
      <c r="J2" s="2075"/>
      <c r="K2" s="2075"/>
      <c r="L2" s="2075"/>
      <c r="M2" s="2077"/>
      <c r="N2" s="2077"/>
      <c r="O2" s="2078"/>
      <c r="P2" s="2078"/>
      <c r="Q2" s="2072"/>
      <c r="R2" s="2072"/>
      <c r="S2" s="2072"/>
      <c r="T2" s="2072"/>
      <c r="U2" s="2072"/>
      <c r="V2" s="2072"/>
      <c r="W2" s="2072"/>
      <c r="X2" s="2073"/>
      <c r="AM2" s="2493">
        <v>2</v>
      </c>
    </row>
    <row r="3" spans="1:39" s="2075" customFormat="1" ht="20.399999999999999" customHeight="1">
      <c r="A3" s="4091" t="s">
        <v>4970</v>
      </c>
      <c r="B3" s="4091"/>
      <c r="C3" s="4091"/>
      <c r="D3" s="4091"/>
      <c r="E3" s="4091"/>
      <c r="F3" s="4091"/>
      <c r="G3" s="4091"/>
      <c r="H3" s="4091"/>
      <c r="I3" s="4091"/>
      <c r="J3" s="4091"/>
      <c r="K3" s="4091"/>
      <c r="L3" s="4091"/>
      <c r="M3" s="2079" t="s">
        <v>4713</v>
      </c>
      <c r="N3" s="2077"/>
      <c r="O3" s="2080" t="s">
        <v>2044</v>
      </c>
      <c r="P3" s="2079" t="s">
        <v>245</v>
      </c>
      <c r="Q3" s="2072"/>
      <c r="R3" s="2072"/>
      <c r="S3" s="2072"/>
      <c r="T3" s="2072"/>
      <c r="U3" s="2072"/>
      <c r="V3" s="2081"/>
      <c r="W3" s="2081"/>
      <c r="X3" s="2082"/>
      <c r="AM3" s="2494">
        <v>3</v>
      </c>
    </row>
    <row r="4" spans="1:39" s="2075" customFormat="1" ht="16.5" customHeight="1">
      <c r="A4" s="4091"/>
      <c r="B4" s="4091"/>
      <c r="C4" s="4091"/>
      <c r="D4" s="4091"/>
      <c r="E4" s="4091"/>
      <c r="F4" s="4091"/>
      <c r="G4" s="4091"/>
      <c r="H4" s="4091"/>
      <c r="I4" s="4091"/>
      <c r="J4" s="4091"/>
      <c r="K4" s="4091"/>
      <c r="L4" s="4091"/>
      <c r="M4" s="2083" t="s">
        <v>2045</v>
      </c>
      <c r="N4" s="2084"/>
      <c r="O4" s="2083" t="s">
        <v>2045</v>
      </c>
      <c r="P4" s="2083" t="s">
        <v>2045</v>
      </c>
      <c r="Q4" s="2072"/>
      <c r="R4" s="2072"/>
      <c r="S4" s="2072"/>
      <c r="T4" s="2072"/>
      <c r="U4" s="2072"/>
      <c r="V4" s="2081"/>
      <c r="AM4" s="2494">
        <v>4</v>
      </c>
    </row>
    <row r="5" spans="1:39" s="2075" customFormat="1" ht="3" customHeight="1" thickBot="1">
      <c r="M5" s="2085"/>
      <c r="N5" s="2086"/>
      <c r="O5" s="2078"/>
      <c r="P5" s="2087"/>
      <c r="Q5" s="2072"/>
      <c r="R5" s="2072"/>
      <c r="S5" s="2072"/>
      <c r="T5" s="2072"/>
      <c r="U5" s="2072"/>
      <c r="V5" s="2081"/>
      <c r="AM5" s="2494">
        <v>5</v>
      </c>
    </row>
    <row r="6" spans="1:39" s="2075" customFormat="1" ht="13.5" customHeight="1" thickTop="1" thickBot="1">
      <c r="B6" s="4092" t="str">
        <f>'Part I-Project Identification'!$A$6</f>
        <v>May 31, 2025</v>
      </c>
      <c r="C6" s="4092"/>
      <c r="D6" s="4092"/>
      <c r="E6" s="4092"/>
      <c r="F6" s="4092"/>
      <c r="L6" s="2078" t="s">
        <v>1151</v>
      </c>
      <c r="M6" s="2088"/>
      <c r="N6" s="2089"/>
      <c r="O6" s="2090">
        <f>O408</f>
        <v>65</v>
      </c>
      <c r="P6" s="2090">
        <f>P408</f>
        <v>12</v>
      </c>
      <c r="Q6" s="2091" t="s">
        <v>4676</v>
      </c>
      <c r="R6" s="2092"/>
      <c r="S6" s="2092"/>
      <c r="T6" s="2092"/>
      <c r="U6" s="2092"/>
      <c r="V6" s="2093"/>
      <c r="W6" s="2093"/>
      <c r="X6" s="2093"/>
      <c r="Y6" s="2093"/>
      <c r="AM6" s="2494">
        <v>6</v>
      </c>
    </row>
    <row r="7" spans="1:39" ht="15.75" customHeight="1" thickTop="1">
      <c r="A7" s="2075"/>
      <c r="B7" s="2094"/>
      <c r="C7" s="2075"/>
      <c r="D7" s="2075"/>
      <c r="E7" s="2075"/>
      <c r="F7" s="2075"/>
      <c r="G7" s="2075"/>
      <c r="H7" s="2075"/>
      <c r="I7" s="2075"/>
      <c r="J7" s="2075"/>
      <c r="K7" s="2075"/>
      <c r="L7" s="2075"/>
      <c r="M7" s="2077"/>
      <c r="O7" s="2088"/>
      <c r="P7" s="2078"/>
      <c r="Q7" s="2092"/>
      <c r="R7" s="2092"/>
      <c r="S7" s="2092"/>
      <c r="T7" s="2092"/>
      <c r="U7" s="2092"/>
      <c r="V7" s="2093"/>
      <c r="W7" s="2093"/>
      <c r="X7" s="2093"/>
      <c r="Y7" s="2093"/>
      <c r="AM7" s="2493">
        <v>7</v>
      </c>
    </row>
    <row r="8" spans="1:39" s="2075" customFormat="1" ht="14.4">
      <c r="A8" s="2098" t="s">
        <v>688</v>
      </c>
      <c r="B8" s="2099" t="s">
        <v>4032</v>
      </c>
      <c r="C8" s="2086"/>
      <c r="G8" s="2097"/>
      <c r="I8" s="2097"/>
      <c r="J8" s="2097"/>
      <c r="K8" s="2097"/>
      <c r="L8" s="2097"/>
      <c r="M8" s="2097"/>
      <c r="N8" s="2097"/>
      <c r="O8" s="2097"/>
      <c r="P8" s="2097"/>
      <c r="Q8" s="2092"/>
      <c r="AM8" s="2494">
        <v>8</v>
      </c>
    </row>
    <row r="9" spans="1:39" ht="7.5" customHeight="1">
      <c r="Q9" s="2100"/>
      <c r="AM9" s="2493">
        <v>9</v>
      </c>
    </row>
    <row r="10" spans="1:39" ht="14.25" customHeight="1">
      <c r="A10" s="4098" t="str">
        <f>IF(OR((D12-C12&gt;0),(E12-C12&gt;0)),"Points Exceed Max!","")</f>
        <v/>
      </c>
      <c r="B10" s="4098"/>
      <c r="C10" s="4094" t="s">
        <v>4731</v>
      </c>
      <c r="D10" s="4094"/>
      <c r="E10" s="4094"/>
      <c r="P10" s="2086"/>
      <c r="Q10" s="2100"/>
      <c r="AM10" s="2493">
        <v>10</v>
      </c>
    </row>
    <row r="11" spans="1:39" ht="18" customHeight="1">
      <c r="A11" s="4098"/>
      <c r="B11" s="4098"/>
      <c r="C11" s="2424" t="s">
        <v>4713</v>
      </c>
      <c r="D11" s="2101" t="s">
        <v>2879</v>
      </c>
      <c r="E11" s="2102" t="s">
        <v>245</v>
      </c>
      <c r="F11" s="4097" t="s">
        <v>5068</v>
      </c>
      <c r="G11" s="4097"/>
      <c r="H11" s="4115" t="s">
        <v>4396</v>
      </c>
      <c r="I11" s="4116"/>
      <c r="J11" s="4117"/>
      <c r="K11" s="4093" t="s">
        <v>4035</v>
      </c>
      <c r="L11" s="4105" t="s">
        <v>2937</v>
      </c>
      <c r="M11" s="4106"/>
      <c r="N11" s="4107"/>
      <c r="P11" s="2086"/>
      <c r="AM11" s="2493">
        <v>11</v>
      </c>
    </row>
    <row r="12" spans="1:39" ht="9.75" customHeight="1">
      <c r="A12" s="4098"/>
      <c r="B12" s="4098"/>
      <c r="C12" s="4095">
        <v>33</v>
      </c>
      <c r="D12" s="4108">
        <f>IF($C$16="4%",O160+O169+O190+O206+O238+O265,0)</f>
        <v>1.5</v>
      </c>
      <c r="E12" s="4110">
        <f>IF($C$16="4%",P160+P169+P190+P206+P238+P265,0)</f>
        <v>0</v>
      </c>
      <c r="F12" s="4097"/>
      <c r="G12" s="4097"/>
      <c r="H12" s="4099" t="s">
        <v>4593</v>
      </c>
      <c r="I12" s="4100"/>
      <c r="J12" s="4101"/>
      <c r="K12" s="4093"/>
      <c r="L12" s="4099" t="s">
        <v>4594</v>
      </c>
      <c r="M12" s="4100"/>
      <c r="N12" s="4101"/>
      <c r="P12" s="2091"/>
      <c r="AM12" s="2493">
        <v>12</v>
      </c>
    </row>
    <row r="13" spans="1:39" ht="9.75" customHeight="1">
      <c r="A13" s="4098"/>
      <c r="B13" s="4098"/>
      <c r="C13" s="4096"/>
      <c r="D13" s="4109"/>
      <c r="E13" s="4111"/>
      <c r="F13" s="4097"/>
      <c r="G13" s="4097"/>
      <c r="H13" s="4102"/>
      <c r="I13" s="4103"/>
      <c r="J13" s="4104"/>
      <c r="K13" s="4093"/>
      <c r="L13" s="4102"/>
      <c r="M13" s="4103"/>
      <c r="N13" s="4104"/>
      <c r="P13" s="2091"/>
      <c r="AM13" s="2493">
        <v>13</v>
      </c>
    </row>
    <row r="14" spans="1:39" ht="15.75" customHeight="1">
      <c r="A14" s="2075"/>
      <c r="B14" s="2094"/>
      <c r="D14" s="1973"/>
      <c r="E14" s="1974"/>
      <c r="F14" s="1974"/>
      <c r="G14" s="2104"/>
      <c r="H14" s="2104"/>
      <c r="I14" s="2104"/>
      <c r="J14" s="2104"/>
      <c r="K14" s="2104"/>
      <c r="L14" s="2104"/>
      <c r="M14" s="2077"/>
      <c r="O14" s="2088"/>
      <c r="P14" s="2078"/>
      <c r="W14" s="2075"/>
      <c r="X14" s="2105"/>
      <c r="Y14" s="2105"/>
      <c r="Z14" s="2105"/>
      <c r="AA14" s="2105"/>
      <c r="AB14" s="2105"/>
      <c r="AC14" s="2105"/>
      <c r="AD14" s="2105"/>
      <c r="AE14" s="2105"/>
      <c r="AF14" s="2105"/>
      <c r="AG14" s="2105"/>
      <c r="AH14" s="2105"/>
      <c r="AI14" s="2105"/>
      <c r="AM14" s="2493">
        <v>14</v>
      </c>
    </row>
    <row r="15" spans="1:39" ht="17.25" customHeight="1">
      <c r="C15" s="4097" t="s">
        <v>4697</v>
      </c>
      <c r="D15" s="4097"/>
      <c r="F15" s="4097" t="s">
        <v>5065</v>
      </c>
      <c r="G15" s="4097"/>
      <c r="H15" s="4115" t="s">
        <v>4916</v>
      </c>
      <c r="I15" s="4116"/>
      <c r="J15" s="4116"/>
      <c r="K15" s="4116"/>
      <c r="L15" s="4116"/>
      <c r="M15" s="4116"/>
      <c r="N15" s="4117"/>
      <c r="AA15" s="2092"/>
      <c r="AB15" s="2092"/>
      <c r="AC15" s="2092"/>
      <c r="AD15" s="2092"/>
      <c r="AE15" s="2092"/>
      <c r="AF15" s="2105"/>
      <c r="AG15" s="2105"/>
      <c r="AH15" s="2105"/>
      <c r="AI15" s="2105"/>
      <c r="AM15" s="2494">
        <v>15</v>
      </c>
    </row>
    <row r="16" spans="1:39" ht="17.25" customHeight="1">
      <c r="C16" s="4118"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6" s="4119"/>
      <c r="F16" s="4097"/>
      <c r="G16" s="4097"/>
      <c r="H16" s="4112" t="s">
        <v>4916</v>
      </c>
      <c r="I16" s="4113"/>
      <c r="J16" s="4113"/>
      <c r="K16" s="4113"/>
      <c r="L16" s="4113"/>
      <c r="M16" s="4113"/>
      <c r="N16" s="4114"/>
      <c r="AA16" s="2092"/>
      <c r="AB16" s="2092"/>
      <c r="AC16" s="2092"/>
      <c r="AD16" s="2092"/>
      <c r="AE16" s="2092"/>
      <c r="AF16" s="2105"/>
      <c r="AG16" s="2105"/>
      <c r="AH16" s="2105"/>
      <c r="AI16" s="2105"/>
      <c r="AM16" s="2494">
        <v>16</v>
      </c>
    </row>
    <row r="17" spans="1:39" ht="15.9" customHeight="1">
      <c r="C17" s="2091"/>
      <c r="Q17" s="2092"/>
      <c r="R17" s="2092"/>
      <c r="S17" s="2092"/>
      <c r="T17" s="2092"/>
      <c r="U17" s="2092"/>
      <c r="V17" s="2092"/>
      <c r="W17" s="2092"/>
      <c r="X17" s="2092"/>
      <c r="Y17" s="2092"/>
      <c r="Z17" s="2092"/>
      <c r="AA17" s="2092"/>
      <c r="AB17" s="2092"/>
      <c r="AC17" s="2092"/>
      <c r="AD17" s="2092"/>
      <c r="AE17" s="2092"/>
      <c r="AM17" s="2494">
        <v>17</v>
      </c>
    </row>
    <row r="18" spans="1:39" ht="56.25" customHeight="1">
      <c r="C18" s="2452" t="s">
        <v>5066</v>
      </c>
      <c r="D18" s="4120" t="s">
        <v>5067</v>
      </c>
      <c r="E18" s="4121"/>
      <c r="F18" s="4121"/>
      <c r="G18" s="4121"/>
      <c r="H18" s="4121"/>
      <c r="I18" s="4121"/>
      <c r="J18" s="4121"/>
      <c r="K18" s="4121"/>
      <c r="L18" s="4121"/>
      <c r="M18" s="4121"/>
      <c r="N18" s="4121"/>
      <c r="O18" s="2448"/>
      <c r="P18" s="2447"/>
      <c r="Q18" s="2092"/>
      <c r="R18" s="2092"/>
      <c r="S18" s="2092"/>
      <c r="T18" s="2092"/>
      <c r="U18" s="2092"/>
      <c r="V18" s="2092"/>
      <c r="W18" s="2092"/>
      <c r="X18" s="2092"/>
      <c r="Y18" s="2092"/>
      <c r="Z18" s="2092"/>
      <c r="AA18" s="2092"/>
      <c r="AB18" s="2092"/>
      <c r="AC18" s="2092"/>
      <c r="AD18" s="2092"/>
      <c r="AE18" s="2092"/>
      <c r="AM18" s="2493">
        <v>18</v>
      </c>
    </row>
    <row r="19" spans="1:39" ht="24" customHeight="1" thickBot="1">
      <c r="Q19" s="2092"/>
      <c r="R19" s="2092"/>
      <c r="S19" s="2092"/>
      <c r="T19" s="2092"/>
      <c r="U19" s="2092"/>
      <c r="V19" s="2092"/>
      <c r="W19" s="2092"/>
      <c r="X19" s="2092"/>
      <c r="Y19" s="2092"/>
      <c r="Z19" s="2092"/>
      <c r="AA19" s="2092"/>
      <c r="AB19" s="2092"/>
      <c r="AC19" s="2092"/>
      <c r="AD19" s="2092"/>
      <c r="AE19" s="2092"/>
      <c r="AM19" s="2493">
        <v>19</v>
      </c>
    </row>
    <row r="20" spans="1:39" ht="15.9" customHeight="1" thickBot="1">
      <c r="A20" s="2098" t="s">
        <v>690</v>
      </c>
      <c r="B20" s="2099" t="s">
        <v>2507</v>
      </c>
      <c r="H20" s="2107"/>
      <c r="J20" s="2077"/>
      <c r="K20" s="2075"/>
      <c r="L20" s="2108" t="s">
        <v>4865</v>
      </c>
      <c r="M20" s="2078">
        <v>6</v>
      </c>
      <c r="N20" s="2077"/>
      <c r="O20" s="2109">
        <f>IF(AND(O21&gt;0,O25&gt;0),"AorB?",MIN($M20,SUM(O21,O25,O27)))</f>
        <v>5</v>
      </c>
      <c r="P20" s="2109">
        <f>IF(AND(P21&gt;0,P25&gt;0),"AorB?",MIN($M20,SUM(P21,P25,P27)))</f>
        <v>0</v>
      </c>
      <c r="Q20" s="2110" t="s">
        <v>415</v>
      </c>
      <c r="T20" s="2106"/>
      <c r="U20" s="2106"/>
      <c r="AM20" s="2494">
        <v>20</v>
      </c>
    </row>
    <row r="21" spans="1:39" s="2075" customFormat="1" ht="15.9" customHeight="1">
      <c r="A21" s="2078" t="s">
        <v>1835</v>
      </c>
      <c r="B21" s="2086" t="s">
        <v>2059</v>
      </c>
      <c r="D21" s="2111"/>
      <c r="E21" s="2111"/>
      <c r="G21" s="2074"/>
      <c r="L21" s="2112"/>
      <c r="M21" s="2077">
        <v>5</v>
      </c>
      <c r="N21" s="2113"/>
      <c r="O21" s="2114">
        <f>IF(OR(AND(O22="Yes",O23="Yes",O24="Yes"),AND(O22="Yes",O24="Yes"),AND(O23="Yes",O24="Yes"),AND(O22="Yes",O23="Yes")),"choose",IF(O22="Yes",$M$22,IF(O23="Yes",$M$23, IF(O24="Yes",$M$24,0))))</f>
        <v>5</v>
      </c>
      <c r="P21" s="2114">
        <f>IF(OR(AND(P22="Yes",P23="Yes",P24="Yes"),AND(P22="Yes",P24="Yes"),AND(P23="Yes",P24="Yes"),AND(P22="Yes",P23="Yes")),"choose",IF(P22="Yes",$M$22,IF(P23="Yes",$M$23, IF(P24="Yes",$M$24,0))))</f>
        <v>0</v>
      </c>
      <c r="Q21" s="2115"/>
      <c r="R21" s="2116"/>
      <c r="T21" s="2106"/>
      <c r="U21" s="2106"/>
      <c r="AM21" s="2493">
        <v>21</v>
      </c>
    </row>
    <row r="22" spans="1:39" s="2075" customFormat="1" ht="15.9" customHeight="1">
      <c r="A22" s="2078"/>
      <c r="B22" s="2117" t="s">
        <v>1838</v>
      </c>
      <c r="C22" s="2107" t="s">
        <v>4917</v>
      </c>
      <c r="D22" s="2111"/>
      <c r="E22" s="2111"/>
      <c r="G22" s="2074"/>
      <c r="L22" s="2112"/>
      <c r="M22" s="2077">
        <v>5</v>
      </c>
      <c r="N22" s="2118"/>
      <c r="O22" s="1980" t="s">
        <v>2640</v>
      </c>
      <c r="P22" s="2119"/>
      <c r="Q22" s="2115"/>
      <c r="R22" s="2116"/>
      <c r="T22" s="2106"/>
      <c r="U22" s="2106"/>
      <c r="AM22" s="2493">
        <v>22</v>
      </c>
    </row>
    <row r="23" spans="1:39" s="2075" customFormat="1" ht="15.9" customHeight="1">
      <c r="A23" s="2078"/>
      <c r="B23" s="2120" t="s">
        <v>1840</v>
      </c>
      <c r="C23" s="2107" t="s">
        <v>4918</v>
      </c>
      <c r="D23" s="2111"/>
      <c r="E23" s="2111"/>
      <c r="G23" s="2074"/>
      <c r="L23" s="2112"/>
      <c r="M23" s="2077">
        <v>3</v>
      </c>
      <c r="N23" s="2118"/>
      <c r="O23" s="1982" t="s">
        <v>2643</v>
      </c>
      <c r="P23" s="2121"/>
      <c r="Q23" s="2115"/>
      <c r="R23" s="2116"/>
      <c r="T23" s="2106"/>
      <c r="U23" s="2106"/>
      <c r="AM23" s="2494">
        <v>23</v>
      </c>
    </row>
    <row r="24" spans="1:39" s="2075" customFormat="1" ht="15.9" customHeight="1">
      <c r="A24" s="2078"/>
      <c r="B24" s="2120" t="s">
        <v>2325</v>
      </c>
      <c r="C24" s="2107" t="s">
        <v>4919</v>
      </c>
      <c r="D24" s="2111"/>
      <c r="E24" s="2111"/>
      <c r="G24" s="2074"/>
      <c r="K24" s="2113"/>
      <c r="M24" s="2077">
        <v>1</v>
      </c>
      <c r="N24" s="2118"/>
      <c r="O24" s="1979" t="s">
        <v>2643</v>
      </c>
      <c r="P24" s="2122"/>
      <c r="R24" s="2074"/>
      <c r="T24" s="2106"/>
      <c r="U24" s="2106"/>
      <c r="AM24" s="2494">
        <v>24</v>
      </c>
    </row>
    <row r="25" spans="1:39" ht="15.9" customHeight="1">
      <c r="A25" s="2078" t="s">
        <v>1837</v>
      </c>
      <c r="B25" s="2086" t="s">
        <v>3824</v>
      </c>
      <c r="D25" s="2075"/>
      <c r="K25" s="2075"/>
      <c r="L25" s="2112" t="str">
        <f>IF(OR($O25=$M25,$O25=0,$O25=""),"","* * Check Score! * *")</f>
        <v/>
      </c>
      <c r="M25" s="2077">
        <v>1</v>
      </c>
      <c r="N25" s="2113"/>
      <c r="O25" s="2123">
        <f>IF(O26="Yes",$M$25,0)</f>
        <v>0</v>
      </c>
      <c r="P25" s="2123">
        <f>IF(P26="Yes",$M$25,0)</f>
        <v>0</v>
      </c>
      <c r="Q25" s="2115" t="str">
        <f>IF(OR($O25=$M25,$O25=0,$O25=""),"","*CHECK!*")</f>
        <v/>
      </c>
      <c r="R25" s="2116"/>
      <c r="T25" s="2106"/>
      <c r="U25" s="2106"/>
      <c r="AM25" s="2494">
        <v>25</v>
      </c>
    </row>
    <row r="26" spans="1:39">
      <c r="A26" s="2124"/>
      <c r="B26" s="4052" t="s">
        <v>4920</v>
      </c>
      <c r="C26" s="4052"/>
      <c r="D26" s="4052"/>
      <c r="E26" s="4052"/>
      <c r="F26" s="4052"/>
      <c r="G26" s="4052"/>
      <c r="H26" s="4052"/>
      <c r="I26" s="4052"/>
      <c r="J26" s="4052"/>
      <c r="K26" s="4052"/>
      <c r="L26" s="4052"/>
      <c r="M26" s="2077"/>
      <c r="N26" s="2113"/>
      <c r="O26" s="1994" t="s">
        <v>2643</v>
      </c>
      <c r="P26" s="2126"/>
      <c r="R26" s="2112"/>
      <c r="T26" s="2106"/>
      <c r="U26" s="2106"/>
      <c r="AM26" s="2494">
        <v>26</v>
      </c>
    </row>
    <row r="27" spans="1:39" ht="15.9" customHeight="1">
      <c r="A27" s="2078" t="s">
        <v>697</v>
      </c>
      <c r="B27" s="2086" t="s">
        <v>4825</v>
      </c>
      <c r="D27" s="2075"/>
      <c r="H27" s="2075"/>
      <c r="K27" s="2075"/>
      <c r="L27" s="2112"/>
      <c r="M27" s="2077">
        <v>1</v>
      </c>
      <c r="N27" s="2113"/>
      <c r="O27" s="2123">
        <f>IF(O21=0,0,IF(OR(O29="Yes",O30="Yes",O32="Yes"),$M$27,0))</f>
        <v>0</v>
      </c>
      <c r="P27" s="2123">
        <f>IF(P21=0,0,IF(OR(P29="Yes",P30="Yes",P32="Yes"),$M$27,0))</f>
        <v>0</v>
      </c>
      <c r="Q27" s="2115" t="str">
        <f>IF(OR($O27=$M27,$O27=0,$O27=""),"","*CHECK!*")</f>
        <v/>
      </c>
      <c r="R27" s="2116"/>
      <c r="T27" s="2106"/>
      <c r="U27" s="2106"/>
      <c r="AM27" s="2493">
        <v>27</v>
      </c>
    </row>
    <row r="28" spans="1:39">
      <c r="B28" s="4035" t="s">
        <v>5047</v>
      </c>
      <c r="C28" s="4035"/>
      <c r="D28" s="4035"/>
      <c r="E28" s="4035"/>
      <c r="F28" s="4035"/>
      <c r="G28" s="4035"/>
      <c r="H28" s="4035"/>
      <c r="I28" s="4035"/>
      <c r="J28" s="4035"/>
      <c r="K28" s="4035"/>
      <c r="L28" s="4035"/>
      <c r="M28" s="2077"/>
      <c r="N28" s="2077"/>
      <c r="O28" s="2077"/>
      <c r="P28" s="2077"/>
      <c r="R28" s="2112"/>
      <c r="T28" s="2106"/>
      <c r="U28" s="2106"/>
      <c r="AM28" s="2494">
        <v>28</v>
      </c>
    </row>
    <row r="29" spans="1:39" s="2130" customFormat="1">
      <c r="B29" s="2120" t="s">
        <v>1838</v>
      </c>
      <c r="C29" s="2129" t="s">
        <v>4921</v>
      </c>
      <c r="D29" s="2127"/>
      <c r="E29" s="2127"/>
      <c r="F29" s="2127"/>
      <c r="G29" s="2127"/>
      <c r="H29" s="2127"/>
      <c r="I29" s="2127"/>
      <c r="J29" s="2127"/>
      <c r="K29" s="2127"/>
      <c r="L29" s="2127"/>
      <c r="M29" s="2131"/>
      <c r="N29" s="2132"/>
      <c r="O29" s="2067" t="s">
        <v>2643</v>
      </c>
      <c r="P29" s="2133"/>
      <c r="R29" s="2134"/>
      <c r="T29" s="2135"/>
      <c r="U29" s="2135"/>
      <c r="AM29" s="2493">
        <v>29</v>
      </c>
    </row>
    <row r="30" spans="1:39" s="2130" customFormat="1">
      <c r="B30" s="2120" t="s">
        <v>1840</v>
      </c>
      <c r="C30" s="2129" t="s">
        <v>4922</v>
      </c>
      <c r="D30" s="2127"/>
      <c r="E30" s="2127"/>
      <c r="F30" s="2127"/>
      <c r="G30" s="2127"/>
      <c r="H30" s="2127"/>
      <c r="I30" s="2127"/>
      <c r="J30" s="2127"/>
      <c r="K30" s="2127"/>
      <c r="L30" s="2127"/>
      <c r="M30" s="2131"/>
      <c r="N30" s="2132"/>
      <c r="O30" s="1991" t="s">
        <v>2643</v>
      </c>
      <c r="P30" s="2128"/>
      <c r="R30" s="2134"/>
      <c r="T30" s="2135"/>
      <c r="U30" s="2135"/>
      <c r="AM30" s="2493">
        <v>30</v>
      </c>
    </row>
    <row r="31" spans="1:39" s="2130" customFormat="1">
      <c r="C31" s="2129" t="s">
        <v>4923</v>
      </c>
      <c r="D31" s="2127"/>
      <c r="E31" s="2127"/>
      <c r="F31" s="2127"/>
      <c r="G31" s="2127"/>
      <c r="H31" s="2127"/>
      <c r="J31" s="4127"/>
      <c r="K31" s="4128"/>
      <c r="L31" s="4128"/>
      <c r="M31" s="4128"/>
      <c r="N31" s="4129"/>
      <c r="O31" s="2132"/>
      <c r="P31" s="2132"/>
      <c r="R31" s="2134"/>
      <c r="T31" s="2135"/>
      <c r="U31" s="2135"/>
      <c r="AM31" s="2493">
        <v>31</v>
      </c>
    </row>
    <row r="32" spans="1:39" s="2130" customFormat="1">
      <c r="B32" s="2120" t="s">
        <v>2325</v>
      </c>
      <c r="C32" s="4035" t="s">
        <v>4924</v>
      </c>
      <c r="D32" s="4035"/>
      <c r="E32" s="4035"/>
      <c r="F32" s="4035"/>
      <c r="G32" s="4035"/>
      <c r="H32" s="4035"/>
      <c r="I32" s="4035"/>
      <c r="J32" s="4035"/>
      <c r="K32" s="4035"/>
      <c r="L32" s="4035"/>
      <c r="M32" s="2131"/>
      <c r="N32" s="2132"/>
      <c r="O32" s="1993" t="s">
        <v>2643</v>
      </c>
      <c r="P32" s="2219"/>
      <c r="R32" s="2134"/>
      <c r="T32" s="2135"/>
      <c r="U32" s="2135"/>
      <c r="AM32" s="2493">
        <v>32</v>
      </c>
    </row>
    <row r="33" spans="1:39" ht="15.9" customHeight="1">
      <c r="A33" s="2075"/>
      <c r="B33" s="2136" t="s">
        <v>1724</v>
      </c>
      <c r="C33" s="2137"/>
      <c r="D33" s="2136"/>
      <c r="E33" s="2138"/>
      <c r="F33" s="2127"/>
      <c r="G33" s="2127"/>
      <c r="H33" s="2127"/>
      <c r="I33" s="2127"/>
      <c r="J33" s="2127"/>
      <c r="K33" s="2127"/>
      <c r="L33" s="2127"/>
      <c r="M33" s="2127"/>
      <c r="N33" s="2139"/>
      <c r="O33" s="2140"/>
      <c r="P33" s="2078"/>
      <c r="AM33" s="2494">
        <v>33</v>
      </c>
    </row>
    <row r="34" spans="1:39" ht="45" customHeight="1">
      <c r="A34" s="3884"/>
      <c r="B34" s="3885"/>
      <c r="C34" s="3885"/>
      <c r="D34" s="3885"/>
      <c r="E34" s="3885"/>
      <c r="F34" s="3885"/>
      <c r="G34" s="3885"/>
      <c r="H34" s="3885"/>
      <c r="I34" s="3885"/>
      <c r="J34" s="3885"/>
      <c r="K34" s="3885"/>
      <c r="L34" s="3885"/>
      <c r="M34" s="3885"/>
      <c r="N34" s="3885"/>
      <c r="O34" s="3885"/>
      <c r="P34" s="3886"/>
      <c r="Q34" s="2141"/>
      <c r="AM34" s="2494">
        <v>34</v>
      </c>
    </row>
    <row r="35" spans="1:39" ht="9.75" customHeight="1">
      <c r="A35" s="2075"/>
      <c r="B35" s="2094"/>
      <c r="C35" s="2075"/>
      <c r="D35" s="1973"/>
      <c r="E35" s="1974"/>
      <c r="F35" s="1974"/>
      <c r="G35" s="2104"/>
      <c r="H35" s="2104"/>
      <c r="I35" s="2104"/>
      <c r="J35" s="2104"/>
      <c r="K35" s="2104"/>
      <c r="L35" s="2104"/>
      <c r="M35" s="2077"/>
      <c r="O35" s="2088"/>
      <c r="P35" s="2078"/>
      <c r="R35" s="2075"/>
      <c r="S35" s="2075"/>
      <c r="T35" s="2075"/>
      <c r="U35" s="2075"/>
      <c r="V35" s="2075"/>
      <c r="W35" s="2075"/>
      <c r="X35" s="2105"/>
      <c r="Y35" s="2105"/>
      <c r="Z35" s="2105"/>
      <c r="AA35" s="2105"/>
      <c r="AB35" s="2105"/>
      <c r="AC35" s="2105"/>
      <c r="AD35" s="2105"/>
      <c r="AE35" s="2105"/>
      <c r="AF35" s="2105"/>
      <c r="AG35" s="2105"/>
      <c r="AH35" s="2105"/>
      <c r="AI35" s="2105"/>
      <c r="AM35" s="2494">
        <v>35</v>
      </c>
    </row>
    <row r="36" spans="1:39" ht="9.75" customHeight="1" thickBot="1">
      <c r="T36" s="2106"/>
      <c r="U36" s="2106"/>
      <c r="AM36" s="2494">
        <v>36</v>
      </c>
    </row>
    <row r="37" spans="1:39" s="2075" customFormat="1" ht="15.9" customHeight="1" thickBot="1">
      <c r="A37" s="2098" t="s">
        <v>1661</v>
      </c>
      <c r="B37" s="2099" t="s">
        <v>4466</v>
      </c>
      <c r="D37" s="2099"/>
      <c r="E37" s="2099"/>
      <c r="G37" s="2142"/>
      <c r="L37" s="2143" t="str">
        <f>IF(AND(O44&gt;0,O46&gt;0), "Choose only one option!","")</f>
        <v/>
      </c>
      <c r="M37" s="2078">
        <v>2</v>
      </c>
      <c r="N37" s="2077"/>
      <c r="O37" s="2109">
        <f>IF(O44=$M$44,$M$44,IF(O46=$M$46,$M$46,0))</f>
        <v>2</v>
      </c>
      <c r="P37" s="2109">
        <f>IF(P44=$M$44,$M$44,IF(P46=$M$46,$M$46,0))</f>
        <v>0</v>
      </c>
      <c r="Q37" s="2110" t="s">
        <v>415</v>
      </c>
      <c r="R37" s="2072"/>
      <c r="S37" s="2072"/>
      <c r="T37" s="2072"/>
      <c r="U37" s="2072"/>
      <c r="V37" s="2072"/>
      <c r="AM37" s="2493">
        <v>37</v>
      </c>
    </row>
    <row r="38" spans="1:39" s="2075" customFormat="1" ht="15.9" customHeight="1">
      <c r="A38" s="2098"/>
      <c r="B38" s="2075" t="s">
        <v>4706</v>
      </c>
      <c r="D38" s="2099"/>
      <c r="E38" s="2099"/>
      <c r="J38" s="2144"/>
      <c r="M38" s="2145"/>
      <c r="O38" s="4122" t="s">
        <v>4707</v>
      </c>
      <c r="P38" s="4122" t="s">
        <v>3064</v>
      </c>
      <c r="Q38" s="2110"/>
      <c r="R38" s="2072"/>
      <c r="S38" s="2072"/>
      <c r="T38" s="2072"/>
      <c r="U38" s="2072"/>
      <c r="V38" s="2072"/>
      <c r="W38" s="2074"/>
      <c r="X38" s="2074"/>
      <c r="AM38" s="2494">
        <v>38</v>
      </c>
    </row>
    <row r="39" spans="1:39" s="2075" customFormat="1" ht="15" customHeight="1">
      <c r="A39" s="2098"/>
      <c r="C39" s="2075" t="s">
        <v>4574</v>
      </c>
      <c r="J39" s="3935" t="s">
        <v>2842</v>
      </c>
      <c r="K39" s="3936"/>
      <c r="L39" s="3936"/>
      <c r="M39" s="3936"/>
      <c r="N39" s="3937"/>
      <c r="O39" s="4017"/>
      <c r="P39" s="4017"/>
      <c r="Q39" s="2110"/>
      <c r="V39" s="2072"/>
      <c r="W39" s="2074"/>
      <c r="X39" s="2074"/>
      <c r="AM39" s="2493">
        <v>39</v>
      </c>
    </row>
    <row r="40" spans="1:39" s="2075" customFormat="1" ht="15" customHeight="1">
      <c r="A40" s="2098"/>
      <c r="C40" s="2075" t="s">
        <v>4925</v>
      </c>
      <c r="J40" s="4123" t="s">
        <v>5219</v>
      </c>
      <c r="K40" s="4124"/>
      <c r="L40" s="2313"/>
      <c r="O40" s="4017"/>
      <c r="P40" s="4017"/>
      <c r="Q40" s="2110"/>
      <c r="X40" s="2074"/>
      <c r="AM40" s="2493">
        <v>40</v>
      </c>
    </row>
    <row r="41" spans="1:39" s="2075" customFormat="1" ht="15" customHeight="1">
      <c r="A41" s="2098"/>
      <c r="C41" s="2075" t="s">
        <v>4573</v>
      </c>
      <c r="J41" s="4125" t="s">
        <v>2842</v>
      </c>
      <c r="K41" s="4126"/>
      <c r="L41" s="2313"/>
      <c r="O41" s="4018"/>
      <c r="P41" s="4018"/>
      <c r="Q41" s="2110"/>
      <c r="X41" s="2074"/>
      <c r="AM41" s="2493">
        <v>41</v>
      </c>
    </row>
    <row r="42" spans="1:39" ht="28.5" customHeight="1" thickBot="1">
      <c r="A42" s="2147"/>
      <c r="B42" s="2113"/>
      <c r="C42" s="4052" t="s">
        <v>4826</v>
      </c>
      <c r="D42" s="4052"/>
      <c r="E42" s="4052"/>
      <c r="F42" s="4052"/>
      <c r="G42" s="4052"/>
      <c r="H42" s="4052"/>
      <c r="I42" s="4052"/>
      <c r="J42" s="4052"/>
      <c r="K42" s="4052"/>
      <c r="L42" s="4052"/>
      <c r="M42" s="2075"/>
      <c r="N42" s="2113"/>
      <c r="O42" s="1996" t="s">
        <v>2640</v>
      </c>
      <c r="P42" s="2160"/>
      <c r="Q42" s="2110"/>
      <c r="R42" s="2146"/>
      <c r="S42" s="2146"/>
      <c r="AM42" s="2493">
        <v>42</v>
      </c>
    </row>
    <row r="43" spans="1:39" ht="2.25" hidden="1" customHeight="1">
      <c r="A43" s="2075"/>
      <c r="D43" s="2075"/>
      <c r="E43" s="2075"/>
      <c r="F43" s="2078"/>
      <c r="G43" s="2078"/>
      <c r="H43" s="2078"/>
      <c r="I43" s="2078"/>
      <c r="J43" s="2107"/>
      <c r="K43" s="2107"/>
      <c r="L43" s="2107"/>
      <c r="M43" s="2077"/>
      <c r="N43" s="2078"/>
      <c r="P43" s="2088"/>
      <c r="AM43" s="2494">
        <v>43</v>
      </c>
    </row>
    <row r="44" spans="1:39" ht="15.9" customHeight="1" thickBot="1">
      <c r="A44" s="2078" t="s">
        <v>1835</v>
      </c>
      <c r="B44" s="2148" t="s">
        <v>4467</v>
      </c>
      <c r="D44" s="2129"/>
      <c r="E44" s="2129"/>
      <c r="H44" s="2129"/>
      <c r="L44" s="2129"/>
      <c r="M44" s="2095">
        <v>2</v>
      </c>
      <c r="N44" s="2113"/>
      <c r="O44" s="2109">
        <f>IF(O45="Yes",$M44,0)</f>
        <v>2</v>
      </c>
      <c r="P44" s="2109">
        <f>IF(P45="Yes",$M44,0)</f>
        <v>0</v>
      </c>
      <c r="Q44" s="2149" t="str">
        <f>IF(OR(O44=0,O44="",O44=$M44),"","Check!")</f>
        <v/>
      </c>
      <c r="R44" s="2116"/>
      <c r="S44" s="2072"/>
      <c r="T44" s="2072"/>
      <c r="U44" s="2072"/>
      <c r="V44" s="2072"/>
      <c r="AM44" s="2494">
        <v>44</v>
      </c>
    </row>
    <row r="45" spans="1:39" s="2130" customFormat="1" ht="14.4" thickBot="1">
      <c r="A45" s="2150"/>
      <c r="B45" s="2129" t="s">
        <v>4926</v>
      </c>
      <c r="C45" s="2225"/>
      <c r="D45" s="2225"/>
      <c r="E45" s="2225"/>
      <c r="F45" s="2225"/>
      <c r="G45" s="2225"/>
      <c r="H45" s="2225"/>
      <c r="I45" s="2225"/>
      <c r="J45" s="2225"/>
      <c r="K45" s="2225"/>
      <c r="L45" s="2225"/>
      <c r="M45" s="2225"/>
      <c r="N45" s="2118"/>
      <c r="O45" s="1980" t="s">
        <v>2640</v>
      </c>
      <c r="P45" s="2119"/>
      <c r="Q45" s="2151"/>
      <c r="R45" s="2152"/>
      <c r="S45" s="2152"/>
      <c r="T45" s="2152"/>
      <c r="U45" s="2152"/>
      <c r="AM45" s="2494">
        <v>45</v>
      </c>
    </row>
    <row r="46" spans="1:39" ht="15.9" customHeight="1" thickBot="1">
      <c r="A46" s="2078" t="s">
        <v>1837</v>
      </c>
      <c r="B46" s="2148" t="s">
        <v>4468</v>
      </c>
      <c r="D46" s="2129"/>
      <c r="L46" s="2129"/>
      <c r="M46" s="2095">
        <v>2</v>
      </c>
      <c r="N46" s="2113"/>
      <c r="O46" s="2109">
        <f>IF(AND(O47="Yes",O48="Yes"),$M46,0)</f>
        <v>0</v>
      </c>
      <c r="P46" s="2109">
        <f>IF(AND(P47="Yes",P48="Yes"),$M46,0)</f>
        <v>0</v>
      </c>
      <c r="Q46" s="2149" t="str">
        <f>IF(OR(O46=0,O46="",O46=$M46),"","Check!")</f>
        <v/>
      </c>
      <c r="R46" s="2116"/>
      <c r="S46" s="2072"/>
      <c r="T46" s="2072"/>
      <c r="U46" s="2072"/>
      <c r="V46" s="2072"/>
      <c r="AM46" s="2494">
        <v>46</v>
      </c>
    </row>
    <row r="47" spans="1:39" ht="15.9" customHeight="1">
      <c r="A47" s="2078"/>
      <c r="B47" s="2075" t="s">
        <v>4927</v>
      </c>
      <c r="D47" s="2129"/>
      <c r="L47" s="2129"/>
      <c r="M47" s="2095"/>
      <c r="N47" s="2113"/>
      <c r="O47" s="1980" t="s">
        <v>2643</v>
      </c>
      <c r="P47" s="2119"/>
      <c r="Q47" s="2149"/>
      <c r="R47" s="2116"/>
      <c r="S47" s="2072"/>
      <c r="T47" s="2072"/>
      <c r="U47" s="2072"/>
      <c r="V47" s="2072"/>
      <c r="AM47" s="2493">
        <v>47</v>
      </c>
    </row>
    <row r="48" spans="1:39" ht="28.5" customHeight="1">
      <c r="A48" s="2078"/>
      <c r="B48" s="4035" t="s">
        <v>4827</v>
      </c>
      <c r="C48" s="4035"/>
      <c r="D48" s="4035"/>
      <c r="E48" s="4035"/>
      <c r="F48" s="4035"/>
      <c r="G48" s="4035"/>
      <c r="H48" s="4035"/>
      <c r="I48" s="4035"/>
      <c r="J48" s="4035"/>
      <c r="K48" s="4035"/>
      <c r="L48" s="4035"/>
      <c r="M48" s="4035"/>
      <c r="N48" s="2113"/>
      <c r="O48" s="1991" t="s">
        <v>2643</v>
      </c>
      <c r="P48" s="2128"/>
      <c r="Q48" s="2149"/>
      <c r="R48" s="2116"/>
      <c r="S48" s="2072"/>
      <c r="T48" s="2072"/>
      <c r="U48" s="2072"/>
      <c r="V48" s="2072"/>
      <c r="AM48" s="2494">
        <v>48</v>
      </c>
    </row>
    <row r="49" spans="1:39" ht="15.9" customHeight="1">
      <c r="A49" s="2075"/>
      <c r="B49" s="2097" t="s">
        <v>4816</v>
      </c>
      <c r="C49" s="2075"/>
      <c r="D49" s="2075"/>
      <c r="E49" s="2075"/>
      <c r="F49" s="2075"/>
      <c r="G49" s="2075"/>
      <c r="H49" s="2075"/>
      <c r="I49" s="2075"/>
      <c r="J49" s="2075"/>
      <c r="K49" s="2075"/>
      <c r="M49" s="2077"/>
      <c r="O49" s="2088"/>
      <c r="R49" s="2072"/>
      <c r="S49" s="2072"/>
      <c r="T49" s="2072"/>
      <c r="U49" s="2072"/>
      <c r="V49" s="2072"/>
      <c r="AM49" s="2493">
        <v>49</v>
      </c>
    </row>
    <row r="50" spans="1:39" ht="45.75" customHeight="1">
      <c r="A50" s="3890" t="s">
        <v>5220</v>
      </c>
      <c r="B50" s="3891"/>
      <c r="C50" s="3891"/>
      <c r="D50" s="3891"/>
      <c r="E50" s="3891"/>
      <c r="F50" s="3891"/>
      <c r="G50" s="3891"/>
      <c r="H50" s="3891"/>
      <c r="I50" s="3891"/>
      <c r="J50" s="3891"/>
      <c r="K50" s="3891"/>
      <c r="L50" s="3891"/>
      <c r="M50" s="3891"/>
      <c r="N50" s="3891"/>
      <c r="O50" s="3891"/>
      <c r="P50" s="3892"/>
      <c r="Q50" s="2154"/>
      <c r="AM50" s="2493">
        <v>50</v>
      </c>
    </row>
    <row r="51" spans="1:39" ht="15.9" customHeight="1">
      <c r="A51" s="2075"/>
      <c r="B51" s="2136" t="s">
        <v>1724</v>
      </c>
      <c r="C51" s="2075"/>
      <c r="D51" s="2136"/>
      <c r="E51" s="2127"/>
      <c r="F51" s="2127"/>
      <c r="G51" s="2127"/>
      <c r="H51" s="2127"/>
      <c r="I51" s="2127"/>
      <c r="J51" s="2127"/>
      <c r="K51" s="2127"/>
      <c r="L51" s="2127"/>
      <c r="M51" s="2127"/>
      <c r="N51" s="2139"/>
      <c r="O51" s="2140"/>
      <c r="P51" s="2078"/>
      <c r="AM51" s="2493">
        <v>51</v>
      </c>
    </row>
    <row r="52" spans="1:39" ht="15" customHeight="1">
      <c r="A52" s="3884"/>
      <c r="B52" s="3885"/>
      <c r="C52" s="3885"/>
      <c r="D52" s="3885"/>
      <c r="E52" s="3885"/>
      <c r="F52" s="3885"/>
      <c r="G52" s="3885"/>
      <c r="H52" s="3885"/>
      <c r="I52" s="3885"/>
      <c r="J52" s="3885"/>
      <c r="K52" s="3885"/>
      <c r="L52" s="3885"/>
      <c r="M52" s="3885"/>
      <c r="N52" s="3885"/>
      <c r="O52" s="3885"/>
      <c r="P52" s="3886"/>
      <c r="Q52" s="2141"/>
      <c r="AM52" s="2493">
        <v>52</v>
      </c>
    </row>
    <row r="53" spans="1:39" ht="9.75" customHeight="1">
      <c r="A53" s="2075"/>
      <c r="B53" s="2094"/>
      <c r="C53" s="2075"/>
      <c r="D53" s="1973"/>
      <c r="E53" s="1974"/>
      <c r="F53" s="1974"/>
      <c r="G53" s="2104"/>
      <c r="H53" s="2104"/>
      <c r="I53" s="2104"/>
      <c r="J53" s="2104"/>
      <c r="K53" s="2104"/>
      <c r="L53" s="2104"/>
      <c r="M53" s="2077"/>
      <c r="O53" s="2088"/>
      <c r="P53" s="2078"/>
      <c r="R53" s="2075"/>
      <c r="S53" s="2075"/>
      <c r="T53" s="2075"/>
      <c r="U53" s="2075"/>
      <c r="V53" s="2075"/>
      <c r="W53" s="2075"/>
      <c r="X53" s="2105"/>
      <c r="Y53" s="2105"/>
      <c r="Z53" s="2105"/>
      <c r="AA53" s="2105"/>
      <c r="AB53" s="2105"/>
      <c r="AC53" s="2105"/>
      <c r="AD53" s="2105"/>
      <c r="AE53" s="2105"/>
      <c r="AF53" s="2105"/>
      <c r="AG53" s="2105"/>
      <c r="AH53" s="2105"/>
      <c r="AI53" s="2105"/>
      <c r="AM53" s="2493">
        <v>53</v>
      </c>
    </row>
    <row r="54" spans="1:39" ht="6" customHeight="1" thickBot="1">
      <c r="T54" s="2106"/>
      <c r="U54" s="2106"/>
      <c r="AM54" s="2493">
        <v>54</v>
      </c>
    </row>
    <row r="55" spans="1:39" ht="15.9" customHeight="1" thickBot="1">
      <c r="A55" s="2098" t="s">
        <v>1663</v>
      </c>
      <c r="B55" s="2099" t="s">
        <v>3256</v>
      </c>
      <c r="D55" s="2155"/>
      <c r="E55" s="2155"/>
      <c r="F55" s="2075"/>
      <c r="G55" s="2075"/>
      <c r="H55" s="2075"/>
      <c r="J55" s="2156"/>
      <c r="K55" s="2145"/>
      <c r="L55" s="2108" t="s">
        <v>4865</v>
      </c>
      <c r="M55" s="2088">
        <v>5</v>
      </c>
      <c r="N55" s="2077"/>
      <c r="O55" s="2157">
        <f>O56+O78</f>
        <v>2</v>
      </c>
      <c r="P55" s="2157">
        <f>P56+P78</f>
        <v>0</v>
      </c>
      <c r="Q55" s="2110" t="s">
        <v>415</v>
      </c>
      <c r="AM55" s="2494">
        <v>55</v>
      </c>
    </row>
    <row r="56" spans="1:39" ht="15.9" customHeight="1" thickBot="1">
      <c r="A56" s="2158" t="s">
        <v>1835</v>
      </c>
      <c r="B56" s="2086" t="s">
        <v>3257</v>
      </c>
      <c r="L56" s="2112" t="str">
        <f>IF(O56&lt;=M56,"","* * Check Score! * *")</f>
        <v/>
      </c>
      <c r="M56" s="2077">
        <v>4</v>
      </c>
      <c r="N56" s="2113"/>
      <c r="O56" s="1995">
        <v>2</v>
      </c>
      <c r="P56" s="2159"/>
      <c r="Q56" s="2115" t="str">
        <f>IF(O56&lt;=M56,"","*CHECK!*")</f>
        <v/>
      </c>
      <c r="R56" s="2091"/>
      <c r="S56" s="2091"/>
      <c r="T56" s="2073"/>
      <c r="AM56" s="2494">
        <v>56</v>
      </c>
    </row>
    <row r="57" spans="1:39" ht="30.9" customHeight="1">
      <c r="A57" s="2158"/>
      <c r="B57" s="4081" t="s">
        <v>4830</v>
      </c>
      <c r="C57" s="4081"/>
      <c r="D57" s="4081"/>
      <c r="E57" s="4081"/>
      <c r="F57" s="4081"/>
      <c r="G57" s="4081"/>
      <c r="H57" s="4081"/>
      <c r="I57" s="4081"/>
      <c r="J57" s="4081"/>
      <c r="K57" s="4081"/>
      <c r="L57" s="4081"/>
      <c r="N57" s="2074"/>
      <c r="O57" s="1996" t="s">
        <v>2640</v>
      </c>
      <c r="P57" s="2160"/>
      <c r="R57" s="2091"/>
      <c r="S57" s="2091"/>
      <c r="T57" s="2073"/>
      <c r="AM57" s="2493">
        <v>57</v>
      </c>
    </row>
    <row r="58" spans="1:39" ht="15.9" customHeight="1">
      <c r="A58" s="2158"/>
      <c r="B58" s="2161"/>
      <c r="C58" s="2130"/>
      <c r="D58" s="2130"/>
      <c r="E58" s="2130"/>
      <c r="F58" s="2130"/>
      <c r="G58" s="2130"/>
      <c r="H58" s="2130"/>
      <c r="I58" s="2130"/>
      <c r="J58" s="4082" t="s">
        <v>1842</v>
      </c>
      <c r="K58" s="4082"/>
      <c r="M58" s="4082" t="s">
        <v>1842</v>
      </c>
      <c r="N58" s="4082"/>
      <c r="O58" s="4082"/>
      <c r="P58" s="4082"/>
      <c r="R58" s="2162"/>
      <c r="S58" s="2162"/>
      <c r="T58" s="2073"/>
      <c r="AM58" s="2493">
        <v>58</v>
      </c>
    </row>
    <row r="59" spans="1:39" ht="14.1" customHeight="1">
      <c r="A59" s="2113"/>
      <c r="B59" s="2117" t="s">
        <v>1838</v>
      </c>
      <c r="C59" s="2075" t="s">
        <v>1386</v>
      </c>
      <c r="I59" s="2113"/>
      <c r="J59" s="4083"/>
      <c r="K59" s="4084"/>
      <c r="L59" s="2113"/>
      <c r="M59" s="4085"/>
      <c r="N59" s="4086"/>
      <c r="O59" s="4086"/>
      <c r="P59" s="4087"/>
      <c r="R59" s="2112"/>
      <c r="AM59" s="2494">
        <v>59</v>
      </c>
    </row>
    <row r="60" spans="1:39" ht="14.1" customHeight="1">
      <c r="A60" s="2108"/>
      <c r="B60" s="2120" t="s">
        <v>1840</v>
      </c>
      <c r="C60" s="2075" t="s">
        <v>3069</v>
      </c>
      <c r="I60" s="2132"/>
      <c r="J60" s="4071"/>
      <c r="K60" s="4072"/>
      <c r="L60" s="2132"/>
      <c r="M60" s="4073"/>
      <c r="N60" s="4074"/>
      <c r="O60" s="4074"/>
      <c r="P60" s="4075"/>
      <c r="AM60" s="2494">
        <v>60</v>
      </c>
    </row>
    <row r="61" spans="1:39" ht="14.1" customHeight="1">
      <c r="B61" s="2117" t="s">
        <v>2325</v>
      </c>
      <c r="C61" s="2075" t="s">
        <v>3825</v>
      </c>
      <c r="I61" s="2113"/>
      <c r="J61" s="4079">
        <f>'Part II-Sources of Funds'!$H$7</f>
        <v>0</v>
      </c>
      <c r="K61" s="4080"/>
      <c r="L61" s="2113"/>
      <c r="M61" s="4073"/>
      <c r="N61" s="4074"/>
      <c r="O61" s="4074"/>
      <c r="P61" s="4075"/>
      <c r="AM61" s="2494">
        <v>61</v>
      </c>
    </row>
    <row r="62" spans="1:39" ht="14.1" customHeight="1">
      <c r="B62" s="2117" t="s">
        <v>1149</v>
      </c>
      <c r="C62" s="2075" t="s">
        <v>4828</v>
      </c>
      <c r="I62" s="2113"/>
      <c r="J62" s="4079">
        <f>'Part II-Sources of Funds'!$H$9</f>
        <v>0</v>
      </c>
      <c r="K62" s="4080"/>
      <c r="L62" s="2113"/>
      <c r="M62" s="4073"/>
      <c r="N62" s="4074"/>
      <c r="O62" s="4074"/>
      <c r="P62" s="4075"/>
      <c r="AM62" s="2494">
        <v>62</v>
      </c>
    </row>
    <row r="63" spans="1:39" ht="14.1" customHeight="1">
      <c r="A63" s="2108"/>
      <c r="B63" s="2120" t="s">
        <v>1150</v>
      </c>
      <c r="C63" s="2075" t="s">
        <v>2986</v>
      </c>
      <c r="I63" s="2113"/>
      <c r="J63" s="4071"/>
      <c r="K63" s="4072"/>
      <c r="L63" s="2113"/>
      <c r="M63" s="4073"/>
      <c r="N63" s="4074"/>
      <c r="O63" s="4074"/>
      <c r="P63" s="4075"/>
      <c r="AM63" s="2493">
        <v>63</v>
      </c>
    </row>
    <row r="64" spans="1:39" ht="14.1" customHeight="1">
      <c r="A64" s="2113"/>
      <c r="B64" s="2117" t="s">
        <v>1736</v>
      </c>
      <c r="C64" s="2075" t="s">
        <v>2465</v>
      </c>
      <c r="I64" s="2132"/>
      <c r="J64" s="4071"/>
      <c r="K64" s="4072"/>
      <c r="L64" s="2132"/>
      <c r="M64" s="4073"/>
      <c r="N64" s="4074"/>
      <c r="O64" s="4074"/>
      <c r="P64" s="4075"/>
      <c r="AM64" s="2494">
        <v>64</v>
      </c>
    </row>
    <row r="65" spans="1:39" ht="14.1" customHeight="1">
      <c r="B65" s="2117" t="s">
        <v>472</v>
      </c>
      <c r="C65" s="2075" t="s">
        <v>1385</v>
      </c>
      <c r="I65" s="2113"/>
      <c r="J65" s="4071"/>
      <c r="K65" s="4072"/>
      <c r="L65" s="2113"/>
      <c r="M65" s="4073"/>
      <c r="N65" s="4074"/>
      <c r="O65" s="4074"/>
      <c r="P65" s="4075"/>
      <c r="AM65" s="2493">
        <v>65</v>
      </c>
    </row>
    <row r="66" spans="1:39" ht="14.1" customHeight="1">
      <c r="B66" s="2117" t="s">
        <v>473</v>
      </c>
      <c r="C66" s="2075" t="s">
        <v>4124</v>
      </c>
      <c r="I66" s="2113"/>
      <c r="J66" s="4071"/>
      <c r="K66" s="4072"/>
      <c r="L66" s="2113"/>
      <c r="M66" s="4073"/>
      <c r="N66" s="4074"/>
      <c r="O66" s="4074"/>
      <c r="P66" s="4075"/>
      <c r="R66" s="2112"/>
      <c r="AM66" s="2493">
        <v>66</v>
      </c>
    </row>
    <row r="67" spans="1:39" ht="14.1" customHeight="1">
      <c r="A67" s="2108"/>
      <c r="B67" s="2117" t="s">
        <v>3763</v>
      </c>
      <c r="C67" s="2075" t="s">
        <v>3068</v>
      </c>
      <c r="I67" s="2113"/>
      <c r="J67" s="4071"/>
      <c r="K67" s="4072"/>
      <c r="L67" s="2113"/>
      <c r="M67" s="4073"/>
      <c r="N67" s="4074"/>
      <c r="O67" s="4074"/>
      <c r="P67" s="4075"/>
      <c r="R67" s="2112"/>
      <c r="AM67" s="2493">
        <v>67</v>
      </c>
    </row>
    <row r="68" spans="1:39" ht="14.1" customHeight="1">
      <c r="B68" s="2117" t="s">
        <v>4688</v>
      </c>
      <c r="C68" s="2075" t="s">
        <v>4687</v>
      </c>
      <c r="I68" s="2113"/>
      <c r="J68" s="4071"/>
      <c r="K68" s="4072"/>
      <c r="L68" s="2113"/>
      <c r="M68" s="4073"/>
      <c r="N68" s="4074"/>
      <c r="O68" s="4074"/>
      <c r="P68" s="4075"/>
      <c r="R68" s="2112"/>
      <c r="AM68" s="2493">
        <v>68</v>
      </c>
    </row>
    <row r="69" spans="1:39" ht="14.1" customHeight="1">
      <c r="B69" s="2117" t="s">
        <v>4689</v>
      </c>
      <c r="C69" s="2075" t="s">
        <v>4708</v>
      </c>
      <c r="I69" s="2113"/>
      <c r="J69" s="4071"/>
      <c r="K69" s="4072"/>
      <c r="L69" s="2113"/>
      <c r="M69" s="4073"/>
      <c r="N69" s="4074"/>
      <c r="O69" s="4074"/>
      <c r="P69" s="4075"/>
      <c r="R69" s="2112"/>
      <c r="AM69" s="2493">
        <v>69</v>
      </c>
    </row>
    <row r="70" spans="1:39" ht="14.1" customHeight="1" thickBot="1">
      <c r="B70" s="2117" t="s">
        <v>4829</v>
      </c>
      <c r="C70" s="2075" t="s">
        <v>4709</v>
      </c>
      <c r="I70" s="2113"/>
      <c r="J70" s="4071">
        <v>1000000</v>
      </c>
      <c r="K70" s="4072"/>
      <c r="L70" s="2113"/>
      <c r="M70" s="4076"/>
      <c r="N70" s="4077"/>
      <c r="O70" s="4077"/>
      <c r="P70" s="4078"/>
      <c r="R70" s="2112"/>
      <c r="AM70" s="2493">
        <v>70</v>
      </c>
    </row>
    <row r="71" spans="1:39" ht="15.9" customHeight="1" thickBot="1">
      <c r="B71" s="2075"/>
      <c r="I71" s="2094" t="s">
        <v>2405</v>
      </c>
      <c r="J71" s="4063">
        <f>SUM(J59:K70)</f>
        <v>1000000</v>
      </c>
      <c r="K71" s="4064"/>
      <c r="M71" s="4063">
        <f>SUM($M59:$M70)</f>
        <v>0</v>
      </c>
      <c r="N71" s="4065"/>
      <c r="O71" s="4065"/>
      <c r="P71" s="4064"/>
      <c r="V71" s="3913" t="s">
        <v>4714</v>
      </c>
      <c r="W71" s="3913"/>
      <c r="X71" s="3913"/>
      <c r="Y71" s="3913"/>
      <c r="Z71" s="3913"/>
      <c r="AA71" s="3913"/>
      <c r="AM71" s="2494">
        <v>71</v>
      </c>
    </row>
    <row r="72" spans="1:39" ht="6" customHeight="1">
      <c r="M72" s="2091"/>
      <c r="N72" s="2091"/>
      <c r="O72" s="2074"/>
      <c r="P72" s="2091"/>
      <c r="V72" s="2278" t="s">
        <v>4712</v>
      </c>
      <c r="W72" s="2278" t="s">
        <v>4713</v>
      </c>
      <c r="X72" s="2278" t="s">
        <v>4712</v>
      </c>
      <c r="Y72" s="2278" t="s">
        <v>4713</v>
      </c>
      <c r="Z72" s="2278" t="s">
        <v>4712</v>
      </c>
      <c r="AA72" s="2278" t="s">
        <v>4713</v>
      </c>
      <c r="AM72" s="2494">
        <v>72</v>
      </c>
    </row>
    <row r="73" spans="1:39" ht="15.9" customHeight="1">
      <c r="A73" s="2075"/>
      <c r="B73" s="2117"/>
      <c r="C73" s="2155" t="s">
        <v>2404</v>
      </c>
      <c r="D73" s="2093"/>
      <c r="E73" s="2093"/>
      <c r="I73" s="2113" t="s">
        <v>4127</v>
      </c>
      <c r="J73" s="4055">
        <f>'Part V-Revenues &amp; Expenses'!$P$76</f>
        <v>160</v>
      </c>
      <c r="K73" s="4056"/>
      <c r="L73" s="2091"/>
      <c r="M73" s="2091"/>
      <c r="N73" s="2091"/>
      <c r="O73" s="2074"/>
      <c r="P73" s="2091"/>
      <c r="R73" s="2163" t="s">
        <v>4710</v>
      </c>
      <c r="V73" s="2164">
        <v>500000</v>
      </c>
      <c r="W73" s="2165">
        <v>999999.99</v>
      </c>
      <c r="X73" s="2164">
        <v>1000000</v>
      </c>
      <c r="Y73" s="2165">
        <v>1999999.99</v>
      </c>
      <c r="Z73" s="2164">
        <v>2000000</v>
      </c>
      <c r="AA73" s="2166"/>
      <c r="AM73" s="2494">
        <v>73</v>
      </c>
    </row>
    <row r="74" spans="1:39" ht="15.9" customHeight="1">
      <c r="C74" s="2093"/>
      <c r="D74" s="2093"/>
      <c r="E74" s="2093"/>
      <c r="I74" s="2167" t="s">
        <v>4128</v>
      </c>
      <c r="J74" s="4066">
        <f>IF(J73=0,0,J71/J73)</f>
        <v>6250</v>
      </c>
      <c r="K74" s="4067"/>
      <c r="M74" s="4068">
        <f>IF(J73=0,0,M71/J73)</f>
        <v>0</v>
      </c>
      <c r="N74" s="4069"/>
      <c r="O74" s="4069"/>
      <c r="P74" s="4070"/>
      <c r="R74" s="2163" t="s">
        <v>4711</v>
      </c>
      <c r="V74" s="2168">
        <v>10000</v>
      </c>
      <c r="W74" s="2169">
        <v>19999.990000000002</v>
      </c>
      <c r="X74" s="2168">
        <v>20000</v>
      </c>
      <c r="Y74" s="2169">
        <v>29999.99</v>
      </c>
      <c r="Z74" s="2168">
        <v>30000</v>
      </c>
      <c r="AA74" s="2170"/>
      <c r="AM74" s="2493">
        <v>74</v>
      </c>
    </row>
    <row r="75" spans="1:39" ht="15.9" customHeight="1">
      <c r="C75" s="2093"/>
      <c r="D75" s="2093"/>
      <c r="E75" s="2093"/>
      <c r="I75" s="2108" t="s">
        <v>4690</v>
      </c>
      <c r="J75" s="4055">
        <f>IF(AND(J62+J67&gt;0,J71&gt;=$Z$73),$Z$75, IF(AND(J62+J67=0,J71&gt;=$Z$73),$Z$76, IF(AND(J62+J67&gt;0,J71&gt;=$X$73),$X$75,IF(AND(J62+J67=0,J71&gt;=$X$73),$X$76, IF(AND(J62+J67&gt;0,J71&gt;=$V$73),$V$75,IF(AND(J62+J67=0,J71&gt;=$V$73),$V$76,0))))))</f>
        <v>2</v>
      </c>
      <c r="K75" s="4056"/>
      <c r="M75" s="4055">
        <f>IF(AND(M62+M67&gt;0,M71&gt;=$Z$73),$Z$75, IF(AND(M62+M67=0,M71&gt;=$Z$73),$Z$76, IF(AND(M62+M67&gt;0,M71&gt;=$X$73),$X$75,IF(AND(M62+M67=0,M71&gt;=$X$73),$X$76, IF(AND(M62+M67&gt;0,M71&gt;=$V$73),$V$75,IF(AND(M62+M67=0,M71&gt;=$V$73),$V$76,0))))))</f>
        <v>0</v>
      </c>
      <c r="N75" s="4057"/>
      <c r="O75" s="4057">
        <f>IF(AND(O62+O67&gt;0,O71&gt;=$Z$73),$Z$75, IF(AND(O62+O67=0,O71&gt;=$Z$73),$Z$76, IF(AND(O62+O67&gt;0,O71&gt;=$X$73),$X$75,IF(AND(O62+O67=0,O71&gt;=$X$73),$X$76, IF(AND(O62+O67&gt;0,O71&gt;=$V$73),$V$75,IF(AND(O62+O67=0,O71&gt;=$V$73),$V$76,0))))))</f>
        <v>0</v>
      </c>
      <c r="P75" s="4056"/>
      <c r="R75" s="2163" t="s">
        <v>4831</v>
      </c>
      <c r="V75" s="4058">
        <v>2</v>
      </c>
      <c r="W75" s="4059"/>
      <c r="X75" s="4058">
        <v>3</v>
      </c>
      <c r="Y75" s="4059"/>
      <c r="Z75" s="4058">
        <v>4</v>
      </c>
      <c r="AA75" s="4059"/>
      <c r="AM75" s="2493">
        <v>75</v>
      </c>
    </row>
    <row r="76" spans="1:39" ht="15.9" customHeight="1">
      <c r="C76" s="2093"/>
      <c r="D76" s="2093"/>
      <c r="E76" s="2093"/>
      <c r="I76" s="2108" t="s">
        <v>4129</v>
      </c>
      <c r="J76" s="4060">
        <f>IF(AND(J62+J67&gt;0,$J$74&gt;=$Z$74),$Z$75,IF(AND(J62+J67=0,$J$74&gt;=$Z$74),$Z$76,IF(AND(J62+J67&gt;0,$J$74&gt;=$X$74),$X$75,IF(AND(J62+J67=0,$J$74&gt;=$X$74),$X$76,IF(AND(J62+J67&gt;0,$J$74&gt;=$V$74),$V$75,IF(AND(J62+J67=0,$J$74&gt;=$V$74),$V$76,0))))))</f>
        <v>0</v>
      </c>
      <c r="K76" s="4061"/>
      <c r="L76" s="2091"/>
      <c r="M76" s="4060">
        <f>IF(AND(M62+M67&gt;0,$M$74&gt;=$Z$74),$Z$75,IF(AND(M62+M67=0,$M$74&gt;=$Z$74),$Z$76,IF(AND(M62+M67&gt;0,$M$74&gt;=$X$74),$X$75,IF(AND(M62+M67=0,$M$74&gt;=$X$74),$X$76,IF(AND(M62+M67&gt;0,$M$74&gt;=$V$74),$V$75,IF(AND(M62+M67=0,$M$74&gt;=$V$74),$V$76,0))))))</f>
        <v>0</v>
      </c>
      <c r="N76" s="4062"/>
      <c r="O76" s="4062">
        <f>IF(AND(O62+O67&gt;0,$J$73&gt;=$Z$74),$Z$75, IF(AND(O62+O67=0,$J$73&gt;=$Z$74),$Z$76, IF(AND(O62+O67&gt;0,$J$73&gt;=$X$74),$X$75,IF(AND(O62+O67=0,$J$73&gt;=$X$74),$X$76, IF(AND(O62+O67&gt;0,$J$73&gt;=$V$74),$V$75,IF(AND(O62+O67=0,$J$73&gt;=$V$74),$V$76,0))))))</f>
        <v>0</v>
      </c>
      <c r="P76" s="4061"/>
      <c r="R76" s="2163" t="s">
        <v>4832</v>
      </c>
      <c r="V76" s="4058">
        <v>1</v>
      </c>
      <c r="W76" s="4059"/>
      <c r="X76" s="4058">
        <v>2</v>
      </c>
      <c r="Y76" s="4059"/>
      <c r="Z76" s="4058">
        <v>3</v>
      </c>
      <c r="AA76" s="4059"/>
      <c r="AM76" s="2494">
        <v>76</v>
      </c>
    </row>
    <row r="77" spans="1:39" ht="6" customHeight="1" thickBot="1">
      <c r="AM77" s="2493">
        <v>77</v>
      </c>
    </row>
    <row r="78" spans="1:39" ht="15.9" customHeight="1" thickBot="1">
      <c r="A78" s="2078" t="s">
        <v>1837</v>
      </c>
      <c r="B78" s="2086" t="s">
        <v>4833</v>
      </c>
      <c r="D78" s="2075"/>
      <c r="F78" s="2171" t="s">
        <v>4837</v>
      </c>
      <c r="K78" s="2075"/>
      <c r="L78" s="2172" t="s">
        <v>4836</v>
      </c>
      <c r="M78" s="2077">
        <v>1</v>
      </c>
      <c r="N78" s="2113"/>
      <c r="O78" s="2173">
        <f>IF(AND(O79&gt;0,O80&gt;0),"1or2?",MIN($M78,SUM(O79,O80)))</f>
        <v>0</v>
      </c>
      <c r="P78" s="2173">
        <f>IF(AND(P79&gt;0,P80&gt;0),"1or2?",MIN($M78,SUM(P79,P80)))</f>
        <v>0</v>
      </c>
      <c r="Q78" s="2115"/>
      <c r="R78" s="2116"/>
      <c r="T78" s="2106"/>
      <c r="AM78" s="2493">
        <v>78</v>
      </c>
    </row>
    <row r="79" spans="1:39" s="2075" customFormat="1" ht="15.9" customHeight="1" thickBot="1">
      <c r="A79" s="2078"/>
      <c r="B79" s="2117" t="s">
        <v>1838</v>
      </c>
      <c r="C79" s="2107" t="s">
        <v>4834</v>
      </c>
      <c r="F79" s="2174" t="s">
        <v>4835</v>
      </c>
      <c r="I79" s="2078"/>
      <c r="J79" s="2107"/>
      <c r="K79" s="2107"/>
      <c r="L79" s="2112" t="str">
        <f>IF(OR($O79=$M79,$O79=0,$O79=""),"","* * Check Score! * *")</f>
        <v/>
      </c>
      <c r="M79" s="2175">
        <v>0.5</v>
      </c>
      <c r="N79" s="2113"/>
      <c r="O79" s="2068"/>
      <c r="P79" s="2176"/>
      <c r="Q79" s="2116"/>
      <c r="AM79" s="2494">
        <v>79</v>
      </c>
    </row>
    <row r="80" spans="1:39" s="2075" customFormat="1" ht="15.9" customHeight="1">
      <c r="A80" s="2078"/>
      <c r="B80" s="2120" t="s">
        <v>1840</v>
      </c>
      <c r="C80" s="2107" t="s">
        <v>3071</v>
      </c>
      <c r="F80" s="2078"/>
      <c r="I80" s="2078"/>
      <c r="J80" s="2107"/>
      <c r="K80" s="2107"/>
      <c r="L80" s="2112" t="str">
        <f>IF(OR($O80=$M80,$O80=0,$O80=""),"","* * Check Score! * *")</f>
        <v/>
      </c>
      <c r="M80" s="2175">
        <v>1</v>
      </c>
      <c r="N80" s="2113"/>
      <c r="O80" s="2177">
        <f>IF(AND(O81="Yes",O82="Yes"),$M80,0)</f>
        <v>0</v>
      </c>
      <c r="P80" s="2177">
        <f>IF(AND(P81="Yes",P82="Yes"),$M80,0)</f>
        <v>0</v>
      </c>
      <c r="Q80" s="2116"/>
      <c r="AM80" s="2494">
        <v>80</v>
      </c>
    </row>
    <row r="81" spans="1:39">
      <c r="A81" s="2094"/>
      <c r="B81" s="2153"/>
      <c r="C81" s="2129" t="s">
        <v>4926</v>
      </c>
      <c r="D81" s="2225"/>
      <c r="E81" s="2225"/>
      <c r="F81" s="2225"/>
      <c r="G81" s="2225"/>
      <c r="H81" s="2225"/>
      <c r="I81" s="2225"/>
      <c r="J81" s="2225"/>
      <c r="K81" s="2225"/>
      <c r="L81" s="2225"/>
      <c r="M81" s="2225"/>
      <c r="N81" s="2178"/>
      <c r="O81" s="1997" t="s">
        <v>5225</v>
      </c>
      <c r="P81" s="2179"/>
      <c r="AM81" s="2494">
        <v>81</v>
      </c>
    </row>
    <row r="82" spans="1:39" ht="15.9" customHeight="1">
      <c r="A82" s="2094"/>
      <c r="B82" s="2153"/>
      <c r="C82" s="2075" t="s">
        <v>4691</v>
      </c>
      <c r="D82" s="2075"/>
      <c r="E82" s="2075"/>
      <c r="F82" s="2075"/>
      <c r="G82" s="2075"/>
      <c r="H82" s="2075"/>
      <c r="I82" s="2075"/>
      <c r="J82" s="2075"/>
      <c r="K82" s="2075"/>
      <c r="M82" s="2075"/>
      <c r="N82" s="2180"/>
      <c r="O82" s="1979" t="s">
        <v>5225</v>
      </c>
      <c r="P82" s="2122"/>
      <c r="AM82" s="2494">
        <v>82</v>
      </c>
    </row>
    <row r="83" spans="1:39" ht="13.5" customHeight="1">
      <c r="A83" s="2075"/>
      <c r="B83" s="2097" t="s">
        <v>4816</v>
      </c>
      <c r="C83" s="2075"/>
      <c r="D83" s="2075"/>
      <c r="E83" s="2075"/>
      <c r="F83" s="2075"/>
      <c r="G83" s="2075"/>
      <c r="H83" s="2075"/>
      <c r="I83" s="2075"/>
      <c r="J83" s="2075"/>
      <c r="K83" s="2075"/>
      <c r="M83" s="2077"/>
      <c r="O83" s="2088"/>
      <c r="AM83" s="2493">
        <v>83</v>
      </c>
    </row>
    <row r="84" spans="1:39" ht="60" customHeight="1">
      <c r="A84" s="3890" t="s">
        <v>5252</v>
      </c>
      <c r="B84" s="3891"/>
      <c r="C84" s="3891"/>
      <c r="D84" s="3891"/>
      <c r="E84" s="3891"/>
      <c r="F84" s="3891"/>
      <c r="G84" s="3891"/>
      <c r="H84" s="3891"/>
      <c r="I84" s="3891"/>
      <c r="J84" s="3891"/>
      <c r="K84" s="3891"/>
      <c r="L84" s="3891"/>
      <c r="M84" s="3891"/>
      <c r="N84" s="3891"/>
      <c r="O84" s="3891"/>
      <c r="P84" s="3892"/>
      <c r="Q84" s="2154"/>
      <c r="AM84" s="2494">
        <v>84</v>
      </c>
    </row>
    <row r="85" spans="1:39" s="2075" customFormat="1" ht="13.5" customHeight="1">
      <c r="B85" s="2181" t="s">
        <v>1724</v>
      </c>
      <c r="C85" s="2137"/>
      <c r="D85" s="2181"/>
      <c r="E85" s="2182"/>
      <c r="F85" s="2125"/>
      <c r="G85" s="2125"/>
      <c r="H85" s="2125"/>
      <c r="I85" s="2125"/>
      <c r="J85" s="2125"/>
      <c r="K85" s="2125"/>
      <c r="L85" s="2125"/>
      <c r="M85" s="2125"/>
      <c r="N85" s="2183"/>
      <c r="O85" s="2103"/>
      <c r="P85" s="2078"/>
      <c r="Q85" s="2074"/>
      <c r="AM85" s="2493">
        <v>85</v>
      </c>
    </row>
    <row r="86" spans="1:39" ht="30" customHeight="1">
      <c r="A86" s="3884"/>
      <c r="B86" s="3885"/>
      <c r="C86" s="3885"/>
      <c r="D86" s="3885"/>
      <c r="E86" s="3885"/>
      <c r="F86" s="3885"/>
      <c r="G86" s="3885"/>
      <c r="H86" s="3885"/>
      <c r="I86" s="3885"/>
      <c r="J86" s="3885"/>
      <c r="K86" s="3885"/>
      <c r="L86" s="3885"/>
      <c r="M86" s="3885"/>
      <c r="N86" s="3885"/>
      <c r="O86" s="3885"/>
      <c r="P86" s="3886"/>
      <c r="Q86" s="2141"/>
      <c r="AM86" s="2493">
        <v>86</v>
      </c>
    </row>
    <row r="87" spans="1:39" ht="6" customHeight="1">
      <c r="A87" s="2075"/>
      <c r="B87" s="2094"/>
      <c r="C87" s="2075"/>
      <c r="D87" s="1973"/>
      <c r="E87" s="1974"/>
      <c r="F87" s="1974"/>
      <c r="G87" s="2104"/>
      <c r="H87" s="2104"/>
      <c r="I87" s="2104"/>
      <c r="J87" s="2104"/>
      <c r="K87" s="2104"/>
      <c r="L87" s="2104"/>
      <c r="M87" s="2077"/>
      <c r="O87" s="2088"/>
      <c r="P87" s="2078"/>
      <c r="R87" s="2075"/>
      <c r="S87" s="2075"/>
      <c r="T87" s="2075"/>
      <c r="U87" s="2075"/>
      <c r="V87" s="2075"/>
      <c r="W87" s="2075"/>
      <c r="X87" s="2105"/>
      <c r="Y87" s="2105"/>
      <c r="Z87" s="2105"/>
      <c r="AA87" s="2105"/>
      <c r="AB87" s="2105"/>
      <c r="AC87" s="2105"/>
      <c r="AD87" s="2105"/>
      <c r="AE87" s="2105"/>
      <c r="AF87" s="2105"/>
      <c r="AG87" s="2105"/>
      <c r="AH87" s="2105"/>
      <c r="AI87" s="2105"/>
      <c r="AM87" s="2493">
        <v>87</v>
      </c>
    </row>
    <row r="88" spans="1:39" ht="6" customHeight="1" thickBot="1">
      <c r="T88" s="2106"/>
      <c r="U88" s="2106"/>
      <c r="AM88" s="2493">
        <v>88</v>
      </c>
    </row>
    <row r="89" spans="1:39" s="2075" customFormat="1" ht="15.9" customHeight="1" thickBot="1">
      <c r="A89" s="2184" t="s">
        <v>495</v>
      </c>
      <c r="B89" s="2099" t="s">
        <v>3903</v>
      </c>
      <c r="D89" s="2099"/>
      <c r="E89" s="2099"/>
      <c r="K89" s="2112"/>
      <c r="L89" s="2108" t="s">
        <v>4865</v>
      </c>
      <c r="M89" s="2078">
        <v>10</v>
      </c>
      <c r="N89" s="2077"/>
      <c r="O89" s="2109">
        <f>IF(O91-O92&lt;$M$89,MIN($M$89,O91-O92+O95),$M$89)</f>
        <v>10</v>
      </c>
      <c r="P89" s="2109">
        <f>IF(P96="Yes",0,IF(P91-P92&lt;$M$89,MIN($M$89,P91-P92+P95),$M$89))</f>
        <v>10</v>
      </c>
      <c r="Q89" s="2110" t="s">
        <v>415</v>
      </c>
      <c r="AM89" s="2494">
        <v>89</v>
      </c>
    </row>
    <row r="90" spans="1:39" s="2075" customFormat="1" ht="15.9" hidden="1" customHeight="1">
      <c r="A90" s="2184"/>
      <c r="B90" s="2099"/>
      <c r="D90" s="2099"/>
      <c r="E90" s="2099"/>
      <c r="L90" s="2112"/>
      <c r="M90" s="2078"/>
      <c r="N90" s="2077"/>
      <c r="O90" s="2077"/>
      <c r="P90" s="2077"/>
      <c r="Q90" s="2110"/>
      <c r="AM90" s="2494">
        <v>90</v>
      </c>
    </row>
    <row r="91" spans="1:39" s="2075" customFormat="1" ht="15.9" customHeight="1">
      <c r="A91" s="2184"/>
      <c r="B91" s="2086" t="s">
        <v>3091</v>
      </c>
      <c r="D91" s="2099"/>
      <c r="E91" s="2099"/>
      <c r="L91" s="2112"/>
      <c r="M91" s="2078"/>
      <c r="N91" s="2077"/>
      <c r="O91" s="2185">
        <v>10</v>
      </c>
      <c r="P91" s="2185">
        <v>10</v>
      </c>
      <c r="Q91" s="2110"/>
      <c r="AM91" s="2494">
        <v>91</v>
      </c>
    </row>
    <row r="92" spans="1:39" s="2075" customFormat="1" ht="15.9" customHeight="1">
      <c r="A92" s="2078" t="s">
        <v>1835</v>
      </c>
      <c r="B92" s="2086" t="s">
        <v>4726</v>
      </c>
      <c r="D92" s="2099"/>
      <c r="E92" s="2099"/>
      <c r="L92" s="2112"/>
      <c r="M92" s="2078"/>
      <c r="N92" s="2077"/>
      <c r="O92" s="2123">
        <f>SUM(O93:O94)</f>
        <v>0</v>
      </c>
      <c r="P92" s="2123">
        <f>SUM(P93:P94)</f>
        <v>0</v>
      </c>
      <c r="Q92" s="2110"/>
      <c r="AM92" s="2494">
        <v>92</v>
      </c>
    </row>
    <row r="93" spans="1:39" s="2075" customFormat="1" ht="15.9" customHeight="1">
      <c r="A93" s="2078"/>
      <c r="B93" s="2117" t="s">
        <v>1838</v>
      </c>
      <c r="C93" s="2075" t="s">
        <v>4907</v>
      </c>
      <c r="D93" s="2099"/>
      <c r="E93" s="2099"/>
      <c r="L93" s="2112"/>
      <c r="M93" s="2186"/>
      <c r="N93" s="2077"/>
      <c r="O93" s="1998">
        <v>0</v>
      </c>
      <c r="P93" s="2187"/>
      <c r="Q93" s="2110"/>
      <c r="AM93" s="2493">
        <v>93</v>
      </c>
    </row>
    <row r="94" spans="1:39" s="2075" customFormat="1" ht="15.9" customHeight="1">
      <c r="A94" s="2078"/>
      <c r="B94" s="2120" t="s">
        <v>1840</v>
      </c>
      <c r="C94" s="2075" t="s">
        <v>4908</v>
      </c>
      <c r="D94" s="2099"/>
      <c r="E94" s="2099"/>
      <c r="L94" s="2112"/>
      <c r="M94" s="2186"/>
      <c r="N94" s="2077"/>
      <c r="O94" s="2071">
        <v>0</v>
      </c>
      <c r="P94" s="2188"/>
      <c r="Q94" s="2110"/>
      <c r="AM94" s="2494">
        <v>94</v>
      </c>
    </row>
    <row r="95" spans="1:39" s="2075" customFormat="1" ht="15.9" customHeight="1">
      <c r="A95" s="2078" t="s">
        <v>1837</v>
      </c>
      <c r="B95" s="2086" t="s">
        <v>4727</v>
      </c>
      <c r="D95" s="2099"/>
      <c r="E95" s="2099"/>
      <c r="L95" s="2112"/>
      <c r="M95" s="2078"/>
      <c r="N95" s="2077"/>
      <c r="O95" s="1999">
        <v>0</v>
      </c>
      <c r="P95" s="2189"/>
      <c r="Q95" s="2110"/>
      <c r="AM95" s="2493">
        <v>95</v>
      </c>
    </row>
    <row r="96" spans="1:39" s="2075" customFormat="1" ht="15.75" customHeight="1">
      <c r="A96" s="2097"/>
      <c r="B96" s="2097" t="s">
        <v>1724</v>
      </c>
      <c r="D96" s="2097"/>
      <c r="E96" s="2125"/>
      <c r="F96" s="2125"/>
      <c r="G96" s="2125"/>
      <c r="H96" s="2125"/>
      <c r="I96" s="2125"/>
      <c r="J96" s="2075" t="s">
        <v>5000</v>
      </c>
      <c r="K96" s="2125"/>
      <c r="L96" s="2125"/>
      <c r="M96" s="2125"/>
      <c r="N96" s="2183"/>
      <c r="O96" s="2103"/>
      <c r="P96" s="2255"/>
      <c r="AM96" s="2493">
        <v>96</v>
      </c>
    </row>
    <row r="97" spans="1:39" ht="15" customHeight="1">
      <c r="A97" s="3884"/>
      <c r="B97" s="3885"/>
      <c r="C97" s="3885"/>
      <c r="D97" s="3885"/>
      <c r="E97" s="3885"/>
      <c r="F97" s="3885"/>
      <c r="G97" s="3885"/>
      <c r="H97" s="3885"/>
      <c r="I97" s="3885"/>
      <c r="J97" s="3885"/>
      <c r="K97" s="3885"/>
      <c r="L97" s="3885"/>
      <c r="M97" s="3885"/>
      <c r="N97" s="3885"/>
      <c r="O97" s="3885"/>
      <c r="P97" s="3886"/>
      <c r="Q97" s="2154"/>
      <c r="R97" s="2154"/>
      <c r="AM97" s="2493">
        <v>97</v>
      </c>
    </row>
    <row r="98" spans="1:39" ht="6" customHeight="1">
      <c r="A98" s="2075"/>
      <c r="B98" s="2094"/>
      <c r="C98" s="2075"/>
      <c r="D98" s="1973"/>
      <c r="E98" s="1974"/>
      <c r="F98" s="1974"/>
      <c r="G98" s="2104"/>
      <c r="H98" s="2104"/>
      <c r="I98" s="2104"/>
      <c r="J98" s="2104"/>
      <c r="K98" s="2104"/>
      <c r="L98" s="2104"/>
      <c r="M98" s="2077"/>
      <c r="O98" s="2088"/>
      <c r="P98" s="2078"/>
      <c r="R98" s="2075"/>
      <c r="S98" s="2075"/>
      <c r="T98" s="2075"/>
      <c r="U98" s="2075"/>
      <c r="V98" s="2075"/>
      <c r="W98" s="2075"/>
      <c r="X98" s="2105"/>
      <c r="Y98" s="2105"/>
      <c r="Z98" s="2105"/>
      <c r="AA98" s="2105"/>
      <c r="AB98" s="2105"/>
      <c r="AC98" s="2105"/>
      <c r="AD98" s="2105"/>
      <c r="AE98" s="2105"/>
      <c r="AF98" s="2105"/>
      <c r="AG98" s="2105"/>
      <c r="AH98" s="2105"/>
      <c r="AI98" s="2105"/>
      <c r="AM98" s="2493">
        <v>98</v>
      </c>
    </row>
    <row r="99" spans="1:39" ht="6" customHeight="1" thickBot="1">
      <c r="T99" s="2106"/>
      <c r="U99" s="2106"/>
      <c r="AM99" s="2494">
        <v>99</v>
      </c>
    </row>
    <row r="100" spans="1:39" ht="15.9" customHeight="1" thickBot="1">
      <c r="A100" s="2184" t="s">
        <v>719</v>
      </c>
      <c r="B100" s="2099" t="s">
        <v>4493</v>
      </c>
      <c r="C100" s="2127"/>
      <c r="D100" s="2127"/>
      <c r="E100" s="2127"/>
      <c r="F100" s="2127"/>
      <c r="G100" s="2190" t="s">
        <v>4842</v>
      </c>
      <c r="H100" s="2127"/>
      <c r="K100" s="2127"/>
      <c r="L100" s="2108" t="s">
        <v>4865</v>
      </c>
      <c r="M100" s="2078">
        <v>5</v>
      </c>
      <c r="N100" s="2139"/>
      <c r="O100" s="2109">
        <f>IF(OR((O101+O107+O108)&gt;$M100,(O101+O107)&gt;$M101,O108&gt;$M$108),"Check",IF((O101+O107+O108)&lt;=$M$100,(O101+O107+O108),""))</f>
        <v>5</v>
      </c>
      <c r="P100" s="2109">
        <f>IF(OR((P101+P107+P108)&gt;$M100,(P101+P107)&gt;$M101,P108&gt;$M$108),"Check",IF((P101+P107+P108)&lt;=$M$100,(P101+P107+P108),""))</f>
        <v>2</v>
      </c>
      <c r="Q100" s="2110" t="s">
        <v>415</v>
      </c>
      <c r="R100" s="2116"/>
      <c r="AM100" s="2494">
        <v>100</v>
      </c>
    </row>
    <row r="101" spans="1:39" ht="15.9" customHeight="1">
      <c r="A101" s="2078" t="s">
        <v>1835</v>
      </c>
      <c r="B101" s="2086" t="s">
        <v>4839</v>
      </c>
      <c r="C101" s="2075"/>
      <c r="D101" s="2075"/>
      <c r="E101" s="2086"/>
      <c r="F101" s="2075"/>
      <c r="G101" s="2171"/>
      <c r="H101" s="2075"/>
      <c r="I101" s="2075"/>
      <c r="J101" s="2075"/>
      <c r="K101" s="2077"/>
      <c r="L101" s="2113"/>
      <c r="M101" s="2077">
        <v>3</v>
      </c>
      <c r="N101" s="2191"/>
      <c r="O101" s="2457">
        <f>IF(AND(O103&gt;0,O104&gt;0),"1or2?",MIN($M101,SUM(O103,O104)))</f>
        <v>3</v>
      </c>
      <c r="P101" s="2457">
        <f>IF(AND(P103&gt;0,P104&gt;0),"1or2?",MIN($M101,SUM(P103,P104)))</f>
        <v>0</v>
      </c>
      <c r="Q101" s="2115"/>
      <c r="R101" s="2116"/>
      <c r="AM101" s="2494">
        <v>101</v>
      </c>
    </row>
    <row r="102" spans="1:39" ht="31.5" customHeight="1">
      <c r="A102" s="2078"/>
      <c r="B102" s="4052" t="s">
        <v>4975</v>
      </c>
      <c r="C102" s="4052"/>
      <c r="D102" s="4052"/>
      <c r="E102" s="4052"/>
      <c r="F102" s="4052"/>
      <c r="G102" s="4052"/>
      <c r="H102" s="4052"/>
      <c r="I102" s="4052"/>
      <c r="J102" s="4052"/>
      <c r="K102" s="4052"/>
      <c r="L102" s="4052"/>
      <c r="M102" s="2077"/>
      <c r="N102" s="2077"/>
      <c r="O102" s="2077"/>
      <c r="P102" s="2077"/>
      <c r="Q102" s="2115"/>
      <c r="R102" s="2116"/>
      <c r="AM102" s="2494">
        <v>102</v>
      </c>
    </row>
    <row r="103" spans="1:39" s="2130" customFormat="1" ht="15.9" customHeight="1">
      <c r="A103" s="2078"/>
      <c r="B103" s="2117" t="s">
        <v>1838</v>
      </c>
      <c r="C103" s="2075" t="s">
        <v>4840</v>
      </c>
      <c r="D103" s="2093"/>
      <c r="E103" s="2093"/>
      <c r="F103" s="2093"/>
      <c r="G103" s="2075"/>
      <c r="H103" s="2093"/>
      <c r="I103" s="2093"/>
      <c r="J103" s="4053" t="s">
        <v>4663</v>
      </c>
      <c r="K103" s="4054"/>
      <c r="L103" s="2093"/>
      <c r="M103" s="2175">
        <v>2</v>
      </c>
      <c r="N103" s="2192"/>
      <c r="O103" s="1984"/>
      <c r="P103" s="2237"/>
      <c r="Q103" s="2115" t="str">
        <f>IF(OR($O103=$M103,$O103=0,$O103=""),"","*CHECK!*")</f>
        <v/>
      </c>
      <c r="R103" s="2116"/>
      <c r="AM103" s="2493">
        <v>103</v>
      </c>
    </row>
    <row r="104" spans="1:39" s="2130" customFormat="1" ht="15.9" customHeight="1">
      <c r="A104" s="2078"/>
      <c r="B104" s="2120" t="s">
        <v>1840</v>
      </c>
      <c r="C104" s="2075" t="s">
        <v>4841</v>
      </c>
      <c r="D104" s="2093"/>
      <c r="E104" s="2093"/>
      <c r="F104" s="2093"/>
      <c r="G104" s="2075"/>
      <c r="H104" s="2093"/>
      <c r="J104" s="2453" t="s">
        <v>4664</v>
      </c>
      <c r="K104" s="2454" t="s">
        <v>4986</v>
      </c>
      <c r="L104" s="2421"/>
      <c r="M104" s="2175">
        <v>3</v>
      </c>
      <c r="N104" s="2192"/>
      <c r="O104" s="1988">
        <v>3</v>
      </c>
      <c r="P104" s="2197"/>
      <c r="Q104" s="2115" t="str">
        <f>IF(OR($O104=$M104,$O104=0,$O104=""),"","*CHECK!*")</f>
        <v/>
      </c>
      <c r="R104" s="2116"/>
      <c r="AM104" s="2494">
        <v>104</v>
      </c>
    </row>
    <row r="105" spans="1:39">
      <c r="C105" s="2074" t="s">
        <v>4974</v>
      </c>
      <c r="H105" s="2108"/>
      <c r="J105" s="2455">
        <f>'Part V-Revenues &amp; Expenses'!P76*'Part VIII Scoring Criteria'!K105</f>
        <v>16</v>
      </c>
      <c r="K105" s="2456">
        <v>0.1</v>
      </c>
      <c r="N105" s="2108" t="s">
        <v>5046</v>
      </c>
      <c r="O105" s="1977"/>
      <c r="P105" s="2200"/>
      <c r="T105" s="2106"/>
      <c r="U105" s="2106"/>
      <c r="AM105" s="2493">
        <v>105</v>
      </c>
    </row>
    <row r="106" spans="1:39" ht="45" customHeight="1">
      <c r="C106" s="4052" t="s">
        <v>4973</v>
      </c>
      <c r="D106" s="4052"/>
      <c r="E106" s="4052"/>
      <c r="F106" s="4052"/>
      <c r="G106" s="4052"/>
      <c r="H106" s="4052"/>
      <c r="I106" s="4052"/>
      <c r="J106" s="4052"/>
      <c r="K106" s="4052"/>
      <c r="L106" s="4052"/>
      <c r="O106" s="1991"/>
      <c r="P106" s="2128"/>
      <c r="T106" s="2106"/>
      <c r="U106" s="2106"/>
      <c r="AM106" s="2493">
        <v>106</v>
      </c>
    </row>
    <row r="107" spans="1:39" ht="15.9" customHeight="1">
      <c r="A107" s="2078" t="s">
        <v>1837</v>
      </c>
      <c r="B107" s="2086" t="s">
        <v>4130</v>
      </c>
      <c r="C107" s="2075"/>
      <c r="D107" s="2075"/>
      <c r="E107" s="2075"/>
      <c r="F107" s="2075"/>
      <c r="G107" s="2075"/>
      <c r="H107" s="2075"/>
      <c r="I107" s="2075"/>
      <c r="J107" s="2075"/>
      <c r="K107" s="2075"/>
      <c r="L107" s="2075"/>
      <c r="M107" s="2077">
        <v>1</v>
      </c>
      <c r="N107" s="2191"/>
      <c r="O107" s="1986"/>
      <c r="P107" s="2189"/>
      <c r="Q107" s="2115" t="str">
        <f>IF(OR($O107=$M107,$O107=0,$O107=""),"","*CHECK!*")</f>
        <v/>
      </c>
      <c r="R107" s="2116"/>
      <c r="AM107" s="2493">
        <v>107</v>
      </c>
    </row>
    <row r="108" spans="1:39" s="2075" customFormat="1" ht="15.9" customHeight="1">
      <c r="A108" s="2078" t="s">
        <v>697</v>
      </c>
      <c r="B108" s="2086" t="s">
        <v>4838</v>
      </c>
      <c r="G108" s="2193" t="s">
        <v>4843</v>
      </c>
      <c r="M108" s="2077">
        <v>2</v>
      </c>
      <c r="N108" s="2191"/>
      <c r="O108" s="2123">
        <f>O109-O110</f>
        <v>2</v>
      </c>
      <c r="P108" s="2123">
        <f>P109-P110</f>
        <v>2</v>
      </c>
      <c r="Q108" s="2115" t="str">
        <f>IF(OR($O108=$M108,$O108=0,$O108=""),"","*CHECK!*")</f>
        <v/>
      </c>
      <c r="AM108" s="2493">
        <v>108</v>
      </c>
    </row>
    <row r="109" spans="1:39" s="2075" customFormat="1" ht="15.9" customHeight="1">
      <c r="A109" s="2184"/>
      <c r="C109" s="2086" t="s">
        <v>3091</v>
      </c>
      <c r="D109" s="2099"/>
      <c r="E109" s="2099"/>
      <c r="L109" s="2112"/>
      <c r="M109" s="2078"/>
      <c r="N109" s="2077"/>
      <c r="O109" s="2194">
        <v>2</v>
      </c>
      <c r="P109" s="2194">
        <v>2</v>
      </c>
      <c r="Q109" s="2110"/>
      <c r="AM109" s="2493">
        <v>109</v>
      </c>
    </row>
    <row r="110" spans="1:39" s="2075" customFormat="1" ht="15.9" customHeight="1">
      <c r="A110" s="2184"/>
      <c r="C110" s="2086" t="s">
        <v>3092</v>
      </c>
      <c r="D110" s="2099"/>
      <c r="E110" s="2099"/>
      <c r="L110" s="2112"/>
      <c r="M110" s="2078"/>
      <c r="N110" s="2077"/>
      <c r="O110" s="1999"/>
      <c r="P110" s="2189"/>
      <c r="Q110" s="2110"/>
      <c r="R110" s="2116"/>
      <c r="AM110" s="2493">
        <v>110</v>
      </c>
    </row>
    <row r="111" spans="1:39" ht="15.9" customHeight="1">
      <c r="A111" s="2075"/>
      <c r="B111" s="2097" t="s">
        <v>4816</v>
      </c>
      <c r="C111" s="2075"/>
      <c r="D111" s="2075"/>
      <c r="E111" s="2075"/>
      <c r="F111" s="2075"/>
      <c r="G111" s="2075"/>
      <c r="H111" s="2075"/>
      <c r="I111" s="2075"/>
      <c r="J111" s="2075"/>
      <c r="K111" s="2075"/>
      <c r="M111" s="2077"/>
      <c r="O111" s="2088"/>
      <c r="P111" s="2088"/>
      <c r="AM111" s="2493">
        <v>111</v>
      </c>
    </row>
    <row r="112" spans="1:39" ht="90" customHeight="1">
      <c r="A112" s="3890" t="s">
        <v>5253</v>
      </c>
      <c r="B112" s="3891"/>
      <c r="C112" s="3891"/>
      <c r="D112" s="3891"/>
      <c r="E112" s="3891"/>
      <c r="F112" s="3891"/>
      <c r="G112" s="3891"/>
      <c r="H112" s="3891"/>
      <c r="I112" s="3891"/>
      <c r="J112" s="3891"/>
      <c r="K112" s="3891"/>
      <c r="L112" s="3891"/>
      <c r="M112" s="3891"/>
      <c r="N112" s="3891"/>
      <c r="O112" s="3891"/>
      <c r="P112" s="3892"/>
      <c r="Q112" s="2154"/>
      <c r="R112" s="2154"/>
      <c r="AM112" s="2494">
        <v>112</v>
      </c>
    </row>
    <row r="113" spans="1:39" ht="15.9" customHeight="1">
      <c r="B113" s="2136" t="s">
        <v>1724</v>
      </c>
      <c r="C113" s="2137"/>
      <c r="D113" s="2136"/>
      <c r="E113" s="2138"/>
      <c r="F113" s="2127"/>
      <c r="G113" s="2127"/>
      <c r="H113" s="2127"/>
      <c r="I113" s="2127"/>
      <c r="J113" s="2127"/>
      <c r="K113" s="2127"/>
      <c r="L113" s="2127"/>
      <c r="M113" s="2127"/>
      <c r="N113" s="2139"/>
      <c r="O113" s="2140"/>
      <c r="P113" s="2078"/>
      <c r="AM113" s="2494">
        <v>113</v>
      </c>
    </row>
    <row r="114" spans="1:39" ht="30" customHeight="1">
      <c r="A114" s="3884"/>
      <c r="B114" s="3885"/>
      <c r="C114" s="3885"/>
      <c r="D114" s="3885"/>
      <c r="E114" s="3885"/>
      <c r="F114" s="3885"/>
      <c r="G114" s="3885"/>
      <c r="H114" s="3885"/>
      <c r="I114" s="3885"/>
      <c r="J114" s="3885"/>
      <c r="K114" s="3885"/>
      <c r="L114" s="3885"/>
      <c r="M114" s="3885"/>
      <c r="N114" s="3885"/>
      <c r="O114" s="3885"/>
      <c r="P114" s="3886"/>
      <c r="Q114" s="2141"/>
      <c r="AM114" s="2494">
        <v>114</v>
      </c>
    </row>
    <row r="115" spans="1:39" ht="9.75" customHeight="1">
      <c r="A115" s="2184"/>
      <c r="B115" s="2075"/>
      <c r="C115" s="2127"/>
      <c r="D115" s="2127"/>
      <c r="E115" s="2127"/>
      <c r="F115" s="2127"/>
      <c r="G115" s="2127"/>
      <c r="H115" s="2127"/>
      <c r="I115" s="2127"/>
      <c r="J115" s="2127"/>
      <c r="K115" s="2127"/>
      <c r="L115" s="2127"/>
      <c r="M115" s="2127"/>
      <c r="N115" s="2139"/>
      <c r="O115" s="2140"/>
      <c r="P115" s="2078"/>
      <c r="AM115" s="2494">
        <v>115</v>
      </c>
    </row>
    <row r="116" spans="1:39" ht="9.75" customHeight="1" thickBot="1">
      <c r="A116" s="2184"/>
      <c r="B116" s="2075"/>
      <c r="C116" s="2127"/>
      <c r="D116" s="2127"/>
      <c r="E116" s="2127"/>
      <c r="F116" s="2127"/>
      <c r="G116" s="2127"/>
      <c r="H116" s="2127"/>
      <c r="I116" s="2127"/>
      <c r="J116" s="2127"/>
      <c r="K116" s="2127"/>
      <c r="L116" s="2127"/>
      <c r="M116" s="2127"/>
      <c r="N116" s="2139"/>
      <c r="O116" s="2140"/>
      <c r="P116" s="2078"/>
      <c r="AM116" s="2493">
        <v>116</v>
      </c>
    </row>
    <row r="117" spans="1:39" s="2075" customFormat="1" ht="15.9" customHeight="1" thickBot="1">
      <c r="A117" s="2184" t="s">
        <v>280</v>
      </c>
      <c r="B117" s="2099" t="s">
        <v>4817</v>
      </c>
      <c r="D117" s="2099"/>
      <c r="E117" s="2099"/>
      <c r="L117" s="2108" t="s">
        <v>4865</v>
      </c>
      <c r="M117" s="2078">
        <v>13</v>
      </c>
      <c r="N117" s="2077"/>
      <c r="O117" s="2109">
        <f>MIN($M$117,O121+SUM(O124:O132))</f>
        <v>13</v>
      </c>
      <c r="P117" s="2109">
        <f>MIN($M$117,P121+SUM(P124:P132))</f>
        <v>0</v>
      </c>
      <c r="Q117" s="2110" t="s">
        <v>415</v>
      </c>
      <c r="R117" s="2116"/>
      <c r="AM117" s="2494">
        <v>117</v>
      </c>
    </row>
    <row r="118" spans="1:39" s="2075" customFormat="1" ht="15.9" customHeight="1">
      <c r="A118" s="2078" t="s">
        <v>1835</v>
      </c>
      <c r="B118" s="2086" t="s">
        <v>4860</v>
      </c>
      <c r="C118" s="2086"/>
      <c r="D118" s="2086"/>
      <c r="F118" s="2195"/>
      <c r="H118" s="2113"/>
      <c r="I118" s="2072"/>
      <c r="J118" s="2072"/>
      <c r="K118" s="2072"/>
      <c r="L118" s="2072"/>
      <c r="M118" s="2072"/>
      <c r="N118" s="2072"/>
      <c r="O118" s="2072"/>
      <c r="P118" s="2072"/>
      <c r="Q118" s="2196"/>
      <c r="R118" s="2116"/>
      <c r="AM118" s="2493">
        <v>118</v>
      </c>
    </row>
    <row r="119" spans="1:39" s="2075" customFormat="1" ht="15.9" customHeight="1">
      <c r="A119" s="2078"/>
      <c r="B119" s="2075" t="s">
        <v>4930</v>
      </c>
      <c r="C119" s="2086"/>
      <c r="D119" s="2086"/>
      <c r="F119" s="2195"/>
      <c r="H119" s="2113"/>
      <c r="I119" s="2072"/>
      <c r="J119" s="2072"/>
      <c r="K119" s="2072"/>
      <c r="L119" s="2072"/>
      <c r="M119" s="2072"/>
      <c r="N119" s="2072"/>
      <c r="O119" s="2072"/>
      <c r="P119" s="2072"/>
      <c r="Q119" s="2196"/>
      <c r="R119" s="2116"/>
      <c r="AM119" s="2493">
        <v>119</v>
      </c>
    </row>
    <row r="120" spans="1:39" s="2075" customFormat="1" ht="15.9" customHeight="1">
      <c r="A120" s="2078"/>
      <c r="C120" s="2086" t="s">
        <v>4934</v>
      </c>
      <c r="D120" s="2086"/>
      <c r="F120" s="2195"/>
      <c r="H120" s="2113"/>
      <c r="I120" s="2072"/>
      <c r="J120" s="2072"/>
      <c r="K120" s="2072"/>
      <c r="L120" s="2072"/>
      <c r="M120" s="2072"/>
      <c r="N120" s="2072"/>
      <c r="O120" s="2072"/>
      <c r="P120" s="2072"/>
      <c r="Q120" s="2196"/>
      <c r="R120" s="2116"/>
      <c r="AM120" s="2493">
        <v>120</v>
      </c>
    </row>
    <row r="121" spans="1:39" s="2075" customFormat="1" ht="15.9" customHeight="1">
      <c r="A121" s="2078"/>
      <c r="B121" s="2117"/>
      <c r="C121" s="2199" t="s">
        <v>4928</v>
      </c>
      <c r="F121" s="2078"/>
      <c r="I121" s="2078"/>
      <c r="J121" s="2077" t="s">
        <v>4929</v>
      </c>
      <c r="L121" s="2112"/>
      <c r="M121" s="2175">
        <v>5</v>
      </c>
      <c r="N121" s="2113"/>
      <c r="O121" s="2177">
        <f>IF(AND(O122="Yes", O123="Yes"),$M121,0)</f>
        <v>5</v>
      </c>
      <c r="P121" s="2177">
        <f>IF(AND(P122="Yes", P123="Yes"),$M121,0)</f>
        <v>0</v>
      </c>
      <c r="Q121" s="2116"/>
      <c r="V121" s="2106"/>
      <c r="AM121" s="2493">
        <v>121</v>
      </c>
    </row>
    <row r="122" spans="1:39" s="2075" customFormat="1" ht="15.9" customHeight="1">
      <c r="A122" s="2078"/>
      <c r="B122" s="2118"/>
      <c r="C122" s="2086"/>
      <c r="D122" s="2107" t="s">
        <v>4931</v>
      </c>
      <c r="F122" s="2078"/>
      <c r="I122" s="2078"/>
      <c r="J122" s="2536" t="s">
        <v>5206</v>
      </c>
      <c r="M122" s="2175"/>
      <c r="N122" s="2113"/>
      <c r="O122" s="2352" t="str">
        <f>IF(OR($J122="Submitted",$J122="N/A"), "Yes","")</f>
        <v>Yes</v>
      </c>
      <c r="P122" s="2119"/>
      <c r="Q122" s="2113"/>
      <c r="V122" s="2106"/>
      <c r="AM122" s="2493">
        <v>122</v>
      </c>
    </row>
    <row r="123" spans="1:39" s="2075" customFormat="1" ht="15.9" customHeight="1">
      <c r="A123" s="2078"/>
      <c r="B123" s="2118"/>
      <c r="C123" s="2086"/>
      <c r="D123" s="2107" t="s">
        <v>4932</v>
      </c>
      <c r="F123" s="2445"/>
      <c r="I123" s="2078"/>
      <c r="J123" s="2538" t="s">
        <v>5206</v>
      </c>
      <c r="K123" s="2113"/>
      <c r="M123" s="2175"/>
      <c r="N123" s="2113"/>
      <c r="O123" s="2444" t="str">
        <f>IF(OR($J123="Submitted",$J123="N/A"), "Yes","")</f>
        <v>Yes</v>
      </c>
      <c r="P123" s="2128"/>
      <c r="Q123" s="2113"/>
      <c r="V123" s="2106"/>
      <c r="AM123" s="2493">
        <v>123</v>
      </c>
    </row>
    <row r="124" spans="1:39" s="2075" customFormat="1" ht="15.9" customHeight="1">
      <c r="A124" s="2078"/>
      <c r="B124" s="2118"/>
      <c r="C124" s="2107" t="s">
        <v>4862</v>
      </c>
      <c r="D124" s="2086"/>
      <c r="F124" s="2078"/>
      <c r="I124" s="2078"/>
      <c r="J124" s="2536" t="s">
        <v>905</v>
      </c>
      <c r="K124" s="2107"/>
      <c r="L124" s="2112" t="str">
        <f t="shared" ref="L124:L132" si="0">IF(OR($O124=$M124,$O124=0,$O124=""),"","* * Check Score! * *")</f>
        <v/>
      </c>
      <c r="M124" s="2175">
        <v>1</v>
      </c>
      <c r="N124" s="2113"/>
      <c r="O124" s="2352">
        <f>IF(OR($J124="Submitted",$J124="N/A"),1,"")</f>
        <v>1</v>
      </c>
      <c r="P124" s="2197"/>
      <c r="Q124" s="2113"/>
      <c r="V124" s="2106"/>
      <c r="AM124" s="2494">
        <v>124</v>
      </c>
    </row>
    <row r="125" spans="1:39" s="2075" customFormat="1" ht="15.9" customHeight="1">
      <c r="A125" s="2078"/>
      <c r="B125" s="2118"/>
      <c r="C125" s="2107" t="s">
        <v>4863</v>
      </c>
      <c r="D125" s="2086"/>
      <c r="F125" s="2078"/>
      <c r="I125" s="2078"/>
      <c r="J125" s="2537" t="s">
        <v>5206</v>
      </c>
      <c r="K125" s="2107"/>
      <c r="L125" s="2134" t="str">
        <f t="shared" si="0"/>
        <v/>
      </c>
      <c r="M125" s="2175">
        <v>1</v>
      </c>
      <c r="N125" s="2113"/>
      <c r="O125" s="2471">
        <f t="shared" ref="O125:O126" si="1">IF(OR($J125="Submitted",$J125="N/A"),1,"")</f>
        <v>1</v>
      </c>
      <c r="P125" s="2200"/>
      <c r="Q125" s="2116"/>
      <c r="V125" s="2106"/>
      <c r="AM125" s="2494">
        <v>125</v>
      </c>
    </row>
    <row r="126" spans="1:39" s="2075" customFormat="1" ht="15.9" customHeight="1">
      <c r="A126" s="2078"/>
      <c r="B126" s="2117"/>
      <c r="C126" s="2107" t="s">
        <v>4933</v>
      </c>
      <c r="D126" s="2086"/>
      <c r="F126" s="2078"/>
      <c r="I126" s="2078"/>
      <c r="J126" s="2538" t="s">
        <v>5206</v>
      </c>
      <c r="K126" s="2107"/>
      <c r="L126" s="2112" t="str">
        <f t="shared" si="0"/>
        <v/>
      </c>
      <c r="M126" s="2175">
        <v>1</v>
      </c>
      <c r="N126" s="2113"/>
      <c r="O126" s="2444">
        <f t="shared" si="1"/>
        <v>1</v>
      </c>
      <c r="P126" s="2198"/>
      <c r="Q126" s="2116"/>
      <c r="V126" s="2106"/>
      <c r="AM126" s="2494">
        <v>126</v>
      </c>
    </row>
    <row r="127" spans="1:39" s="2075" customFormat="1" ht="15.9" customHeight="1">
      <c r="A127" s="2078"/>
      <c r="B127" s="2117"/>
      <c r="C127" s="2199" t="s">
        <v>4965</v>
      </c>
      <c r="D127" s="2086"/>
      <c r="F127" s="2078"/>
      <c r="V127" s="2106"/>
      <c r="AM127" s="2493">
        <v>127</v>
      </c>
    </row>
    <row r="128" spans="1:39" s="2075" customFormat="1" ht="15.9" customHeight="1">
      <c r="A128" s="2078"/>
      <c r="B128" s="2120"/>
      <c r="C128" s="2107" t="s">
        <v>4966</v>
      </c>
      <c r="F128" s="2077"/>
      <c r="I128" s="2077"/>
      <c r="J128" s="2536" t="s">
        <v>5206</v>
      </c>
      <c r="K128" s="2107"/>
      <c r="L128" s="2112" t="str">
        <f t="shared" si="0"/>
        <v/>
      </c>
      <c r="M128" s="2175">
        <v>1</v>
      </c>
      <c r="N128" s="2113"/>
      <c r="O128" s="2352">
        <f>IF(OR($J128="Submitted",$J128="N/A"),1,"")</f>
        <v>1</v>
      </c>
      <c r="P128" s="2197"/>
      <c r="Q128" s="2116"/>
      <c r="V128" s="2106"/>
      <c r="AM128" s="2493">
        <v>128</v>
      </c>
    </row>
    <row r="129" spans="1:39" s="2075" customFormat="1" ht="15" customHeight="1">
      <c r="A129" s="2078"/>
      <c r="B129" s="2120"/>
      <c r="C129" s="2130" t="s">
        <v>4935</v>
      </c>
      <c r="D129" s="2130"/>
      <c r="E129" s="2130"/>
      <c r="F129" s="2130"/>
      <c r="G129" s="2130"/>
      <c r="H129" s="2130"/>
      <c r="I129" s="2130"/>
      <c r="J129" s="2537" t="s">
        <v>5206</v>
      </c>
      <c r="K129" s="2130"/>
      <c r="L129" s="2112" t="str">
        <f t="shared" si="0"/>
        <v/>
      </c>
      <c r="M129" s="2201">
        <v>1</v>
      </c>
      <c r="N129" s="2132"/>
      <c r="O129" s="2471">
        <f t="shared" ref="O129:O132" si="2">IF(OR($J129="Submitted",$J129="N/A"),1,"")</f>
        <v>1</v>
      </c>
      <c r="P129" s="2202"/>
      <c r="Q129" s="2116"/>
      <c r="V129" s="2106"/>
      <c r="AM129" s="2494">
        <v>129</v>
      </c>
    </row>
    <row r="130" spans="1:39" s="2075" customFormat="1" ht="15.9" customHeight="1">
      <c r="A130" s="2078"/>
      <c r="B130" s="2120"/>
      <c r="C130" s="2107" t="s">
        <v>4936</v>
      </c>
      <c r="F130" s="2078"/>
      <c r="I130" s="2078"/>
      <c r="J130" s="2537" t="s">
        <v>5206</v>
      </c>
      <c r="K130" s="2107"/>
      <c r="L130" s="2112" t="str">
        <f t="shared" si="0"/>
        <v/>
      </c>
      <c r="M130" s="2175">
        <v>1</v>
      </c>
      <c r="N130" s="2113"/>
      <c r="O130" s="2471">
        <f t="shared" si="2"/>
        <v>1</v>
      </c>
      <c r="P130" s="2200"/>
      <c r="Q130" s="2116"/>
      <c r="V130" s="2106"/>
      <c r="AM130" s="2493">
        <v>130</v>
      </c>
    </row>
    <row r="131" spans="1:39" s="2075" customFormat="1" ht="15.9" customHeight="1">
      <c r="A131" s="2078"/>
      <c r="B131" s="2117"/>
      <c r="C131" s="2107" t="s">
        <v>4864</v>
      </c>
      <c r="F131" s="2078"/>
      <c r="I131" s="2078"/>
      <c r="J131" s="2537" t="s">
        <v>5206</v>
      </c>
      <c r="K131" s="2107"/>
      <c r="L131" s="2112" t="str">
        <f t="shared" si="0"/>
        <v/>
      </c>
      <c r="M131" s="2175">
        <v>1</v>
      </c>
      <c r="N131" s="2113"/>
      <c r="O131" s="2471">
        <f t="shared" si="2"/>
        <v>1</v>
      </c>
      <c r="P131" s="2200"/>
      <c r="Q131" s="2116"/>
      <c r="V131" s="2106"/>
      <c r="AM131" s="2493">
        <v>131</v>
      </c>
    </row>
    <row r="132" spans="1:39" s="2075" customFormat="1" ht="15.9" customHeight="1">
      <c r="A132" s="2078"/>
      <c r="B132" s="2120"/>
      <c r="C132" s="2107" t="s">
        <v>4937</v>
      </c>
      <c r="F132" s="2078"/>
      <c r="I132" s="2078"/>
      <c r="J132" s="2538" t="s">
        <v>5206</v>
      </c>
      <c r="K132" s="2107"/>
      <c r="L132" s="2112" t="str">
        <f t="shared" si="0"/>
        <v/>
      </c>
      <c r="M132" s="2175">
        <v>1</v>
      </c>
      <c r="N132" s="2113"/>
      <c r="O132" s="2444">
        <f t="shared" si="2"/>
        <v>1</v>
      </c>
      <c r="P132" s="2198"/>
      <c r="Q132" s="2116"/>
      <c r="V132" s="2106"/>
      <c r="AM132" s="2494">
        <v>132</v>
      </c>
    </row>
    <row r="133" spans="1:39" s="2075" customFormat="1" ht="15.9" customHeight="1">
      <c r="A133" s="2078" t="s">
        <v>1837</v>
      </c>
      <c r="B133" s="2086" t="s">
        <v>4861</v>
      </c>
      <c r="F133" s="2193" t="s">
        <v>5045</v>
      </c>
      <c r="H133" s="2113"/>
      <c r="J133" s="2072"/>
      <c r="K133" s="2072"/>
      <c r="L133" s="2072"/>
      <c r="M133" s="2077"/>
      <c r="N133" s="2077"/>
      <c r="O133" s="2077"/>
      <c r="P133" s="2077"/>
      <c r="Q133" s="2077"/>
      <c r="R133" s="2116"/>
      <c r="AM133" s="2494">
        <v>133</v>
      </c>
    </row>
    <row r="134" spans="1:39" ht="300" customHeight="1">
      <c r="B134" s="3910" t="s">
        <v>5257</v>
      </c>
      <c r="C134" s="3911"/>
      <c r="D134" s="3911"/>
      <c r="E134" s="3911"/>
      <c r="F134" s="3911"/>
      <c r="G134" s="3911"/>
      <c r="H134" s="3911"/>
      <c r="I134" s="3911"/>
      <c r="J134" s="3911"/>
      <c r="K134" s="3911"/>
      <c r="L134" s="3911"/>
      <c r="M134" s="3911"/>
      <c r="N134" s="3911"/>
      <c r="O134" s="3911"/>
      <c r="P134" s="3912"/>
      <c r="Q134" s="2154"/>
      <c r="R134" s="2154"/>
      <c r="AM134" s="2494">
        <v>134</v>
      </c>
    </row>
    <row r="135" spans="1:39" ht="15.9" customHeight="1">
      <c r="A135" s="2075"/>
      <c r="B135" s="2097" t="s">
        <v>4816</v>
      </c>
      <c r="C135" s="2075"/>
      <c r="D135" s="2075"/>
      <c r="E135" s="2075"/>
      <c r="F135" s="2075"/>
      <c r="G135" s="2075"/>
      <c r="H135" s="2075"/>
      <c r="I135" s="2075"/>
      <c r="J135" s="2075"/>
      <c r="K135" s="2075"/>
      <c r="M135" s="2077"/>
      <c r="O135" s="2088"/>
      <c r="AM135" s="2494">
        <v>135</v>
      </c>
    </row>
    <row r="136" spans="1:39" ht="60" customHeight="1">
      <c r="A136" s="3890" t="s">
        <v>5254</v>
      </c>
      <c r="B136" s="3891"/>
      <c r="C136" s="3891"/>
      <c r="D136" s="3891"/>
      <c r="E136" s="3891"/>
      <c r="F136" s="3891"/>
      <c r="G136" s="3891"/>
      <c r="H136" s="3891"/>
      <c r="I136" s="3891"/>
      <c r="J136" s="3891"/>
      <c r="K136" s="3891"/>
      <c r="L136" s="3891"/>
      <c r="M136" s="3891"/>
      <c r="N136" s="3891"/>
      <c r="O136" s="3891"/>
      <c r="P136" s="3892"/>
      <c r="Q136" s="2154"/>
      <c r="R136" s="2154"/>
      <c r="AM136" s="2493">
        <v>136</v>
      </c>
    </row>
    <row r="137" spans="1:39" s="2075" customFormat="1" ht="15.9" customHeight="1">
      <c r="A137" s="2097"/>
      <c r="B137" s="2097" t="s">
        <v>1724</v>
      </c>
      <c r="D137" s="2097"/>
      <c r="E137" s="2125"/>
      <c r="F137" s="2125"/>
      <c r="G137" s="2125"/>
      <c r="H137" s="2125"/>
      <c r="I137" s="2125"/>
      <c r="J137" s="2125"/>
      <c r="K137" s="2125"/>
      <c r="L137" s="2125"/>
      <c r="M137" s="2125"/>
      <c r="N137" s="2183"/>
      <c r="O137" s="2103"/>
      <c r="P137" s="2078"/>
      <c r="AM137" s="2494">
        <v>137</v>
      </c>
    </row>
    <row r="138" spans="1:39" ht="15" customHeight="1">
      <c r="A138" s="3884"/>
      <c r="B138" s="3885"/>
      <c r="C138" s="3885"/>
      <c r="D138" s="3885"/>
      <c r="E138" s="3885"/>
      <c r="F138" s="3885"/>
      <c r="G138" s="3885"/>
      <c r="H138" s="3885"/>
      <c r="I138" s="3885"/>
      <c r="J138" s="3885"/>
      <c r="K138" s="3885"/>
      <c r="L138" s="3885"/>
      <c r="M138" s="3885"/>
      <c r="N138" s="3885"/>
      <c r="O138" s="3885"/>
      <c r="P138" s="3886"/>
      <c r="Q138" s="2154"/>
      <c r="R138" s="2154"/>
      <c r="AM138" s="2493">
        <v>138</v>
      </c>
    </row>
    <row r="139" spans="1:39" ht="9" customHeight="1">
      <c r="A139" s="2184"/>
      <c r="B139" s="2075"/>
      <c r="C139" s="2127"/>
      <c r="D139" s="2127"/>
      <c r="E139" s="2127"/>
      <c r="F139" s="2127"/>
      <c r="G139" s="2127"/>
      <c r="H139" s="2127"/>
      <c r="I139" s="2127"/>
      <c r="J139" s="2127"/>
      <c r="K139" s="2127"/>
      <c r="L139" s="2127"/>
      <c r="M139" s="2127"/>
      <c r="N139" s="2139"/>
      <c r="O139" s="2140"/>
      <c r="P139" s="2078"/>
      <c r="AM139" s="2493">
        <v>139</v>
      </c>
    </row>
    <row r="140" spans="1:39" ht="9" customHeight="1" thickBot="1">
      <c r="D140" s="2075"/>
      <c r="E140" s="2075"/>
      <c r="F140" s="2078"/>
      <c r="G140" s="2078"/>
      <c r="H140" s="2078"/>
      <c r="I140" s="2078"/>
      <c r="J140" s="2107"/>
      <c r="K140" s="2107"/>
      <c r="L140" s="2107"/>
      <c r="M140" s="2077"/>
      <c r="N140" s="2078"/>
      <c r="P140" s="2088"/>
      <c r="AM140" s="2493">
        <v>140</v>
      </c>
    </row>
    <row r="141" spans="1:39" s="2075" customFormat="1" ht="15.9" customHeight="1" thickBot="1">
      <c r="A141" s="2098" t="s">
        <v>400</v>
      </c>
      <c r="B141" s="2099" t="s">
        <v>3062</v>
      </c>
      <c r="G141" s="2086"/>
      <c r="I141" s="2086"/>
      <c r="J141" s="2145"/>
      <c r="K141" s="2203" t="s">
        <v>4909</v>
      </c>
      <c r="L141" s="2108" t="s">
        <v>4865</v>
      </c>
      <c r="M141" s="2078">
        <v>3</v>
      </c>
      <c r="N141" s="2077"/>
      <c r="O141" s="2109">
        <f>IF($C$16="9%",MIN($M$141,O143+O147),IF($C$16="4%",O147,0))</f>
        <v>0</v>
      </c>
      <c r="P141" s="2109">
        <f>IF($C$16="9%",MIN($M$141,P143+P147),IF($C$16="4%",P147,0))</f>
        <v>0</v>
      </c>
      <c r="Q141" s="2110" t="s">
        <v>415</v>
      </c>
      <c r="R141" s="2078" t="str">
        <f>$C$16</f>
        <v>4%</v>
      </c>
      <c r="S141" s="2155"/>
      <c r="AM141" s="2493">
        <v>141</v>
      </c>
    </row>
    <row r="142" spans="1:39" ht="15.9" hidden="1" customHeight="1">
      <c r="A142" s="2204"/>
      <c r="B142" s="2205"/>
      <c r="E142" s="2075"/>
      <c r="F142" s="2074" t="s">
        <v>3692</v>
      </c>
      <c r="G142" s="2155"/>
      <c r="H142" s="2075"/>
      <c r="I142" s="2099"/>
      <c r="K142" s="2108"/>
      <c r="L142" s="2206"/>
      <c r="M142" s="2078"/>
      <c r="N142" s="2077"/>
      <c r="O142" s="2088"/>
      <c r="P142" s="2088"/>
      <c r="Q142" s="2110"/>
      <c r="R142" s="2112"/>
      <c r="AM142" s="2494">
        <v>142</v>
      </c>
    </row>
    <row r="143" spans="1:39" s="2075" customFormat="1" ht="15.9" customHeight="1">
      <c r="A143" s="2078" t="s">
        <v>1835</v>
      </c>
      <c r="B143" s="2199" t="s">
        <v>4693</v>
      </c>
      <c r="C143" s="2093"/>
      <c r="D143" s="2093"/>
      <c r="E143" s="2093"/>
      <c r="F143" s="2093"/>
      <c r="G143" s="2207"/>
      <c r="H143" s="2074" t="s">
        <v>4533</v>
      </c>
      <c r="J143" s="2208" t="str">
        <f>'Part V-Revenues &amp; Expenses'!$O$62</f>
        <v>Income Averaging</v>
      </c>
      <c r="L143" s="2093"/>
      <c r="M143" s="2078">
        <v>2</v>
      </c>
      <c r="N143" s="2153"/>
      <c r="O143" s="2209">
        <f>IF($C$16="9%",MIN($M143,O144+O145),0)</f>
        <v>0</v>
      </c>
      <c r="P143" s="2209">
        <f>IF($C$16="9%",MIN($M143,P144+P145),0)</f>
        <v>0</v>
      </c>
      <c r="AM143" s="2494">
        <v>143</v>
      </c>
    </row>
    <row r="144" spans="1:39" s="2075" customFormat="1" ht="15.9" customHeight="1">
      <c r="A144" s="2078"/>
      <c r="B144" s="2117" t="s">
        <v>1838</v>
      </c>
      <c r="C144" s="1976" t="s">
        <v>3687</v>
      </c>
      <c r="H144" s="2075" t="s">
        <v>3688</v>
      </c>
      <c r="I144" s="2210"/>
      <c r="K144" s="2211">
        <f>'Part V-Revenues &amp; Expenses'!$B$59</f>
        <v>60</v>
      </c>
      <c r="L144" s="2112" t="str">
        <f t="shared" ref="L144:L145" si="3">IF(OR($O144=$M144,$O144=0,$O144=""),"","* * Check Score! * *")</f>
        <v/>
      </c>
      <c r="M144" s="2077">
        <v>2</v>
      </c>
      <c r="N144" s="2118"/>
      <c r="O144" s="1977">
        <v>2</v>
      </c>
      <c r="P144" s="2197"/>
      <c r="Q144" s="2196" t="str">
        <f>IF(OR($O144=$M144,$O144=0,$O144=""),"","*CHECK!*")</f>
        <v/>
      </c>
      <c r="R144" s="2116"/>
      <c r="AM144" s="2494">
        <v>144</v>
      </c>
    </row>
    <row r="145" spans="1:39" s="2075" customFormat="1" ht="15.9" customHeight="1">
      <c r="A145" s="2145"/>
      <c r="B145" s="2120" t="s">
        <v>1840</v>
      </c>
      <c r="C145" s="1976" t="s">
        <v>3689</v>
      </c>
      <c r="I145" s="2210"/>
      <c r="K145" s="2100"/>
      <c r="L145" s="2112" t="str">
        <f t="shared" si="3"/>
        <v/>
      </c>
      <c r="M145" s="2077">
        <v>2</v>
      </c>
      <c r="N145" s="2118"/>
      <c r="O145" s="1978"/>
      <c r="P145" s="2198"/>
      <c r="Q145" s="2196" t="str">
        <f>IF(OR($O145=$M145,$O145=0,$O145=""),"","*CHECK!*")</f>
        <v/>
      </c>
      <c r="R145" s="2116"/>
      <c r="AM145" s="2494">
        <v>145</v>
      </c>
    </row>
    <row r="146" spans="1:39" ht="15.9" hidden="1" customHeight="1">
      <c r="A146" s="2145"/>
      <c r="B146" s="2212"/>
      <c r="C146" s="1975"/>
      <c r="D146" s="2130"/>
      <c r="K146" s="2213"/>
      <c r="L146" s="2213"/>
      <c r="M146" s="2077"/>
      <c r="N146" s="2153"/>
      <c r="O146" s="2341"/>
      <c r="P146" s="2398"/>
      <c r="AM146" s="2493">
        <v>146</v>
      </c>
    </row>
    <row r="147" spans="1:39" ht="15.9" customHeight="1">
      <c r="A147" s="2078" t="s">
        <v>1837</v>
      </c>
      <c r="B147" s="2199" t="s">
        <v>4696</v>
      </c>
      <c r="H147" s="2214" t="s">
        <v>4677</v>
      </c>
      <c r="I147" s="2215"/>
      <c r="K147" s="2216">
        <f>IF(OR('Part V-Revenues &amp; Expenses'!$P$74="", 'Part V-Revenues &amp; Expenses'!$P$74=0),0,'Part V-Revenues &amp; Expenses'!$P$109/'Part V-Revenues &amp; Expenses'!$P$74)</f>
        <v>0.1</v>
      </c>
      <c r="M147" s="2078">
        <v>3</v>
      </c>
      <c r="N147" s="2132"/>
      <c r="O147" s="1986"/>
      <c r="P147" s="2189"/>
      <c r="AM147" s="2494">
        <v>147</v>
      </c>
    </row>
    <row r="148" spans="1:39" ht="15.9" customHeight="1">
      <c r="A148" s="2075"/>
      <c r="B148" s="2181" t="s">
        <v>1724</v>
      </c>
      <c r="D148" s="2136"/>
      <c r="E148" s="2127"/>
      <c r="F148" s="2127"/>
      <c r="G148" s="2127"/>
      <c r="H148" s="2127"/>
      <c r="I148" s="2127"/>
      <c r="J148" s="2127"/>
      <c r="K148" s="2127"/>
      <c r="L148" s="2127"/>
      <c r="M148" s="2127"/>
      <c r="N148" s="2139"/>
      <c r="O148" s="2140"/>
      <c r="P148" s="2078"/>
      <c r="AM148" s="2493">
        <v>148</v>
      </c>
    </row>
    <row r="149" spans="1:39" ht="15" customHeight="1">
      <c r="A149" s="3884"/>
      <c r="B149" s="3885"/>
      <c r="C149" s="3885"/>
      <c r="D149" s="3885"/>
      <c r="E149" s="3885"/>
      <c r="F149" s="3885"/>
      <c r="G149" s="3885"/>
      <c r="H149" s="3885"/>
      <c r="I149" s="3885"/>
      <c r="J149" s="3885"/>
      <c r="K149" s="3885"/>
      <c r="L149" s="3885"/>
      <c r="M149" s="3885"/>
      <c r="N149" s="3885"/>
      <c r="O149" s="3885"/>
      <c r="P149" s="3886"/>
      <c r="Q149" s="2141"/>
      <c r="AM149" s="2493">
        <v>149</v>
      </c>
    </row>
    <row r="150" spans="1:39" ht="9.75" customHeight="1">
      <c r="A150" s="2075"/>
      <c r="B150" s="2094"/>
      <c r="C150" s="2075"/>
      <c r="D150" s="1973"/>
      <c r="E150" s="1974"/>
      <c r="F150" s="1974"/>
      <c r="G150" s="2104"/>
      <c r="H150" s="2104"/>
      <c r="I150" s="2104"/>
      <c r="J150" s="2104"/>
      <c r="K150" s="2104"/>
      <c r="L150" s="2104"/>
      <c r="M150" s="2077"/>
      <c r="O150" s="2088"/>
      <c r="P150" s="2078"/>
      <c r="R150" s="2075"/>
      <c r="S150" s="2075"/>
      <c r="T150" s="2075"/>
      <c r="U150" s="2075"/>
      <c r="V150" s="2075"/>
      <c r="W150" s="2075"/>
      <c r="X150" s="2105"/>
      <c r="Y150" s="2105"/>
      <c r="Z150" s="2105"/>
      <c r="AA150" s="2105"/>
      <c r="AB150" s="2105"/>
      <c r="AC150" s="2105"/>
      <c r="AD150" s="2105"/>
      <c r="AE150" s="2105"/>
      <c r="AF150" s="2105"/>
      <c r="AG150" s="2105"/>
      <c r="AH150" s="2105"/>
      <c r="AI150" s="2105"/>
      <c r="AM150" s="2493">
        <v>150</v>
      </c>
    </row>
    <row r="151" spans="1:39" ht="9.75" customHeight="1">
      <c r="T151" s="2106"/>
      <c r="U151" s="2106"/>
      <c r="AM151" s="2493">
        <v>151</v>
      </c>
    </row>
    <row r="152" spans="1:39" s="2075" customFormat="1" ht="15.9" customHeight="1">
      <c r="A152" s="2184" t="s">
        <v>342</v>
      </c>
      <c r="B152" s="2099" t="s">
        <v>4818</v>
      </c>
      <c r="D152" s="2099"/>
      <c r="E152" s="2099"/>
      <c r="L152" s="2217"/>
      <c r="M152" s="2078">
        <v>2</v>
      </c>
      <c r="N152" s="2077"/>
      <c r="O152" s="2123">
        <f>IF(O153="Yes",$M$152,0)</f>
        <v>2</v>
      </c>
      <c r="P152" s="2123">
        <f>IF(P153="Yes",$M$152,0)</f>
        <v>0</v>
      </c>
      <c r="Q152" s="2110" t="s">
        <v>415</v>
      </c>
      <c r="R152" s="2078"/>
      <c r="AM152" s="2494">
        <v>152</v>
      </c>
    </row>
    <row r="153" spans="1:39" ht="15.9" customHeight="1">
      <c r="B153" s="2272" t="s">
        <v>4938</v>
      </c>
      <c r="C153" s="2075"/>
      <c r="D153" s="2075"/>
      <c r="E153" s="2075"/>
      <c r="F153" s="2075"/>
      <c r="G153" s="2075"/>
      <c r="H153" s="2075"/>
      <c r="I153" s="2075"/>
      <c r="J153" s="2075"/>
      <c r="K153" s="2075"/>
      <c r="M153" s="2077"/>
      <c r="O153" s="1990" t="s">
        <v>2640</v>
      </c>
      <c r="P153" s="2255"/>
      <c r="AM153" s="2494">
        <v>153</v>
      </c>
    </row>
    <row r="154" spans="1:39" ht="15.9" customHeight="1">
      <c r="A154" s="2075"/>
      <c r="B154" s="2097" t="s">
        <v>4816</v>
      </c>
      <c r="C154" s="2075"/>
      <c r="D154" s="2075"/>
      <c r="E154" s="2075"/>
      <c r="F154" s="2075"/>
      <c r="G154" s="2075"/>
      <c r="H154" s="2075"/>
      <c r="I154" s="2075"/>
      <c r="J154" s="2075"/>
      <c r="K154" s="2075"/>
      <c r="M154" s="2077"/>
      <c r="O154" s="2088"/>
      <c r="AM154" s="2494">
        <v>154</v>
      </c>
    </row>
    <row r="155" spans="1:39" ht="30" customHeight="1">
      <c r="A155" s="3890" t="s">
        <v>5221</v>
      </c>
      <c r="B155" s="3891"/>
      <c r="C155" s="3891"/>
      <c r="D155" s="3891"/>
      <c r="E155" s="3891"/>
      <c r="F155" s="3891"/>
      <c r="G155" s="3891"/>
      <c r="H155" s="3891"/>
      <c r="I155" s="3891"/>
      <c r="J155" s="3891"/>
      <c r="K155" s="3891"/>
      <c r="L155" s="3891"/>
      <c r="M155" s="3891"/>
      <c r="N155" s="3891"/>
      <c r="O155" s="3891"/>
      <c r="P155" s="3892"/>
      <c r="Q155" s="2154"/>
      <c r="R155" s="2154"/>
      <c r="AM155" s="2494">
        <v>155</v>
      </c>
    </row>
    <row r="156" spans="1:39" s="2075" customFormat="1" ht="15.9" customHeight="1">
      <c r="A156" s="2097"/>
      <c r="B156" s="2097" t="s">
        <v>1724</v>
      </c>
      <c r="D156" s="2097"/>
      <c r="E156" s="2125"/>
      <c r="F156" s="2125"/>
      <c r="G156" s="2125"/>
      <c r="H156" s="2125"/>
      <c r="I156" s="2125"/>
      <c r="J156" s="2125"/>
      <c r="K156" s="2125"/>
      <c r="L156" s="2125"/>
      <c r="M156" s="2125"/>
      <c r="N156" s="2183"/>
      <c r="O156" s="2103"/>
      <c r="P156" s="2078"/>
      <c r="AM156" s="2493">
        <v>156</v>
      </c>
    </row>
    <row r="157" spans="1:39" ht="15" customHeight="1">
      <c r="A157" s="3884"/>
      <c r="B157" s="3885"/>
      <c r="C157" s="3885"/>
      <c r="D157" s="3885"/>
      <c r="E157" s="3885"/>
      <c r="F157" s="3885"/>
      <c r="G157" s="3885"/>
      <c r="H157" s="3885"/>
      <c r="I157" s="3885"/>
      <c r="J157" s="3885"/>
      <c r="K157" s="3885"/>
      <c r="L157" s="3885"/>
      <c r="M157" s="3885"/>
      <c r="N157" s="3885"/>
      <c r="O157" s="3885"/>
      <c r="P157" s="3886"/>
      <c r="Q157" s="2154"/>
      <c r="R157" s="2154"/>
      <c r="AM157" s="2494">
        <v>157</v>
      </c>
    </row>
    <row r="158" spans="1:39" ht="9" customHeight="1">
      <c r="A158" s="2184"/>
      <c r="B158" s="2075"/>
      <c r="C158" s="2127"/>
      <c r="D158" s="2127"/>
      <c r="E158" s="2127"/>
      <c r="F158" s="2127"/>
      <c r="G158" s="2127"/>
      <c r="H158" s="2127"/>
      <c r="I158" s="2127"/>
      <c r="J158" s="2127"/>
      <c r="K158" s="2127"/>
      <c r="L158" s="2127"/>
      <c r="M158" s="2127"/>
      <c r="N158" s="2139"/>
      <c r="O158" s="2140"/>
      <c r="P158" s="2078"/>
      <c r="AM158" s="2493">
        <v>158</v>
      </c>
    </row>
    <row r="159" spans="1:39" ht="9" customHeight="1" thickBot="1">
      <c r="AM159" s="2493">
        <v>159</v>
      </c>
    </row>
    <row r="160" spans="1:39" ht="15.9" customHeight="1" thickBot="1">
      <c r="A160" s="2098" t="s">
        <v>343</v>
      </c>
      <c r="B160" s="2099" t="s">
        <v>3277</v>
      </c>
      <c r="L160" s="2108" t="s">
        <v>4865</v>
      </c>
      <c r="M160" s="2078">
        <v>20</v>
      </c>
      <c r="N160" s="2113"/>
      <c r="O160" s="2173">
        <f>IF(NOT($H$11="New Affordability"),0,IF(OR($M161-O162&lt;0,O161-O162&lt;0),0,IF(O161&lt;=$M161,O161-O162,IF(O161&gt;$M161,$M161-O162,0))))</f>
        <v>0</v>
      </c>
      <c r="P160" s="2173">
        <f>IF(NOT($H$12="New Affordability"),0,IF(OR($M161-P162&lt;0,P161-P162&lt;0),0,IF(P161&lt;=$M161,P161-P162,IF(P161&gt;$M161,$M161-P162,0))))</f>
        <v>0</v>
      </c>
      <c r="Q160" s="2110" t="s">
        <v>415</v>
      </c>
      <c r="R160" s="2078" t="str">
        <f>$C$16</f>
        <v>4%</v>
      </c>
      <c r="AM160" s="2493">
        <v>160</v>
      </c>
    </row>
    <row r="161" spans="1:39" s="2075" customFormat="1" ht="15.9" customHeight="1">
      <c r="A161" s="2078" t="s">
        <v>1835</v>
      </c>
      <c r="B161" s="2086" t="s">
        <v>1731</v>
      </c>
      <c r="C161" s="2086"/>
      <c r="D161" s="2086"/>
      <c r="F161" s="2086"/>
      <c r="H161" s="2113"/>
      <c r="I161" s="2072"/>
      <c r="J161" s="2072"/>
      <c r="K161" s="2072"/>
      <c r="L161" s="2112" t="str">
        <f>IF(OR($O161=$M161,$O161&lt;$M161,$O161=0,$O161=""),"","* * Check Score! * *")</f>
        <v/>
      </c>
      <c r="M161" s="2077">
        <v>20</v>
      </c>
      <c r="N161" s="2118"/>
      <c r="O161" s="2013">
        <v>20</v>
      </c>
      <c r="P161" s="2220"/>
      <c r="Q161" s="2196"/>
      <c r="R161" s="2116"/>
      <c r="AM161" s="2493">
        <v>161</v>
      </c>
    </row>
    <row r="162" spans="1:39" s="2075" customFormat="1" ht="15.9" customHeight="1">
      <c r="A162" s="2078" t="s">
        <v>1837</v>
      </c>
      <c r="B162" s="2086" t="s">
        <v>3193</v>
      </c>
      <c r="H162" s="2113"/>
      <c r="I162" s="2072"/>
      <c r="J162" s="2072"/>
      <c r="K162" s="2186"/>
      <c r="L162" s="2072"/>
      <c r="M162" s="2077" t="s">
        <v>1163</v>
      </c>
      <c r="N162" s="2113"/>
      <c r="O162" s="2013"/>
      <c r="P162" s="2220"/>
      <c r="R162" s="2116"/>
      <c r="AM162" s="2493">
        <v>162</v>
      </c>
    </row>
    <row r="163" spans="1:39" ht="15.9" customHeight="1">
      <c r="A163" s="2075"/>
      <c r="B163" s="2097" t="s">
        <v>4816</v>
      </c>
      <c r="C163" s="2075"/>
      <c r="D163" s="2075"/>
      <c r="E163" s="2075"/>
      <c r="F163" s="2075"/>
      <c r="G163" s="2075"/>
      <c r="H163" s="2075"/>
      <c r="I163" s="2075"/>
      <c r="J163" s="2075"/>
      <c r="K163" s="2075"/>
      <c r="M163" s="2077"/>
      <c r="O163" s="2088"/>
      <c r="AM163" s="2493">
        <v>163</v>
      </c>
    </row>
    <row r="164" spans="1:39" ht="15.9" customHeight="1">
      <c r="A164" s="3890" t="s">
        <v>5227</v>
      </c>
      <c r="B164" s="3891"/>
      <c r="C164" s="3891"/>
      <c r="D164" s="3891"/>
      <c r="E164" s="3891"/>
      <c r="F164" s="3891"/>
      <c r="G164" s="3891"/>
      <c r="H164" s="3891"/>
      <c r="I164" s="3891"/>
      <c r="J164" s="3891"/>
      <c r="K164" s="3891"/>
      <c r="L164" s="3891"/>
      <c r="M164" s="3891"/>
      <c r="N164" s="3891"/>
      <c r="O164" s="3891"/>
      <c r="P164" s="3892"/>
      <c r="Q164" s="2154"/>
      <c r="R164" s="2154"/>
      <c r="AM164" s="2494">
        <v>164</v>
      </c>
    </row>
    <row r="165" spans="1:39" ht="15.9" customHeight="1">
      <c r="A165" s="2075"/>
      <c r="B165" s="2097" t="s">
        <v>1724</v>
      </c>
      <c r="C165" s="2075"/>
      <c r="D165" s="2221"/>
      <c r="E165" s="2127"/>
      <c r="F165" s="2127"/>
      <c r="G165" s="2127"/>
      <c r="H165" s="2127"/>
      <c r="I165" s="2127"/>
      <c r="J165" s="2127"/>
      <c r="K165" s="2127"/>
      <c r="L165" s="2127"/>
      <c r="M165" s="2127"/>
      <c r="N165" s="2139"/>
      <c r="O165" s="2140"/>
      <c r="P165" s="2078"/>
      <c r="AM165" s="2494">
        <v>165</v>
      </c>
    </row>
    <row r="166" spans="1:39" ht="30" customHeight="1">
      <c r="A166" s="3884"/>
      <c r="B166" s="3885"/>
      <c r="C166" s="3885"/>
      <c r="D166" s="3885"/>
      <c r="E166" s="3885"/>
      <c r="F166" s="3885"/>
      <c r="G166" s="3885"/>
      <c r="H166" s="3885"/>
      <c r="I166" s="3885"/>
      <c r="J166" s="3885"/>
      <c r="K166" s="3885"/>
      <c r="L166" s="3885"/>
      <c r="M166" s="3885"/>
      <c r="N166" s="3885"/>
      <c r="O166" s="3885"/>
      <c r="P166" s="3886"/>
      <c r="Q166" s="2141"/>
      <c r="R166" s="2154"/>
      <c r="AM166" s="2493">
        <v>166</v>
      </c>
    </row>
    <row r="167" spans="1:39" ht="9.75" customHeight="1">
      <c r="A167" s="2075"/>
      <c r="B167" s="2094"/>
      <c r="C167" s="2075"/>
      <c r="D167" s="1973"/>
      <c r="E167" s="1974"/>
      <c r="F167" s="1974"/>
      <c r="G167" s="2104"/>
      <c r="H167" s="2104"/>
      <c r="I167" s="2104"/>
      <c r="J167" s="2104"/>
      <c r="K167" s="2104"/>
      <c r="L167" s="2104"/>
      <c r="M167" s="2077"/>
      <c r="O167" s="2088"/>
      <c r="P167" s="2078"/>
      <c r="R167" s="2075"/>
      <c r="S167" s="2075"/>
      <c r="T167" s="2075"/>
      <c r="U167" s="2075"/>
      <c r="V167" s="2075"/>
      <c r="W167" s="2075"/>
      <c r="X167" s="2105"/>
      <c r="Y167" s="2105"/>
      <c r="Z167" s="2105"/>
      <c r="AA167" s="2105"/>
      <c r="AB167" s="2105"/>
      <c r="AC167" s="2105"/>
      <c r="AD167" s="2105"/>
      <c r="AE167" s="2105"/>
      <c r="AF167" s="2105"/>
      <c r="AG167" s="2105"/>
      <c r="AH167" s="2105"/>
      <c r="AI167" s="2105"/>
      <c r="AM167" s="2493">
        <v>167</v>
      </c>
    </row>
    <row r="168" spans="1:39" ht="9.75" customHeight="1" thickBot="1">
      <c r="T168" s="2106"/>
      <c r="U168" s="2106"/>
      <c r="AM168" s="2494">
        <v>168</v>
      </c>
    </row>
    <row r="169" spans="1:39" ht="15.9" customHeight="1" thickBot="1">
      <c r="A169" s="2098" t="s">
        <v>344</v>
      </c>
      <c r="B169" s="2099" t="s">
        <v>2406</v>
      </c>
      <c r="H169" s="2222"/>
      <c r="I169" s="2199"/>
      <c r="J169" s="2145"/>
      <c r="K169" s="2078"/>
      <c r="L169" s="2108" t="s">
        <v>4865</v>
      </c>
      <c r="M169" s="2078">
        <v>6</v>
      </c>
      <c r="N169" s="2113"/>
      <c r="O169" s="2173">
        <f>IF($H$11="New Affordability",MAX(O177,O180),0)</f>
        <v>0</v>
      </c>
      <c r="P169" s="2173">
        <f>IF($H$12="New Affordability",MAX(P177,P180),0)</f>
        <v>0</v>
      </c>
      <c r="Q169" s="2110" t="s">
        <v>415</v>
      </c>
      <c r="R169" s="2078" t="str">
        <f>$C$16</f>
        <v>4%</v>
      </c>
      <c r="AM169" s="2494">
        <v>169</v>
      </c>
    </row>
    <row r="170" spans="1:39" ht="15.9" hidden="1" customHeight="1">
      <c r="A170" s="2098"/>
      <c r="B170" s="2099"/>
      <c r="H170" s="2099"/>
      <c r="I170" s="2097"/>
      <c r="J170" s="2075"/>
      <c r="K170" s="2075"/>
      <c r="M170" s="2078"/>
      <c r="N170" s="2113"/>
      <c r="O170" s="2088"/>
      <c r="P170" s="2088"/>
      <c r="Q170" s="2110"/>
      <c r="AM170" s="2494">
        <v>170</v>
      </c>
    </row>
    <row r="171" spans="1:39" ht="15.9" customHeight="1">
      <c r="A171" s="2098"/>
      <c r="B171" s="2075" t="s">
        <v>3236</v>
      </c>
      <c r="F171" s="3932" t="s">
        <v>3129</v>
      </c>
      <c r="G171" s="3932"/>
      <c r="H171" s="3932"/>
      <c r="I171" s="3932"/>
      <c r="J171" s="3932" t="s">
        <v>3130</v>
      </c>
      <c r="K171" s="3932"/>
      <c r="L171" s="3932"/>
      <c r="M171" s="3932"/>
      <c r="N171" s="2113"/>
      <c r="O171" s="4046" t="s">
        <v>4678</v>
      </c>
      <c r="P171" s="4046"/>
      <c r="AM171" s="2494">
        <v>171</v>
      </c>
    </row>
    <row r="172" spans="1:39" ht="15" customHeight="1">
      <c r="B172" s="2223"/>
      <c r="C172" s="2224" t="s">
        <v>4679</v>
      </c>
      <c r="F172" s="4048">
        <v>33.750639</v>
      </c>
      <c r="G172" s="4049"/>
      <c r="H172" s="4050"/>
      <c r="I172" s="4051"/>
      <c r="J172" s="4048">
        <v>-84.229749999999996</v>
      </c>
      <c r="K172" s="4049"/>
      <c r="L172" s="4050"/>
      <c r="M172" s="4051"/>
      <c r="N172" s="2074"/>
      <c r="O172" s="4047"/>
      <c r="P172" s="4047"/>
      <c r="AM172" s="2493">
        <v>172</v>
      </c>
    </row>
    <row r="173" spans="1:39" ht="15" customHeight="1">
      <c r="A173" s="2223"/>
      <c r="B173" s="2225"/>
      <c r="C173" s="2224" t="s">
        <v>4680</v>
      </c>
      <c r="F173" s="4040">
        <v>33.750788</v>
      </c>
      <c r="G173" s="4041"/>
      <c r="H173" s="4042"/>
      <c r="I173" s="4043"/>
      <c r="J173" s="4040">
        <v>-84.229585</v>
      </c>
      <c r="K173" s="4041"/>
      <c r="L173" s="4042"/>
      <c r="M173" s="4043"/>
      <c r="N173" s="2113"/>
      <c r="O173" s="2524">
        <v>0.01</v>
      </c>
      <c r="P173" s="2525"/>
      <c r="AM173" s="2494">
        <v>173</v>
      </c>
    </row>
    <row r="174" spans="1:39" ht="15.9" customHeight="1">
      <c r="A174" s="2225"/>
      <c r="B174" s="4044" t="s">
        <v>4701</v>
      </c>
      <c r="C174" s="4044"/>
      <c r="D174" s="4044"/>
      <c r="E174" s="4044"/>
      <c r="F174" s="2095" t="s">
        <v>4681</v>
      </c>
      <c r="G174" s="4045" t="s">
        <v>1667</v>
      </c>
      <c r="H174" s="4045"/>
      <c r="I174" s="4045"/>
      <c r="J174" s="4045" t="s">
        <v>4698</v>
      </c>
      <c r="K174" s="4045"/>
      <c r="L174" s="4045"/>
      <c r="M174" s="4045"/>
      <c r="N174" s="4045"/>
      <c r="O174" s="4045"/>
      <c r="P174" s="4045"/>
      <c r="AM174" s="2493">
        <v>174</v>
      </c>
    </row>
    <row r="175" spans="1:39" ht="15" customHeight="1">
      <c r="A175" s="2225"/>
      <c r="B175" s="4033" t="s">
        <v>5228</v>
      </c>
      <c r="C175" s="4033"/>
      <c r="D175" s="4033"/>
      <c r="E175" s="4033"/>
      <c r="F175" s="2535">
        <v>4048485000</v>
      </c>
      <c r="G175" s="4034" t="s">
        <v>5230</v>
      </c>
      <c r="H175" s="4034"/>
      <c r="I175" s="4034"/>
      <c r="J175" s="4034" t="s">
        <v>5229</v>
      </c>
      <c r="K175" s="4034"/>
      <c r="L175" s="4034"/>
      <c r="M175" s="4034"/>
      <c r="N175" s="4034"/>
      <c r="O175" s="4034"/>
      <c r="P175" s="4034"/>
      <c r="AM175" s="2493">
        <v>175</v>
      </c>
    </row>
    <row r="176" spans="1:39" ht="15.9" hidden="1" customHeight="1">
      <c r="A176" s="2096"/>
      <c r="B176" s="2099"/>
      <c r="F176" s="2111"/>
      <c r="M176" s="2078"/>
      <c r="N176" s="2078"/>
      <c r="O176" s="2078"/>
      <c r="P176" s="2078"/>
      <c r="Q176" s="2110"/>
      <c r="R176" s="2146"/>
      <c r="S176" s="2146"/>
      <c r="T176" s="2146"/>
      <c r="U176" s="2146"/>
      <c r="AM176" s="2493">
        <v>176</v>
      </c>
    </row>
    <row r="177" spans="1:39" ht="15.9" customHeight="1">
      <c r="A177" s="2218" t="s">
        <v>1835</v>
      </c>
      <c r="B177" s="2086" t="s">
        <v>3152</v>
      </c>
      <c r="F177" s="2226"/>
      <c r="L177" s="2172" t="s">
        <v>4836</v>
      </c>
      <c r="M177" s="2078">
        <v>6</v>
      </c>
      <c r="N177" s="2153"/>
      <c r="O177" s="2227">
        <f>IF(OR($L$11="Atlanta Metro",$L$11="Other Metro",$L$11="N/A-4%"),MIN($M177,O178+O179),0)</f>
        <v>0</v>
      </c>
      <c r="P177" s="2227">
        <f>IF(OR($L$12="Atlanta Metro",$L$12="Other Metro",$L$12="N/A-4%"),MIN($M177,P178+P179),0)</f>
        <v>0</v>
      </c>
      <c r="Q177" s="2110"/>
      <c r="S177" s="2228" t="s">
        <v>4155</v>
      </c>
      <c r="T177" s="2228" t="s">
        <v>4040</v>
      </c>
      <c r="AM177" s="2493">
        <v>177</v>
      </c>
    </row>
    <row r="178" spans="1:39" s="2130" customFormat="1" ht="29.4" customHeight="1">
      <c r="A178" s="2131"/>
      <c r="B178" s="2120" t="s">
        <v>1838</v>
      </c>
      <c r="C178" s="4035" t="s">
        <v>4694</v>
      </c>
      <c r="D178" s="4035"/>
      <c r="E178" s="4035"/>
      <c r="F178" s="4035"/>
      <c r="G178" s="4035"/>
      <c r="H178" s="4035"/>
      <c r="I178" s="4035"/>
      <c r="J178" s="4035"/>
      <c r="K178" s="4035"/>
      <c r="L178" s="2112" t="str">
        <f t="shared" ref="L178" si="4">IF(OR($O178=$M178,$O178=0,$O178=""),"","* * Check Score! * *")</f>
        <v/>
      </c>
      <c r="M178" s="2131">
        <v>6</v>
      </c>
      <c r="N178" s="2178"/>
      <c r="O178" s="1983"/>
      <c r="P178" s="2229"/>
      <c r="R178" s="4039" t="s">
        <v>4552</v>
      </c>
      <c r="S178" s="2230">
        <v>0.25</v>
      </c>
      <c r="T178" s="2230">
        <v>5</v>
      </c>
      <c r="AM178" s="2493">
        <v>178</v>
      </c>
    </row>
    <row r="179" spans="1:39" s="2130" customFormat="1" ht="15.9" customHeight="1">
      <c r="A179" s="2145" t="s">
        <v>1273</v>
      </c>
      <c r="B179" s="2120" t="s">
        <v>1840</v>
      </c>
      <c r="C179" s="2075" t="s">
        <v>4695</v>
      </c>
      <c r="D179" s="2075"/>
      <c r="E179" s="2075"/>
      <c r="F179" s="2075"/>
      <c r="G179" s="2075"/>
      <c r="H179" s="2075"/>
      <c r="I179" s="2075"/>
      <c r="J179" s="2092"/>
      <c r="K179" s="2092"/>
      <c r="L179" s="2112"/>
      <c r="M179" s="2077">
        <v>5</v>
      </c>
      <c r="N179" s="2180"/>
      <c r="O179" s="1981"/>
      <c r="P179" s="2231"/>
      <c r="R179" s="4039"/>
      <c r="S179" s="2230">
        <v>0.5</v>
      </c>
      <c r="T179" s="2230">
        <v>4.5</v>
      </c>
      <c r="AM179" s="2493">
        <v>179</v>
      </c>
    </row>
    <row r="180" spans="1:39" s="2130" customFormat="1" ht="15.9" customHeight="1">
      <c r="A180" s="2218" t="s">
        <v>1837</v>
      </c>
      <c r="B180" s="2232" t="s">
        <v>3153</v>
      </c>
      <c r="F180" s="2233"/>
      <c r="H180" s="2093"/>
      <c r="I180" s="2093"/>
      <c r="J180" s="2225"/>
      <c r="K180" s="2225"/>
      <c r="L180" s="2234"/>
      <c r="M180" s="2078">
        <v>3</v>
      </c>
      <c r="N180" s="2113"/>
      <c r="O180" s="2209">
        <f>IF(OR(AND(O181&gt;0,O182&gt;0,O183&gt;0), AND(O181&gt;0,O182&gt;0), AND(O182&gt;0,O183&gt;0), AND(O181&gt;0,O183&gt;0)),"Choose", IF(AND(OR($L$11="Atlanta Metro",$L$11="Other Metro",$L$11="N/A-4%"),SUM(O181,O182,O183)&gt;0), MIN($M180,O181+O182), IF(AND(OR($L$11="Rural"),SUM(O181,O182,O183)&gt;0), MIN($M180,O183),0)))</f>
        <v>3</v>
      </c>
      <c r="P180" s="2209">
        <f>IF(OR(AND(P181&gt;0,P182&gt;0,P183&gt;0), AND(P181&gt;0,P182&gt;0), AND(P182&gt;0,P183&gt;0), AND(P181&gt;0,P183&gt;0)),"Choose", IF(AND(OR($L$12="Atlanta Metro",$L$12="Other Metro",$L$11="N/A-4%"),SUM(P181,P182,P183)&gt;0), MIN($M180,P181+P182), IF(AND(OR($L$11="Rural"),SUM(P181,P182,P183)&gt;0), MIN($M180,P183),0)))</f>
        <v>0</v>
      </c>
      <c r="R180" s="4039"/>
      <c r="S180" s="2235">
        <v>1</v>
      </c>
      <c r="T180" s="2235">
        <v>4</v>
      </c>
      <c r="AM180" s="2494">
        <v>180</v>
      </c>
    </row>
    <row r="181" spans="1:39" ht="15.9" customHeight="1">
      <c r="A181" s="2098"/>
      <c r="B181" s="2236" t="s">
        <v>1838</v>
      </c>
      <c r="C181" s="2075" t="s">
        <v>4682</v>
      </c>
      <c r="D181" s="2093"/>
      <c r="E181" s="2093"/>
      <c r="F181" s="2093"/>
      <c r="G181" s="2093"/>
      <c r="H181" s="2093"/>
      <c r="I181" s="2093"/>
      <c r="J181" s="2093"/>
      <c r="K181" s="2093"/>
      <c r="L181" s="2112" t="str">
        <f t="shared" ref="L181:L183" si="5">IF(OR($O181=$M181,$O181=0,$O181=""),"","* * Check Score! * *")</f>
        <v/>
      </c>
      <c r="M181" s="2077">
        <v>3</v>
      </c>
      <c r="N181" s="2180"/>
      <c r="O181" s="1984">
        <v>3</v>
      </c>
      <c r="P181" s="2237"/>
      <c r="R181" s="4039" t="s">
        <v>4553</v>
      </c>
      <c r="S181" s="2238">
        <v>0.25</v>
      </c>
      <c r="T181" s="2238">
        <v>3</v>
      </c>
      <c r="U181" s="2130"/>
      <c r="AM181" s="2494">
        <v>181</v>
      </c>
    </row>
    <row r="182" spans="1:39" ht="15.9" customHeight="1">
      <c r="A182" s="2145" t="s">
        <v>1273</v>
      </c>
      <c r="B182" s="2236" t="s">
        <v>1840</v>
      </c>
      <c r="C182" s="2075" t="s">
        <v>4700</v>
      </c>
      <c r="D182" s="2093"/>
      <c r="E182" s="2093"/>
      <c r="F182" s="2093"/>
      <c r="G182" s="2093"/>
      <c r="H182" s="2093"/>
      <c r="I182" s="2093"/>
      <c r="J182" s="2225"/>
      <c r="K182" s="2225"/>
      <c r="L182" s="2112" t="str">
        <f t="shared" si="5"/>
        <v/>
      </c>
      <c r="M182" s="2077">
        <v>1</v>
      </c>
      <c r="N182" s="2180"/>
      <c r="O182" s="1985"/>
      <c r="P182" s="2239"/>
      <c r="R182" s="4039"/>
      <c r="S182" s="2230">
        <v>0.5</v>
      </c>
      <c r="T182" s="2230">
        <v>2</v>
      </c>
      <c r="U182" s="2130"/>
      <c r="AM182" s="2494">
        <v>182</v>
      </c>
    </row>
    <row r="183" spans="1:39" s="2130" customFormat="1" ht="29.25" customHeight="1">
      <c r="A183" s="2240" t="s">
        <v>1273</v>
      </c>
      <c r="B183" s="2236" t="s">
        <v>2325</v>
      </c>
      <c r="C183" s="4035" t="s">
        <v>4699</v>
      </c>
      <c r="D183" s="4035"/>
      <c r="E183" s="4035"/>
      <c r="F183" s="4035"/>
      <c r="G183" s="4035"/>
      <c r="H183" s="4035"/>
      <c r="I183" s="4035"/>
      <c r="J183" s="4035"/>
      <c r="K183" s="4035"/>
      <c r="L183" s="2112" t="str">
        <f t="shared" si="5"/>
        <v/>
      </c>
      <c r="M183" s="2131">
        <v>2</v>
      </c>
      <c r="N183" s="2178"/>
      <c r="O183" s="2014"/>
      <c r="P183" s="2241"/>
      <c r="R183" s="4039"/>
      <c r="S183" s="2235">
        <v>1</v>
      </c>
      <c r="T183" s="2235">
        <v>1</v>
      </c>
      <c r="AM183" s="2493">
        <v>183</v>
      </c>
    </row>
    <row r="184" spans="1:39" ht="15.9" customHeight="1">
      <c r="A184" s="2075"/>
      <c r="B184" s="2097" t="s">
        <v>4816</v>
      </c>
      <c r="C184" s="2075"/>
      <c r="D184" s="2075"/>
      <c r="E184" s="2075"/>
      <c r="F184" s="2075"/>
      <c r="G184" s="2075"/>
      <c r="H184" s="2075"/>
      <c r="I184" s="2075"/>
      <c r="J184" s="2075"/>
      <c r="K184" s="2075"/>
      <c r="M184" s="2077"/>
      <c r="O184" s="2088"/>
      <c r="AM184" s="2493">
        <v>184</v>
      </c>
    </row>
    <row r="185" spans="1:39" ht="60" customHeight="1">
      <c r="A185" s="3890" t="s">
        <v>5231</v>
      </c>
      <c r="B185" s="3891"/>
      <c r="C185" s="3891"/>
      <c r="D185" s="3891"/>
      <c r="E185" s="3891"/>
      <c r="F185" s="3891"/>
      <c r="G185" s="3891"/>
      <c r="H185" s="3891"/>
      <c r="I185" s="3891"/>
      <c r="J185" s="3891"/>
      <c r="K185" s="3891"/>
      <c r="L185" s="3891"/>
      <c r="M185" s="3891"/>
      <c r="N185" s="3891"/>
      <c r="O185" s="3891"/>
      <c r="P185" s="3892"/>
      <c r="Q185" s="2154"/>
      <c r="R185" s="2154"/>
      <c r="AM185" s="2494">
        <v>185</v>
      </c>
    </row>
    <row r="186" spans="1:39" s="2075" customFormat="1" ht="15.9" customHeight="1">
      <c r="B186" s="2181" t="s">
        <v>1724</v>
      </c>
      <c r="D186" s="2181"/>
      <c r="E186" s="2125"/>
      <c r="F186" s="2125"/>
      <c r="G186" s="2125"/>
      <c r="H186" s="2125"/>
      <c r="I186" s="2125"/>
      <c r="J186" s="2125"/>
      <c r="K186" s="2125"/>
      <c r="L186" s="2125"/>
      <c r="M186" s="2125"/>
      <c r="N186" s="2183"/>
      <c r="O186" s="2103"/>
      <c r="P186" s="2078"/>
      <c r="Q186" s="2074"/>
      <c r="AM186" s="2493">
        <v>186</v>
      </c>
    </row>
    <row r="187" spans="1:39" ht="30" customHeight="1">
      <c r="A187" s="3884"/>
      <c r="B187" s="3885"/>
      <c r="C187" s="3885"/>
      <c r="D187" s="3885"/>
      <c r="E187" s="3885"/>
      <c r="F187" s="3885"/>
      <c r="G187" s="3885"/>
      <c r="H187" s="3885"/>
      <c r="I187" s="3885"/>
      <c r="J187" s="3885"/>
      <c r="K187" s="3885"/>
      <c r="L187" s="3885"/>
      <c r="M187" s="3885"/>
      <c r="N187" s="3885"/>
      <c r="O187" s="3885"/>
      <c r="P187" s="3886"/>
      <c r="Q187" s="2141"/>
      <c r="AM187" s="2493">
        <v>187</v>
      </c>
    </row>
    <row r="188" spans="1:39" ht="9.75" customHeight="1">
      <c r="AM188" s="2494">
        <v>188</v>
      </c>
    </row>
    <row r="189" spans="1:39" ht="9.75" customHeight="1" thickBot="1">
      <c r="AM189" s="2494">
        <v>189</v>
      </c>
    </row>
    <row r="190" spans="1:39" ht="15.9" customHeight="1" thickBot="1">
      <c r="A190" s="2098" t="s">
        <v>1602</v>
      </c>
      <c r="B190" s="2099" t="s">
        <v>4044</v>
      </c>
      <c r="C190" s="2127"/>
      <c r="D190" s="2127"/>
      <c r="E190" s="2127"/>
      <c r="G190" s="2078"/>
      <c r="H190" s="2116"/>
      <c r="L190" s="2108" t="s">
        <v>4865</v>
      </c>
      <c r="M190" s="2078">
        <v>3</v>
      </c>
      <c r="N190" s="2139"/>
      <c r="O190" s="2018">
        <v>1.5</v>
      </c>
      <c r="P190" s="2242"/>
      <c r="Q190" s="2196" t="str">
        <f>IF(OR($O190&lt;=$M190,$O190=0,$O190=""),"","*CHECK!*")</f>
        <v/>
      </c>
      <c r="R190" s="2243" t="s">
        <v>415</v>
      </c>
      <c r="S190" s="2078" t="str">
        <f>$C$16</f>
        <v>4%</v>
      </c>
      <c r="AM190" s="2494">
        <v>190</v>
      </c>
    </row>
    <row r="191" spans="1:39" ht="23.25" customHeight="1">
      <c r="B191" s="2244"/>
      <c r="C191" s="2244"/>
      <c r="D191" s="2244"/>
      <c r="E191" s="2245"/>
      <c r="F191" s="3913" t="s">
        <v>5081</v>
      </c>
      <c r="G191" s="4017" t="s">
        <v>4715</v>
      </c>
      <c r="H191" s="4017"/>
      <c r="I191" s="4036" t="s">
        <v>4716</v>
      </c>
      <c r="J191" s="4019" t="s">
        <v>4725</v>
      </c>
      <c r="K191" s="4020"/>
      <c r="L191" s="4029" t="s">
        <v>4702</v>
      </c>
      <c r="M191" s="4029"/>
      <c r="N191" s="4029"/>
      <c r="O191" s="2526"/>
      <c r="P191" s="2246"/>
      <c r="AM191" s="2494">
        <v>191</v>
      </c>
    </row>
    <row r="192" spans="1:39" ht="24.6" customHeight="1">
      <c r="B192" s="2244"/>
      <c r="C192" s="2244"/>
      <c r="D192" s="2244"/>
      <c r="E192" s="2245"/>
      <c r="F192" s="3913"/>
      <c r="G192" s="4017"/>
      <c r="H192" s="4017"/>
      <c r="I192" s="4036"/>
      <c r="J192" s="4021"/>
      <c r="K192" s="4022"/>
      <c r="L192" s="4017"/>
      <c r="M192" s="4017"/>
      <c r="N192" s="4017"/>
      <c r="O192" s="2527"/>
      <c r="P192" s="2246"/>
      <c r="AM192" s="2493">
        <v>192</v>
      </c>
    </row>
    <row r="193" spans="1:39" ht="15.9" customHeight="1">
      <c r="B193" s="2247" t="s">
        <v>4518</v>
      </c>
      <c r="C193" s="2248"/>
      <c r="D193" s="2245"/>
      <c r="E193" s="2245"/>
      <c r="F193" s="4038"/>
      <c r="G193" s="4018"/>
      <c r="H193" s="4018"/>
      <c r="I193" s="4037"/>
      <c r="J193" s="4023"/>
      <c r="K193" s="4024"/>
      <c r="L193" s="4018"/>
      <c r="M193" s="4018"/>
      <c r="N193" s="4018"/>
      <c r="O193" s="2527"/>
      <c r="P193" s="2246"/>
      <c r="AM193" s="2494">
        <v>193</v>
      </c>
    </row>
    <row r="194" spans="1:39" ht="30" customHeight="1">
      <c r="B194" s="4014" t="s">
        <v>5207</v>
      </c>
      <c r="C194" s="4015"/>
      <c r="D194" s="4015"/>
      <c r="E194" s="4016"/>
      <c r="F194" s="2539" t="s">
        <v>5215</v>
      </c>
      <c r="G194" s="4025"/>
      <c r="H194" s="4026"/>
      <c r="I194" s="2532" t="s">
        <v>2643</v>
      </c>
      <c r="J194" s="4027"/>
      <c r="K194" s="4028"/>
      <c r="L194" s="4027"/>
      <c r="M194" s="4030"/>
      <c r="N194" s="4028"/>
      <c r="O194" s="4031"/>
      <c r="P194" s="4032"/>
      <c r="AM194" s="2493">
        <v>194</v>
      </c>
    </row>
    <row r="195" spans="1:39" ht="30" customHeight="1">
      <c r="B195" s="4006" t="s">
        <v>5208</v>
      </c>
      <c r="C195" s="4007"/>
      <c r="D195" s="4007"/>
      <c r="E195" s="4008"/>
      <c r="F195" s="2540" t="s">
        <v>5216</v>
      </c>
      <c r="G195" s="3998"/>
      <c r="H195" s="3999"/>
      <c r="I195" s="2533" t="s">
        <v>2640</v>
      </c>
      <c r="J195" s="4000"/>
      <c r="K195" s="4001"/>
      <c r="L195" s="4000"/>
      <c r="M195" s="4012"/>
      <c r="N195" s="4001"/>
      <c r="O195" s="3871"/>
      <c r="P195" s="3872"/>
      <c r="AM195" s="2493">
        <v>195</v>
      </c>
    </row>
    <row r="196" spans="1:39" ht="30" customHeight="1">
      <c r="B196" s="4006" t="s">
        <v>5209</v>
      </c>
      <c r="C196" s="4007"/>
      <c r="D196" s="4007"/>
      <c r="E196" s="4008"/>
      <c r="F196" s="2540" t="s">
        <v>5217</v>
      </c>
      <c r="G196" s="3998"/>
      <c r="H196" s="3999"/>
      <c r="I196" s="2533" t="s">
        <v>2640</v>
      </c>
      <c r="J196" s="4000"/>
      <c r="K196" s="4001"/>
      <c r="L196" s="4000"/>
      <c r="M196" s="4012"/>
      <c r="N196" s="4001"/>
      <c r="O196" s="3871"/>
      <c r="P196" s="3872"/>
      <c r="AM196" s="2493">
        <v>196</v>
      </c>
    </row>
    <row r="197" spans="1:39" ht="30" customHeight="1">
      <c r="B197" s="4006"/>
      <c r="C197" s="4007"/>
      <c r="D197" s="4007"/>
      <c r="E197" s="4008"/>
      <c r="F197" s="2540"/>
      <c r="G197" s="3998"/>
      <c r="H197" s="3999"/>
      <c r="I197" s="2533"/>
      <c r="J197" s="4000"/>
      <c r="K197" s="4001"/>
      <c r="L197" s="4000"/>
      <c r="M197" s="4012"/>
      <c r="N197" s="4001"/>
      <c r="O197" s="3871"/>
      <c r="P197" s="3872"/>
      <c r="AM197" s="2493">
        <v>197</v>
      </c>
    </row>
    <row r="198" spans="1:39" ht="30" customHeight="1">
      <c r="B198" s="4006"/>
      <c r="C198" s="4007"/>
      <c r="D198" s="4007"/>
      <c r="E198" s="4008"/>
      <c r="F198" s="2540"/>
      <c r="G198" s="3998"/>
      <c r="H198" s="3999"/>
      <c r="I198" s="2533"/>
      <c r="J198" s="4000"/>
      <c r="K198" s="4001"/>
      <c r="L198" s="4000"/>
      <c r="M198" s="4012"/>
      <c r="N198" s="4001"/>
      <c r="O198" s="3871"/>
      <c r="P198" s="3872"/>
      <c r="AM198" s="2494">
        <v>198</v>
      </c>
    </row>
    <row r="199" spans="1:39" ht="30" customHeight="1">
      <c r="B199" s="4009"/>
      <c r="C199" s="4010"/>
      <c r="D199" s="4010"/>
      <c r="E199" s="4011"/>
      <c r="F199" s="2541"/>
      <c r="G199" s="4002"/>
      <c r="H199" s="4003"/>
      <c r="I199" s="2534"/>
      <c r="J199" s="4004"/>
      <c r="K199" s="4005"/>
      <c r="L199" s="4004"/>
      <c r="M199" s="4013"/>
      <c r="N199" s="4005"/>
      <c r="O199" s="3873"/>
      <c r="P199" s="3874"/>
      <c r="AM199" s="2494">
        <v>199</v>
      </c>
    </row>
    <row r="200" spans="1:39" ht="15.9" customHeight="1">
      <c r="A200" s="2075"/>
      <c r="B200" s="2097" t="s">
        <v>4816</v>
      </c>
      <c r="C200" s="2075"/>
      <c r="D200" s="2075"/>
      <c r="E200" s="2075"/>
      <c r="F200" s="2075"/>
      <c r="G200" s="2075"/>
      <c r="H200" s="2075"/>
      <c r="I200" s="2075"/>
      <c r="J200" s="2075"/>
      <c r="K200" s="2075"/>
      <c r="M200" s="2077"/>
      <c r="O200" s="2088"/>
      <c r="AM200" s="2494">
        <v>200</v>
      </c>
    </row>
    <row r="201" spans="1:39" ht="90" customHeight="1">
      <c r="A201" s="3890" t="s">
        <v>5218</v>
      </c>
      <c r="B201" s="3891"/>
      <c r="C201" s="3891"/>
      <c r="D201" s="3891"/>
      <c r="E201" s="3891"/>
      <c r="F201" s="3891"/>
      <c r="G201" s="3891"/>
      <c r="H201" s="3891"/>
      <c r="I201" s="3891"/>
      <c r="J201" s="3891"/>
      <c r="K201" s="3891"/>
      <c r="L201" s="3891"/>
      <c r="M201" s="3891"/>
      <c r="N201" s="3891"/>
      <c r="O201" s="3891"/>
      <c r="P201" s="3892"/>
      <c r="Q201" s="2154"/>
      <c r="AM201" s="2494">
        <v>201</v>
      </c>
    </row>
    <row r="202" spans="1:39" ht="15.9" customHeight="1">
      <c r="A202" s="2075"/>
      <c r="B202" s="2136" t="s">
        <v>1724</v>
      </c>
      <c r="C202" s="2137"/>
      <c r="D202" s="2136"/>
      <c r="E202" s="2138"/>
      <c r="F202" s="2127"/>
      <c r="G202" s="2127"/>
      <c r="H202" s="2127"/>
      <c r="I202" s="2127"/>
      <c r="J202" s="2127"/>
      <c r="K202" s="2127"/>
      <c r="L202" s="2127"/>
      <c r="M202" s="2127"/>
      <c r="N202" s="2139"/>
      <c r="O202" s="2140"/>
      <c r="P202" s="2078"/>
      <c r="AM202" s="2493">
        <v>202</v>
      </c>
    </row>
    <row r="203" spans="1:39" ht="15" customHeight="1">
      <c r="A203" s="3884"/>
      <c r="B203" s="3885"/>
      <c r="C203" s="3885"/>
      <c r="D203" s="3885"/>
      <c r="E203" s="3885"/>
      <c r="F203" s="3885"/>
      <c r="G203" s="3885"/>
      <c r="H203" s="3885"/>
      <c r="I203" s="3885"/>
      <c r="J203" s="3885"/>
      <c r="K203" s="3885"/>
      <c r="L203" s="3885"/>
      <c r="M203" s="3885"/>
      <c r="N203" s="3885"/>
      <c r="O203" s="3885"/>
      <c r="P203" s="3886"/>
      <c r="Q203" s="2141"/>
      <c r="U203" s="2214"/>
      <c r="AM203" s="2494">
        <v>203</v>
      </c>
    </row>
    <row r="204" spans="1:39" ht="9.75" customHeight="1">
      <c r="AM204" s="2493">
        <v>204</v>
      </c>
    </row>
    <row r="205" spans="1:39" ht="9.75" customHeight="1" thickBot="1">
      <c r="AM205" s="2493">
        <v>205</v>
      </c>
    </row>
    <row r="206" spans="1:39" s="2075" customFormat="1" ht="15.9" customHeight="1" thickBot="1">
      <c r="A206" s="2098" t="s">
        <v>2487</v>
      </c>
      <c r="B206" s="2099" t="s">
        <v>3249</v>
      </c>
      <c r="D206" s="2099"/>
      <c r="E206" s="2099"/>
      <c r="K206" s="2390"/>
      <c r="L206" s="2108" t="s">
        <v>4865</v>
      </c>
      <c r="M206" s="2078">
        <v>10</v>
      </c>
      <c r="N206" s="2077"/>
      <c r="O206" s="2173">
        <f>IF(AND($H$11="New Affordability",$H$15="Revitalization/Redevelopment Plans"),MIN($M$206,O212+O222+O229),0)</f>
        <v>0</v>
      </c>
      <c r="P206" s="2173">
        <f>IF(AND($H$11="New Affordability",$H$15="Revitalization/Redevelopment Plans"),MIN($M$206,P212+P222+P229),0)</f>
        <v>0</v>
      </c>
      <c r="Q206" s="2110" t="s">
        <v>415</v>
      </c>
      <c r="R206" s="2387" t="s">
        <v>4956</v>
      </c>
      <c r="S206" s="2072"/>
      <c r="T206" s="2072"/>
      <c r="U206" s="2072"/>
      <c r="V206" s="2388" t="str">
        <f>$H$15</f>
        <v>&lt;&lt; Select Scoring Track &gt;&gt;</v>
      </c>
      <c r="AM206" s="2493">
        <v>206</v>
      </c>
    </row>
    <row r="207" spans="1:39" s="2075" customFormat="1" ht="15.9" customHeight="1">
      <c r="A207" s="2098"/>
      <c r="B207" s="2099"/>
      <c r="D207" s="2099"/>
      <c r="E207" s="2099"/>
      <c r="F207" s="2107" t="s">
        <v>4985</v>
      </c>
      <c r="L207" s="2143"/>
      <c r="M207" s="2078"/>
      <c r="N207" s="2077"/>
      <c r="O207" s="2088">
        <f>MIN(O212+O222+O229,M206)</f>
        <v>0</v>
      </c>
      <c r="P207" s="2088">
        <f>MIN(P212+P222+P229,M206)</f>
        <v>0</v>
      </c>
      <c r="Q207" s="2110"/>
      <c r="R207" s="2116"/>
      <c r="S207" s="2072"/>
      <c r="T207" s="2072"/>
      <c r="U207" s="2072"/>
      <c r="V207" s="2074"/>
      <c r="W207" s="2074"/>
      <c r="X207" s="2074"/>
      <c r="AM207" s="2493">
        <v>207</v>
      </c>
    </row>
    <row r="208" spans="1:39" ht="15.9" customHeight="1">
      <c r="A208" s="2110"/>
      <c r="B208" s="2075" t="s">
        <v>4683</v>
      </c>
      <c r="D208" s="2086"/>
      <c r="E208" s="2086"/>
      <c r="F208" s="2086"/>
      <c r="G208" s="2086"/>
      <c r="H208" s="2086"/>
      <c r="I208" s="2086"/>
      <c r="J208" s="2086"/>
      <c r="K208" s="2086"/>
      <c r="L208" s="2086"/>
      <c r="Q208" s="2196" t="str">
        <f>IF(OR($O213=$M213,$O213=0,$O213=""),"","*CHECK!*")</f>
        <v/>
      </c>
      <c r="R208" s="2116"/>
      <c r="S208" s="2072"/>
      <c r="T208" s="2072"/>
      <c r="U208" s="2072"/>
      <c r="AM208" s="2494">
        <v>208</v>
      </c>
    </row>
    <row r="209" spans="1:39" ht="15.9" customHeight="1">
      <c r="A209" s="2249"/>
      <c r="B209" s="2113"/>
      <c r="C209" s="2130" t="s">
        <v>4866</v>
      </c>
      <c r="D209" s="2130"/>
      <c r="E209" s="2130"/>
      <c r="F209" s="2130"/>
      <c r="G209" s="2130"/>
      <c r="H209" s="2130"/>
      <c r="I209" s="2130"/>
      <c r="J209" s="2130"/>
      <c r="K209" s="2130"/>
      <c r="L209" s="2132"/>
      <c r="N209" s="3989" t="s">
        <v>4684</v>
      </c>
      <c r="O209" s="3990"/>
      <c r="P209" s="3991"/>
      <c r="S209" s="2072"/>
      <c r="T209" s="2072"/>
      <c r="U209" s="2072"/>
      <c r="AM209" s="2494">
        <v>209</v>
      </c>
    </row>
    <row r="210" spans="1:39" s="2075" customFormat="1" ht="15.9" customHeight="1">
      <c r="A210" s="2077"/>
      <c r="B210" s="2113"/>
      <c r="C210" s="2075" t="s">
        <v>4685</v>
      </c>
      <c r="L210" s="2113"/>
      <c r="N210" s="3992" t="s">
        <v>4684</v>
      </c>
      <c r="O210" s="3993"/>
      <c r="P210" s="3994"/>
      <c r="S210" s="2072"/>
      <c r="T210" s="2072"/>
      <c r="U210" s="2072"/>
      <c r="AM210" s="2494">
        <v>210</v>
      </c>
    </row>
    <row r="211" spans="1:39" s="2075" customFormat="1" ht="15.9" customHeight="1">
      <c r="A211" s="2077"/>
      <c r="B211" s="2113"/>
      <c r="C211" s="2075" t="s">
        <v>4867</v>
      </c>
      <c r="L211" s="2113"/>
      <c r="N211" s="3995" t="s">
        <v>4684</v>
      </c>
      <c r="O211" s="3996"/>
      <c r="P211" s="3997"/>
      <c r="Q211" s="1987"/>
      <c r="S211" s="2072"/>
      <c r="T211" s="2072"/>
      <c r="U211" s="2072"/>
      <c r="V211" s="1987"/>
      <c r="AM211" s="2494">
        <v>211</v>
      </c>
    </row>
    <row r="212" spans="1:39" s="2075" customFormat="1" ht="15.9" customHeight="1">
      <c r="A212" s="2078" t="s">
        <v>1835</v>
      </c>
      <c r="B212" s="2199" t="s">
        <v>4068</v>
      </c>
      <c r="L212" s="2172" t="s">
        <v>4865</v>
      </c>
      <c r="M212" s="2078">
        <v>6</v>
      </c>
      <c r="N212" s="2113"/>
      <c r="O212" s="2458">
        <f>MIN($M212,O213+O214+O215)</f>
        <v>0</v>
      </c>
      <c r="P212" s="2458">
        <f>MIN($M212,P213+P214+P215)</f>
        <v>0</v>
      </c>
      <c r="Q212" s="1987"/>
      <c r="S212" s="2072"/>
      <c r="T212" s="2072"/>
      <c r="U212" s="2072"/>
      <c r="V212" s="1987"/>
      <c r="AM212" s="2493">
        <v>212</v>
      </c>
    </row>
    <row r="213" spans="1:39" ht="15.9" customHeight="1">
      <c r="A213" s="2249"/>
      <c r="B213" s="2199" t="s">
        <v>4868</v>
      </c>
      <c r="D213" s="2130"/>
      <c r="E213" s="2130"/>
      <c r="F213" s="2130"/>
      <c r="G213" s="2130"/>
      <c r="H213" s="2130"/>
      <c r="I213" s="2130"/>
      <c r="K213" s="2077"/>
      <c r="L213" s="2112" t="str">
        <f>IF(OR($O213=$M213,$O213=0,$O213=""),"","* * Check Score! * *")</f>
        <v/>
      </c>
      <c r="M213" s="2077">
        <v>2</v>
      </c>
      <c r="N213" s="2132"/>
      <c r="O213" s="1988"/>
      <c r="P213" s="2197"/>
      <c r="R213" s="2072"/>
      <c r="S213" s="2072"/>
      <c r="T213" s="2072"/>
      <c r="U213" s="2072"/>
      <c r="AM213" s="2494">
        <v>213</v>
      </c>
    </row>
    <row r="214" spans="1:39" ht="15.9" customHeight="1">
      <c r="A214" s="2145"/>
      <c r="B214" s="2074" t="s">
        <v>4869</v>
      </c>
      <c r="D214" s="2232"/>
      <c r="E214" s="2232"/>
      <c r="F214" s="2232"/>
      <c r="G214" s="2232"/>
      <c r="H214" s="2232"/>
      <c r="I214" s="2232"/>
      <c r="J214" s="2232"/>
      <c r="K214" s="2232"/>
      <c r="L214" s="2112" t="str">
        <f t="shared" ref="L214" si="6">IF(OR($O214=$M214,$O214=0,$O214=""),"","* * Check Score! * *")</f>
        <v/>
      </c>
      <c r="M214" s="2077">
        <v>1</v>
      </c>
      <c r="N214" s="2113"/>
      <c r="O214" s="1985"/>
      <c r="P214" s="2239"/>
      <c r="Q214" s="2196" t="str">
        <f>IF(OR($O214=$M214,$O214=0,$O214=""),"","*CHECK!*")</f>
        <v/>
      </c>
      <c r="R214" s="2116"/>
      <c r="AM214" s="2493">
        <v>214</v>
      </c>
    </row>
    <row r="215" spans="1:39" ht="15.9" customHeight="1">
      <c r="A215" s="2249"/>
      <c r="B215" s="2199" t="s">
        <v>4939</v>
      </c>
      <c r="D215" s="2130"/>
      <c r="E215" s="2130"/>
      <c r="F215" s="2130"/>
      <c r="G215" s="2130"/>
      <c r="H215" s="2130"/>
      <c r="I215" s="2130"/>
      <c r="K215" s="2077"/>
      <c r="L215" s="2172" t="s">
        <v>4865</v>
      </c>
      <c r="M215" s="2077">
        <v>3</v>
      </c>
      <c r="N215" s="2074"/>
      <c r="O215" s="2177">
        <f>MIN($M215,O216+O220+O221)</f>
        <v>0</v>
      </c>
      <c r="P215" s="2177">
        <f>MIN($M215,P216+P220+P221)</f>
        <v>0</v>
      </c>
      <c r="R215" s="2072"/>
      <c r="S215" s="2072"/>
      <c r="T215" s="2072"/>
      <c r="U215" s="2072"/>
      <c r="AM215" s="2493">
        <v>215</v>
      </c>
    </row>
    <row r="216" spans="1:39" ht="15.9" customHeight="1">
      <c r="A216" s="2077"/>
      <c r="B216" s="2118"/>
      <c r="C216" s="2129" t="s">
        <v>4940</v>
      </c>
      <c r="D216" s="2127"/>
      <c r="E216" s="2127"/>
      <c r="F216" s="2127"/>
      <c r="G216" s="2127"/>
      <c r="H216" s="2127"/>
      <c r="I216" s="2127"/>
      <c r="J216" s="2127"/>
      <c r="K216" s="2127"/>
      <c r="L216" s="2127"/>
      <c r="M216" s="2077">
        <v>3</v>
      </c>
      <c r="N216" s="2139"/>
      <c r="O216" s="2353">
        <f>IF(OR(O217="Yes", O218="Yes", O219="Yes"),$M216,0)</f>
        <v>0</v>
      </c>
      <c r="P216" s="2353">
        <f>IF(OR(P217="Yes", P218="Yes", P219="Yes"),$M216,0)</f>
        <v>0</v>
      </c>
      <c r="AM216" s="2493">
        <v>216</v>
      </c>
    </row>
    <row r="217" spans="1:39" ht="15.9" customHeight="1">
      <c r="A217" s="2145"/>
      <c r="C217" s="2108"/>
      <c r="D217" s="2130" t="s">
        <v>4870</v>
      </c>
      <c r="E217" s="2130"/>
      <c r="F217" s="2130"/>
      <c r="G217" s="2130"/>
      <c r="H217" s="2130"/>
      <c r="I217" s="2130"/>
      <c r="J217" s="2130"/>
      <c r="K217" s="2130"/>
      <c r="L217" s="2130"/>
      <c r="M217" s="2131"/>
      <c r="N217" s="2132"/>
      <c r="O217" s="1977"/>
      <c r="P217" s="2200"/>
      <c r="Q217" s="2196"/>
      <c r="R217" s="2116"/>
      <c r="AM217" s="2493">
        <v>217</v>
      </c>
    </row>
    <row r="218" spans="1:39" ht="15" customHeight="1">
      <c r="A218" s="2145"/>
      <c r="C218" s="2108"/>
      <c r="D218" s="2130" t="s">
        <v>4871</v>
      </c>
      <c r="E218" s="2130"/>
      <c r="F218" s="2130"/>
      <c r="G218" s="2130"/>
      <c r="H218" s="2130"/>
      <c r="I218" s="2130"/>
      <c r="J218" s="2130"/>
      <c r="K218" s="2130"/>
      <c r="L218" s="2130"/>
      <c r="M218" s="2131"/>
      <c r="N218" s="2132"/>
      <c r="O218" s="1989"/>
      <c r="P218" s="2202"/>
      <c r="Q218" s="2196"/>
      <c r="R218" s="2116"/>
      <c r="AM218" s="2493">
        <v>218</v>
      </c>
    </row>
    <row r="219" spans="1:39">
      <c r="A219" s="2145"/>
      <c r="B219" s="2118"/>
      <c r="C219" s="2108"/>
      <c r="D219" s="2130" t="s">
        <v>4872</v>
      </c>
      <c r="E219" s="2130"/>
      <c r="F219" s="2130"/>
      <c r="G219" s="2130"/>
      <c r="H219" s="2130"/>
      <c r="I219" s="2130"/>
      <c r="J219" s="2130"/>
      <c r="K219" s="2130"/>
      <c r="L219" s="2130"/>
      <c r="M219" s="2131"/>
      <c r="N219" s="2132"/>
      <c r="O219" s="2014"/>
      <c r="P219" s="2241"/>
      <c r="Q219" s="2196"/>
      <c r="R219" s="2116"/>
      <c r="AM219" s="2493">
        <v>219</v>
      </c>
    </row>
    <row r="220" spans="1:39" ht="15.9" customHeight="1">
      <c r="A220" s="2077"/>
      <c r="C220" s="2129" t="s">
        <v>4874</v>
      </c>
      <c r="E220" s="2127"/>
      <c r="F220" s="2127"/>
      <c r="G220" s="2127"/>
      <c r="H220" s="2127"/>
      <c r="I220" s="2127"/>
      <c r="J220" s="2127"/>
      <c r="K220" s="2127"/>
      <c r="L220" s="2112" t="str">
        <f t="shared" ref="L220:L221" si="7">IF(OR($O220=$M220,$O220=0,$O220=""),"","* * Check Score! * *")</f>
        <v/>
      </c>
      <c r="M220" s="2183">
        <v>1</v>
      </c>
      <c r="N220" s="2139"/>
      <c r="O220" s="1988"/>
      <c r="P220" s="2197"/>
      <c r="AM220" s="2493">
        <v>220</v>
      </c>
    </row>
    <row r="221" spans="1:39" ht="15.9" customHeight="1">
      <c r="A221" s="2077"/>
      <c r="C221" s="2129" t="s">
        <v>4967</v>
      </c>
      <c r="E221" s="2127"/>
      <c r="F221" s="2127"/>
      <c r="G221" s="2127"/>
      <c r="H221" s="2127"/>
      <c r="I221" s="2127"/>
      <c r="J221" s="2127"/>
      <c r="K221" s="2127"/>
      <c r="L221" s="2112" t="str">
        <f t="shared" si="7"/>
        <v/>
      </c>
      <c r="M221" s="2183">
        <v>2</v>
      </c>
      <c r="N221" s="2139"/>
      <c r="O221" s="1978"/>
      <c r="P221" s="2198"/>
      <c r="AM221" s="2494">
        <v>221</v>
      </c>
    </row>
    <row r="222" spans="1:39" ht="15.9" customHeight="1">
      <c r="A222" s="2078" t="s">
        <v>1837</v>
      </c>
      <c r="B222" s="2086" t="s">
        <v>3305</v>
      </c>
      <c r="C222" s="2127"/>
      <c r="D222" s="2127"/>
      <c r="E222" s="2127"/>
      <c r="F222" s="2127"/>
      <c r="G222" s="2127"/>
      <c r="H222" s="2127"/>
      <c r="I222" s="2127"/>
      <c r="J222" s="2127"/>
      <c r="K222" s="2127"/>
      <c r="L222" s="2172" t="s">
        <v>4865</v>
      </c>
      <c r="M222" s="2078">
        <v>3</v>
      </c>
      <c r="N222" s="2139"/>
      <c r="O222" s="2123">
        <f>IF(O223="yes",MIN($M222,O224+O228),0)</f>
        <v>0</v>
      </c>
      <c r="P222" s="2123">
        <f>IF(P223="yes",MIN($M222,P224+P228),0)</f>
        <v>0</v>
      </c>
      <c r="Q222" s="2110"/>
      <c r="R222" s="2116"/>
      <c r="AM222" s="2494">
        <v>222</v>
      </c>
    </row>
    <row r="223" spans="1:39" ht="15.9" customHeight="1">
      <c r="A223" s="2078"/>
      <c r="B223" s="2075" t="s">
        <v>4941</v>
      </c>
      <c r="C223" s="2127"/>
      <c r="D223" s="2127"/>
      <c r="E223" s="2127"/>
      <c r="F223" s="2127"/>
      <c r="G223" s="2127"/>
      <c r="H223" s="2127"/>
      <c r="I223" s="2127"/>
      <c r="J223" s="2127"/>
      <c r="K223" s="2127"/>
      <c r="L223" s="2172"/>
      <c r="M223" s="2078"/>
      <c r="N223" s="2139"/>
      <c r="O223" s="2014"/>
      <c r="P223" s="2241"/>
      <c r="Q223" s="2110"/>
      <c r="R223" s="2116"/>
      <c r="AM223" s="2494">
        <v>223</v>
      </c>
    </row>
    <row r="224" spans="1:39" ht="15.9" customHeight="1">
      <c r="A224" s="2098"/>
      <c r="B224" s="2250" t="s">
        <v>1838</v>
      </c>
      <c r="C224" s="2129" t="s">
        <v>4875</v>
      </c>
      <c r="D224" s="2127"/>
      <c r="E224" s="2127"/>
      <c r="F224" s="2127"/>
      <c r="G224" s="2127"/>
      <c r="H224" s="2127"/>
      <c r="L224" s="2172" t="s">
        <v>4865</v>
      </c>
      <c r="M224" s="2077">
        <v>3</v>
      </c>
      <c r="N224" s="2139"/>
      <c r="O224" s="2354">
        <f>MIN($M224,O225+O226+O227)</f>
        <v>0</v>
      </c>
      <c r="P224" s="2354">
        <f>MIN($M224,P225+P226+P227)</f>
        <v>0</v>
      </c>
      <c r="Q224" s="2110"/>
      <c r="R224" s="2116"/>
      <c r="AM224" s="2494">
        <v>224</v>
      </c>
    </row>
    <row r="225" spans="1:39" ht="15.9" customHeight="1">
      <c r="B225" s="2118" t="s">
        <v>1957</v>
      </c>
      <c r="C225" s="2074" t="s">
        <v>4942</v>
      </c>
      <c r="L225" s="2112" t="str">
        <f>IF(OR($O225=$M225,$O225=0,$O225=""),"","* * Check Score! * *")</f>
        <v/>
      </c>
      <c r="M225" s="2095">
        <v>1</v>
      </c>
      <c r="O225" s="1988"/>
      <c r="P225" s="2197"/>
      <c r="AM225" s="2493">
        <v>225</v>
      </c>
    </row>
    <row r="226" spans="1:39" ht="15.9" customHeight="1">
      <c r="B226" s="2118" t="s">
        <v>1958</v>
      </c>
      <c r="C226" s="2074" t="s">
        <v>4876</v>
      </c>
      <c r="L226" s="2112" t="str">
        <f t="shared" ref="L226" si="8">IF(OR($O226=$M226,$O226=0,$O226=""),"","* * Check Score! * *")</f>
        <v/>
      </c>
      <c r="M226" s="2095">
        <v>1</v>
      </c>
      <c r="O226" s="1977"/>
      <c r="P226" s="2200"/>
      <c r="AM226" s="2494">
        <v>226</v>
      </c>
    </row>
    <row r="227" spans="1:39" ht="15.9" customHeight="1">
      <c r="B227" s="2118" t="s">
        <v>1608</v>
      </c>
      <c r="C227" s="2074" t="s">
        <v>4943</v>
      </c>
      <c r="L227" s="2112"/>
      <c r="M227" s="2095">
        <v>1</v>
      </c>
      <c r="O227" s="1978"/>
      <c r="P227" s="2198"/>
      <c r="AM227" s="2493">
        <v>227</v>
      </c>
    </row>
    <row r="228" spans="1:39" ht="15.9" customHeight="1">
      <c r="A228" s="2098"/>
      <c r="B228" s="2117" t="s">
        <v>1840</v>
      </c>
      <c r="C228" s="2075" t="s">
        <v>4877</v>
      </c>
      <c r="D228" s="2172"/>
      <c r="E228" s="2127"/>
      <c r="F228" s="2127"/>
      <c r="G228" s="2127"/>
      <c r="H228" s="2127"/>
      <c r="M228" s="2077">
        <v>2</v>
      </c>
      <c r="N228" s="2251" t="str">
        <f>IF(OR(O$265&gt;0,O$238&gt;0),"Applicant is ineligible for points in this section!  Points claimed in Stable Communities or Community Designations.","")</f>
        <v/>
      </c>
      <c r="O228" s="1978"/>
      <c r="P228" s="2198"/>
      <c r="Q228" s="2110"/>
      <c r="R228" s="2072"/>
      <c r="S228" s="2072"/>
      <c r="T228" s="2072"/>
      <c r="U228" s="2072"/>
      <c r="AM228" s="2493">
        <v>228</v>
      </c>
    </row>
    <row r="229" spans="1:39" ht="15.9" customHeight="1">
      <c r="A229" s="2078" t="s">
        <v>697</v>
      </c>
      <c r="B229" s="2086" t="s">
        <v>4824</v>
      </c>
      <c r="D229" s="2075"/>
      <c r="F229" s="2252"/>
      <c r="K229" s="2253"/>
      <c r="L229" s="2172" t="s">
        <v>4865</v>
      </c>
      <c r="M229" s="2078">
        <v>3</v>
      </c>
      <c r="N229" s="2113"/>
      <c r="O229" s="2254">
        <f>MIN($M229,O230+O231)</f>
        <v>0</v>
      </c>
      <c r="P229" s="2254">
        <f>MIN($M229,P230+P231)</f>
        <v>0</v>
      </c>
      <c r="Q229" s="2115"/>
      <c r="R229" s="2116"/>
      <c r="AM229" s="2493">
        <v>229</v>
      </c>
    </row>
    <row r="230" spans="1:39" ht="15.9" customHeight="1">
      <c r="A230" s="2075"/>
      <c r="B230" s="2250" t="s">
        <v>1838</v>
      </c>
      <c r="C230" s="2129" t="s">
        <v>3696</v>
      </c>
      <c r="D230" s="2127"/>
      <c r="E230" s="2127"/>
      <c r="F230" s="2127"/>
      <c r="G230" s="2127"/>
      <c r="H230" s="2127"/>
      <c r="I230" s="2127"/>
      <c r="J230" s="2127"/>
      <c r="K230" s="2127"/>
      <c r="L230" s="2172" t="s">
        <v>4865</v>
      </c>
      <c r="M230" s="2139">
        <v>2</v>
      </c>
      <c r="N230" s="2139"/>
      <c r="O230" s="1978"/>
      <c r="P230" s="2198"/>
      <c r="AM230" s="2493">
        <v>230</v>
      </c>
    </row>
    <row r="231" spans="1:39" ht="15.9" customHeight="1">
      <c r="A231" s="2075"/>
      <c r="B231" s="2117" t="s">
        <v>1840</v>
      </c>
      <c r="C231" s="2129" t="s">
        <v>4878</v>
      </c>
      <c r="D231" s="2127"/>
      <c r="E231" s="2127"/>
      <c r="F231" s="2127"/>
      <c r="G231" s="2127"/>
      <c r="H231" s="2127"/>
      <c r="I231" s="2127"/>
      <c r="J231" s="2127"/>
      <c r="K231" s="2127"/>
      <c r="L231" s="2127"/>
      <c r="M231" s="2139">
        <v>1</v>
      </c>
      <c r="N231" s="2139"/>
      <c r="O231" s="1978"/>
      <c r="P231" s="2198"/>
      <c r="AM231" s="2493">
        <v>231</v>
      </c>
    </row>
    <row r="232" spans="1:39" s="2075" customFormat="1" ht="15.9" customHeight="1">
      <c r="B232" s="2097" t="s">
        <v>4816</v>
      </c>
      <c r="L232" s="2074"/>
      <c r="M232" s="2077"/>
      <c r="N232" s="2095"/>
      <c r="O232" s="2088"/>
      <c r="P232" s="2087"/>
      <c r="AM232" s="2493">
        <v>232</v>
      </c>
    </row>
    <row r="233" spans="1:39" ht="15.9" customHeight="1">
      <c r="A233" s="3890" t="s">
        <v>5226</v>
      </c>
      <c r="B233" s="3891"/>
      <c r="C233" s="3891"/>
      <c r="D233" s="3891"/>
      <c r="E233" s="3891"/>
      <c r="F233" s="3891"/>
      <c r="G233" s="3891"/>
      <c r="H233" s="3891"/>
      <c r="I233" s="3891"/>
      <c r="J233" s="3891"/>
      <c r="K233" s="3891"/>
      <c r="L233" s="3891"/>
      <c r="M233" s="3891"/>
      <c r="N233" s="3891"/>
      <c r="O233" s="3891"/>
      <c r="P233" s="3892"/>
      <c r="Q233" s="2154"/>
      <c r="AM233" s="2494">
        <v>233</v>
      </c>
    </row>
    <row r="234" spans="1:39" s="2075" customFormat="1" ht="15.9" customHeight="1">
      <c r="B234" s="2181" t="s">
        <v>1724</v>
      </c>
      <c r="D234" s="2181"/>
      <c r="E234" s="2125"/>
      <c r="F234" s="2125"/>
      <c r="G234" s="2125"/>
      <c r="H234" s="2125"/>
      <c r="I234" s="2125"/>
      <c r="J234" s="2125"/>
      <c r="K234" s="2125"/>
      <c r="L234" s="2125"/>
      <c r="M234" s="2125"/>
      <c r="N234" s="2183"/>
      <c r="O234" s="2103"/>
      <c r="P234" s="2078"/>
      <c r="Q234" s="2074"/>
      <c r="AM234" s="2494">
        <v>234</v>
      </c>
    </row>
    <row r="235" spans="1:39" ht="30" customHeight="1">
      <c r="A235" s="3884"/>
      <c r="B235" s="3885"/>
      <c r="C235" s="3885"/>
      <c r="D235" s="3885"/>
      <c r="E235" s="3885"/>
      <c r="F235" s="3885"/>
      <c r="G235" s="3885"/>
      <c r="H235" s="3885"/>
      <c r="I235" s="3885"/>
      <c r="J235" s="3885"/>
      <c r="K235" s="3885"/>
      <c r="L235" s="3885"/>
      <c r="M235" s="3885"/>
      <c r="N235" s="3885"/>
      <c r="O235" s="3885"/>
      <c r="P235" s="3886"/>
      <c r="Q235" s="2141"/>
      <c r="AM235" s="2494">
        <v>235</v>
      </c>
    </row>
    <row r="236" spans="1:39" ht="9.75" customHeight="1">
      <c r="AM236" s="2493">
        <v>236</v>
      </c>
    </row>
    <row r="237" spans="1:39" ht="9.75" customHeight="1" thickBot="1">
      <c r="AM237" s="2493">
        <v>237</v>
      </c>
    </row>
    <row r="238" spans="1:39" s="2075" customFormat="1" ht="15.9" customHeight="1" thickBot="1">
      <c r="A238" s="2098" t="s">
        <v>2074</v>
      </c>
      <c r="B238" s="2099" t="s">
        <v>2489</v>
      </c>
      <c r="D238" s="2099"/>
      <c r="E238" s="2099"/>
      <c r="F238" s="2107" t="s">
        <v>424</v>
      </c>
      <c r="G238" s="2107" t="str">
        <f>'Part I-Project Identification'!$P$26</f>
        <v>Yes</v>
      </c>
      <c r="K238" s="2143" t="str">
        <f>IF(OR($O$206&gt;0,$O$265&gt;0,$O$304&gt;0),"Points already claimed in another restricted section!","")</f>
        <v/>
      </c>
      <c r="L238" s="2112" t="str">
        <f>IF(OR($O238=$M238,$O238=0,$O238=""),"",IF(OR($O238&lt;$J$251,$O238&gt;$J$251),"* * Check Score! * *",""))</f>
        <v/>
      </c>
      <c r="M238" s="2078">
        <v>10</v>
      </c>
      <c r="N238" s="2077"/>
      <c r="O238" s="2109">
        <f>IF($H$15="Stable Communities",J251,0)</f>
        <v>0</v>
      </c>
      <c r="P238" s="2109">
        <f>IF($H$16="Stable Communities",K251,0)</f>
        <v>0</v>
      </c>
      <c r="Q238" s="2110" t="s">
        <v>415</v>
      </c>
      <c r="R238" s="2387" t="s">
        <v>4956</v>
      </c>
      <c r="S238" s="2072"/>
      <c r="T238" s="2072"/>
      <c r="U238" s="2072"/>
      <c r="V238" s="2388" t="str">
        <f>$H$15</f>
        <v>&lt;&lt; Select Scoring Track &gt;&gt;</v>
      </c>
      <c r="W238" s="2074"/>
      <c r="X238" s="2074"/>
      <c r="AM238" s="2494">
        <v>238</v>
      </c>
    </row>
    <row r="239" spans="1:39" s="2075" customFormat="1" ht="15.9" customHeight="1">
      <c r="A239" s="2098"/>
      <c r="B239" s="2099"/>
      <c r="D239" s="2099"/>
      <c r="E239" s="2099"/>
      <c r="F239" s="2107" t="s">
        <v>4985</v>
      </c>
      <c r="L239" s="2143"/>
      <c r="M239" s="2078"/>
      <c r="N239" s="2077"/>
      <c r="O239" s="2088">
        <f>MAX(J251,O238)</f>
        <v>0</v>
      </c>
      <c r="P239" s="2088">
        <f>MAX(K251,P238)</f>
        <v>0</v>
      </c>
      <c r="Q239" s="2110"/>
      <c r="R239" s="2116"/>
      <c r="S239" s="2072"/>
      <c r="T239" s="2072"/>
      <c r="U239" s="2072"/>
      <c r="V239" s="2074"/>
      <c r="W239" s="2074"/>
      <c r="X239" s="2074"/>
      <c r="AM239" s="2493">
        <v>239</v>
      </c>
    </row>
    <row r="240" spans="1:39" s="2075" customFormat="1" ht="15.9" customHeight="1">
      <c r="A240" s="2098"/>
      <c r="B240" s="2086" t="s">
        <v>4879</v>
      </c>
      <c r="D240" s="2099"/>
      <c r="J240" s="2302" t="s">
        <v>2879</v>
      </c>
      <c r="K240" s="2355" t="s">
        <v>245</v>
      </c>
      <c r="L240" s="2143"/>
      <c r="M240" s="2078"/>
      <c r="N240" s="2077"/>
      <c r="O240" s="2088"/>
      <c r="P240" s="2088"/>
      <c r="Q240" s="2110"/>
      <c r="R240" s="2116"/>
      <c r="S240" s="2072"/>
      <c r="T240" s="2072"/>
      <c r="U240" s="2072"/>
      <c r="V240" s="2074"/>
      <c r="W240" s="2074"/>
      <c r="X240" s="2074"/>
      <c r="AM240" s="2493">
        <v>240</v>
      </c>
    </row>
    <row r="241" spans="1:39" s="2361" customFormat="1" ht="15.9" hidden="1" customHeight="1">
      <c r="A241" s="2359"/>
      <c r="B241" s="2358"/>
      <c r="C241" s="2360" t="s">
        <v>4883</v>
      </c>
      <c r="D241" s="2360"/>
      <c r="E241" s="2360"/>
      <c r="G241" s="3975" t="s">
        <v>4882</v>
      </c>
      <c r="H241" s="3976"/>
      <c r="I241" s="2362" t="s">
        <v>4885</v>
      </c>
      <c r="J241" s="2363"/>
      <c r="L241" s="2363"/>
      <c r="M241" s="2363"/>
      <c r="N241" s="2364"/>
      <c r="O241" s="2364"/>
      <c r="P241" s="2364"/>
      <c r="Q241" s="2365"/>
      <c r="R241" s="2116"/>
      <c r="S241" s="2366"/>
      <c r="T241" s="2366"/>
      <c r="U241" s="2366"/>
      <c r="V241" s="2367"/>
      <c r="W241" s="2367"/>
      <c r="X241" s="2367"/>
      <c r="AM241" s="2494">
        <v>241</v>
      </c>
    </row>
    <row r="242" spans="1:39" s="2361" customFormat="1" ht="15.9" hidden="1" customHeight="1">
      <c r="A242" s="2359"/>
      <c r="B242" s="2358"/>
      <c r="C242" s="2360" t="s">
        <v>4884</v>
      </c>
      <c r="D242" s="2360"/>
      <c r="E242" s="2360"/>
      <c r="H242" s="2363"/>
      <c r="I242" s="2363"/>
      <c r="J242" s="2363"/>
      <c r="K242" s="2363"/>
      <c r="L242" s="2363"/>
      <c r="M242" s="2363"/>
      <c r="N242" s="2364"/>
      <c r="O242" s="2364"/>
      <c r="P242" s="2364"/>
      <c r="Q242" s="2365"/>
      <c r="R242" s="2116"/>
      <c r="S242" s="2366"/>
      <c r="T242" s="2366"/>
      <c r="U242" s="2366"/>
      <c r="V242" s="2367"/>
      <c r="W242" s="2367"/>
      <c r="X242" s="2367"/>
      <c r="AM242" s="2494">
        <v>242</v>
      </c>
    </row>
    <row r="243" spans="1:39" s="2361" customFormat="1" ht="6" hidden="1" customHeight="1">
      <c r="A243" s="2359"/>
      <c r="B243" s="2368"/>
      <c r="D243" s="2368"/>
      <c r="E243" s="2368"/>
      <c r="L243" s="2369"/>
      <c r="M243" s="2370"/>
      <c r="N243" s="2371"/>
      <c r="O243" s="2372"/>
      <c r="P243" s="2372"/>
      <c r="Q243" s="2365"/>
      <c r="R243" s="2116"/>
      <c r="S243" s="2366"/>
      <c r="T243" s="2366"/>
      <c r="U243" s="2366"/>
      <c r="V243" s="2367"/>
      <c r="W243" s="2367"/>
      <c r="X243" s="2367"/>
      <c r="AM243" s="2494">
        <v>243</v>
      </c>
    </row>
    <row r="244" spans="1:39" s="2367" customFormat="1" ht="15.9" hidden="1" customHeight="1">
      <c r="C244" s="2373" t="s">
        <v>4704</v>
      </c>
      <c r="J244" s="3977"/>
      <c r="K244" s="3978"/>
      <c r="L244" s="3978"/>
      <c r="M244" s="3979"/>
      <c r="N244" s="2371"/>
      <c r="O244" s="2371"/>
      <c r="P244" s="2371"/>
      <c r="R244" s="2116"/>
      <c r="S244" s="2366"/>
      <c r="AM244" s="2494">
        <v>244</v>
      </c>
    </row>
    <row r="245" spans="1:39" s="2361" customFormat="1" ht="6" hidden="1" customHeight="1">
      <c r="A245" s="2359"/>
      <c r="B245" s="2368"/>
      <c r="D245" s="2368"/>
      <c r="E245" s="2368"/>
      <c r="L245" s="2369"/>
      <c r="M245" s="2370"/>
      <c r="N245" s="2371"/>
      <c r="O245" s="2372"/>
      <c r="P245" s="2372"/>
      <c r="Q245" s="2365"/>
      <c r="R245" s="2116"/>
      <c r="S245" s="2366"/>
      <c r="T245" s="2366"/>
      <c r="U245" s="2366"/>
      <c r="V245" s="2367"/>
      <c r="W245" s="2367"/>
      <c r="X245" s="2367"/>
      <c r="AM245" s="2493">
        <v>245</v>
      </c>
    </row>
    <row r="246" spans="1:39" s="2361" customFormat="1" ht="15.9" hidden="1" customHeight="1">
      <c r="A246" s="2359"/>
      <c r="D246" s="2374" t="s">
        <v>4880</v>
      </c>
      <c r="E246" s="2375"/>
      <c r="F246" s="2374"/>
      <c r="G246" s="2374"/>
      <c r="H246" s="2374"/>
      <c r="I246" s="2374"/>
      <c r="J246" s="2376">
        <v>2</v>
      </c>
      <c r="K246" s="2376">
        <v>3</v>
      </c>
      <c r="L246" s="2376">
        <v>4</v>
      </c>
      <c r="M246" s="2370"/>
      <c r="N246" s="2371"/>
      <c r="O246" s="2372"/>
      <c r="P246" s="2372"/>
      <c r="Q246" s="2365"/>
      <c r="R246" s="2116"/>
      <c r="S246" s="2366"/>
      <c r="T246" s="2366"/>
      <c r="U246" s="2366"/>
      <c r="V246" s="2367"/>
      <c r="W246" s="2367"/>
      <c r="X246" s="2367"/>
      <c r="AM246" s="2494">
        <v>246</v>
      </c>
    </row>
    <row r="247" spans="1:39" s="2361" customFormat="1" ht="15.9" hidden="1" customHeight="1">
      <c r="A247" s="2359"/>
      <c r="D247" s="2377" t="s">
        <v>4910</v>
      </c>
      <c r="E247" s="2368"/>
      <c r="J247" s="2378">
        <v>6</v>
      </c>
      <c r="K247" s="2378">
        <v>8</v>
      </c>
      <c r="L247" s="2378">
        <v>10</v>
      </c>
      <c r="M247" s="2370"/>
      <c r="N247" s="2371"/>
      <c r="O247" s="2372"/>
      <c r="P247" s="2372"/>
      <c r="Q247" s="2365"/>
      <c r="R247" s="2116"/>
      <c r="S247" s="2366"/>
      <c r="T247" s="2366"/>
      <c r="U247" s="2366"/>
      <c r="V247" s="2367"/>
      <c r="W247" s="2367"/>
      <c r="X247" s="2367"/>
      <c r="AM247" s="2493">
        <v>247</v>
      </c>
    </row>
    <row r="248" spans="1:39" s="2361" customFormat="1" ht="15.9" hidden="1" customHeight="1">
      <c r="A248" s="2359"/>
      <c r="D248" s="2377" t="s">
        <v>4911</v>
      </c>
      <c r="E248" s="2368"/>
      <c r="J248" s="2379">
        <v>5</v>
      </c>
      <c r="K248" s="2379">
        <v>7</v>
      </c>
      <c r="L248" s="2378">
        <v>9</v>
      </c>
      <c r="M248" s="2370"/>
      <c r="N248" s="2371"/>
      <c r="O248" s="2372"/>
      <c r="P248" s="2372"/>
      <c r="Q248" s="2365"/>
      <c r="R248" s="2116"/>
      <c r="S248" s="2366"/>
      <c r="T248" s="2366"/>
      <c r="U248" s="2366"/>
      <c r="V248" s="2367"/>
      <c r="W248" s="2367"/>
      <c r="X248" s="2367"/>
      <c r="AM248" s="2493">
        <v>248</v>
      </c>
    </row>
    <row r="249" spans="1:39" s="2075" customFormat="1" ht="15.9" customHeight="1">
      <c r="A249" s="2098"/>
      <c r="C249" s="2107" t="s">
        <v>4944</v>
      </c>
      <c r="D249" s="2247"/>
      <c r="E249" s="2099"/>
      <c r="J249" s="2380">
        <f>COUNTIF(F254:F258,"Above 50th")</f>
        <v>0</v>
      </c>
      <c r="K249" s="2380">
        <f>COUNTIF(G254:G258,"Above 50th")</f>
        <v>0</v>
      </c>
      <c r="M249" s="2175"/>
      <c r="N249" s="2077"/>
      <c r="O249" s="2088"/>
      <c r="P249" s="2088"/>
      <c r="Q249" s="2110"/>
      <c r="R249" s="2116"/>
      <c r="S249" s="2072"/>
      <c r="T249" s="2072"/>
      <c r="U249" s="2072"/>
      <c r="V249" s="2074"/>
      <c r="W249" s="2074"/>
      <c r="X249" s="2074"/>
      <c r="AM249" s="2493">
        <v>249</v>
      </c>
    </row>
    <row r="250" spans="1:39" s="2075" customFormat="1" ht="15.9" customHeight="1">
      <c r="A250" s="2098"/>
      <c r="C250" s="2107" t="s">
        <v>4945</v>
      </c>
      <c r="D250" s="2247"/>
      <c r="E250" s="2099"/>
      <c r="J250" s="2381" t="str">
        <f>IF(OR(I254="Near Census Tract",I255="Near Census Tract",I256="Near Census Tract",I257="Near Census Tract",I258="Near Census Tract"),"Yes","No")</f>
        <v>No</v>
      </c>
      <c r="K250" s="2381" t="str">
        <f>IF(OR(K254="Near Census Tract",K255="Near Census Tract",K256="Near Census Tract",K257="Near Census Tract",K258="Near Census Tract"),"Yes","No")</f>
        <v>No</v>
      </c>
      <c r="M250" s="2175"/>
      <c r="N250" s="2077"/>
      <c r="O250" s="2088"/>
      <c r="P250" s="2088"/>
      <c r="Q250" s="2110"/>
      <c r="R250" s="2116"/>
      <c r="S250" s="2072"/>
      <c r="T250" s="2072"/>
      <c r="U250" s="2072"/>
      <c r="V250" s="2074"/>
      <c r="W250" s="2074"/>
      <c r="X250" s="2074"/>
      <c r="AM250" s="2493">
        <v>250</v>
      </c>
    </row>
    <row r="251" spans="1:39" s="2075" customFormat="1" ht="15.9" customHeight="1">
      <c r="A251" s="2098"/>
      <c r="C251" s="2107" t="s">
        <v>4946</v>
      </c>
      <c r="D251" s="2247"/>
      <c r="E251" s="2099"/>
      <c r="J251" s="2389">
        <f>IF(AND(J249=2,J250="No"),6,IF(AND(J249=3,J250="No"),8,IF(AND(J249&gt;=4,J250="No"),10,IF(AND(J249=2,J250="Yes"),5,IF(AND(J249=3,J250="Yes"),7,IF(AND(J249&gt;=4,J250="Yes"),9,0))))))</f>
        <v>0</v>
      </c>
      <c r="K251" s="2382">
        <f>IF(AND(K249=2,K250="No"),6,IF(AND(K249=3,K250="No"),8,IF(AND(K249&gt;=4,K250="No"),10,IF(AND(K249=2,K250="Yes"),5,IF(AND(K249=3,K250="Yes"),7,IF(AND(K249&gt;=4,K250="Yes"),9,0))))))</f>
        <v>0</v>
      </c>
      <c r="L251" s="2175"/>
      <c r="M251" s="2175"/>
      <c r="N251" s="2077"/>
      <c r="O251" s="2088"/>
      <c r="P251" s="2088"/>
      <c r="Q251" s="2110"/>
      <c r="R251" s="2116"/>
      <c r="S251" s="2072"/>
      <c r="T251" s="2072"/>
      <c r="U251" s="2072"/>
      <c r="V251" s="2074"/>
      <c r="W251" s="2074"/>
      <c r="X251" s="2074"/>
      <c r="AM251" s="2494">
        <v>251</v>
      </c>
    </row>
    <row r="252" spans="1:39" s="2075" customFormat="1" ht="13.5" customHeight="1">
      <c r="A252" s="2098"/>
      <c r="D252" s="2099"/>
      <c r="E252" s="2099"/>
      <c r="L252" s="2143"/>
      <c r="M252" s="2078"/>
      <c r="N252" s="2077"/>
      <c r="O252" s="2088"/>
      <c r="P252" s="2088"/>
      <c r="Q252" s="2110"/>
      <c r="R252" s="2116"/>
      <c r="S252" s="2440"/>
      <c r="T252" s="2440"/>
      <c r="U252" s="2440"/>
      <c r="V252" s="2440"/>
      <c r="W252" s="2440"/>
      <c r="X252" s="2074"/>
      <c r="AM252" s="2494">
        <v>252</v>
      </c>
    </row>
    <row r="253" spans="1:39" s="2075" customFormat="1" ht="30.75" customHeight="1">
      <c r="A253" s="2098"/>
      <c r="B253" s="3988" t="s">
        <v>5044</v>
      </c>
      <c r="C253" s="3988"/>
      <c r="D253" s="2441"/>
      <c r="E253" s="2137"/>
      <c r="F253" s="3980" t="s">
        <v>4947</v>
      </c>
      <c r="G253" s="3980"/>
      <c r="H253" s="2357" t="s">
        <v>4705</v>
      </c>
      <c r="I253" s="3980" t="s">
        <v>5069</v>
      </c>
      <c r="J253" s="3980"/>
      <c r="K253" s="3980"/>
      <c r="L253" s="3980"/>
      <c r="M253" s="3980"/>
      <c r="N253" s="3980"/>
      <c r="O253" s="3980"/>
      <c r="P253" s="3980"/>
      <c r="S253" s="2440"/>
      <c r="T253" s="2440"/>
      <c r="U253" s="2440"/>
      <c r="V253" s="2440"/>
      <c r="W253" s="2440"/>
      <c r="X253" s="2074"/>
      <c r="AM253" s="2494">
        <v>253</v>
      </c>
    </row>
    <row r="254" spans="1:39" s="2075" customFormat="1" ht="15" customHeight="1">
      <c r="A254" s="2098"/>
      <c r="C254" s="2075" t="s">
        <v>4948</v>
      </c>
      <c r="D254" s="2356"/>
      <c r="F254" s="2428"/>
      <c r="G254" s="2431"/>
      <c r="H254" s="2442"/>
      <c r="I254" s="3981"/>
      <c r="J254" s="3982"/>
      <c r="K254" s="3983"/>
      <c r="L254" s="3984"/>
      <c r="M254" s="3985" t="s">
        <v>5070</v>
      </c>
      <c r="N254" s="3986"/>
      <c r="O254" s="3986"/>
      <c r="P254" s="3987"/>
      <c r="R254" s="2435"/>
      <c r="S254" s="2436"/>
      <c r="T254" s="2436"/>
      <c r="U254" s="2436"/>
      <c r="V254" s="2436"/>
      <c r="W254" s="2436"/>
      <c r="X254" s="2074"/>
      <c r="AM254" s="2494">
        <v>254</v>
      </c>
    </row>
    <row r="255" spans="1:39" s="2075" customFormat="1" ht="15" customHeight="1">
      <c r="A255" s="2098"/>
      <c r="C255" s="2075" t="s">
        <v>4949</v>
      </c>
      <c r="D255" s="2356"/>
      <c r="F255" s="2429"/>
      <c r="G255" s="2432"/>
      <c r="H255" s="2443"/>
      <c r="I255" s="3961"/>
      <c r="J255" s="3962"/>
      <c r="K255" s="3963"/>
      <c r="L255" s="3964"/>
      <c r="M255" s="3965" t="s">
        <v>5070</v>
      </c>
      <c r="N255" s="3966"/>
      <c r="O255" s="3966"/>
      <c r="P255" s="3967"/>
      <c r="R255" s="2437"/>
      <c r="S255" s="2438"/>
      <c r="T255" s="2438"/>
      <c r="U255" s="2434"/>
      <c r="V255" s="2439"/>
      <c r="W255" s="2438"/>
      <c r="X255" s="2074"/>
      <c r="AM255" s="2493">
        <v>255</v>
      </c>
    </row>
    <row r="256" spans="1:39" s="2075" customFormat="1" ht="15" customHeight="1">
      <c r="A256" s="2098"/>
      <c r="C256" s="2075" t="s">
        <v>4950</v>
      </c>
      <c r="D256" s="2356"/>
      <c r="F256" s="2429"/>
      <c r="G256" s="2432"/>
      <c r="H256" s="2443"/>
      <c r="I256" s="3961"/>
      <c r="J256" s="3962"/>
      <c r="K256" s="3963"/>
      <c r="L256" s="3964"/>
      <c r="M256" s="3965" t="s">
        <v>5070</v>
      </c>
      <c r="N256" s="3966"/>
      <c r="O256" s="3966"/>
      <c r="P256" s="3967"/>
      <c r="R256" s="2437"/>
      <c r="S256" s="2438"/>
      <c r="T256" s="2438"/>
      <c r="U256" s="2434"/>
      <c r="V256" s="2439"/>
      <c r="W256" s="2438"/>
      <c r="X256" s="2074"/>
      <c r="AM256" s="2494">
        <v>256</v>
      </c>
    </row>
    <row r="257" spans="1:39" s="2075" customFormat="1" ht="15" customHeight="1">
      <c r="A257" s="2098"/>
      <c r="C257" s="2075" t="s">
        <v>4951</v>
      </c>
      <c r="D257" s="2099"/>
      <c r="F257" s="2429"/>
      <c r="G257" s="2432"/>
      <c r="H257" s="2425"/>
      <c r="I257" s="3961"/>
      <c r="J257" s="3962"/>
      <c r="K257" s="3963"/>
      <c r="L257" s="3964"/>
      <c r="M257" s="3965" t="s">
        <v>5070</v>
      </c>
      <c r="N257" s="3966"/>
      <c r="O257" s="3966"/>
      <c r="P257" s="3967"/>
      <c r="R257" s="2437"/>
      <c r="S257" s="2438"/>
      <c r="T257" s="2438"/>
      <c r="U257" s="2434"/>
      <c r="V257" s="2439"/>
      <c r="W257" s="2438"/>
      <c r="X257" s="2074"/>
      <c r="AM257" s="2493">
        <v>257</v>
      </c>
    </row>
    <row r="258" spans="1:39" s="2075" customFormat="1" ht="15" customHeight="1">
      <c r="A258" s="2098"/>
      <c r="C258" s="2075" t="s">
        <v>4107</v>
      </c>
      <c r="D258" s="2099"/>
      <c r="F258" s="2430"/>
      <c r="G258" s="2433"/>
      <c r="H258" s="2426"/>
      <c r="I258" s="3968"/>
      <c r="J258" s="3969"/>
      <c r="K258" s="3970"/>
      <c r="L258" s="3971"/>
      <c r="M258" s="3972" t="s">
        <v>5070</v>
      </c>
      <c r="N258" s="3973"/>
      <c r="O258" s="3973"/>
      <c r="P258" s="3974"/>
      <c r="R258" s="1222"/>
      <c r="S258" s="2072"/>
      <c r="T258" s="2072"/>
      <c r="U258" s="2072"/>
      <c r="V258" s="2074"/>
      <c r="W258" s="2074"/>
      <c r="X258" s="2074"/>
      <c r="AM258" s="2493">
        <v>258</v>
      </c>
    </row>
    <row r="259" spans="1:39" ht="15.9" customHeight="1">
      <c r="A259" s="2075"/>
      <c r="B259" s="2097" t="s">
        <v>4816</v>
      </c>
      <c r="C259" s="2075"/>
      <c r="D259" s="2075"/>
      <c r="E259" s="2075"/>
      <c r="F259" s="2075"/>
      <c r="G259" s="2075"/>
      <c r="H259" s="2075"/>
      <c r="I259" s="2075"/>
      <c r="J259" s="2075"/>
      <c r="K259" s="2075"/>
      <c r="M259" s="2077"/>
      <c r="O259" s="2088"/>
      <c r="R259" s="1222"/>
      <c r="AM259" s="2493">
        <v>259</v>
      </c>
    </row>
    <row r="260" spans="1:39" ht="15" customHeight="1">
      <c r="A260" s="3890" t="s">
        <v>5226</v>
      </c>
      <c r="B260" s="3891"/>
      <c r="C260" s="3891"/>
      <c r="D260" s="3891"/>
      <c r="E260" s="3891"/>
      <c r="F260" s="3891"/>
      <c r="G260" s="3891"/>
      <c r="H260" s="3891"/>
      <c r="I260" s="3891"/>
      <c r="J260" s="3891"/>
      <c r="K260" s="3891"/>
      <c r="L260" s="3891"/>
      <c r="M260" s="3891"/>
      <c r="N260" s="3891"/>
      <c r="O260" s="3891"/>
      <c r="P260" s="3892"/>
      <c r="Q260" s="2154"/>
      <c r="R260" s="1222"/>
      <c r="AM260" s="2493">
        <v>260</v>
      </c>
    </row>
    <row r="261" spans="1:39" ht="15.9" customHeight="1">
      <c r="A261" s="2075"/>
      <c r="B261" s="2136" t="s">
        <v>1724</v>
      </c>
      <c r="C261" s="2075"/>
      <c r="D261" s="2136"/>
      <c r="E261" s="2127"/>
      <c r="F261" s="2127"/>
      <c r="G261" s="2127"/>
      <c r="H261" s="2127"/>
      <c r="I261" s="2127"/>
      <c r="J261" s="2127"/>
      <c r="K261" s="2127"/>
      <c r="L261" s="2127"/>
      <c r="M261" s="2127"/>
      <c r="N261" s="2139"/>
      <c r="O261" s="2140"/>
      <c r="P261" s="2078"/>
      <c r="R261" s="1222"/>
      <c r="AM261" s="2494">
        <v>261</v>
      </c>
    </row>
    <row r="262" spans="1:39" ht="15" customHeight="1">
      <c r="A262" s="3884"/>
      <c r="B262" s="3885"/>
      <c r="C262" s="3885"/>
      <c r="D262" s="3885"/>
      <c r="E262" s="3885"/>
      <c r="F262" s="3885"/>
      <c r="G262" s="3885"/>
      <c r="H262" s="3885"/>
      <c r="I262" s="3885"/>
      <c r="J262" s="3885"/>
      <c r="K262" s="3885"/>
      <c r="L262" s="3885"/>
      <c r="M262" s="3885"/>
      <c r="N262" s="3885"/>
      <c r="O262" s="3885"/>
      <c r="P262" s="3886"/>
      <c r="Q262" s="2141"/>
      <c r="R262" s="1222"/>
      <c r="AM262" s="2494">
        <v>262</v>
      </c>
    </row>
    <row r="263" spans="1:39" ht="9.75" customHeight="1">
      <c r="AM263" s="2494">
        <v>263</v>
      </c>
    </row>
    <row r="264" spans="1:39" ht="9.75" customHeight="1" thickBot="1">
      <c r="AM264" s="2494">
        <v>264</v>
      </c>
    </row>
    <row r="265" spans="1:39" s="2075" customFormat="1" ht="15.9" customHeight="1" thickBot="1">
      <c r="A265" s="2098" t="s">
        <v>3279</v>
      </c>
      <c r="B265" s="2099" t="s">
        <v>3251</v>
      </c>
      <c r="D265" s="2099"/>
      <c r="E265" s="2099"/>
      <c r="G265" s="2142"/>
      <c r="J265" s="2143" t="str">
        <f>IF(OR($O$206&gt;0,$O$238&gt;0,$O$304&gt;0),"Points already claimed in another restricted section!","")</f>
        <v/>
      </c>
      <c r="L265" s="2273" t="str">
        <f>IF(AND(O265&gt;0,NOT($H$11="New Affordability")), "Not New Affordability!","")</f>
        <v/>
      </c>
      <c r="M265" s="2078">
        <v>10</v>
      </c>
      <c r="N265" s="2077"/>
      <c r="O265" s="2109">
        <f>IF(AND($H$11="New Affordability",$H$15="Community Designations"),IF(OR(O$206&gt;0,O$238&gt;0,O$304&gt;0),0,IF(OR(O266="Yes",O267="Yes"),$M$265,0)),0)</f>
        <v>0</v>
      </c>
      <c r="P265" s="2109">
        <f>IF(AND($H$12="New Affordability",$H$16="Community Designations"),IF(OR(P$206&gt;0,P$238&gt;0,P$304&gt;0),0,IF(OR(P266="Yes",P267="Yes"),$M$265,0)),0)</f>
        <v>0</v>
      </c>
      <c r="Q265" s="2110" t="s">
        <v>415</v>
      </c>
      <c r="R265" s="2387" t="s">
        <v>4956</v>
      </c>
      <c r="S265" s="2072"/>
      <c r="T265" s="2072"/>
      <c r="U265" s="2072"/>
      <c r="V265" s="2388" t="str">
        <f>$H$15</f>
        <v>&lt;&lt; Select Scoring Track &gt;&gt;</v>
      </c>
      <c r="AM265" s="2493">
        <v>265</v>
      </c>
    </row>
    <row r="266" spans="1:39" ht="15.9" customHeight="1">
      <c r="A266" s="2078" t="s">
        <v>1835</v>
      </c>
      <c r="B266" s="2148" t="s">
        <v>3177</v>
      </c>
      <c r="D266" s="2129"/>
      <c r="E266" s="2129"/>
      <c r="F266" s="2129"/>
      <c r="G266" s="2129"/>
      <c r="H266" s="2129"/>
      <c r="L266" s="2129"/>
      <c r="M266" s="3925" t="str">
        <f>IF(AND(O266="Yes",O267="Yes"),"Only one category can be selected!","")</f>
        <v/>
      </c>
      <c r="N266" s="2113"/>
      <c r="O266" s="1980"/>
      <c r="P266" s="2119"/>
      <c r="Q266" s="1992"/>
      <c r="R266" s="2072"/>
      <c r="S266" s="2072"/>
      <c r="T266" s="2072"/>
      <c r="U266" s="2072"/>
      <c r="V266" s="2072"/>
      <c r="AM266" s="2494">
        <v>266</v>
      </c>
    </row>
    <row r="267" spans="1:39" ht="15.9" customHeight="1">
      <c r="A267" s="2078" t="s">
        <v>1837</v>
      </c>
      <c r="B267" s="2148" t="s">
        <v>3178</v>
      </c>
      <c r="D267" s="2129"/>
      <c r="L267" s="2129"/>
      <c r="M267" s="3925"/>
      <c r="N267" s="2113"/>
      <c r="O267" s="1979"/>
      <c r="P267" s="2122"/>
      <c r="Q267" s="1992"/>
      <c r="R267" s="2072"/>
      <c r="S267" s="2072"/>
      <c r="T267" s="2072"/>
      <c r="U267" s="2072"/>
      <c r="V267" s="2072"/>
      <c r="AM267" s="2493">
        <v>267</v>
      </c>
    </row>
    <row r="268" spans="1:39" ht="15.9" customHeight="1">
      <c r="A268" s="2075"/>
      <c r="B268" s="2097" t="s">
        <v>4816</v>
      </c>
      <c r="C268" s="2075"/>
      <c r="D268" s="2075"/>
      <c r="E268" s="2075"/>
      <c r="F268" s="2075"/>
      <c r="G268" s="2075"/>
      <c r="H268" s="2075"/>
      <c r="I268" s="2075"/>
      <c r="J268" s="2075"/>
      <c r="K268" s="2075"/>
      <c r="M268" s="2077"/>
      <c r="O268" s="2088"/>
      <c r="R268" s="2072"/>
      <c r="S268" s="2072"/>
      <c r="T268" s="2072"/>
      <c r="U268" s="2072"/>
      <c r="V268" s="2072"/>
      <c r="AM268" s="2493">
        <v>268</v>
      </c>
    </row>
    <row r="269" spans="1:39" ht="15" customHeight="1">
      <c r="A269" s="3890" t="s">
        <v>5226</v>
      </c>
      <c r="B269" s="3891"/>
      <c r="C269" s="3891"/>
      <c r="D269" s="3891"/>
      <c r="E269" s="3891"/>
      <c r="F269" s="3891"/>
      <c r="G269" s="3891"/>
      <c r="H269" s="3891"/>
      <c r="I269" s="3891"/>
      <c r="J269" s="3891"/>
      <c r="K269" s="3891"/>
      <c r="L269" s="3891"/>
      <c r="M269" s="3891"/>
      <c r="N269" s="3891"/>
      <c r="O269" s="3891"/>
      <c r="P269" s="3892"/>
      <c r="Q269" s="2154"/>
      <c r="AM269" s="2493">
        <v>269</v>
      </c>
    </row>
    <row r="270" spans="1:39" ht="15.9" customHeight="1">
      <c r="A270" s="2075"/>
      <c r="B270" s="2136" t="s">
        <v>1724</v>
      </c>
      <c r="C270" s="2075"/>
      <c r="D270" s="2136"/>
      <c r="E270" s="2127"/>
      <c r="F270" s="2127"/>
      <c r="G270" s="2127"/>
      <c r="H270" s="2127"/>
      <c r="I270" s="2127"/>
      <c r="J270" s="2127"/>
      <c r="K270" s="2127"/>
      <c r="L270" s="2127"/>
      <c r="M270" s="2127"/>
      <c r="N270" s="2139"/>
      <c r="O270" s="2140"/>
      <c r="P270" s="2078"/>
      <c r="AM270" s="2494">
        <v>270</v>
      </c>
    </row>
    <row r="271" spans="1:39" ht="15" customHeight="1">
      <c r="A271" s="3884"/>
      <c r="B271" s="3885"/>
      <c r="C271" s="3885"/>
      <c r="D271" s="3885"/>
      <c r="E271" s="3885"/>
      <c r="F271" s="3885"/>
      <c r="G271" s="3885"/>
      <c r="H271" s="3885"/>
      <c r="I271" s="3885"/>
      <c r="J271" s="3885"/>
      <c r="K271" s="3885"/>
      <c r="L271" s="3885"/>
      <c r="M271" s="3885"/>
      <c r="N271" s="3885"/>
      <c r="O271" s="3885"/>
      <c r="P271" s="3886"/>
      <c r="Q271" s="2141"/>
      <c r="AM271" s="2494">
        <v>271</v>
      </c>
    </row>
    <row r="272" spans="1:39" ht="9.75" customHeight="1">
      <c r="AM272" s="2494">
        <v>272</v>
      </c>
    </row>
    <row r="273" spans="1:39" ht="9.75" customHeight="1" thickBot="1">
      <c r="AM273" s="2494">
        <v>273</v>
      </c>
    </row>
    <row r="274" spans="1:39" ht="15.9" customHeight="1" thickBot="1">
      <c r="A274" s="2098" t="s">
        <v>3280</v>
      </c>
      <c r="B274" s="2099" t="s">
        <v>3904</v>
      </c>
      <c r="E274" s="2116" t="str">
        <f>IF(AND(O274&gt;0,NOT($H$11="New Affordability"),NOT($C$16="9%")), "Ineligible, not New Affordability and 9%!","")</f>
        <v/>
      </c>
      <c r="G274" s="2245" t="str">
        <f>$C$16</f>
        <v>4%</v>
      </c>
      <c r="H274" s="2171" t="str">
        <f>$L$11</f>
        <v>Atlanta Metro</v>
      </c>
      <c r="L274" s="2108" t="s">
        <v>4865</v>
      </c>
      <c r="M274" s="2078">
        <v>4</v>
      </c>
      <c r="N274" s="2077"/>
      <c r="O274" s="2109">
        <f>IF(AND($H$11="New Affordability",O275="Yes",$G$274="9%",OR($H$274="Atlanta Metro",$H$274= "Other Metro")),4,IF(AND($H$11="New Affordability",O275="Yes"),3,0))</f>
        <v>0</v>
      </c>
      <c r="P274" s="2109">
        <f>IF(AND(P275="Yes",$G$274="9%",OR($L$274="Atlanta Metro",$L$274= "Other Metro")),4,IF(P275="Yes",3,0))</f>
        <v>0</v>
      </c>
      <c r="Q274" s="2110" t="s">
        <v>415</v>
      </c>
      <c r="R274" s="2116"/>
      <c r="S274" s="2072"/>
      <c r="T274" s="2072"/>
      <c r="U274" s="2072"/>
      <c r="V274" s="2072"/>
      <c r="W274" s="2274"/>
      <c r="X274" s="2274"/>
      <c r="AM274" s="2493">
        <v>274</v>
      </c>
    </row>
    <row r="275" spans="1:39" ht="15.9" customHeight="1">
      <c r="A275" s="2275"/>
      <c r="B275" s="2130" t="s">
        <v>4148</v>
      </c>
      <c r="C275" s="2130"/>
      <c r="D275" s="2130"/>
      <c r="E275" s="2130"/>
      <c r="F275" s="2130"/>
      <c r="N275" s="2132"/>
      <c r="O275" s="1993"/>
      <c r="P275" s="2219"/>
      <c r="Q275" s="2276"/>
      <c r="R275" s="2225"/>
      <c r="S275" s="2225"/>
      <c r="T275" s="2225"/>
      <c r="W275" s="2225"/>
      <c r="X275" s="2225"/>
      <c r="Y275" s="2225"/>
      <c r="Z275" s="2225"/>
      <c r="AA275" s="2225"/>
      <c r="AM275" s="2494">
        <v>275</v>
      </c>
    </row>
    <row r="276" spans="1:39" ht="15.9" customHeight="1">
      <c r="A276" s="2275"/>
      <c r="B276" s="2130"/>
      <c r="C276" s="2130"/>
      <c r="D276" s="2130"/>
      <c r="E276" s="2130"/>
      <c r="F276" s="2130"/>
      <c r="G276" s="2095" t="s">
        <v>4686</v>
      </c>
      <c r="H276" s="3913" t="s">
        <v>573</v>
      </c>
      <c r="I276" s="3913"/>
      <c r="J276" s="3913"/>
      <c r="K276" s="3960" t="s">
        <v>4722</v>
      </c>
      <c r="L276" s="3960"/>
      <c r="M276" s="3960"/>
      <c r="N276" s="2277"/>
      <c r="O276" s="2277"/>
      <c r="P276" s="2277"/>
      <c r="Q276" s="2225"/>
      <c r="R276" s="2225"/>
      <c r="S276" s="2225"/>
      <c r="T276" s="2225"/>
      <c r="W276" s="2225"/>
      <c r="X276" s="2225"/>
      <c r="Y276" s="2225"/>
      <c r="Z276" s="2225"/>
      <c r="AA276" s="2225"/>
      <c r="AM276" s="2493">
        <v>276</v>
      </c>
    </row>
    <row r="277" spans="1:39" ht="15" customHeight="1">
      <c r="A277" s="2275"/>
      <c r="B277" s="2275"/>
      <c r="D277" s="2214" t="s">
        <v>4149</v>
      </c>
      <c r="G277" s="2523"/>
      <c r="H277" s="3952"/>
      <c r="I277" s="3953"/>
      <c r="J277" s="3954"/>
      <c r="K277" s="3955"/>
      <c r="L277" s="3955"/>
      <c r="M277" s="3955"/>
      <c r="N277" s="2132"/>
      <c r="O277" s="2218"/>
      <c r="P277" s="2218"/>
      <c r="Q277" s="2225"/>
      <c r="R277" s="2225"/>
      <c r="S277" s="2225"/>
      <c r="T277" s="2225"/>
      <c r="W277" s="2225"/>
      <c r="X277" s="2225"/>
      <c r="Y277" s="2225"/>
      <c r="Z277" s="2225"/>
      <c r="AA277" s="2225"/>
      <c r="AM277" s="2493">
        <v>277</v>
      </c>
    </row>
    <row r="278" spans="1:39" s="2075" customFormat="1" ht="15" customHeight="1">
      <c r="A278" s="2158"/>
      <c r="B278" s="2275"/>
      <c r="D278" s="2107" t="s">
        <v>4150</v>
      </c>
      <c r="G278" s="2528"/>
      <c r="H278" s="3956"/>
      <c r="I278" s="3957"/>
      <c r="J278" s="3958"/>
      <c r="K278" s="3959"/>
      <c r="L278" s="3959"/>
      <c r="M278" s="3959"/>
      <c r="AM278" s="2493">
        <v>278</v>
      </c>
    </row>
    <row r="279" spans="1:39" ht="15.9" hidden="1" customHeight="1">
      <c r="A279" s="2075"/>
      <c r="D279" s="2075"/>
      <c r="E279" s="2075"/>
      <c r="F279" s="2078"/>
      <c r="G279" s="2078"/>
      <c r="H279" s="2078"/>
      <c r="I279" s="2078"/>
      <c r="J279" s="2107"/>
      <c r="K279" s="2107"/>
      <c r="L279" s="2107"/>
      <c r="M279" s="2077"/>
      <c r="N279" s="2078"/>
      <c r="P279" s="2088"/>
      <c r="AM279" s="2493">
        <v>279</v>
      </c>
    </row>
    <row r="280" spans="1:39" ht="15.9" customHeight="1">
      <c r="A280" s="2075"/>
      <c r="B280" s="2097" t="s">
        <v>4816</v>
      </c>
      <c r="C280" s="2075"/>
      <c r="D280" s="2075"/>
      <c r="E280" s="2075"/>
      <c r="F280" s="2075"/>
      <c r="G280" s="2075"/>
      <c r="H280" s="2075"/>
      <c r="I280" s="2075"/>
      <c r="J280" s="2075"/>
      <c r="K280" s="2075"/>
      <c r="M280" s="2077"/>
      <c r="O280" s="2088"/>
      <c r="AM280" s="2493">
        <v>280</v>
      </c>
    </row>
    <row r="281" spans="1:39" ht="15.9" customHeight="1">
      <c r="A281" s="3890" t="s">
        <v>5222</v>
      </c>
      <c r="B281" s="3891"/>
      <c r="C281" s="3891"/>
      <c r="D281" s="3891"/>
      <c r="E281" s="3891"/>
      <c r="F281" s="3891"/>
      <c r="G281" s="3891"/>
      <c r="H281" s="3891"/>
      <c r="I281" s="3891"/>
      <c r="J281" s="3891"/>
      <c r="K281" s="3891"/>
      <c r="L281" s="3891"/>
      <c r="M281" s="3891"/>
      <c r="N281" s="3891"/>
      <c r="O281" s="3891"/>
      <c r="P281" s="3892"/>
      <c r="Q281" s="2154"/>
      <c r="AM281" s="2493">
        <v>281</v>
      </c>
    </row>
    <row r="282" spans="1:39" ht="15.9" customHeight="1">
      <c r="B282" s="2136" t="s">
        <v>1724</v>
      </c>
      <c r="C282" s="2137"/>
      <c r="D282" s="2136"/>
      <c r="E282" s="2138"/>
      <c r="F282" s="2127"/>
      <c r="G282" s="2127"/>
      <c r="H282" s="2127"/>
      <c r="I282" s="2127"/>
      <c r="J282" s="2127"/>
      <c r="K282" s="2127"/>
      <c r="L282" s="2127"/>
      <c r="M282" s="2127"/>
      <c r="N282" s="2139"/>
      <c r="O282" s="2140"/>
      <c r="P282" s="2078"/>
      <c r="AM282" s="2494">
        <v>282</v>
      </c>
    </row>
    <row r="283" spans="1:39" ht="15" customHeight="1">
      <c r="A283" s="3884"/>
      <c r="B283" s="3885"/>
      <c r="C283" s="3885"/>
      <c r="D283" s="3885"/>
      <c r="E283" s="3885"/>
      <c r="F283" s="3885"/>
      <c r="G283" s="3885"/>
      <c r="H283" s="3885"/>
      <c r="I283" s="3885"/>
      <c r="J283" s="3885"/>
      <c r="K283" s="3885"/>
      <c r="L283" s="3885"/>
      <c r="M283" s="3885"/>
      <c r="N283" s="3885"/>
      <c r="O283" s="3885"/>
      <c r="P283" s="3886"/>
      <c r="Q283" s="2141"/>
      <c r="AM283" s="2494">
        <v>283</v>
      </c>
    </row>
    <row r="284" spans="1:39" ht="9.75" customHeight="1">
      <c r="AM284" s="2494">
        <v>284</v>
      </c>
    </row>
    <row r="285" spans="1:39" ht="9.75" customHeight="1" thickBot="1">
      <c r="AM285" s="2493">
        <v>285</v>
      </c>
    </row>
    <row r="286" spans="1:39" ht="15.9" customHeight="1" thickBot="1">
      <c r="A286" s="2098" t="s">
        <v>3278</v>
      </c>
      <c r="B286" s="2099" t="s">
        <v>3832</v>
      </c>
      <c r="G286" s="2111"/>
      <c r="I286" s="2143" t="str">
        <f>IF($O$274&gt;0,"Points already claimed in another restricted section!","")</f>
        <v/>
      </c>
      <c r="K286" s="2273" t="str">
        <f>IF(AND(SUM(O288,O291,O295)&gt;0,NOT($H$11="New Affordability"),NOT($C$16="9%")), "Not 9% New Affordability!","")</f>
        <v/>
      </c>
      <c r="L286" s="2108" t="s">
        <v>4865</v>
      </c>
      <c r="M286" s="2078">
        <v>5</v>
      </c>
      <c r="N286" s="2077"/>
      <c r="O286" s="2109">
        <f>IF(AND(O274=0,$H$11="New Affordability",$C$16="9%"),MIN($M286,MAX(O288,O291,O295)),0)</f>
        <v>0</v>
      </c>
      <c r="P286" s="2109">
        <f>IF(AND(P274=0,$H$12="New Affordability",$C$16="9%"),MIN($M286,MAX(P288,P291,P295)),0)</f>
        <v>0</v>
      </c>
      <c r="Q286" s="2110" t="s">
        <v>415</v>
      </c>
      <c r="R286" s="2116"/>
      <c r="S286" s="2072"/>
      <c r="T286" s="2072"/>
      <c r="U286" s="2072"/>
      <c r="V286" s="2072"/>
      <c r="W286" s="2274"/>
      <c r="X286" s="2274"/>
      <c r="AM286" s="2493">
        <v>286</v>
      </c>
    </row>
    <row r="287" spans="1:39" ht="15" customHeight="1">
      <c r="B287" s="2074" t="s">
        <v>4886</v>
      </c>
      <c r="AM287" s="2494">
        <v>287</v>
      </c>
    </row>
    <row r="288" spans="1:39" s="2075" customFormat="1" ht="15.9" customHeight="1">
      <c r="A288" s="2078" t="s">
        <v>1835</v>
      </c>
      <c r="B288" s="2086" t="s">
        <v>4887</v>
      </c>
      <c r="L288" s="2172" t="s">
        <v>4865</v>
      </c>
      <c r="M288" s="2077">
        <v>5</v>
      </c>
      <c r="N288" s="2113"/>
      <c r="O288" s="1984"/>
      <c r="P288" s="2237"/>
      <c r="Q288" s="2115" t="str">
        <f>IF(OR($O288&lt;=$M288,$O288=""),"","*CHECK!*")</f>
        <v/>
      </c>
      <c r="R288" s="2116"/>
      <c r="S288" s="2072"/>
      <c r="T288" s="2072"/>
      <c r="U288" s="2072"/>
      <c r="V288" s="2072"/>
      <c r="AM288" s="2493">
        <v>288</v>
      </c>
    </row>
    <row r="289" spans="1:39" ht="15.75" customHeight="1">
      <c r="C289" s="2074" t="s">
        <v>4952</v>
      </c>
      <c r="O289" s="1988"/>
      <c r="P289" s="2197"/>
      <c r="AM289" s="2493">
        <v>289</v>
      </c>
    </row>
    <row r="290" spans="1:39" ht="15.75" customHeight="1">
      <c r="C290" s="2074" t="s">
        <v>5042</v>
      </c>
      <c r="O290" s="1991"/>
      <c r="P290" s="2198"/>
      <c r="AM290" s="2494">
        <v>290</v>
      </c>
    </row>
    <row r="291" spans="1:39" s="2075" customFormat="1" ht="15.9" customHeight="1">
      <c r="A291" s="2078" t="s">
        <v>1837</v>
      </c>
      <c r="B291" s="2086" t="s">
        <v>4888</v>
      </c>
      <c r="L291" s="2172" t="s">
        <v>4865</v>
      </c>
      <c r="M291" s="2077">
        <v>3</v>
      </c>
      <c r="N291" s="2113"/>
      <c r="O291" s="1986"/>
      <c r="P291" s="2189"/>
      <c r="Q291" s="2115" t="str">
        <f>IF(OR($O291&lt;=$M291,$O291=""),"","*CHECK!*")</f>
        <v/>
      </c>
      <c r="R291" s="2116"/>
      <c r="AM291" s="2494">
        <v>291</v>
      </c>
    </row>
    <row r="292" spans="1:39" ht="15.75" customHeight="1">
      <c r="C292" s="2074" t="s">
        <v>4890</v>
      </c>
      <c r="O292" s="1988"/>
      <c r="P292" s="2187"/>
      <c r="AM292" s="2494">
        <v>292</v>
      </c>
    </row>
    <row r="293" spans="1:39" ht="15" customHeight="1">
      <c r="C293" s="2074" t="s">
        <v>4998</v>
      </c>
      <c r="L293" s="2422">
        <f>O179</f>
        <v>0</v>
      </c>
      <c r="O293" s="2427"/>
      <c r="P293" s="2200"/>
      <c r="AM293" s="2494">
        <v>293</v>
      </c>
    </row>
    <row r="294" spans="1:39" ht="15.75" customHeight="1">
      <c r="C294" s="2074" t="s">
        <v>5043</v>
      </c>
      <c r="O294" s="1978"/>
      <c r="P294" s="2187"/>
      <c r="AM294" s="2493">
        <v>294</v>
      </c>
    </row>
    <row r="295" spans="1:39" ht="15.9" customHeight="1">
      <c r="A295" s="2078" t="s">
        <v>697</v>
      </c>
      <c r="B295" s="2086" t="s">
        <v>4889</v>
      </c>
      <c r="G295" s="2107"/>
      <c r="I295" s="2111"/>
      <c r="L295" s="2172" t="s">
        <v>4865</v>
      </c>
      <c r="M295" s="2077">
        <v>3</v>
      </c>
      <c r="N295" s="2113"/>
      <c r="O295" s="1988"/>
      <c r="P295" s="2197"/>
      <c r="Q295" s="2115" t="str">
        <f>IF(OR($O295&lt;=$M295,$O295=""),"","*CHECK!*")</f>
        <v/>
      </c>
      <c r="R295" s="2116"/>
      <c r="AM295" s="2493">
        <v>295</v>
      </c>
    </row>
    <row r="296" spans="1:39" ht="15.75" customHeight="1">
      <c r="C296" s="2074" t="s">
        <v>4953</v>
      </c>
      <c r="O296" s="2473"/>
      <c r="P296" s="2474"/>
      <c r="AM296" s="2494">
        <v>296</v>
      </c>
    </row>
    <row r="297" spans="1:39" ht="9.75" customHeight="1">
      <c r="AM297" s="2494">
        <v>297</v>
      </c>
    </row>
    <row r="298" spans="1:39" ht="15.9" customHeight="1">
      <c r="A298" s="2075"/>
      <c r="B298" s="2097" t="s">
        <v>4816</v>
      </c>
      <c r="C298" s="2075"/>
      <c r="D298" s="2075"/>
      <c r="E298" s="2075"/>
      <c r="F298" s="2075"/>
      <c r="G298" s="2075"/>
      <c r="H298" s="2075"/>
      <c r="I298" s="2075"/>
      <c r="J298" s="2075"/>
      <c r="K298" s="2075"/>
      <c r="M298" s="2077"/>
      <c r="O298" s="2088"/>
      <c r="AM298" s="2494">
        <v>298</v>
      </c>
    </row>
    <row r="299" spans="1:39" ht="15.9" customHeight="1">
      <c r="A299" s="3890" t="s">
        <v>5223</v>
      </c>
      <c r="B299" s="3891"/>
      <c r="C299" s="3891"/>
      <c r="D299" s="3891"/>
      <c r="E299" s="3891"/>
      <c r="F299" s="3891"/>
      <c r="G299" s="3891"/>
      <c r="H299" s="3891"/>
      <c r="I299" s="3891"/>
      <c r="J299" s="3891"/>
      <c r="K299" s="3891"/>
      <c r="L299" s="3891"/>
      <c r="M299" s="3891"/>
      <c r="N299" s="3891"/>
      <c r="O299" s="3891"/>
      <c r="P299" s="3892"/>
      <c r="Q299" s="2154"/>
      <c r="AM299" s="2494">
        <v>299</v>
      </c>
    </row>
    <row r="300" spans="1:39" ht="15.9" customHeight="1">
      <c r="B300" s="2136" t="s">
        <v>1724</v>
      </c>
      <c r="C300" s="2137"/>
      <c r="D300" s="2136"/>
      <c r="E300" s="2138"/>
      <c r="F300" s="2127"/>
      <c r="G300" s="2127"/>
      <c r="H300" s="2127"/>
      <c r="I300" s="2127"/>
      <c r="J300" s="2127"/>
      <c r="K300" s="2127"/>
      <c r="L300" s="2127"/>
      <c r="M300" s="2127"/>
      <c r="N300" s="2139"/>
      <c r="O300" s="2140"/>
      <c r="P300" s="2078"/>
      <c r="AM300" s="2493">
        <v>300</v>
      </c>
    </row>
    <row r="301" spans="1:39" ht="15" customHeight="1">
      <c r="A301" s="3884"/>
      <c r="B301" s="3885"/>
      <c r="C301" s="3885"/>
      <c r="D301" s="3885"/>
      <c r="E301" s="3885"/>
      <c r="F301" s="3885"/>
      <c r="G301" s="3885"/>
      <c r="H301" s="3885"/>
      <c r="I301" s="3885"/>
      <c r="J301" s="3885"/>
      <c r="K301" s="3885"/>
      <c r="L301" s="3885"/>
      <c r="M301" s="3885"/>
      <c r="N301" s="3885"/>
      <c r="O301" s="3885"/>
      <c r="P301" s="3886"/>
      <c r="Q301" s="2141"/>
      <c r="AM301" s="2494">
        <v>301</v>
      </c>
    </row>
    <row r="302" spans="1:39" ht="9.75" customHeight="1">
      <c r="AM302" s="2493">
        <v>302</v>
      </c>
    </row>
    <row r="303" spans="1:39" ht="9.75" customHeight="1" thickBot="1">
      <c r="AM303" s="2493">
        <v>303</v>
      </c>
    </row>
    <row r="304" spans="1:39" s="2075" customFormat="1" ht="15.9" customHeight="1" thickBot="1">
      <c r="A304" s="2098" t="s">
        <v>3281</v>
      </c>
      <c r="B304" s="2099" t="s">
        <v>4819</v>
      </c>
      <c r="D304" s="2099"/>
      <c r="E304" s="2099"/>
      <c r="G304" s="2142"/>
      <c r="J304" s="2143" t="str">
        <f>IF(OR($O$206&gt;0,$O$238&gt;0,$O$265&gt;0),"Points already claimed in another restricted section!","")</f>
        <v/>
      </c>
      <c r="K304" s="2143" t="str">
        <f>IF(AND(O304&gt;0,NOT($H$11="New Affordability")), "Not New Affordability!","")</f>
        <v/>
      </c>
      <c r="L304" s="2108" t="s">
        <v>4865</v>
      </c>
      <c r="M304" s="2078">
        <v>10</v>
      </c>
      <c r="N304" s="2077"/>
      <c r="O304" s="2109">
        <f>IF(OR($L$11="Atlanta Metro",O$206&gt;0,O$238&gt;0,O$265&gt;0),0,IF(AND($H$11="New Affordability",$C$16="9%",O310+O311&lt;=$M304),O310+O311,0))</f>
        <v>0</v>
      </c>
      <c r="P304" s="2109">
        <f>IF(AND($H$12="New Affordability",NOT($L$12="Atlanta Metro"),$C$16="9%",P310+P311&lt;=$M304),P310+P311,0)</f>
        <v>0</v>
      </c>
      <c r="Q304" s="2110" t="s">
        <v>415</v>
      </c>
      <c r="R304" s="2387" t="s">
        <v>4956</v>
      </c>
      <c r="S304" s="2072"/>
      <c r="T304" s="2072"/>
      <c r="U304" s="2072"/>
      <c r="V304" s="2388" t="str">
        <f>$H$15</f>
        <v>&lt;&lt; Select Scoring Track &gt;&gt;</v>
      </c>
      <c r="AM304" s="2493">
        <v>304</v>
      </c>
    </row>
    <row r="305" spans="1:41" s="2075" customFormat="1" ht="3.75" customHeight="1">
      <c r="A305" s="2098"/>
      <c r="B305" s="2099"/>
      <c r="D305" s="2099"/>
      <c r="E305" s="2099"/>
      <c r="L305" s="2143"/>
      <c r="M305" s="2078"/>
      <c r="N305" s="2077"/>
      <c r="O305" s="2088"/>
      <c r="P305" s="2088"/>
      <c r="Q305" s="2110"/>
      <c r="R305" s="2116"/>
      <c r="S305" s="2072"/>
      <c r="T305" s="2072"/>
      <c r="U305" s="2072"/>
      <c r="V305" s="2074"/>
      <c r="W305" s="2074"/>
      <c r="X305" s="2074"/>
      <c r="AM305" s="2493">
        <v>305</v>
      </c>
    </row>
    <row r="306" spans="1:41" s="2075" customFormat="1" ht="15.9" customHeight="1">
      <c r="A306" s="2098"/>
      <c r="C306" s="2256" t="s">
        <v>4881</v>
      </c>
      <c r="D306" s="2257"/>
      <c r="E306" s="2257"/>
      <c r="F306" s="2258"/>
      <c r="G306" s="2258"/>
      <c r="H306" s="2258"/>
      <c r="I306" s="2258"/>
      <c r="J306" s="2259" t="s">
        <v>2879</v>
      </c>
      <c r="K306" s="2260" t="s">
        <v>245</v>
      </c>
      <c r="L306" s="2466"/>
      <c r="M306" s="2078"/>
      <c r="N306" s="2077"/>
      <c r="O306" s="2088"/>
      <c r="P306" s="2088"/>
      <c r="Q306" s="2110"/>
      <c r="R306" s="2116"/>
      <c r="S306" s="2072"/>
      <c r="T306" s="2072"/>
      <c r="U306" s="2072"/>
      <c r="V306" s="2074"/>
      <c r="W306" s="2074"/>
      <c r="X306" s="2074"/>
      <c r="AM306" s="2493">
        <v>306</v>
      </c>
    </row>
    <row r="307" spans="1:41" s="2075" customFormat="1" ht="15.9" customHeight="1">
      <c r="A307" s="2098"/>
      <c r="B307" s="2099"/>
      <c r="C307" s="2262"/>
      <c r="D307" s="2075" t="s">
        <v>3304</v>
      </c>
      <c r="E307" s="2099"/>
      <c r="J307" s="2263">
        <f>MAX(O206,O212+O222+O229)</f>
        <v>0</v>
      </c>
      <c r="K307" s="2264">
        <f>MAX(P206,P212+P222+P229)</f>
        <v>0</v>
      </c>
      <c r="L307" s="2466"/>
      <c r="M307" s="3950" t="str">
        <f>$L$11</f>
        <v>Atlanta Metro</v>
      </c>
      <c r="N307" s="3950"/>
      <c r="O307" s="3950"/>
      <c r="P307" s="3950"/>
      <c r="Q307" s="2110"/>
      <c r="R307" s="2116"/>
      <c r="S307" s="2072"/>
      <c r="T307" s="2072"/>
      <c r="U307" s="2072"/>
      <c r="V307" s="2074"/>
      <c r="W307" s="2074"/>
      <c r="X307" s="2074"/>
      <c r="AM307" s="2493">
        <v>307</v>
      </c>
    </row>
    <row r="308" spans="1:41" s="2075" customFormat="1" ht="15.9" customHeight="1">
      <c r="A308" s="2098"/>
      <c r="B308" s="2099"/>
      <c r="C308" s="2262"/>
      <c r="D308" s="2075" t="s">
        <v>3906</v>
      </c>
      <c r="E308" s="2099"/>
      <c r="J308" s="2266">
        <f>MAX($J$251,$O$238)</f>
        <v>0</v>
      </c>
      <c r="K308" s="2267">
        <f>MAX($K$251,$P$238)</f>
        <v>0</v>
      </c>
      <c r="L308" s="2466"/>
      <c r="M308" s="2078"/>
      <c r="N308" s="2077"/>
      <c r="O308" s="2088"/>
      <c r="P308" s="2088"/>
      <c r="Q308" s="2110"/>
      <c r="R308" s="2116"/>
      <c r="S308" s="2072"/>
      <c r="T308" s="2072"/>
      <c r="U308" s="2072"/>
      <c r="V308" s="2074"/>
      <c r="W308" s="2074"/>
      <c r="X308" s="2074"/>
      <c r="AM308" s="2494">
        <v>308</v>
      </c>
    </row>
    <row r="309" spans="1:41" s="2075" customFormat="1" ht="3.75" customHeight="1">
      <c r="A309" s="2098"/>
      <c r="B309" s="2099"/>
      <c r="C309" s="2268"/>
      <c r="D309" s="2269"/>
      <c r="E309" s="2269"/>
      <c r="F309" s="2270"/>
      <c r="G309" s="2270"/>
      <c r="H309" s="2270"/>
      <c r="I309" s="2270"/>
      <c r="J309" s="2270"/>
      <c r="K309" s="2270"/>
      <c r="L309" s="2466"/>
      <c r="M309" s="2078"/>
      <c r="N309" s="2077"/>
      <c r="O309" s="2088"/>
      <c r="P309" s="2088"/>
      <c r="Q309" s="2110"/>
      <c r="R309" s="2116"/>
      <c r="S309" s="2072"/>
      <c r="T309" s="2072"/>
      <c r="U309" s="2072"/>
      <c r="V309" s="2074"/>
      <c r="W309" s="2074"/>
      <c r="X309" s="2074"/>
      <c r="AM309" s="2494">
        <v>309</v>
      </c>
    </row>
    <row r="310" spans="1:41" ht="15.9" customHeight="1">
      <c r="A310" s="2078" t="s">
        <v>1835</v>
      </c>
      <c r="B310" s="2148" t="s">
        <v>4891</v>
      </c>
      <c r="D310" s="2129"/>
      <c r="E310" s="2129"/>
      <c r="F310" s="2129"/>
      <c r="G310" s="2129"/>
      <c r="H310" s="2129"/>
      <c r="L310" s="2112" t="str">
        <f t="shared" ref="L310:L311" si="9">IF(OR($O310=$M310,$O310=0,$O310=""),"","* * Check Score! * *")</f>
        <v/>
      </c>
      <c r="M310" s="2183">
        <v>5</v>
      </c>
      <c r="N310" s="2113"/>
      <c r="O310" s="1984"/>
      <c r="P310" s="2237"/>
      <c r="Q310" s="1992"/>
      <c r="R310" s="2072"/>
      <c r="S310" s="2072"/>
      <c r="T310" s="2072"/>
      <c r="U310" s="2072"/>
      <c r="V310" s="2072"/>
      <c r="AM310" s="2494">
        <v>310</v>
      </c>
    </row>
    <row r="311" spans="1:41" ht="15.9" customHeight="1">
      <c r="A311" s="2078" t="s">
        <v>1837</v>
      </c>
      <c r="B311" s="2148" t="s">
        <v>4892</v>
      </c>
      <c r="D311" s="2129"/>
      <c r="J311" s="2278" t="str">
        <f>IF(AND(O310=$M310,OR((O207+O222+O229)&gt;=5,J251&gt;=5)),"Eligible","Currently not eligible")</f>
        <v>Currently not eligible</v>
      </c>
      <c r="L311" s="2112" t="str">
        <f t="shared" si="9"/>
        <v/>
      </c>
      <c r="M311" s="2183">
        <v>5</v>
      </c>
      <c r="N311" s="2113"/>
      <c r="O311" s="2123">
        <f>IF(AND($H$15="Housing Needs Characteristics + Stable Communities Characteristics",$O310&gt;0,$O310=$M310,$J251&gt;=5),MIN($J251,$M$311),IF(AND($H$15="Housing Needs Characteristics + Revitalization Characteristics",$O310&gt;0,$O310=$M310,$O207&gt;=5),MIN($O207,$M$311),0))</f>
        <v>0</v>
      </c>
      <c r="P311" s="2123">
        <f>IF(AND($H$15="Housing Needs Characteristics + Stable Communities Characteristics",$O310&gt;0,$O310=$M310,$J251&gt;=5),MIN($J251,$M$311),IF(AND($H$15="Housing Needs Characteristics + Revitalization Characteristics",$O310&gt;0,$O310=$M310,$O207&gt;=5),MIN($O207,$M$311),0))</f>
        <v>0</v>
      </c>
      <c r="Q311" s="1992"/>
      <c r="R311" s="2072"/>
      <c r="S311" s="2072"/>
      <c r="T311" s="2072"/>
      <c r="U311" s="2072"/>
      <c r="V311" s="2072"/>
      <c r="AM311" s="2493">
        <v>311</v>
      </c>
    </row>
    <row r="312" spans="1:41" ht="15.9" customHeight="1">
      <c r="A312" s="2075"/>
      <c r="B312" s="2097" t="s">
        <v>4816</v>
      </c>
      <c r="C312" s="2075"/>
      <c r="D312" s="2075"/>
      <c r="E312" s="2075"/>
      <c r="F312" s="2075"/>
      <c r="G312" s="2075"/>
      <c r="H312" s="2075"/>
      <c r="I312" s="2075"/>
      <c r="J312" s="2075"/>
      <c r="K312" s="2075"/>
      <c r="M312" s="2077"/>
      <c r="O312" s="2088"/>
      <c r="R312" s="2072"/>
      <c r="S312" s="2072"/>
      <c r="T312" s="2072"/>
      <c r="U312" s="2072"/>
      <c r="V312" s="2072"/>
      <c r="AM312" s="2493">
        <v>312</v>
      </c>
    </row>
    <row r="313" spans="1:41" ht="15.9" customHeight="1">
      <c r="A313" s="3890" t="s">
        <v>5222</v>
      </c>
      <c r="B313" s="3891"/>
      <c r="C313" s="3891"/>
      <c r="D313" s="3891"/>
      <c r="E313" s="3891"/>
      <c r="F313" s="3891"/>
      <c r="G313" s="3891"/>
      <c r="H313" s="3891"/>
      <c r="I313" s="3891"/>
      <c r="J313" s="3891"/>
      <c r="K313" s="3891"/>
      <c r="L313" s="3891"/>
      <c r="M313" s="3891"/>
      <c r="N313" s="3891"/>
      <c r="O313" s="3891"/>
      <c r="P313" s="3892"/>
      <c r="Q313" s="2154"/>
      <c r="AM313" s="2494">
        <v>313</v>
      </c>
    </row>
    <row r="314" spans="1:41" ht="15.9" customHeight="1">
      <c r="A314" s="2075"/>
      <c r="B314" s="2136" t="s">
        <v>1724</v>
      </c>
      <c r="C314" s="2075"/>
      <c r="D314" s="2136"/>
      <c r="E314" s="2127"/>
      <c r="F314" s="2127"/>
      <c r="G314" s="2127"/>
      <c r="H314" s="2127"/>
      <c r="I314" s="2127"/>
      <c r="J314" s="2127"/>
      <c r="K314" s="2127"/>
      <c r="L314" s="2127"/>
      <c r="M314" s="2127"/>
      <c r="N314" s="2139"/>
      <c r="O314" s="2140"/>
      <c r="P314" s="2078"/>
      <c r="AM314" s="2493">
        <v>314</v>
      </c>
    </row>
    <row r="315" spans="1:41" ht="15" customHeight="1">
      <c r="A315" s="3884"/>
      <c r="B315" s="3885"/>
      <c r="C315" s="3885"/>
      <c r="D315" s="3885"/>
      <c r="E315" s="3885"/>
      <c r="F315" s="3885"/>
      <c r="G315" s="3885"/>
      <c r="H315" s="3885"/>
      <c r="I315" s="3885"/>
      <c r="J315" s="3885"/>
      <c r="K315" s="3885"/>
      <c r="L315" s="3885"/>
      <c r="M315" s="3885"/>
      <c r="N315" s="3885"/>
      <c r="O315" s="3885"/>
      <c r="P315" s="3886"/>
      <c r="Q315" s="2141"/>
      <c r="AM315" s="2493">
        <v>315</v>
      </c>
    </row>
    <row r="316" spans="1:41" ht="7.5" customHeight="1">
      <c r="AM316" s="2494">
        <v>316</v>
      </c>
    </row>
    <row r="317" spans="1:41" ht="7.5" customHeight="1" thickBot="1">
      <c r="AM317" s="2494">
        <v>317</v>
      </c>
      <c r="AO317" s="2262"/>
    </row>
    <row r="318" spans="1:41" s="2075" customFormat="1" ht="15.9" customHeight="1" thickBot="1">
      <c r="A318" s="2098" t="s">
        <v>3282</v>
      </c>
      <c r="B318" s="2099" t="s">
        <v>4820</v>
      </c>
      <c r="D318" s="2099"/>
      <c r="E318" s="2099"/>
      <c r="G318" s="2075" t="str">
        <f>$L$11</f>
        <v>Atlanta Metro</v>
      </c>
      <c r="J318" s="2112" t="str">
        <f t="shared" ref="J318" si="10">IF(OR($O318=$M318,$O318=0,$O318=""),"","* * Check Score! * *")</f>
        <v/>
      </c>
      <c r="L318" s="2143" t="str">
        <f>IF(AND(O318&gt;0,$L$11="Atlanta Metro"), "Atlanta Metro is ineligible to score in this section!","")</f>
        <v/>
      </c>
      <c r="M318" s="2078">
        <v>1</v>
      </c>
      <c r="N318" s="2077"/>
      <c r="O318" s="2018"/>
      <c r="P318" s="2242"/>
      <c r="Q318" s="2110" t="s">
        <v>415</v>
      </c>
      <c r="R318" s="2072"/>
      <c r="S318" s="2072"/>
      <c r="T318" s="2072"/>
      <c r="U318" s="2072"/>
      <c r="V318" s="2072"/>
      <c r="AM318" s="2494">
        <v>318</v>
      </c>
    </row>
    <row r="319" spans="1:41" s="2075" customFormat="1" ht="15.9" hidden="1" customHeight="1">
      <c r="A319" s="2098"/>
      <c r="B319" s="2099"/>
      <c r="D319" s="2099"/>
      <c r="E319" s="2099"/>
      <c r="M319" s="2145"/>
      <c r="Q319" s="2110"/>
      <c r="R319" s="2072"/>
      <c r="S319" s="2072"/>
      <c r="T319" s="2072"/>
      <c r="U319" s="2072"/>
      <c r="V319" s="2072"/>
      <c r="W319" s="2074"/>
      <c r="X319" s="2074"/>
      <c r="AM319" s="2494">
        <v>319</v>
      </c>
    </row>
    <row r="320" spans="1:41" s="2075" customFormat="1" ht="15.9" customHeight="1">
      <c r="A320" s="2098"/>
      <c r="B320" s="2099"/>
      <c r="C320" s="2075" t="s">
        <v>4900</v>
      </c>
      <c r="D320" s="2099"/>
      <c r="E320" s="2099"/>
      <c r="L320" s="3951" t="s">
        <v>4902</v>
      </c>
      <c r="M320" s="3951"/>
      <c r="O320" s="3951" t="s">
        <v>4903</v>
      </c>
      <c r="P320" s="3951"/>
      <c r="Q320" s="2110"/>
      <c r="R320" s="2072"/>
      <c r="S320" s="2072"/>
      <c r="T320" s="2072"/>
      <c r="U320" s="2072"/>
      <c r="V320" s="2072"/>
      <c r="W320" s="2074"/>
      <c r="X320" s="2074"/>
      <c r="AM320" s="2493">
        <v>320</v>
      </c>
    </row>
    <row r="321" spans="1:48" s="2075" customFormat="1" ht="15.9" customHeight="1">
      <c r="A321" s="2098"/>
      <c r="C321" s="2075" t="s">
        <v>4901</v>
      </c>
      <c r="D321" s="2099"/>
      <c r="E321" s="2099"/>
      <c r="F321" s="2075" t="s">
        <v>4114</v>
      </c>
      <c r="I321" s="2075" t="s">
        <v>574</v>
      </c>
      <c r="K321" s="2077" t="s">
        <v>4724</v>
      </c>
      <c r="L321" s="3951"/>
      <c r="M321" s="3951"/>
      <c r="O321" s="3951"/>
      <c r="P321" s="3951"/>
      <c r="Q321" s="2110"/>
      <c r="R321" s="2072"/>
      <c r="S321" s="2072"/>
      <c r="T321" s="2072"/>
      <c r="U321" s="2072"/>
      <c r="V321" s="2072"/>
      <c r="W321" s="2074"/>
      <c r="X321" s="2074"/>
      <c r="AM321" s="2494">
        <v>321</v>
      </c>
      <c r="AV321" s="2262"/>
    </row>
    <row r="322" spans="1:48" s="2075" customFormat="1" ht="15.9" customHeight="1">
      <c r="A322" s="2098"/>
      <c r="B322" s="2250" t="s">
        <v>1838</v>
      </c>
      <c r="C322" s="3946"/>
      <c r="D322" s="3946"/>
      <c r="E322" s="3946"/>
      <c r="F322" s="3946"/>
      <c r="G322" s="3946"/>
      <c r="H322" s="3946"/>
      <c r="I322" s="3947"/>
      <c r="J322" s="3947"/>
      <c r="K322" s="2342"/>
      <c r="L322" s="3948"/>
      <c r="M322" s="3948"/>
      <c r="N322" s="2247"/>
      <c r="O322" s="3949"/>
      <c r="P322" s="3949"/>
      <c r="Q322" s="2110"/>
      <c r="R322" s="2072"/>
      <c r="S322" s="2072"/>
      <c r="T322" s="2072"/>
      <c r="U322" s="2072"/>
      <c r="V322" s="2072"/>
      <c r="W322" s="2074"/>
      <c r="X322" s="2074"/>
      <c r="AM322" s="2493">
        <v>322</v>
      </c>
    </row>
    <row r="323" spans="1:48" s="2075" customFormat="1" ht="15.9" customHeight="1">
      <c r="A323" s="2098"/>
      <c r="B323" s="2117" t="s">
        <v>1840</v>
      </c>
      <c r="C323" s="3938"/>
      <c r="D323" s="3938"/>
      <c r="E323" s="3938"/>
      <c r="F323" s="3938"/>
      <c r="G323" s="3938"/>
      <c r="H323" s="3938"/>
      <c r="I323" s="3939"/>
      <c r="J323" s="3939"/>
      <c r="K323" s="2343"/>
      <c r="L323" s="3940"/>
      <c r="M323" s="3940"/>
      <c r="N323" s="2247"/>
      <c r="O323" s="3941"/>
      <c r="P323" s="3941"/>
      <c r="Q323" s="2110"/>
      <c r="R323" s="2072"/>
      <c r="S323" s="2072"/>
      <c r="T323" s="2072"/>
      <c r="U323" s="2072"/>
      <c r="V323" s="2072"/>
      <c r="W323" s="2074"/>
      <c r="X323" s="2074"/>
      <c r="AM323" s="2493">
        <v>323</v>
      </c>
    </row>
    <row r="324" spans="1:48" s="2075" customFormat="1" ht="15.9" customHeight="1">
      <c r="A324" s="2098"/>
      <c r="B324" s="2117" t="s">
        <v>2325</v>
      </c>
      <c r="C324" s="3938"/>
      <c r="D324" s="3938"/>
      <c r="E324" s="3938"/>
      <c r="F324" s="3938"/>
      <c r="G324" s="3938"/>
      <c r="H324" s="3938"/>
      <c r="I324" s="3939"/>
      <c r="J324" s="3939"/>
      <c r="K324" s="2343"/>
      <c r="L324" s="3940"/>
      <c r="M324" s="3940"/>
      <c r="N324" s="2247"/>
      <c r="O324" s="3941"/>
      <c r="P324" s="3941"/>
      <c r="Q324" s="2110"/>
      <c r="R324" s="2072"/>
      <c r="S324" s="2072"/>
      <c r="T324" s="2072"/>
      <c r="U324" s="2072"/>
      <c r="V324" s="2072"/>
      <c r="W324" s="2074"/>
      <c r="X324" s="2074"/>
      <c r="AM324" s="2493">
        <v>324</v>
      </c>
    </row>
    <row r="325" spans="1:48" s="2075" customFormat="1" ht="15.9" customHeight="1">
      <c r="A325" s="2098"/>
      <c r="B325" s="2117" t="s">
        <v>1149</v>
      </c>
      <c r="C325" s="3942"/>
      <c r="D325" s="3942"/>
      <c r="E325" s="3942"/>
      <c r="F325" s="3942"/>
      <c r="G325" s="3942"/>
      <c r="H325" s="3942"/>
      <c r="I325" s="3943"/>
      <c r="J325" s="3943"/>
      <c r="K325" s="2344"/>
      <c r="L325" s="3944"/>
      <c r="M325" s="3944"/>
      <c r="N325" s="2247"/>
      <c r="O325" s="3945"/>
      <c r="P325" s="3945"/>
      <c r="Q325" s="2110"/>
      <c r="R325" s="2072"/>
      <c r="S325" s="2072"/>
      <c r="T325" s="2072"/>
      <c r="U325" s="2072"/>
      <c r="V325" s="2072"/>
      <c r="W325" s="2074"/>
      <c r="X325" s="2074"/>
      <c r="AM325" s="2493">
        <v>325</v>
      </c>
    </row>
    <row r="326" spans="1:48" ht="15.9" customHeight="1">
      <c r="A326" s="2075"/>
      <c r="B326" s="2097" t="s">
        <v>4816</v>
      </c>
      <c r="C326" s="2075"/>
      <c r="D326" s="2075"/>
      <c r="E326" s="2075"/>
      <c r="F326" s="2075"/>
      <c r="G326" s="2075"/>
      <c r="H326" s="2075"/>
      <c r="I326" s="2075"/>
      <c r="J326" s="2075"/>
      <c r="K326" s="2075"/>
      <c r="M326" s="2077"/>
      <c r="O326" s="2088"/>
      <c r="R326" s="2072"/>
      <c r="S326" s="2072"/>
      <c r="T326" s="2072"/>
      <c r="U326" s="2072"/>
      <c r="V326" s="2072"/>
      <c r="AM326" s="2494">
        <v>326</v>
      </c>
    </row>
    <row r="327" spans="1:48" ht="15.9" customHeight="1">
      <c r="A327" s="3890" t="s">
        <v>5222</v>
      </c>
      <c r="B327" s="3891"/>
      <c r="C327" s="3891"/>
      <c r="D327" s="3891"/>
      <c r="E327" s="3891"/>
      <c r="F327" s="3891"/>
      <c r="G327" s="3891"/>
      <c r="H327" s="3891"/>
      <c r="I327" s="3891"/>
      <c r="J327" s="3891"/>
      <c r="K327" s="3891"/>
      <c r="L327" s="3891"/>
      <c r="M327" s="3891"/>
      <c r="N327" s="3891"/>
      <c r="O327" s="3891"/>
      <c r="P327" s="3892"/>
      <c r="Q327" s="2154"/>
      <c r="AM327" s="2494">
        <v>327</v>
      </c>
    </row>
    <row r="328" spans="1:48" ht="15.9" customHeight="1">
      <c r="A328" s="2075"/>
      <c r="B328" s="2136" t="s">
        <v>1724</v>
      </c>
      <c r="C328" s="2075"/>
      <c r="D328" s="2136"/>
      <c r="E328" s="2127"/>
      <c r="F328" s="2127"/>
      <c r="G328" s="2127"/>
      <c r="H328" s="2127"/>
      <c r="I328" s="2127"/>
      <c r="J328" s="2127"/>
      <c r="K328" s="2127"/>
      <c r="L328" s="2127"/>
      <c r="M328" s="2127"/>
      <c r="N328" s="2139"/>
      <c r="O328" s="2140"/>
      <c r="P328" s="2078"/>
      <c r="AM328" s="2494">
        <v>328</v>
      </c>
    </row>
    <row r="329" spans="1:48" ht="15" customHeight="1">
      <c r="A329" s="3884"/>
      <c r="B329" s="3885"/>
      <c r="C329" s="3885"/>
      <c r="D329" s="3885"/>
      <c r="E329" s="3885"/>
      <c r="F329" s="3885"/>
      <c r="G329" s="3885"/>
      <c r="H329" s="3885"/>
      <c r="I329" s="3885"/>
      <c r="J329" s="3885"/>
      <c r="K329" s="3885"/>
      <c r="L329" s="3885"/>
      <c r="M329" s="3885"/>
      <c r="N329" s="3885"/>
      <c r="O329" s="3885"/>
      <c r="P329" s="3886"/>
      <c r="Q329" s="2141"/>
      <c r="AM329" s="2494">
        <v>329</v>
      </c>
    </row>
    <row r="330" spans="1:48" ht="9.75" customHeight="1">
      <c r="A330" s="2075"/>
      <c r="D330" s="2075"/>
      <c r="E330" s="2075"/>
      <c r="F330" s="2078"/>
      <c r="G330" s="2078"/>
      <c r="H330" s="2078"/>
      <c r="I330" s="2078"/>
      <c r="J330" s="2107"/>
      <c r="K330" s="2107"/>
      <c r="L330" s="2107"/>
      <c r="M330" s="2077"/>
      <c r="N330" s="2078"/>
      <c r="P330" s="2088"/>
      <c r="AM330" s="2493">
        <v>330</v>
      </c>
    </row>
    <row r="331" spans="1:48" ht="9.75" customHeight="1" thickBot="1">
      <c r="A331" s="2075"/>
      <c r="D331" s="2075"/>
      <c r="E331" s="2075"/>
      <c r="F331" s="2078"/>
      <c r="G331" s="2078"/>
      <c r="H331" s="2078"/>
      <c r="I331" s="2078"/>
      <c r="J331" s="2107"/>
      <c r="K331" s="2107"/>
      <c r="L331" s="2107"/>
      <c r="M331" s="2077"/>
      <c r="N331" s="2078"/>
      <c r="P331" s="2088"/>
      <c r="AM331" s="2494">
        <v>331</v>
      </c>
    </row>
    <row r="332" spans="1:48" ht="15.9" customHeight="1" thickBot="1">
      <c r="A332" s="2098" t="s">
        <v>3285</v>
      </c>
      <c r="B332" s="2184" t="s">
        <v>3902</v>
      </c>
      <c r="M332" s="2078">
        <v>1</v>
      </c>
      <c r="O332" s="2109">
        <f>IF(AND($H$11="New Affordability",$C$16="9%"),IF(O333+O334&gt;$M332,"Choose",MIN($M332,SUM(O333:O334))),0)</f>
        <v>0</v>
      </c>
      <c r="P332" s="2109">
        <f>IF(AND($H$12="New Affordability",$C$16="9%"),IF(P333+P334&gt;$M332,"Choose",MIN($M332,SUM(P333:P334))),0)</f>
        <v>0</v>
      </c>
      <c r="Q332" s="2110" t="s">
        <v>415</v>
      </c>
      <c r="R332" s="2116" t="str">
        <f>IF(AND(O332&gt;0,NOT($H$11="New Affordability")), "Ineligible to score in this section, not New Affordability!","")</f>
        <v/>
      </c>
      <c r="AM332" s="2493">
        <v>332</v>
      </c>
    </row>
    <row r="333" spans="1:48" ht="15.9" customHeight="1">
      <c r="A333" s="2078" t="s">
        <v>1835</v>
      </c>
      <c r="B333" s="2155" t="s">
        <v>4893</v>
      </c>
      <c r="G333" s="2175" t="s">
        <v>3066</v>
      </c>
      <c r="H333" s="2279">
        <f>IF('Part V-Revenues &amp; Expenses'!$P$76=0,0,'Part V-Revenues &amp; Expenses'!$P$73/'Part V-Revenues &amp; Expenses'!$P$76)</f>
        <v>0</v>
      </c>
      <c r="L333" s="2112" t="str">
        <f t="shared" ref="L333:L334" si="11">IF(OR($O333=$M333,$O333=0,$O333=""),"","* * Check Score! * *")</f>
        <v/>
      </c>
      <c r="M333" s="2077">
        <v>1</v>
      </c>
      <c r="N333" s="2113"/>
      <c r="O333" s="1988"/>
      <c r="P333" s="2197"/>
      <c r="Q333" s="2115" t="str">
        <f>IF(OR($O333=$M333,$O333=0,$O333=""),"","*CHECK!*")</f>
        <v/>
      </c>
      <c r="R333" s="2116"/>
      <c r="AM333" s="2493">
        <v>333</v>
      </c>
    </row>
    <row r="334" spans="1:48" ht="15.9" customHeight="1">
      <c r="A334" s="2078" t="s">
        <v>1837</v>
      </c>
      <c r="B334" s="2155" t="s">
        <v>3687</v>
      </c>
      <c r="G334" s="3933" t="str">
        <f>'Part V-Revenues &amp; Expenses'!$O$62</f>
        <v>Income Averaging</v>
      </c>
      <c r="H334" s="3934"/>
      <c r="L334" s="2112" t="str">
        <f t="shared" si="11"/>
        <v/>
      </c>
      <c r="M334" s="2095">
        <v>1</v>
      </c>
      <c r="N334" s="2113"/>
      <c r="O334" s="1978"/>
      <c r="P334" s="2198"/>
      <c r="Q334" s="2115" t="str">
        <f>IF(OR($O334=$M334,$O334=0,$O334=""),"","*CHECK!*")</f>
        <v/>
      </c>
      <c r="R334" s="2116"/>
      <c r="AM334" s="2493">
        <v>334</v>
      </c>
    </row>
    <row r="335" spans="1:48" ht="15.9" hidden="1" customHeight="1">
      <c r="A335" s="2155"/>
      <c r="B335" s="2117"/>
      <c r="M335" s="2077"/>
      <c r="O335" s="2078"/>
      <c r="P335" s="2078"/>
      <c r="AM335" s="2493">
        <v>335</v>
      </c>
    </row>
    <row r="336" spans="1:48" ht="15.9" customHeight="1">
      <c r="A336" s="2075"/>
      <c r="B336" s="2136" t="s">
        <v>1724</v>
      </c>
      <c r="C336" s="2075"/>
      <c r="D336" s="2136"/>
      <c r="E336" s="2127"/>
      <c r="F336" s="2127"/>
      <c r="G336" s="2127"/>
      <c r="H336" s="2127"/>
      <c r="I336" s="2127"/>
      <c r="J336" s="2127"/>
      <c r="K336" s="2127"/>
      <c r="L336" s="2127"/>
      <c r="M336" s="2127"/>
      <c r="N336" s="2139"/>
      <c r="O336" s="2140"/>
      <c r="P336" s="2078"/>
      <c r="AM336" s="2494">
        <v>336</v>
      </c>
    </row>
    <row r="337" spans="1:39" ht="15" customHeight="1">
      <c r="A337" s="3884"/>
      <c r="B337" s="3885"/>
      <c r="C337" s="3885"/>
      <c r="D337" s="3885"/>
      <c r="E337" s="3885"/>
      <c r="F337" s="3885"/>
      <c r="G337" s="3885"/>
      <c r="H337" s="3885"/>
      <c r="I337" s="3885"/>
      <c r="J337" s="3885"/>
      <c r="K337" s="3885"/>
      <c r="L337" s="3885"/>
      <c r="M337" s="3885"/>
      <c r="N337" s="3885"/>
      <c r="O337" s="3885"/>
      <c r="P337" s="3886"/>
      <c r="Q337" s="2141"/>
      <c r="AM337" s="2494">
        <v>337</v>
      </c>
    </row>
    <row r="338" spans="1:39" ht="9.75" customHeight="1">
      <c r="A338" s="2075"/>
      <c r="D338" s="2075"/>
      <c r="E338" s="2075"/>
      <c r="F338" s="2078"/>
      <c r="G338" s="2078"/>
      <c r="H338" s="2078"/>
      <c r="I338" s="2078"/>
      <c r="J338" s="2107"/>
      <c r="K338" s="2107"/>
      <c r="L338" s="2107"/>
      <c r="M338" s="2077"/>
      <c r="N338" s="2078"/>
      <c r="P338" s="2088"/>
      <c r="AM338" s="2494">
        <v>338</v>
      </c>
    </row>
    <row r="339" spans="1:39" ht="9.75" customHeight="1" thickBot="1">
      <c r="A339" s="2075"/>
      <c r="B339" s="2075"/>
      <c r="C339" s="2127"/>
      <c r="D339" s="2127"/>
      <c r="E339" s="2127"/>
      <c r="F339" s="2127"/>
      <c r="G339" s="2127"/>
      <c r="H339" s="2127"/>
      <c r="I339" s="2127"/>
      <c r="J339" s="2127"/>
      <c r="K339" s="2127"/>
      <c r="L339" s="2127"/>
      <c r="M339" s="2127"/>
      <c r="N339" s="2139"/>
      <c r="O339" s="2140"/>
      <c r="P339" s="2078"/>
      <c r="AM339" s="2494">
        <v>339</v>
      </c>
    </row>
    <row r="340" spans="1:39" ht="15.9" customHeight="1" thickBot="1">
      <c r="A340" s="2098" t="s">
        <v>3286</v>
      </c>
      <c r="B340" s="2099" t="s">
        <v>2461</v>
      </c>
      <c r="D340" s="2107"/>
      <c r="G340" s="2127"/>
      <c r="H340" s="2127"/>
      <c r="I340" s="2127"/>
      <c r="J340" s="2127"/>
      <c r="K340" s="2127"/>
      <c r="L340" s="2127"/>
      <c r="M340" s="2078">
        <v>2</v>
      </c>
      <c r="N340" s="2113"/>
      <c r="O340" s="2109">
        <f>IF(AND($H$11="New Affordability",$C$16="9%"),MIN($M340,O342+O344),0)</f>
        <v>0</v>
      </c>
      <c r="P340" s="2109">
        <f>IF(AND($H$12="New Affordability",$C$16="9%"),MIN($M340,P342+P344),0)</f>
        <v>0</v>
      </c>
      <c r="Q340" s="2110" t="s">
        <v>415</v>
      </c>
      <c r="R340" s="2116" t="str">
        <f>IF(AND(O340&gt;0,NOT($H$11="New Affordability")), "Ineligible to score in this section, not New Affordability!","")</f>
        <v/>
      </c>
      <c r="AM340" s="2493">
        <v>340</v>
      </c>
    </row>
    <row r="341" spans="1:39" s="2130" customFormat="1" ht="15.9" customHeight="1">
      <c r="A341" s="2184"/>
      <c r="B341" s="2272" t="s">
        <v>2987</v>
      </c>
      <c r="G341" s="3935" t="s">
        <v>3760</v>
      </c>
      <c r="H341" s="3936"/>
      <c r="I341" s="3936"/>
      <c r="J341" s="3936"/>
      <c r="K341" s="3936"/>
      <c r="L341" s="3937"/>
      <c r="M341" s="2131"/>
      <c r="N341" s="2131"/>
      <c r="O341" s="2131"/>
      <c r="P341" s="2131"/>
      <c r="Q341" s="2075"/>
      <c r="AM341" s="2494">
        <v>341</v>
      </c>
    </row>
    <row r="342" spans="1:39" s="2130" customFormat="1" ht="15.9" customHeight="1">
      <c r="A342" s="2158" t="s">
        <v>1835</v>
      </c>
      <c r="B342" s="2086" t="s">
        <v>3826</v>
      </c>
      <c r="L342" s="2112" t="str">
        <f t="shared" ref="L342" si="12">IF(OR($O342=$M342,$O342=0,$O342=""),"","* * Check Score! * *")</f>
        <v/>
      </c>
      <c r="M342" s="2131">
        <v>2</v>
      </c>
      <c r="N342" s="2132"/>
      <c r="O342" s="1988"/>
      <c r="P342" s="2197"/>
      <c r="Q342" s="2115" t="str">
        <f>IF(OR($O342=$M342,$O342=0,$O342=""),"","*CHECK!*")</f>
        <v/>
      </c>
      <c r="R342" s="2116"/>
      <c r="AM342" s="2493">
        <v>342</v>
      </c>
    </row>
    <row r="343" spans="1:39" ht="15" customHeight="1">
      <c r="A343" s="2149"/>
      <c r="B343" s="3890" t="s">
        <v>3324</v>
      </c>
      <c r="C343" s="3891"/>
      <c r="D343" s="3891"/>
      <c r="E343" s="3891"/>
      <c r="F343" s="3891"/>
      <c r="G343" s="3891"/>
      <c r="H343" s="3891"/>
      <c r="I343" s="3891"/>
      <c r="J343" s="3891"/>
      <c r="K343" s="3891"/>
      <c r="L343" s="3891"/>
      <c r="M343" s="3891"/>
      <c r="N343" s="3891"/>
      <c r="O343" s="3891"/>
      <c r="P343" s="3892"/>
      <c r="Q343" s="2141"/>
      <c r="R343" s="2154"/>
      <c r="S343" s="2154"/>
      <c r="AM343" s="2493">
        <v>343</v>
      </c>
    </row>
    <row r="344" spans="1:39" s="2130" customFormat="1" ht="15.9" customHeight="1">
      <c r="A344" s="2275" t="s">
        <v>1837</v>
      </c>
      <c r="B344" s="2232" t="s">
        <v>3827</v>
      </c>
      <c r="L344" s="2112" t="str">
        <f t="shared" ref="L344" si="13">IF(OR($O344=$M344,$O344=0,$O344=""),"","* * Check Score! * *")</f>
        <v/>
      </c>
      <c r="M344" s="2131">
        <v>2</v>
      </c>
      <c r="N344" s="2132"/>
      <c r="O344" s="1978"/>
      <c r="P344" s="2198"/>
      <c r="Q344" s="2115" t="str">
        <f>IF(OR($O344=$M344,$O344=0,$O344=""),"","*CHECK!*")</f>
        <v/>
      </c>
      <c r="R344" s="2116"/>
      <c r="AM344" s="2493">
        <v>344</v>
      </c>
    </row>
    <row r="345" spans="1:39" ht="15.9" customHeight="1">
      <c r="A345" s="2075"/>
      <c r="B345" s="2097" t="s">
        <v>4816</v>
      </c>
      <c r="C345" s="2075"/>
      <c r="D345" s="2075"/>
      <c r="E345" s="2075"/>
      <c r="F345" s="2075"/>
      <c r="G345" s="2075"/>
      <c r="H345" s="2075"/>
      <c r="I345" s="2075"/>
      <c r="J345" s="2075"/>
      <c r="K345" s="2075"/>
      <c r="M345" s="2077"/>
      <c r="O345" s="2088"/>
      <c r="AM345" s="2493">
        <v>345</v>
      </c>
    </row>
    <row r="346" spans="1:39" ht="15" customHeight="1">
      <c r="A346" s="3910" t="s">
        <v>5222</v>
      </c>
      <c r="B346" s="3911"/>
      <c r="C346" s="3911"/>
      <c r="D346" s="3911"/>
      <c r="E346" s="3911"/>
      <c r="F346" s="3911"/>
      <c r="G346" s="3911"/>
      <c r="H346" s="3911"/>
      <c r="I346" s="3911"/>
      <c r="J346" s="3911"/>
      <c r="K346" s="3911"/>
      <c r="L346" s="3911"/>
      <c r="M346" s="3911"/>
      <c r="N346" s="3911"/>
      <c r="O346" s="3911"/>
      <c r="P346" s="3912"/>
      <c r="Q346" s="2154"/>
      <c r="R346" s="2154"/>
      <c r="AM346" s="2493">
        <v>346</v>
      </c>
    </row>
    <row r="347" spans="1:39" ht="15.9" customHeight="1">
      <c r="B347" s="2136" t="s">
        <v>1724</v>
      </c>
      <c r="C347" s="2137"/>
      <c r="D347" s="2136"/>
      <c r="E347" s="2138"/>
      <c r="F347" s="2127"/>
      <c r="G347" s="2127"/>
      <c r="H347" s="2127"/>
      <c r="I347" s="2127"/>
      <c r="J347" s="2127"/>
      <c r="K347" s="2127"/>
      <c r="L347" s="2127"/>
      <c r="M347" s="2127"/>
      <c r="N347" s="2139"/>
      <c r="O347" s="2140"/>
      <c r="P347" s="2078"/>
      <c r="AM347" s="2493">
        <v>347</v>
      </c>
    </row>
    <row r="348" spans="1:39" ht="15" customHeight="1">
      <c r="A348" s="3884"/>
      <c r="B348" s="3885"/>
      <c r="C348" s="3885"/>
      <c r="D348" s="3885"/>
      <c r="E348" s="3885"/>
      <c r="F348" s="3885"/>
      <c r="G348" s="3885"/>
      <c r="H348" s="3885"/>
      <c r="I348" s="3885"/>
      <c r="J348" s="3885"/>
      <c r="K348" s="3885"/>
      <c r="L348" s="3885"/>
      <c r="M348" s="3885"/>
      <c r="N348" s="3885"/>
      <c r="O348" s="3885"/>
      <c r="P348" s="3886"/>
      <c r="Q348" s="2141"/>
      <c r="AM348" s="2494">
        <v>348</v>
      </c>
    </row>
    <row r="349" spans="1:39" ht="7.5" customHeight="1">
      <c r="A349" s="2075"/>
      <c r="B349" s="2075"/>
      <c r="C349" s="2127"/>
      <c r="D349" s="2127"/>
      <c r="E349" s="2127"/>
      <c r="F349" s="2127"/>
      <c r="G349" s="2127"/>
      <c r="H349" s="2127"/>
      <c r="I349" s="2127"/>
      <c r="J349" s="2127"/>
      <c r="K349" s="2127"/>
      <c r="L349" s="2127"/>
      <c r="M349" s="2127"/>
      <c r="N349" s="2139"/>
      <c r="O349" s="2140"/>
      <c r="P349" s="2078"/>
      <c r="AM349" s="2494">
        <v>349</v>
      </c>
    </row>
    <row r="350" spans="1:39" ht="7.5" customHeight="1" thickBot="1">
      <c r="A350" s="2075"/>
      <c r="D350" s="2075"/>
      <c r="E350" s="2075"/>
      <c r="F350" s="2078"/>
      <c r="G350" s="2078"/>
      <c r="H350" s="2078"/>
      <c r="I350" s="2078"/>
      <c r="J350" s="2107"/>
      <c r="K350" s="2107"/>
      <c r="L350" s="2107"/>
      <c r="M350" s="2077"/>
      <c r="N350" s="2078"/>
      <c r="P350" s="2088"/>
      <c r="AM350" s="2493">
        <v>350</v>
      </c>
    </row>
    <row r="351" spans="1:39" s="2075" customFormat="1" ht="15.9" customHeight="1" thickBot="1">
      <c r="A351" s="2098" t="s">
        <v>3287</v>
      </c>
      <c r="B351" s="2099" t="s">
        <v>4472</v>
      </c>
      <c r="D351" s="2099"/>
      <c r="E351" s="2099"/>
      <c r="G351" s="2142"/>
      <c r="M351" s="2078">
        <v>2</v>
      </c>
      <c r="N351" s="2077"/>
      <c r="O351" s="2109">
        <f>IF($C$16="9%",IF(OR(O352=$M352,O353=$M353),$M$351,0),0)</f>
        <v>0</v>
      </c>
      <c r="P351" s="2109">
        <f>IF($C$16="9%",IF(OR(P352=$M352,P353=$M353),$M$351,0),0)</f>
        <v>0</v>
      </c>
      <c r="Q351" s="2110" t="s">
        <v>415</v>
      </c>
      <c r="R351" s="2072"/>
      <c r="S351" s="2072"/>
      <c r="T351" s="2072"/>
      <c r="U351" s="2072"/>
      <c r="V351" s="2072"/>
      <c r="AM351" s="2493">
        <v>351</v>
      </c>
    </row>
    <row r="352" spans="1:39" ht="15.9" customHeight="1">
      <c r="A352" s="2078" t="s">
        <v>1835</v>
      </c>
      <c r="B352" s="2148" t="s">
        <v>4473</v>
      </c>
      <c r="D352" s="2129"/>
      <c r="F352" s="2107" t="s">
        <v>4484</v>
      </c>
      <c r="J352" s="3919"/>
      <c r="K352" s="3920"/>
      <c r="L352" s="3921"/>
      <c r="M352" s="2095">
        <v>2</v>
      </c>
      <c r="N352" s="2113"/>
      <c r="O352" s="1988"/>
      <c r="P352" s="2197"/>
      <c r="Q352" s="2149" t="str">
        <f>IF(OR(O352=0,O352="",O352=$M352),"","Check!")</f>
        <v/>
      </c>
      <c r="R352" s="2112" t="str">
        <f t="shared" ref="R352:R353" si="14">IF(OR($O352=$M352,$O352=0,$O352=""),"","* * Check Score! * *")</f>
        <v/>
      </c>
      <c r="S352" s="2072"/>
      <c r="T352" s="2072"/>
      <c r="U352" s="2072"/>
      <c r="V352" s="2072"/>
      <c r="AM352" s="2494">
        <v>352</v>
      </c>
    </row>
    <row r="353" spans="1:39" ht="15.9" customHeight="1">
      <c r="A353" s="2078" t="s">
        <v>1837</v>
      </c>
      <c r="B353" s="2148" t="s">
        <v>4474</v>
      </c>
      <c r="F353" s="2107" t="s">
        <v>5075</v>
      </c>
      <c r="J353" s="3919"/>
      <c r="K353" s="3920"/>
      <c r="L353" s="3921"/>
      <c r="M353" s="2095">
        <v>2</v>
      </c>
      <c r="N353" s="2113"/>
      <c r="O353" s="1978"/>
      <c r="P353" s="2198"/>
      <c r="Q353" s="2149" t="str">
        <f>IF(OR(O353=0,O353="",O353=$M353),"","Check!")</f>
        <v/>
      </c>
      <c r="R353" s="2112" t="str">
        <f t="shared" si="14"/>
        <v/>
      </c>
      <c r="S353" s="2072"/>
      <c r="T353" s="2072"/>
      <c r="U353" s="2072"/>
      <c r="V353" s="2072"/>
      <c r="AM353" s="2494">
        <v>353</v>
      </c>
    </row>
    <row r="354" spans="1:39" ht="15.9" customHeight="1">
      <c r="A354" s="2075"/>
      <c r="B354" s="2097" t="s">
        <v>4816</v>
      </c>
      <c r="C354" s="2075"/>
      <c r="D354" s="2075"/>
      <c r="E354" s="2075"/>
      <c r="F354" s="2075"/>
      <c r="G354" s="2075"/>
      <c r="H354" s="2075"/>
      <c r="I354" s="2075"/>
      <c r="J354" s="2075"/>
      <c r="K354" s="2075"/>
      <c r="M354" s="2077"/>
      <c r="O354" s="2088"/>
      <c r="R354" s="2072"/>
      <c r="S354" s="2072"/>
      <c r="T354" s="2072"/>
      <c r="U354" s="2072"/>
      <c r="V354" s="2072"/>
      <c r="AM354" s="2494">
        <v>354</v>
      </c>
    </row>
    <row r="355" spans="1:39" ht="15" customHeight="1">
      <c r="A355" s="3910" t="s">
        <v>5222</v>
      </c>
      <c r="B355" s="3911"/>
      <c r="C355" s="3911"/>
      <c r="D355" s="3911"/>
      <c r="E355" s="3911"/>
      <c r="F355" s="3911"/>
      <c r="G355" s="3911"/>
      <c r="H355" s="3911"/>
      <c r="I355" s="3911"/>
      <c r="J355" s="3911"/>
      <c r="K355" s="3911"/>
      <c r="L355" s="3911"/>
      <c r="M355" s="3911"/>
      <c r="N355" s="3911"/>
      <c r="O355" s="3911"/>
      <c r="P355" s="3912"/>
      <c r="Q355" s="2154"/>
      <c r="AM355" s="2494">
        <v>355</v>
      </c>
    </row>
    <row r="356" spans="1:39" ht="15.9" customHeight="1">
      <c r="A356" s="2075"/>
      <c r="B356" s="2136" t="s">
        <v>1724</v>
      </c>
      <c r="C356" s="2075"/>
      <c r="D356" s="2136"/>
      <c r="E356" s="2127"/>
      <c r="F356" s="2127"/>
      <c r="G356" s="2127"/>
      <c r="H356" s="2127"/>
      <c r="I356" s="2127"/>
      <c r="J356" s="2127"/>
      <c r="K356" s="2127"/>
      <c r="L356" s="2127"/>
      <c r="M356" s="2127"/>
      <c r="N356" s="2139"/>
      <c r="O356" s="2140"/>
      <c r="P356" s="2078"/>
      <c r="AM356" s="2493">
        <v>356</v>
      </c>
    </row>
    <row r="357" spans="1:39" ht="15" customHeight="1">
      <c r="A357" s="3884"/>
      <c r="B357" s="3885"/>
      <c r="C357" s="3885"/>
      <c r="D357" s="3885"/>
      <c r="E357" s="3885"/>
      <c r="F357" s="3885"/>
      <c r="G357" s="3885"/>
      <c r="H357" s="3885"/>
      <c r="I357" s="3885"/>
      <c r="J357" s="3885"/>
      <c r="K357" s="3885"/>
      <c r="L357" s="3885"/>
      <c r="M357" s="3885"/>
      <c r="N357" s="3885"/>
      <c r="O357" s="3885"/>
      <c r="P357" s="3886"/>
      <c r="Q357" s="2141"/>
      <c r="AM357" s="2494">
        <v>357</v>
      </c>
    </row>
    <row r="358" spans="1:39" ht="9.75" customHeight="1">
      <c r="A358" s="2075"/>
      <c r="D358" s="2075"/>
      <c r="E358" s="2075"/>
      <c r="F358" s="2078"/>
      <c r="G358" s="2078"/>
      <c r="H358" s="2078"/>
      <c r="I358" s="2078"/>
      <c r="J358" s="2107"/>
      <c r="K358" s="2107"/>
      <c r="L358" s="2107"/>
      <c r="M358" s="2077"/>
      <c r="N358" s="2078"/>
      <c r="P358" s="2088"/>
      <c r="AM358" s="2493">
        <v>358</v>
      </c>
    </row>
    <row r="359" spans="1:39" ht="9.75" customHeight="1" thickBot="1">
      <c r="AM359" s="2493">
        <v>359</v>
      </c>
    </row>
    <row r="360" spans="1:39" ht="15.9" customHeight="1" thickBot="1">
      <c r="A360" s="2184" t="s">
        <v>3288</v>
      </c>
      <c r="B360" s="2099" t="s">
        <v>1553</v>
      </c>
      <c r="D360" s="2155"/>
      <c r="E360" s="2155"/>
      <c r="G360" s="2075"/>
      <c r="L360" s="2217" t="str">
        <f>IF(AND(O360&gt;0,NOT($C$16="9%")),"Ineligible, not 9%!","")</f>
        <v/>
      </c>
      <c r="M360" s="2078">
        <v>2</v>
      </c>
      <c r="N360" s="2112"/>
      <c r="O360" s="2018"/>
      <c r="P360" s="2242"/>
      <c r="Q360" s="2110" t="s">
        <v>415</v>
      </c>
      <c r="R360" s="2280"/>
      <c r="S360" s="2280"/>
      <c r="AM360" s="2493">
        <v>360</v>
      </c>
    </row>
    <row r="361" spans="1:39" ht="15.9" customHeight="1">
      <c r="A361" s="2094"/>
      <c r="B361" s="2199" t="s">
        <v>3067</v>
      </c>
      <c r="D361" s="2155"/>
      <c r="E361" s="2155"/>
      <c r="G361" s="2075"/>
      <c r="I361" s="3922" t="s">
        <v>5041</v>
      </c>
      <c r="J361" s="3923"/>
      <c r="K361" s="3923"/>
      <c r="L361" s="3924"/>
      <c r="M361" s="2077"/>
      <c r="N361" s="2077"/>
      <c r="O361" s="2095"/>
      <c r="P361" s="2095"/>
      <c r="Q361" s="2115"/>
      <c r="R361" s="2280"/>
      <c r="S361" s="2280"/>
      <c r="AM361" s="2493">
        <v>361</v>
      </c>
    </row>
    <row r="362" spans="1:39" ht="15.9" hidden="1" customHeight="1">
      <c r="B362" s="2199"/>
      <c r="D362" s="2075"/>
      <c r="E362" s="2075"/>
      <c r="F362" s="2075"/>
      <c r="G362" s="2075"/>
      <c r="H362" s="2075"/>
      <c r="I362" s="2075"/>
      <c r="J362" s="2075"/>
      <c r="K362" s="2075"/>
      <c r="L362" s="2075"/>
      <c r="M362" s="2075"/>
      <c r="N362" s="2113"/>
      <c r="O362" s="2113"/>
      <c r="P362" s="2113"/>
      <c r="AM362" s="2493">
        <v>362</v>
      </c>
    </row>
    <row r="363" spans="1:39" s="2075" customFormat="1" ht="15.9" customHeight="1">
      <c r="B363" s="2097" t="s">
        <v>4816</v>
      </c>
      <c r="L363" s="2074"/>
      <c r="M363" s="2077"/>
      <c r="N363" s="2095"/>
      <c r="O363" s="2088"/>
      <c r="P363" s="2087"/>
      <c r="AM363" s="2493">
        <v>363</v>
      </c>
    </row>
    <row r="364" spans="1:39" ht="15.9" customHeight="1">
      <c r="A364" s="3910" t="s">
        <v>5224</v>
      </c>
      <c r="B364" s="3911"/>
      <c r="C364" s="3911"/>
      <c r="D364" s="3911"/>
      <c r="E364" s="3911"/>
      <c r="F364" s="3911"/>
      <c r="G364" s="3911"/>
      <c r="H364" s="3911"/>
      <c r="I364" s="3911"/>
      <c r="J364" s="3911"/>
      <c r="K364" s="3911"/>
      <c r="L364" s="3911"/>
      <c r="M364" s="3911"/>
      <c r="N364" s="3911"/>
      <c r="O364" s="3911"/>
      <c r="P364" s="3912"/>
      <c r="Q364" s="2154"/>
      <c r="AM364" s="2494">
        <v>364</v>
      </c>
    </row>
    <row r="365" spans="1:39" s="2075" customFormat="1" ht="15.9" customHeight="1">
      <c r="B365" s="2181" t="s">
        <v>1724</v>
      </c>
      <c r="D365" s="2181"/>
      <c r="E365" s="2125"/>
      <c r="F365" s="2125"/>
      <c r="G365" s="2125"/>
      <c r="H365" s="2125"/>
      <c r="I365" s="2125"/>
      <c r="J365" s="2125"/>
      <c r="K365" s="2125"/>
      <c r="L365" s="2125"/>
      <c r="M365" s="2125"/>
      <c r="N365" s="2183"/>
      <c r="O365" s="2103"/>
      <c r="P365" s="2078"/>
      <c r="Q365" s="2074"/>
      <c r="AM365" s="2494">
        <v>365</v>
      </c>
    </row>
    <row r="366" spans="1:39" ht="15" customHeight="1">
      <c r="A366" s="3884"/>
      <c r="B366" s="3885"/>
      <c r="C366" s="3885"/>
      <c r="D366" s="3885"/>
      <c r="E366" s="3885"/>
      <c r="F366" s="3885"/>
      <c r="G366" s="3885"/>
      <c r="H366" s="3885"/>
      <c r="I366" s="3885"/>
      <c r="J366" s="3885"/>
      <c r="K366" s="3885"/>
      <c r="L366" s="3885"/>
      <c r="M366" s="3885"/>
      <c r="N366" s="3885"/>
      <c r="O366" s="3885"/>
      <c r="P366" s="3886"/>
      <c r="Q366" s="2141"/>
      <c r="AM366" s="2494">
        <v>366</v>
      </c>
    </row>
    <row r="367" spans="1:39" ht="9.75" customHeight="1">
      <c r="AM367" s="2493">
        <v>367</v>
      </c>
    </row>
    <row r="368" spans="1:39" ht="9.75" customHeight="1" thickBot="1">
      <c r="A368" s="2184"/>
      <c r="B368" s="2075"/>
      <c r="C368" s="2127"/>
      <c r="D368" s="2127"/>
      <c r="E368" s="2127"/>
      <c r="F368" s="2127"/>
      <c r="I368" s="2127"/>
      <c r="J368" s="2127"/>
      <c r="K368" s="2127"/>
      <c r="L368" s="2127"/>
      <c r="M368" s="2127"/>
      <c r="N368" s="2139"/>
      <c r="O368" s="2140"/>
      <c r="P368" s="2078"/>
      <c r="AM368" s="2493">
        <v>368</v>
      </c>
    </row>
    <row r="369" spans="1:39" s="2075" customFormat="1" ht="15.9" customHeight="1" thickBot="1">
      <c r="A369" s="2184" t="s">
        <v>3289</v>
      </c>
      <c r="B369" s="2099" t="s">
        <v>4821</v>
      </c>
      <c r="D369" s="2099"/>
      <c r="E369" s="2099"/>
      <c r="I369" s="2217" t="str">
        <f>IF(AND($O369&gt;0,NOT($H$11="Preservation")),"Ineligible, not Preservation!","")</f>
        <v/>
      </c>
      <c r="M369" s="2078"/>
      <c r="N369" s="2077"/>
      <c r="O369" s="2281">
        <f>IF(AND(O374&gt;0, O375&gt;0),"C or D?",IF(AND($C$16="9%",$H$11="Preservation"),O371+O372+O374+O375+O376+O385,IF(AND($C$16="4%",$H$11="Preservation",O385&gt;0),O371+O374+O375+O385,IF(AND($C$16="4%",$H$11="Preservation"),O371+O374+O375+O376+O385,0))))</f>
        <v>26</v>
      </c>
      <c r="P369" s="2281">
        <f>IF(AND(P374&gt;0, P375&gt;0),"C or D?",IF(AND($C$16="9%",$H$11="Preservation"),P371+P372+P374+P375+P376+P385,IF(AND($C$16="4%",$H$11="Preservation",P385&gt;0),P371+P374+P375+P385,IF(AND($C$16="4%",$H$11="Preservation"),P371+P374+P375+P376+P385,0))))</f>
        <v>0</v>
      </c>
      <c r="Q369" s="2110" t="s">
        <v>415</v>
      </c>
      <c r="R369" s="2116"/>
      <c r="AM369" s="2494">
        <v>369</v>
      </c>
    </row>
    <row r="370" spans="1:39" ht="7.5" customHeight="1">
      <c r="A370" s="2184"/>
      <c r="B370" s="2075"/>
      <c r="C370" s="2127"/>
      <c r="D370" s="2127"/>
      <c r="E370" s="2127"/>
      <c r="F370" s="2127"/>
      <c r="G370" s="2127"/>
      <c r="H370" s="2127"/>
      <c r="J370" s="2127"/>
      <c r="K370" s="2127"/>
      <c r="L370" s="2127"/>
      <c r="M370" s="2127"/>
      <c r="N370" s="2139"/>
      <c r="O370" s="2140"/>
      <c r="P370" s="2140"/>
      <c r="AM370" s="2493">
        <v>370</v>
      </c>
    </row>
    <row r="371" spans="1:39" s="2075" customFormat="1" ht="15.9" customHeight="1">
      <c r="A371" s="2078" t="s">
        <v>1835</v>
      </c>
      <c r="B371" s="2086" t="s">
        <v>4027</v>
      </c>
      <c r="D371" s="2099"/>
      <c r="E371" s="2099"/>
      <c r="L371" s="2172" t="s">
        <v>4865</v>
      </c>
      <c r="M371" s="2078">
        <v>6</v>
      </c>
      <c r="N371" s="2077"/>
      <c r="O371" s="1986">
        <v>4</v>
      </c>
      <c r="P371" s="2189"/>
      <c r="Q371" s="2110"/>
      <c r="R371" s="2116"/>
      <c r="AM371" s="2493">
        <v>371</v>
      </c>
    </row>
    <row r="372" spans="1:39" s="2075" customFormat="1" ht="15.9" customHeight="1">
      <c r="A372" s="2218" t="s">
        <v>1837</v>
      </c>
      <c r="B372" s="2086" t="s">
        <v>4718</v>
      </c>
      <c r="D372" s="2099"/>
      <c r="E372" s="2099"/>
      <c r="G372" s="2193" t="s">
        <v>5040</v>
      </c>
      <c r="J372" s="2193"/>
      <c r="K372" s="2115" t="str">
        <f>IF(OR($O372=$M372,$O372=0,$O372=""),"","*CHECK!*")</f>
        <v/>
      </c>
      <c r="L372" s="2172" t="s">
        <v>4865</v>
      </c>
      <c r="M372" s="2078">
        <v>6</v>
      </c>
      <c r="N372" s="2077"/>
      <c r="O372" s="2077"/>
      <c r="P372" s="2197"/>
      <c r="Q372" s="2110"/>
      <c r="R372" s="2116"/>
      <c r="AM372" s="2494">
        <v>372</v>
      </c>
    </row>
    <row r="373" spans="1:39" s="2075" customFormat="1" ht="15.9" customHeight="1">
      <c r="A373" s="2184"/>
      <c r="B373" s="2075" t="s">
        <v>4692</v>
      </c>
      <c r="D373" s="2099"/>
      <c r="E373" s="2099"/>
      <c r="F373" s="2091"/>
      <c r="L373" s="2115"/>
      <c r="M373" s="2078"/>
      <c r="N373" s="2077"/>
      <c r="O373" s="1990" t="s">
        <v>2640</v>
      </c>
      <c r="P373" s="2122"/>
      <c r="Q373" s="2110"/>
      <c r="R373" s="2116"/>
      <c r="AM373" s="2494">
        <v>373</v>
      </c>
    </row>
    <row r="374" spans="1:39" s="2130" customFormat="1" ht="15.9" customHeight="1">
      <c r="A374" s="2078" t="s">
        <v>697</v>
      </c>
      <c r="B374" s="2232" t="s">
        <v>4029</v>
      </c>
      <c r="C374" s="2225"/>
      <c r="D374" s="2225"/>
      <c r="E374" s="2225"/>
      <c r="G374" s="3926" t="s">
        <v>4999</v>
      </c>
      <c r="H374" s="3927"/>
      <c r="I374" s="3928"/>
      <c r="J374" s="3925" t="str">
        <f>IF(AND(O374&gt;0, O375&gt;0), "Choose EITHER C OR D, but not both!","")</f>
        <v/>
      </c>
      <c r="K374" s="3925"/>
      <c r="L374" s="2172" t="s">
        <v>4865</v>
      </c>
      <c r="M374" s="2078">
        <v>4</v>
      </c>
      <c r="N374" s="2191"/>
      <c r="O374" s="1986">
        <v>2</v>
      </c>
      <c r="P374" s="2189"/>
      <c r="Q374" s="2115"/>
      <c r="R374" s="2116"/>
      <c r="AM374" s="2494">
        <v>374</v>
      </c>
    </row>
    <row r="375" spans="1:39" ht="15.9" customHeight="1">
      <c r="A375" s="2078" t="s">
        <v>1956</v>
      </c>
      <c r="B375" s="2086" t="s">
        <v>4028</v>
      </c>
      <c r="E375" s="2155"/>
      <c r="G375" s="3929"/>
      <c r="H375" s="3930"/>
      <c r="I375" s="3931"/>
      <c r="J375" s="3925"/>
      <c r="K375" s="3925"/>
      <c r="L375" s="2172" t="s">
        <v>4865</v>
      </c>
      <c r="M375" s="2078">
        <v>4</v>
      </c>
      <c r="N375" s="2191"/>
      <c r="O375" s="1986">
        <v>0</v>
      </c>
      <c r="P375" s="2189"/>
      <c r="Q375" s="2115"/>
      <c r="R375" s="2116"/>
      <c r="AM375" s="2494">
        <v>375</v>
      </c>
    </row>
    <row r="376" spans="1:39" s="2075" customFormat="1" ht="15.9" customHeight="1">
      <c r="A376" s="2078" t="s">
        <v>1609</v>
      </c>
      <c r="B376" s="2086" t="s">
        <v>4822</v>
      </c>
      <c r="D376" s="2099"/>
      <c r="G376" s="2193" t="s">
        <v>5040</v>
      </c>
      <c r="J376" s="2193"/>
      <c r="K376" s="1806" t="str">
        <f>IF(AND($O376&gt;0,NOT($H$11="Preservation")),"Ineligible, not Preservation!","")</f>
        <v/>
      </c>
      <c r="L376" s="2172" t="s">
        <v>4865</v>
      </c>
      <c r="M376" s="2078">
        <v>20</v>
      </c>
      <c r="N376" s="2077"/>
      <c r="O376" s="2123">
        <f>IF($H$11="Preservation",MIN($M376,(K378+K379+K380+K381)),0)</f>
        <v>20</v>
      </c>
      <c r="P376" s="2123">
        <f>IF($H$12="Preservation",MIN($M376,(L378+L379+L380+L381)),0)</f>
        <v>0</v>
      </c>
      <c r="Q376" s="2110"/>
      <c r="R376" s="2116"/>
      <c r="AM376" s="2493">
        <v>376</v>
      </c>
    </row>
    <row r="377" spans="1:39" s="2075" customFormat="1" ht="15.9" customHeight="1">
      <c r="A377" s="2078"/>
      <c r="B377" s="2086"/>
      <c r="F377" s="2256" t="s">
        <v>5071</v>
      </c>
      <c r="G377" s="2257"/>
      <c r="H377" s="2258"/>
      <c r="I377" s="2258"/>
      <c r="J377" s="2258"/>
      <c r="K377" s="2459" t="s">
        <v>2879</v>
      </c>
      <c r="L377" s="2460" t="s">
        <v>245</v>
      </c>
      <c r="R377" s="2110"/>
      <c r="S377" s="2110"/>
      <c r="T377" s="2110"/>
      <c r="U377" s="2110"/>
      <c r="V377" s="2110"/>
      <c r="W377" s="2110"/>
      <c r="X377" s="2110"/>
      <c r="Y377" s="2110"/>
      <c r="Z377" s="2110"/>
      <c r="AA377" s="2110"/>
      <c r="AM377" s="2494">
        <v>377</v>
      </c>
    </row>
    <row r="378" spans="1:39" s="2075" customFormat="1" ht="15.9" customHeight="1">
      <c r="A378" s="2078"/>
      <c r="B378" s="2086"/>
      <c r="F378" s="2262"/>
      <c r="G378" s="2247" t="s">
        <v>3303</v>
      </c>
      <c r="K378" s="2263">
        <f>MAX(O160,O161-O162)</f>
        <v>20</v>
      </c>
      <c r="L378" s="2461">
        <f>MAX(P160,P161-P162)</f>
        <v>0</v>
      </c>
      <c r="R378" s="2110"/>
      <c r="S378" s="2110"/>
      <c r="T378" s="2110"/>
      <c r="U378" s="2110"/>
      <c r="V378" s="2110"/>
      <c r="W378" s="2110"/>
      <c r="X378" s="2110"/>
      <c r="Y378" s="2110"/>
      <c r="Z378" s="2110"/>
      <c r="AA378" s="2110"/>
      <c r="AM378" s="2493">
        <v>378</v>
      </c>
    </row>
    <row r="379" spans="1:39" s="2075" customFormat="1" ht="15.9" customHeight="1">
      <c r="A379" s="2078"/>
      <c r="B379" s="2086"/>
      <c r="F379" s="2262"/>
      <c r="G379" s="2247" t="s">
        <v>3905</v>
      </c>
      <c r="K379" s="2263">
        <f>MAX(O169,O178+O179+O181+O182+O183)</f>
        <v>3</v>
      </c>
      <c r="L379" s="2461">
        <f>MAX(P169,P178+P179+P181+P182+P183)</f>
        <v>0</v>
      </c>
      <c r="R379" s="2110"/>
      <c r="S379" s="2110"/>
      <c r="T379" s="2110"/>
      <c r="U379" s="2110"/>
      <c r="V379" s="2110"/>
      <c r="W379" s="2110"/>
      <c r="X379" s="2110"/>
      <c r="Y379" s="2110"/>
      <c r="Z379" s="2110"/>
      <c r="AA379" s="2110"/>
      <c r="AM379" s="2493">
        <v>379</v>
      </c>
    </row>
    <row r="380" spans="1:39" s="2075" customFormat="1" ht="15.9" customHeight="1">
      <c r="A380" s="2078"/>
      <c r="B380" s="2086"/>
      <c r="F380" s="2262"/>
      <c r="G380" s="2247" t="s">
        <v>3248</v>
      </c>
      <c r="K380" s="2462">
        <f>$O$190</f>
        <v>1.5</v>
      </c>
      <c r="L380" s="2463">
        <f>$P$190</f>
        <v>0</v>
      </c>
      <c r="R380" s="2110"/>
      <c r="S380" s="2110"/>
      <c r="T380" s="2110"/>
      <c r="U380" s="2110"/>
      <c r="V380" s="2110"/>
      <c r="W380" s="2110"/>
      <c r="X380" s="2110"/>
      <c r="Y380" s="2110"/>
      <c r="Z380" s="2110"/>
      <c r="AA380" s="2110"/>
      <c r="AM380" s="2493">
        <v>380</v>
      </c>
    </row>
    <row r="381" spans="1:39" s="2075" customFormat="1" ht="15.9" customHeight="1">
      <c r="A381" s="2078"/>
      <c r="B381" s="2086"/>
      <c r="F381" s="2383" t="s">
        <v>4954</v>
      </c>
      <c r="J381" s="2207" t="s">
        <v>4955</v>
      </c>
      <c r="K381" s="2385">
        <f>MAX(K382:K384)</f>
        <v>0</v>
      </c>
      <c r="L381" s="2386">
        <f>MAX(L382:L384)</f>
        <v>0</v>
      </c>
      <c r="R381" s="2110"/>
      <c r="S381" s="2110"/>
      <c r="T381" s="2110"/>
      <c r="U381" s="2110"/>
      <c r="V381" s="2110"/>
      <c r="W381" s="2110"/>
      <c r="X381" s="2110"/>
      <c r="Y381" s="2110"/>
      <c r="Z381" s="2110"/>
      <c r="AA381" s="2110"/>
      <c r="AM381" s="2493">
        <v>381</v>
      </c>
    </row>
    <row r="382" spans="1:39" s="2075" customFormat="1" ht="15.9" customHeight="1">
      <c r="A382" s="2078"/>
      <c r="B382" s="2086"/>
      <c r="F382" s="2262"/>
      <c r="G382" s="2247" t="s">
        <v>3304</v>
      </c>
      <c r="K382" s="2263">
        <f>O207</f>
        <v>0</v>
      </c>
      <c r="L382" s="2461">
        <f>P207</f>
        <v>0</v>
      </c>
      <c r="R382" s="2110"/>
      <c r="S382" s="2110"/>
      <c r="T382" s="2110"/>
      <c r="U382" s="2110"/>
      <c r="V382" s="2110"/>
      <c r="W382" s="2110"/>
      <c r="X382" s="2110"/>
      <c r="Y382" s="2110"/>
      <c r="Z382" s="2110"/>
      <c r="AA382" s="2110"/>
      <c r="AM382" s="2494">
        <v>382</v>
      </c>
    </row>
    <row r="383" spans="1:39" s="2075" customFormat="1" ht="15.9" customHeight="1">
      <c r="A383" s="2078"/>
      <c r="B383" s="2086"/>
      <c r="F383" s="2262"/>
      <c r="G383" s="2247" t="s">
        <v>3906</v>
      </c>
      <c r="K383" s="2266">
        <f>MAX($J$251,$O$238)</f>
        <v>0</v>
      </c>
      <c r="L383" s="2464">
        <f>MAX($K$251,$P$238)</f>
        <v>0</v>
      </c>
      <c r="R383" s="2110"/>
      <c r="S383" s="2110"/>
      <c r="T383" s="2110"/>
      <c r="U383" s="2110"/>
      <c r="V383" s="2110"/>
      <c r="W383" s="2110"/>
      <c r="X383" s="2110"/>
      <c r="Y383" s="2110"/>
      <c r="Z383" s="2110"/>
      <c r="AA383" s="2110"/>
      <c r="AM383" s="2494">
        <v>383</v>
      </c>
    </row>
    <row r="384" spans="1:39" s="2075" customFormat="1" ht="15.9" customHeight="1">
      <c r="A384" s="2078"/>
      <c r="B384" s="2086"/>
      <c r="F384" s="2268"/>
      <c r="G384" s="2467" t="s">
        <v>3176</v>
      </c>
      <c r="H384" s="2270"/>
      <c r="I384" s="2270"/>
      <c r="J384" s="2270"/>
      <c r="K384" s="2384">
        <f>IF(OR(O266="Yes",O267="Yes"),M265,0)</f>
        <v>0</v>
      </c>
      <c r="L384" s="2465">
        <f>IF(OR(P266="Yes",P267="Yes"),M265,0)</f>
        <v>0</v>
      </c>
      <c r="R384" s="2110"/>
      <c r="S384" s="2110"/>
      <c r="T384" s="2110"/>
      <c r="U384" s="2110"/>
      <c r="V384" s="2110"/>
      <c r="W384" s="2110"/>
      <c r="X384" s="2110"/>
      <c r="Y384" s="2110"/>
      <c r="Z384" s="2110"/>
      <c r="AA384" s="2110"/>
      <c r="AM384" s="2494">
        <v>384</v>
      </c>
    </row>
    <row r="385" spans="1:39" s="2075" customFormat="1" ht="15.9" customHeight="1">
      <c r="A385" s="2078" t="s">
        <v>1610</v>
      </c>
      <c r="B385" s="2086" t="s">
        <v>4823</v>
      </c>
      <c r="D385" s="2099"/>
      <c r="G385" s="2111"/>
      <c r="K385" s="2115" t="str">
        <f>IF(OR($O385&lt;=$M385,$O385=0,$O385=""),"","*CHECK!*")</f>
        <v/>
      </c>
      <c r="L385" s="2113" t="s">
        <v>4865</v>
      </c>
      <c r="M385" s="2078">
        <v>22</v>
      </c>
      <c r="N385" s="2077"/>
      <c r="O385" s="2123">
        <f>IF(AND($C$16="4%",$H$11="Preservation"),IF(O386+O387+O388+O400&gt;$M385,"Check",O386+O387+O388+O400),IF(AND($C$16="9%",$H$11="Preservation"),IF((O386+O387)&gt;($N386+$N387),"Check",O386+O387),0))</f>
        <v>0</v>
      </c>
      <c r="P385" s="2123">
        <f>IF(AND($C$16="4%",$H$11="Preservation"),IF(P386+P387+P388+P400&gt;$M385,"Check",P386+P387+P388+P400),IF(AND($C$16="9%",$H$11="Preservation"),IF((P386+P387)&gt;($N386+$N387),"Check",P386+P387),0))</f>
        <v>0</v>
      </c>
      <c r="Q385" s="2110" t="s">
        <v>415</v>
      </c>
      <c r="R385" s="2116"/>
      <c r="AM385" s="2494">
        <v>385</v>
      </c>
    </row>
    <row r="386" spans="1:39" s="2075" customFormat="1" ht="15.9" customHeight="1">
      <c r="A386" s="2078"/>
      <c r="B386" s="2117"/>
      <c r="C386" s="2107" t="s">
        <v>4894</v>
      </c>
      <c r="G386" s="2423" t="s">
        <v>4906</v>
      </c>
      <c r="I386" s="2078"/>
      <c r="K386" s="2069"/>
      <c r="M386" s="2172" t="s">
        <v>4865</v>
      </c>
      <c r="N386" s="2175">
        <v>3</v>
      </c>
      <c r="O386" s="1988"/>
      <c r="P386" s="2197"/>
      <c r="Q386" s="2116"/>
      <c r="V386" s="2106"/>
      <c r="AM386" s="2493">
        <v>386</v>
      </c>
    </row>
    <row r="387" spans="1:39" s="2075" customFormat="1" ht="15" customHeight="1">
      <c r="A387" s="2078"/>
      <c r="B387" s="2120"/>
      <c r="C387" s="2130" t="s">
        <v>4895</v>
      </c>
      <c r="D387" s="2130"/>
      <c r="E387" s="2130"/>
      <c r="G387" s="2247" t="s">
        <v>4905</v>
      </c>
      <c r="I387" s="2130"/>
      <c r="K387" s="2070"/>
      <c r="M387" s="2172" t="s">
        <v>4865</v>
      </c>
      <c r="N387" s="2175">
        <v>3</v>
      </c>
      <c r="O387" s="1977"/>
      <c r="P387" s="2200"/>
      <c r="Q387" s="2113"/>
      <c r="V387" s="2106"/>
      <c r="AM387" s="2494">
        <v>387</v>
      </c>
    </row>
    <row r="388" spans="1:39" ht="15.9" customHeight="1">
      <c r="B388" s="2117"/>
      <c r="C388" s="2075" t="s">
        <v>4719</v>
      </c>
      <c r="G388" s="2193" t="s">
        <v>4896</v>
      </c>
      <c r="K388" s="2282" t="str">
        <f>IF(OR($O388="",AND($O388&gt;=0,$O388&lt;=$N388,$C$16="4%"),$C$16="4%"),"","Ineligible!")</f>
        <v/>
      </c>
      <c r="M388" s="2172" t="s">
        <v>4865</v>
      </c>
      <c r="N388" s="2175">
        <v>10</v>
      </c>
      <c r="O388" s="2022"/>
      <c r="P388" s="2283"/>
      <c r="Q388" s="2115" t="str">
        <f>IF(OR($O388&lt;=$N388,$O388=0,$O388=""),"","*CHECK!*")</f>
        <v/>
      </c>
      <c r="R388" s="2116"/>
      <c r="AM388" s="2493">
        <v>388</v>
      </c>
    </row>
    <row r="389" spans="1:39" ht="15.9" customHeight="1">
      <c r="A389" s="2078"/>
      <c r="B389" s="2074" t="s">
        <v>1132</v>
      </c>
      <c r="D389" s="2074" t="s">
        <v>4723</v>
      </c>
      <c r="E389" s="2075"/>
      <c r="F389" s="2075"/>
      <c r="G389" s="2075" t="s">
        <v>4114</v>
      </c>
      <c r="H389" s="2075"/>
      <c r="I389" s="2075"/>
      <c r="J389" s="3932" t="s">
        <v>574</v>
      </c>
      <c r="K389" s="3932"/>
      <c r="L389" s="2095" t="s">
        <v>4724</v>
      </c>
      <c r="M389" s="3913" t="s">
        <v>4728</v>
      </c>
      <c r="N389" s="3913"/>
      <c r="O389" s="3913"/>
      <c r="P389" s="3913"/>
      <c r="Q389" s="2115"/>
      <c r="AM389" s="2493">
        <v>389</v>
      </c>
    </row>
    <row r="390" spans="1:39" ht="15" customHeight="1">
      <c r="A390" s="2118" t="s">
        <v>1957</v>
      </c>
      <c r="B390" s="3914"/>
      <c r="C390" s="3914"/>
      <c r="D390" s="3914"/>
      <c r="E390" s="3914"/>
      <c r="F390" s="3914"/>
      <c r="G390" s="3914"/>
      <c r="H390" s="3914"/>
      <c r="I390" s="3914"/>
      <c r="J390" s="3915"/>
      <c r="K390" s="3915"/>
      <c r="L390" s="2019"/>
      <c r="M390" s="3916"/>
      <c r="N390" s="3917"/>
      <c r="O390" s="3917"/>
      <c r="P390" s="3918"/>
      <c r="Q390" s="2115"/>
      <c r="AM390" s="2493">
        <v>390</v>
      </c>
    </row>
    <row r="391" spans="1:39" ht="15" customHeight="1">
      <c r="A391" s="2118" t="s">
        <v>1958</v>
      </c>
      <c r="B391" s="3905"/>
      <c r="C391" s="3905"/>
      <c r="D391" s="3905"/>
      <c r="E391" s="3905"/>
      <c r="F391" s="3905"/>
      <c r="G391" s="3905"/>
      <c r="H391" s="3905"/>
      <c r="I391" s="3905"/>
      <c r="J391" s="3906"/>
      <c r="K391" s="3906"/>
      <c r="L391" s="2020"/>
      <c r="M391" s="3907"/>
      <c r="N391" s="3908"/>
      <c r="O391" s="3908"/>
      <c r="P391" s="3909"/>
      <c r="Q391" s="2115"/>
      <c r="AM391" s="2493">
        <v>391</v>
      </c>
    </row>
    <row r="392" spans="1:39" ht="15" customHeight="1">
      <c r="A392" s="2118" t="s">
        <v>1608</v>
      </c>
      <c r="B392" s="3905"/>
      <c r="C392" s="3905"/>
      <c r="D392" s="3905"/>
      <c r="E392" s="3905"/>
      <c r="F392" s="3905"/>
      <c r="G392" s="3905"/>
      <c r="H392" s="3905"/>
      <c r="I392" s="3905"/>
      <c r="J392" s="3906"/>
      <c r="K392" s="3906"/>
      <c r="L392" s="2020"/>
      <c r="M392" s="3907"/>
      <c r="N392" s="3908"/>
      <c r="O392" s="3908"/>
      <c r="P392" s="3909"/>
      <c r="Q392" s="2115"/>
      <c r="AM392" s="2494">
        <v>392</v>
      </c>
    </row>
    <row r="393" spans="1:39" ht="15" customHeight="1">
      <c r="A393" s="2118" t="s">
        <v>3739</v>
      </c>
      <c r="B393" s="3905"/>
      <c r="C393" s="3905"/>
      <c r="D393" s="3905"/>
      <c r="E393" s="3905"/>
      <c r="F393" s="3905"/>
      <c r="G393" s="3905"/>
      <c r="H393" s="3905"/>
      <c r="I393" s="3905"/>
      <c r="J393" s="3906"/>
      <c r="K393" s="3906"/>
      <c r="L393" s="2020"/>
      <c r="M393" s="3907"/>
      <c r="N393" s="3908"/>
      <c r="O393" s="3908"/>
      <c r="P393" s="3909"/>
      <c r="Q393" s="2115"/>
      <c r="AM393" s="2494">
        <v>393</v>
      </c>
    </row>
    <row r="394" spans="1:39" ht="15" customHeight="1">
      <c r="A394" s="2118" t="s">
        <v>4672</v>
      </c>
      <c r="B394" s="3905"/>
      <c r="C394" s="3905"/>
      <c r="D394" s="3905"/>
      <c r="E394" s="3905"/>
      <c r="F394" s="3905"/>
      <c r="G394" s="3905"/>
      <c r="H394" s="3905"/>
      <c r="I394" s="3905"/>
      <c r="J394" s="3906"/>
      <c r="K394" s="3906"/>
      <c r="L394" s="2020"/>
      <c r="M394" s="3907"/>
      <c r="N394" s="3908"/>
      <c r="O394" s="3908"/>
      <c r="P394" s="3909"/>
      <c r="Q394" s="2115"/>
      <c r="AM394" s="2494">
        <v>394</v>
      </c>
    </row>
    <row r="395" spans="1:39" ht="15" customHeight="1">
      <c r="A395" s="2118" t="s">
        <v>4673</v>
      </c>
      <c r="B395" s="3905"/>
      <c r="C395" s="3905"/>
      <c r="D395" s="3905"/>
      <c r="E395" s="3905"/>
      <c r="F395" s="3905"/>
      <c r="G395" s="3905"/>
      <c r="H395" s="3905"/>
      <c r="I395" s="3905"/>
      <c r="J395" s="3906"/>
      <c r="K395" s="3906"/>
      <c r="L395" s="2020"/>
      <c r="M395" s="3907"/>
      <c r="N395" s="3908"/>
      <c r="O395" s="3908"/>
      <c r="P395" s="3909"/>
      <c r="Q395" s="2115"/>
      <c r="AM395" s="2494">
        <v>395</v>
      </c>
    </row>
    <row r="396" spans="1:39" ht="15" customHeight="1">
      <c r="A396" s="2118" t="s">
        <v>4897</v>
      </c>
      <c r="B396" s="3905"/>
      <c r="C396" s="3905"/>
      <c r="D396" s="3905"/>
      <c r="E396" s="3905"/>
      <c r="F396" s="3905"/>
      <c r="G396" s="3905"/>
      <c r="H396" s="3905"/>
      <c r="I396" s="3905"/>
      <c r="J396" s="3906"/>
      <c r="K396" s="3906"/>
      <c r="L396" s="2020"/>
      <c r="M396" s="3907"/>
      <c r="N396" s="3908"/>
      <c r="O396" s="3908"/>
      <c r="P396" s="3909"/>
      <c r="Q396" s="2115"/>
      <c r="AM396" s="2493">
        <v>396</v>
      </c>
    </row>
    <row r="397" spans="1:39" ht="15" customHeight="1">
      <c r="A397" s="2118" t="s">
        <v>4898</v>
      </c>
      <c r="B397" s="3905"/>
      <c r="C397" s="3905"/>
      <c r="D397" s="3905"/>
      <c r="E397" s="3905"/>
      <c r="F397" s="3905"/>
      <c r="G397" s="3905"/>
      <c r="H397" s="3905"/>
      <c r="I397" s="3905"/>
      <c r="J397" s="3906"/>
      <c r="K397" s="3906"/>
      <c r="L397" s="2020"/>
      <c r="M397" s="3907"/>
      <c r="N397" s="3908"/>
      <c r="O397" s="3908"/>
      <c r="P397" s="3909"/>
      <c r="Q397" s="2115"/>
      <c r="AM397" s="2494">
        <v>397</v>
      </c>
    </row>
    <row r="398" spans="1:39" ht="15" customHeight="1">
      <c r="A398" s="2118" t="s">
        <v>4873</v>
      </c>
      <c r="B398" s="3905"/>
      <c r="C398" s="3905"/>
      <c r="D398" s="3905"/>
      <c r="E398" s="3905"/>
      <c r="F398" s="3905"/>
      <c r="G398" s="3905"/>
      <c r="H398" s="3905"/>
      <c r="I398" s="3905"/>
      <c r="J398" s="3906"/>
      <c r="K398" s="3906"/>
      <c r="L398" s="2020"/>
      <c r="M398" s="3907"/>
      <c r="N398" s="3908"/>
      <c r="O398" s="3908"/>
      <c r="P398" s="3909"/>
      <c r="AM398" s="2493">
        <v>398</v>
      </c>
    </row>
    <row r="399" spans="1:39" ht="15" customHeight="1">
      <c r="A399" s="2118" t="s">
        <v>4899</v>
      </c>
      <c r="B399" s="3900"/>
      <c r="C399" s="3900"/>
      <c r="D399" s="3900"/>
      <c r="E399" s="3900"/>
      <c r="F399" s="3900"/>
      <c r="G399" s="3900"/>
      <c r="H399" s="3900"/>
      <c r="I399" s="3900"/>
      <c r="J399" s="3901"/>
      <c r="K399" s="3901"/>
      <c r="L399" s="2021"/>
      <c r="M399" s="3902"/>
      <c r="N399" s="3903"/>
      <c r="O399" s="3903"/>
      <c r="P399" s="3904"/>
      <c r="Q399" s="2115"/>
      <c r="AM399" s="2493">
        <v>399</v>
      </c>
    </row>
    <row r="400" spans="1:39" s="2130" customFormat="1" ht="15.9" customHeight="1">
      <c r="A400" s="2218"/>
      <c r="B400" s="2120"/>
      <c r="C400" s="2130" t="s">
        <v>4720</v>
      </c>
      <c r="D400" s="2225"/>
      <c r="E400" s="2225"/>
      <c r="G400" s="2193" t="s">
        <v>4896</v>
      </c>
      <c r="J400" s="2207" t="s">
        <v>4904</v>
      </c>
      <c r="K400" s="2069"/>
      <c r="L400" s="2282" t="str">
        <f>IF(OR($O400="",AND($O400&gt;=0,$O400&lt;=$N400,$C$16="4%"),$C$16="4%"),"","Ineligible!")</f>
        <v/>
      </c>
      <c r="M400" s="2172" t="s">
        <v>4865</v>
      </c>
      <c r="N400" s="2077">
        <v>6</v>
      </c>
      <c r="O400" s="2022"/>
      <c r="P400" s="2283"/>
      <c r="Q400" s="2115" t="str">
        <f>IF(OR($O400&lt;=$N400,$O400=0,$O400=""),"","*CHECK!*")</f>
        <v/>
      </c>
      <c r="AM400" s="2493">
        <v>400</v>
      </c>
    </row>
    <row r="401" spans="1:39" ht="15.9" customHeight="1">
      <c r="A401" s="2075"/>
      <c r="B401" s="2097" t="s">
        <v>4816</v>
      </c>
      <c r="C401" s="2075"/>
      <c r="D401" s="2075"/>
      <c r="E401" s="2075"/>
      <c r="F401" s="2075"/>
      <c r="G401" s="2075"/>
      <c r="H401" s="2075"/>
      <c r="I401" s="2075"/>
      <c r="J401" s="2075"/>
      <c r="K401" s="2075"/>
      <c r="M401" s="2077"/>
      <c r="O401" s="2088"/>
      <c r="AM401" s="2493">
        <v>401</v>
      </c>
    </row>
    <row r="402" spans="1:39" ht="45" customHeight="1">
      <c r="A402" s="3890" t="s">
        <v>5256</v>
      </c>
      <c r="B402" s="3891"/>
      <c r="C402" s="3891"/>
      <c r="D402" s="3891"/>
      <c r="E402" s="3891"/>
      <c r="F402" s="3891"/>
      <c r="G402" s="3891"/>
      <c r="H402" s="3891"/>
      <c r="I402" s="3891"/>
      <c r="J402" s="3891"/>
      <c r="K402" s="3891"/>
      <c r="L402" s="3891"/>
      <c r="M402" s="3891"/>
      <c r="N402" s="3891"/>
      <c r="O402" s="3891"/>
      <c r="P402" s="3892"/>
      <c r="Q402" s="2154"/>
      <c r="R402" s="2154"/>
      <c r="AM402" s="2493">
        <v>402</v>
      </c>
    </row>
    <row r="403" spans="1:39" s="2075" customFormat="1" ht="15.9" customHeight="1">
      <c r="A403" s="2097"/>
      <c r="B403" s="2097" t="s">
        <v>1724</v>
      </c>
      <c r="D403" s="2097"/>
      <c r="E403" s="2125"/>
      <c r="F403" s="2125"/>
      <c r="G403" s="2125"/>
      <c r="H403" s="2125"/>
      <c r="I403" s="2125"/>
      <c r="J403" s="2125"/>
      <c r="K403" s="2125"/>
      <c r="L403" s="2125"/>
      <c r="M403" s="2125"/>
      <c r="N403" s="2183"/>
      <c r="O403" s="2103"/>
      <c r="P403" s="2078"/>
      <c r="AM403" s="2493">
        <v>403</v>
      </c>
    </row>
    <row r="404" spans="1:39" ht="30" customHeight="1">
      <c r="A404" s="3884"/>
      <c r="B404" s="3885"/>
      <c r="C404" s="3885"/>
      <c r="D404" s="3885"/>
      <c r="E404" s="3885"/>
      <c r="F404" s="3885"/>
      <c r="G404" s="3885"/>
      <c r="H404" s="3885"/>
      <c r="I404" s="3885"/>
      <c r="J404" s="3885"/>
      <c r="K404" s="3885"/>
      <c r="L404" s="3885"/>
      <c r="M404" s="3885"/>
      <c r="N404" s="3885"/>
      <c r="O404" s="3885"/>
      <c r="P404" s="3886"/>
      <c r="Q404" s="2154"/>
      <c r="R404" s="2154"/>
      <c r="AM404" s="2493">
        <v>404</v>
      </c>
    </row>
    <row r="405" spans="1:39" ht="10.5" customHeight="1">
      <c r="A405" s="2075"/>
      <c r="B405" s="2075"/>
      <c r="C405" s="2127"/>
      <c r="D405" s="2127"/>
      <c r="E405" s="2127"/>
      <c r="F405" s="2127"/>
      <c r="G405" s="2127"/>
      <c r="H405" s="2127"/>
      <c r="I405" s="2127"/>
      <c r="J405" s="2127"/>
      <c r="K405" s="2127"/>
      <c r="L405" s="2127"/>
      <c r="M405" s="2127"/>
      <c r="N405" s="2139"/>
      <c r="O405" s="2140"/>
      <c r="P405" s="2078"/>
      <c r="Q405" s="3887" t="s">
        <v>4957</v>
      </c>
      <c r="R405" s="3888"/>
      <c r="S405" s="3888"/>
      <c r="T405" s="3888"/>
      <c r="U405" s="3888"/>
      <c r="V405" s="3888"/>
      <c r="W405" s="3888"/>
      <c r="X405" s="3888"/>
      <c r="Y405" s="3888"/>
      <c r="Z405" s="3888"/>
      <c r="AA405" s="3888"/>
      <c r="AB405" s="3888"/>
      <c r="AC405" s="3888"/>
      <c r="AD405" s="3888"/>
      <c r="AE405" s="3888"/>
      <c r="AF405" s="3888"/>
      <c r="AM405" s="2494">
        <v>405</v>
      </c>
    </row>
    <row r="406" spans="1:39" ht="10.5" customHeight="1">
      <c r="A406" s="2075"/>
      <c r="B406" s="2075"/>
      <c r="C406" s="2127"/>
      <c r="D406" s="2127"/>
      <c r="E406" s="2127"/>
      <c r="F406" s="2127"/>
      <c r="G406" s="2127"/>
      <c r="H406" s="2127"/>
      <c r="I406" s="2127"/>
      <c r="J406" s="2127"/>
      <c r="K406" s="2127"/>
      <c r="L406" s="2127"/>
      <c r="M406" s="2127"/>
      <c r="N406" s="2139"/>
      <c r="O406" s="2140"/>
      <c r="P406" s="2078"/>
      <c r="Q406" s="3887"/>
      <c r="R406" s="3888"/>
      <c r="S406" s="3888"/>
      <c r="T406" s="3888"/>
      <c r="U406" s="3888"/>
      <c r="V406" s="3888"/>
      <c r="W406" s="3888"/>
      <c r="X406" s="3888"/>
      <c r="Y406" s="3888"/>
      <c r="Z406" s="3888"/>
      <c r="AA406" s="3888"/>
      <c r="AB406" s="3888"/>
      <c r="AC406" s="3888"/>
      <c r="AD406" s="3888"/>
      <c r="AE406" s="3888"/>
      <c r="AF406" s="3888"/>
      <c r="AM406" s="2494">
        <v>406</v>
      </c>
    </row>
    <row r="407" spans="1:39" ht="15.9" customHeight="1" thickBot="1">
      <c r="Q407" s="3887"/>
      <c r="R407" s="3888"/>
      <c r="S407" s="3888"/>
      <c r="T407" s="3888"/>
      <c r="U407" s="3888"/>
      <c r="V407" s="3888"/>
      <c r="W407" s="3888"/>
      <c r="X407" s="3888"/>
      <c r="Y407" s="3888"/>
      <c r="Z407" s="3888"/>
      <c r="AA407" s="3888"/>
      <c r="AB407" s="3888"/>
      <c r="AC407" s="3888"/>
      <c r="AD407" s="3888"/>
      <c r="AE407" s="3888"/>
      <c r="AF407" s="3888"/>
      <c r="AM407" s="2494">
        <v>407</v>
      </c>
    </row>
    <row r="408" spans="1:39" s="2075" customFormat="1" ht="21" customHeight="1" thickTop="1" thickBot="1">
      <c r="A408" s="2086" t="s">
        <v>401</v>
      </c>
      <c r="B408" s="2074"/>
      <c r="D408" s="2074"/>
      <c r="E408" s="2074"/>
      <c r="F408" s="2074"/>
      <c r="M408" s="2000"/>
      <c r="N408" s="2089"/>
      <c r="O408" s="2090">
        <f>IF(AND($H$11="New Affordability",$C$16="9%"),$AV$450,IF(AND($H$11="New Affordability",$C$16="4%"),$AW$450,IF(AND($H$11="Preservation",$C$16="9%"),$AX$450,IF(AND($H$11="Preservation",$C$16="4%"),$AY$450,0))))</f>
        <v>65</v>
      </c>
      <c r="P408" s="2090">
        <f>IF(AND($H$11="New Affordability",$C$16="9%"),$AZ$450,IF(AND($H$11="New Affordability",$C$16="4%"),$BA$450,IF(AND($H$11="Preservation",$C$16="9%"),$BB$450,IF(AND($H$11="Preservation",$C$16="4%"),$BC$450,0))))</f>
        <v>12</v>
      </c>
      <c r="Q408" s="3888"/>
      <c r="R408" s="3888"/>
      <c r="S408" s="3888"/>
      <c r="T408" s="3888"/>
      <c r="U408" s="3888"/>
      <c r="V408" s="3888"/>
      <c r="W408" s="3888"/>
      <c r="X408" s="3888"/>
      <c r="Y408" s="3888"/>
      <c r="Z408" s="3888"/>
      <c r="AA408" s="3888"/>
      <c r="AB408" s="3888"/>
      <c r="AC408" s="3888"/>
      <c r="AD408" s="3888"/>
      <c r="AE408" s="3888"/>
      <c r="AF408" s="3888"/>
      <c r="AM408" s="2494">
        <v>408</v>
      </c>
    </row>
    <row r="409" spans="1:39" ht="9" customHeight="1" thickTop="1">
      <c r="A409" s="2075"/>
      <c r="C409" s="2127"/>
      <c r="D409" s="2127"/>
      <c r="E409" s="2127"/>
      <c r="F409" s="2127"/>
      <c r="G409" s="2127"/>
      <c r="H409" s="2127"/>
      <c r="I409" s="2127"/>
      <c r="J409" s="2127"/>
      <c r="K409" s="2127"/>
      <c r="L409" s="2127"/>
      <c r="M409" s="2127"/>
      <c r="N409" s="2127"/>
      <c r="O409" s="2127"/>
      <c r="P409" s="2127"/>
      <c r="Q409" s="3887"/>
      <c r="R409" s="3888"/>
      <c r="S409" s="3888"/>
      <c r="T409" s="3888"/>
      <c r="U409" s="3888"/>
      <c r="V409" s="3888"/>
      <c r="W409" s="3888"/>
      <c r="X409" s="3888"/>
      <c r="Y409" s="3888"/>
      <c r="Z409" s="3888"/>
      <c r="AA409" s="3888"/>
      <c r="AB409" s="3888"/>
      <c r="AC409" s="3888"/>
      <c r="AD409" s="3888"/>
      <c r="AE409" s="3888"/>
      <c r="AF409" s="3888"/>
      <c r="AM409" s="2493">
        <v>409</v>
      </c>
    </row>
    <row r="410" spans="1:39" ht="9" customHeight="1">
      <c r="F410" s="2107"/>
      <c r="G410" s="2107"/>
      <c r="H410" s="2078"/>
      <c r="I410" s="2078"/>
      <c r="N410" s="2078"/>
      <c r="O410" s="2078"/>
      <c r="P410" s="2088"/>
      <c r="Q410" s="3887"/>
      <c r="R410" s="3888"/>
      <c r="S410" s="3888"/>
      <c r="T410" s="3888"/>
      <c r="U410" s="3888"/>
      <c r="V410" s="3888"/>
      <c r="W410" s="3888"/>
      <c r="X410" s="3888"/>
      <c r="Y410" s="3888"/>
      <c r="Z410" s="3888"/>
      <c r="AA410" s="3888"/>
      <c r="AB410" s="3888"/>
      <c r="AC410" s="3888"/>
      <c r="AD410" s="3888"/>
      <c r="AE410" s="3888"/>
      <c r="AF410" s="3888"/>
      <c r="AM410" s="2494">
        <v>410</v>
      </c>
    </row>
    <row r="411" spans="1:39" ht="45" customHeight="1">
      <c r="A411" s="3889" t="s">
        <v>4983</v>
      </c>
      <c r="B411" s="3889"/>
      <c r="C411" s="3889"/>
      <c r="D411" s="3889"/>
      <c r="E411" s="3889"/>
      <c r="F411" s="3889"/>
      <c r="G411" s="3889"/>
      <c r="H411" s="3889"/>
      <c r="I411" s="3889"/>
      <c r="J411" s="3889"/>
      <c r="K411" s="3889"/>
      <c r="L411" s="3889"/>
      <c r="M411" s="3889"/>
      <c r="N411" s="3889"/>
      <c r="O411" s="3889"/>
      <c r="P411" s="3889"/>
      <c r="Q411" s="3887"/>
      <c r="R411" s="3888"/>
      <c r="S411" s="3888"/>
      <c r="T411" s="3888"/>
      <c r="U411" s="3888"/>
      <c r="V411" s="3888"/>
      <c r="W411" s="3888"/>
      <c r="X411" s="3888"/>
      <c r="Y411" s="3888"/>
      <c r="Z411" s="3888"/>
      <c r="AA411" s="3888"/>
      <c r="AB411" s="3888"/>
      <c r="AC411" s="3888"/>
      <c r="AD411" s="3888"/>
      <c r="AE411" s="3888"/>
      <c r="AF411" s="3888"/>
      <c r="AM411" s="2493">
        <v>411</v>
      </c>
    </row>
    <row r="412" spans="1:39" ht="409.5" customHeight="1">
      <c r="A412" s="3890"/>
      <c r="B412" s="3891"/>
      <c r="C412" s="3891"/>
      <c r="D412" s="3891"/>
      <c r="E412" s="3891"/>
      <c r="F412" s="3891"/>
      <c r="G412" s="3891"/>
      <c r="H412" s="3891"/>
      <c r="I412" s="3891"/>
      <c r="J412" s="3891"/>
      <c r="K412" s="3891"/>
      <c r="L412" s="3891"/>
      <c r="M412" s="3891"/>
      <c r="N412" s="3891"/>
      <c r="O412" s="3891"/>
      <c r="P412" s="3892"/>
      <c r="Q412" s="2092"/>
      <c r="R412" s="2092"/>
      <c r="S412" s="2092"/>
      <c r="T412" s="2092"/>
      <c r="U412" s="2092"/>
      <c r="V412" s="2092"/>
      <c r="W412" s="2092"/>
      <c r="X412" s="2092"/>
      <c r="Y412" s="2092"/>
      <c r="AM412" s="2493">
        <v>412</v>
      </c>
    </row>
    <row r="413" spans="1:39">
      <c r="B413" s="2001"/>
      <c r="C413" s="2001" t="s">
        <v>1933</v>
      </c>
      <c r="D413" s="2001"/>
      <c r="E413" s="2001"/>
      <c r="F413" s="2001"/>
      <c r="G413" s="2001"/>
      <c r="H413" s="2001"/>
      <c r="I413" s="2001"/>
      <c r="J413" s="2002" t="s">
        <v>1535</v>
      </c>
      <c r="K413" s="2001"/>
      <c r="L413" s="2001"/>
      <c r="M413" s="2001"/>
      <c r="N413" s="1992"/>
      <c r="O413" s="2003"/>
      <c r="P413" s="2003"/>
      <c r="Q413" s="2015"/>
      <c r="R413" s="2015"/>
      <c r="S413" s="2015"/>
      <c r="T413" s="2093"/>
      <c r="U413" s="2093"/>
      <c r="V413" s="2093"/>
      <c r="W413" s="2093"/>
      <c r="X413" s="2093"/>
      <c r="Y413" s="2093"/>
    </row>
    <row r="414" spans="1:39">
      <c r="B414" s="2001"/>
      <c r="C414" s="2001" t="s">
        <v>1934</v>
      </c>
      <c r="D414" s="2001"/>
      <c r="E414" s="2001"/>
      <c r="F414" s="2001"/>
      <c r="G414" s="2001"/>
      <c r="H414" s="2001"/>
      <c r="I414" s="2001"/>
      <c r="J414" s="2002" t="s">
        <v>1536</v>
      </c>
      <c r="K414" s="2001"/>
      <c r="L414" s="2001"/>
      <c r="M414" s="2001"/>
      <c r="N414" s="1992"/>
      <c r="O414" s="2003"/>
      <c r="P414" s="2003"/>
      <c r="Q414" s="2001"/>
      <c r="R414" s="2001"/>
      <c r="S414" s="2001"/>
    </row>
    <row r="415" spans="1:39">
      <c r="B415" s="2001"/>
      <c r="C415" s="2001" t="s">
        <v>1935</v>
      </c>
      <c r="D415" s="2001"/>
      <c r="E415" s="2001"/>
      <c r="F415" s="2001"/>
      <c r="G415" s="2001"/>
      <c r="H415" s="2001"/>
      <c r="I415" s="2001"/>
      <c r="J415" s="2002" t="s">
        <v>2299</v>
      </c>
      <c r="K415" s="2001"/>
      <c r="L415" s="2001"/>
      <c r="M415" s="2001"/>
      <c r="N415" s="1992"/>
      <c r="O415" s="2003"/>
      <c r="P415" s="2003"/>
      <c r="Q415" s="2001"/>
      <c r="R415" s="2001"/>
      <c r="S415" s="2001"/>
    </row>
    <row r="416" spans="1:39">
      <c r="B416" s="2001"/>
      <c r="C416" s="2001" t="s">
        <v>1936</v>
      </c>
      <c r="D416" s="2001"/>
      <c r="E416" s="2001"/>
      <c r="F416" s="2001"/>
      <c r="G416" s="2001"/>
      <c r="H416" s="2001"/>
      <c r="I416" s="2001"/>
      <c r="J416" s="2002" t="s">
        <v>1537</v>
      </c>
      <c r="K416" s="2001"/>
      <c r="L416" s="2001"/>
      <c r="M416" s="2001"/>
      <c r="N416" s="1992"/>
      <c r="O416" s="2003"/>
      <c r="P416" s="2003"/>
      <c r="Q416" s="2001"/>
      <c r="R416" s="2001"/>
      <c r="S416" s="2001"/>
    </row>
    <row r="417" spans="2:58">
      <c r="B417" s="2001"/>
      <c r="C417" s="2001"/>
      <c r="D417" s="2001"/>
      <c r="E417" s="2001"/>
      <c r="F417" s="2001"/>
      <c r="G417" s="2001"/>
      <c r="H417" s="2001"/>
      <c r="I417" s="2001"/>
      <c r="J417" s="2002" t="s">
        <v>1538</v>
      </c>
      <c r="K417" s="2001"/>
      <c r="L417" s="2001"/>
      <c r="M417" s="2001"/>
      <c r="N417" s="1992"/>
      <c r="O417" s="2003"/>
      <c r="P417" s="2003"/>
      <c r="Q417" s="2001"/>
      <c r="R417" s="2001"/>
      <c r="S417" s="2001"/>
    </row>
    <row r="418" spans="2:58">
      <c r="B418" s="2001"/>
      <c r="C418" s="2001" t="s">
        <v>1641</v>
      </c>
      <c r="D418" s="2001"/>
      <c r="E418" s="2001"/>
      <c r="F418" s="2001"/>
      <c r="G418" s="2001"/>
      <c r="H418" s="2001"/>
      <c r="I418" s="2001"/>
      <c r="J418" s="2002" t="s">
        <v>1539</v>
      </c>
      <c r="K418" s="2001"/>
      <c r="L418" s="2001"/>
      <c r="M418" s="2001"/>
      <c r="N418" s="1992"/>
      <c r="O418" s="2003"/>
      <c r="P418" s="2003"/>
      <c r="Q418" s="2001"/>
      <c r="R418" s="2001"/>
      <c r="S418" s="2001"/>
    </row>
    <row r="419" spans="2:58" ht="14.4" thickBot="1">
      <c r="B419" s="2001"/>
      <c r="C419" s="2004" t="s">
        <v>1310</v>
      </c>
      <c r="D419" s="2001"/>
      <c r="E419" s="2001"/>
      <c r="F419" s="2001"/>
      <c r="G419" s="2001"/>
      <c r="H419" s="2001"/>
      <c r="I419" s="2001"/>
      <c r="J419" s="2002" t="s">
        <v>1540</v>
      </c>
      <c r="K419" s="2001"/>
      <c r="L419" s="2001"/>
      <c r="M419" s="2001"/>
      <c r="N419" s="1992"/>
      <c r="O419" s="2003"/>
      <c r="P419" s="2003"/>
      <c r="Q419" s="2001"/>
      <c r="R419" s="2001"/>
      <c r="S419" s="2001"/>
      <c r="AS419" s="2081"/>
      <c r="AT419" s="2081"/>
      <c r="AU419" s="2075"/>
      <c r="AV419" s="3893" t="s">
        <v>4451</v>
      </c>
      <c r="AW419" s="3893"/>
      <c r="AX419" s="3893"/>
      <c r="AY419" s="3893"/>
      <c r="AZ419" s="3893"/>
      <c r="BA419" s="3893"/>
      <c r="BB419" s="3893"/>
      <c r="BC419" s="3893"/>
      <c r="BD419" s="2075"/>
      <c r="BE419" s="2075"/>
      <c r="BF419" s="2075"/>
    </row>
    <row r="420" spans="2:58" ht="14.4" thickBot="1">
      <c r="B420" s="2001"/>
      <c r="C420" s="2004" t="s">
        <v>1311</v>
      </c>
      <c r="D420" s="2001"/>
      <c r="E420" s="2001"/>
      <c r="F420" s="2001"/>
      <c r="G420" s="2001"/>
      <c r="H420" s="2001"/>
      <c r="I420" s="2001"/>
      <c r="J420" s="2002" t="s">
        <v>1541</v>
      </c>
      <c r="K420" s="2001"/>
      <c r="L420" s="2001"/>
      <c r="M420" s="2001"/>
      <c r="N420" s="1992"/>
      <c r="O420" s="2003"/>
      <c r="P420" s="2003"/>
      <c r="Q420" s="2001"/>
      <c r="R420" s="2001"/>
      <c r="S420" s="2001"/>
      <c r="AP420" s="2081"/>
      <c r="AQ420" s="2081"/>
      <c r="AR420" s="2075"/>
      <c r="AS420" s="2075"/>
      <c r="AT420" s="2075"/>
      <c r="AU420" s="2075"/>
      <c r="AV420" s="3894" t="s">
        <v>4452</v>
      </c>
      <c r="AW420" s="3895"/>
      <c r="AX420" s="3895"/>
      <c r="AY420" s="3896"/>
      <c r="AZ420" s="3897" t="s">
        <v>4453</v>
      </c>
      <c r="BA420" s="3898"/>
      <c r="BB420" s="3898"/>
      <c r="BC420" s="3899"/>
    </row>
    <row r="421" spans="2:58">
      <c r="B421" s="2001"/>
      <c r="C421" s="2004" t="s">
        <v>1974</v>
      </c>
      <c r="D421" s="2001"/>
      <c r="E421" s="2001"/>
      <c r="F421" s="2001"/>
      <c r="G421" s="2001"/>
      <c r="H421" s="2001"/>
      <c r="I421" s="2001"/>
      <c r="J421" s="2002" t="s">
        <v>1542</v>
      </c>
      <c r="K421" s="2001"/>
      <c r="L421" s="2001"/>
      <c r="M421" s="2001"/>
      <c r="N421" s="1992"/>
      <c r="O421" s="2003"/>
      <c r="P421" s="2003"/>
      <c r="Q421" s="2001"/>
      <c r="R421" s="2001"/>
      <c r="S421" s="2001"/>
      <c r="AA421" s="2399" t="s">
        <v>688</v>
      </c>
      <c r="AB421" s="2400" t="s">
        <v>4032</v>
      </c>
      <c r="AC421" s="2001"/>
      <c r="AD421" s="2001"/>
      <c r="AE421" s="2001"/>
      <c r="AF421" s="2001"/>
      <c r="AG421" s="2001"/>
      <c r="AH421" s="2001"/>
      <c r="AI421" s="2001"/>
      <c r="AJ421" s="2001"/>
      <c r="AK421" s="2001"/>
      <c r="AL421" s="2001"/>
      <c r="AN421" s="2001"/>
      <c r="AV421" s="2284"/>
      <c r="AW421" s="2284"/>
      <c r="AX421" s="2284"/>
      <c r="AY421" s="2284"/>
      <c r="AZ421" s="2284"/>
      <c r="BA421" s="2284"/>
      <c r="BB421" s="2284"/>
      <c r="BC421" s="2284"/>
    </row>
    <row r="422" spans="2:58" ht="15" customHeight="1">
      <c r="B422" s="2001"/>
      <c r="C422" s="2004" t="s">
        <v>1307</v>
      </c>
      <c r="D422" s="2001"/>
      <c r="E422" s="2001"/>
      <c r="F422" s="2001"/>
      <c r="G422" s="2001"/>
      <c r="H422" s="2001"/>
      <c r="I422" s="2001"/>
      <c r="J422" s="2002" t="s">
        <v>548</v>
      </c>
      <c r="K422" s="2001"/>
      <c r="L422" s="2001"/>
      <c r="M422" s="2001"/>
      <c r="N422" s="1992"/>
      <c r="O422" s="2003"/>
      <c r="P422" s="2003"/>
      <c r="Q422" s="2001"/>
      <c r="R422" s="2001"/>
      <c r="S422" s="2001"/>
      <c r="AA422" s="2001"/>
      <c r="AB422" s="2001"/>
      <c r="AC422" s="1974"/>
      <c r="AD422" s="2001"/>
      <c r="AE422" s="2001"/>
      <c r="AF422" s="2001"/>
      <c r="AG422" s="3877" t="s">
        <v>4746</v>
      </c>
      <c r="AH422" s="3877"/>
      <c r="AI422" s="3877" t="s">
        <v>4396</v>
      </c>
      <c r="AJ422" s="3877"/>
      <c r="AK422" s="3880" t="s">
        <v>4033</v>
      </c>
      <c r="AL422" s="3880"/>
      <c r="AM422" s="3880"/>
      <c r="AN422" s="3880"/>
      <c r="AP422" s="2100"/>
      <c r="AQ422" s="2099" t="s">
        <v>4032</v>
      </c>
      <c r="AR422" s="2100"/>
      <c r="AS422" s="2100"/>
      <c r="AT422" s="2100"/>
      <c r="AV422" s="3881" t="s">
        <v>4746</v>
      </c>
      <c r="AW422" s="3882"/>
      <c r="AX422" s="3881" t="s">
        <v>4396</v>
      </c>
      <c r="AY422" s="3882"/>
      <c r="AZ422" s="3883" t="s">
        <v>4746</v>
      </c>
      <c r="BA422" s="3883"/>
      <c r="BB422" s="3875" t="s">
        <v>4396</v>
      </c>
      <c r="BC422" s="3876"/>
    </row>
    <row r="423" spans="2:58" ht="28.8">
      <c r="B423" s="2001"/>
      <c r="C423" s="2004" t="s">
        <v>1308</v>
      </c>
      <c r="D423" s="2001"/>
      <c r="E423" s="2001"/>
      <c r="F423" s="2001"/>
      <c r="G423" s="2001"/>
      <c r="H423" s="2001"/>
      <c r="I423" s="2001"/>
      <c r="J423" s="2002" t="s">
        <v>1543</v>
      </c>
      <c r="K423" s="2001"/>
      <c r="L423" s="2001"/>
      <c r="M423" s="2001"/>
      <c r="N423" s="1992"/>
      <c r="O423" s="2003"/>
      <c r="P423" s="2003"/>
      <c r="Q423" s="2001"/>
      <c r="R423" s="2001"/>
      <c r="S423" s="2001"/>
      <c r="AA423" s="2001"/>
      <c r="AB423" s="1974"/>
      <c r="AC423" s="2001"/>
      <c r="AD423" s="2001"/>
      <c r="AE423" s="2001"/>
      <c r="AF423" s="2001"/>
      <c r="AG423" s="2401">
        <v>0.09</v>
      </c>
      <c r="AH423" s="2401" t="s">
        <v>4729</v>
      </c>
      <c r="AI423" s="2401">
        <v>0.09</v>
      </c>
      <c r="AJ423" s="2401" t="s">
        <v>4729</v>
      </c>
      <c r="AK423" s="3877" t="str">
        <f>'Part I-Project Identification'!F12</f>
        <v>4% Credit/TE Bond</v>
      </c>
      <c r="AL423" s="3877"/>
      <c r="AM423" s="3877"/>
      <c r="AN423" s="3877"/>
      <c r="AQ423" s="2075"/>
      <c r="AV423" s="2285">
        <v>0.09</v>
      </c>
      <c r="AW423" s="2285" t="s">
        <v>4729</v>
      </c>
      <c r="AX423" s="2285">
        <v>0.09</v>
      </c>
      <c r="AY423" s="2285" t="s">
        <v>4729</v>
      </c>
      <c r="AZ423" s="2286">
        <v>0.09</v>
      </c>
      <c r="BA423" s="2286" t="s">
        <v>4729</v>
      </c>
      <c r="BB423" s="2286">
        <v>0.09</v>
      </c>
      <c r="BC423" s="2286" t="s">
        <v>4729</v>
      </c>
    </row>
    <row r="424" spans="2:58">
      <c r="B424" s="2001"/>
      <c r="C424" s="2004" t="s">
        <v>1969</v>
      </c>
      <c r="D424" s="2001"/>
      <c r="E424" s="2001"/>
      <c r="F424" s="2001"/>
      <c r="G424" s="2001"/>
      <c r="H424" s="2001"/>
      <c r="I424" s="2001"/>
      <c r="J424" s="2002" t="s">
        <v>1544</v>
      </c>
      <c r="K424" s="2001"/>
      <c r="L424" s="2001"/>
      <c r="M424" s="2001"/>
      <c r="N424" s="1992"/>
      <c r="O424" s="2003"/>
      <c r="P424" s="2003"/>
      <c r="Q424" s="2001"/>
      <c r="R424" s="2001"/>
      <c r="S424" s="2001"/>
      <c r="AA424" s="2402"/>
      <c r="AB424" s="1974"/>
      <c r="AC424" s="2001"/>
      <c r="AD424" s="2001"/>
      <c r="AE424" s="2001"/>
      <c r="AF424" s="2001"/>
      <c r="AG424" s="2403"/>
      <c r="AH424" s="2403"/>
      <c r="AI424" s="2403"/>
      <c r="AJ424" s="2403"/>
      <c r="AK424" s="2001"/>
      <c r="AL424" s="2001"/>
      <c r="AN424" s="2001"/>
      <c r="AP424" s="2113"/>
      <c r="AQ424" s="2270"/>
      <c r="AR424" s="2270"/>
      <c r="AS424" s="2270"/>
      <c r="AT424" s="2270"/>
      <c r="AU424" s="2270"/>
      <c r="AV424" s="2288"/>
      <c r="AW424" s="2289"/>
      <c r="AX424" s="2290"/>
      <c r="AY424" s="2291"/>
      <c r="AZ424" s="2292"/>
      <c r="BA424" s="2293"/>
      <c r="BB424" s="2294"/>
      <c r="BC424" s="2293"/>
    </row>
    <row r="425" spans="2:58">
      <c r="B425" s="2001"/>
      <c r="C425" s="2004" t="s">
        <v>1970</v>
      </c>
      <c r="D425" s="2001"/>
      <c r="E425" s="2001"/>
      <c r="F425" s="2001"/>
      <c r="G425" s="2001"/>
      <c r="H425" s="2001"/>
      <c r="I425" s="2001"/>
      <c r="J425" s="2002" t="s">
        <v>1545</v>
      </c>
      <c r="K425" s="2001"/>
      <c r="L425" s="2001"/>
      <c r="M425" s="2001"/>
      <c r="N425" s="1992"/>
      <c r="O425" s="2003"/>
      <c r="P425" s="2003"/>
      <c r="Q425" s="2001"/>
      <c r="R425" s="2001"/>
      <c r="S425" s="2001"/>
      <c r="AA425" s="2402" t="s">
        <v>690</v>
      </c>
      <c r="AB425" s="1974" t="s">
        <v>3678</v>
      </c>
      <c r="AC425" s="2001"/>
      <c r="AD425" s="2001"/>
      <c r="AE425" s="2001"/>
      <c r="AF425" s="2001"/>
      <c r="AG425" s="2403">
        <f>$M$20</f>
        <v>6</v>
      </c>
      <c r="AH425" s="2403">
        <f>$M$20</f>
        <v>6</v>
      </c>
      <c r="AI425" s="2403">
        <f>$M$20</f>
        <v>6</v>
      </c>
      <c r="AJ425" s="2403">
        <f>$M$20</f>
        <v>6</v>
      </c>
      <c r="AK425" s="2001"/>
      <c r="AL425" s="2001"/>
      <c r="AN425" s="2001"/>
      <c r="AP425" s="2113" t="s">
        <v>690</v>
      </c>
      <c r="AQ425" s="2295" t="s">
        <v>3678</v>
      </c>
      <c r="AR425" s="2287"/>
      <c r="AS425" s="2287"/>
      <c r="AT425" s="2287"/>
      <c r="AU425" s="2287"/>
      <c r="AV425" s="2288">
        <f>$O$20</f>
        <v>5</v>
      </c>
      <c r="AW425" s="2289">
        <f>$O$20</f>
        <v>5</v>
      </c>
      <c r="AX425" s="2296">
        <f>$O$20</f>
        <v>5</v>
      </c>
      <c r="AY425" s="2297">
        <f>$O$20</f>
        <v>5</v>
      </c>
      <c r="AZ425" s="2298">
        <f>$P$20</f>
        <v>0</v>
      </c>
      <c r="BA425" s="2299">
        <f>$P$20</f>
        <v>0</v>
      </c>
      <c r="BB425" s="2300">
        <f>$P$20</f>
        <v>0</v>
      </c>
      <c r="BC425" s="2299">
        <f>$P$20</f>
        <v>0</v>
      </c>
    </row>
    <row r="426" spans="2:58">
      <c r="B426" s="2001"/>
      <c r="C426" s="2004" t="s">
        <v>1971</v>
      </c>
      <c r="D426" s="2001"/>
      <c r="E426" s="2001"/>
      <c r="F426" s="2001"/>
      <c r="G426" s="2001"/>
      <c r="H426" s="2001"/>
      <c r="I426" s="2001"/>
      <c r="J426" s="2002" t="s">
        <v>32</v>
      </c>
      <c r="K426" s="2001"/>
      <c r="L426" s="2001"/>
      <c r="M426" s="2001"/>
      <c r="N426" s="1992"/>
      <c r="O426" s="2003"/>
      <c r="P426" s="2003"/>
      <c r="Q426" s="2001"/>
      <c r="R426" s="2001"/>
      <c r="S426" s="2001"/>
      <c r="AA426" s="2402" t="s">
        <v>1661</v>
      </c>
      <c r="AB426" s="1974" t="s">
        <v>4438</v>
      </c>
      <c r="AC426" s="2001"/>
      <c r="AD426" s="2001"/>
      <c r="AE426" s="2001"/>
      <c r="AF426" s="2001"/>
      <c r="AG426" s="2403">
        <f>$M$37</f>
        <v>2</v>
      </c>
      <c r="AH426" s="2403">
        <f>$M$37</f>
        <v>2</v>
      </c>
      <c r="AI426" s="2403">
        <f>$M$37</f>
        <v>2</v>
      </c>
      <c r="AJ426" s="2403">
        <f>$M$37</f>
        <v>2</v>
      </c>
      <c r="AK426" s="1973" t="s">
        <v>4034</v>
      </c>
      <c r="AL426" s="2001"/>
      <c r="AN426" s="2404" t="str">
        <f>IF(OR($AK$423="9% Credit Competitive Round only", $AK$423="9% Credit &amp; HOME"),"9%",IF(OR($AK$423="4% Credit/TE Bond", $AK$423="4% Credit/TE Bond &amp; HOME", $AK$423="4% Credit/TE Bond &amp; HOME NOFA", $AK$423="4% Credit &amp; NHTF", $AK$423="4% Credit &amp; NHTF &amp; HOME"),"4%",""))</f>
        <v>4%</v>
      </c>
      <c r="AP426" s="2113" t="s">
        <v>1661</v>
      </c>
      <c r="AQ426" s="2295" t="s">
        <v>4438</v>
      </c>
      <c r="AR426" s="2301"/>
      <c r="AS426" s="2301"/>
      <c r="AT426" s="2301"/>
      <c r="AU426" s="2301"/>
      <c r="AV426" s="2296">
        <f>$O$37</f>
        <v>2</v>
      </c>
      <c r="AW426" s="2303">
        <f>$O$37</f>
        <v>2</v>
      </c>
      <c r="AX426" s="2296">
        <f>$O$37</f>
        <v>2</v>
      </c>
      <c r="AY426" s="2297">
        <f>$O$37</f>
        <v>2</v>
      </c>
      <c r="AZ426" s="2298">
        <f>$P$37</f>
        <v>0</v>
      </c>
      <c r="BA426" s="2299">
        <f>$P$37</f>
        <v>0</v>
      </c>
      <c r="BB426" s="2300">
        <f>$P$37</f>
        <v>0</v>
      </c>
      <c r="BC426" s="2299">
        <f>$P$37</f>
        <v>0</v>
      </c>
    </row>
    <row r="427" spans="2:58">
      <c r="B427" s="2001"/>
      <c r="C427" s="2004" t="s">
        <v>1972</v>
      </c>
      <c r="D427" s="2001"/>
      <c r="E427" s="2001"/>
      <c r="F427" s="2001"/>
      <c r="G427" s="2001"/>
      <c r="H427" s="2001"/>
      <c r="I427" s="2001"/>
      <c r="J427" s="2001"/>
      <c r="K427" s="2001"/>
      <c r="L427" s="2001"/>
      <c r="M427" s="2001"/>
      <c r="N427" s="1992"/>
      <c r="O427" s="2003"/>
      <c r="P427" s="2003"/>
      <c r="Q427" s="2001"/>
      <c r="R427" s="2001"/>
      <c r="S427" s="2001"/>
      <c r="AA427" s="2402" t="s">
        <v>1663</v>
      </c>
      <c r="AB427" s="1974" t="s">
        <v>3307</v>
      </c>
      <c r="AC427" s="2001"/>
      <c r="AD427" s="2001"/>
      <c r="AE427" s="2001"/>
      <c r="AF427" s="2001"/>
      <c r="AG427" s="2405">
        <f>$M$55</f>
        <v>5</v>
      </c>
      <c r="AH427" s="2403">
        <f>$M$55</f>
        <v>5</v>
      </c>
      <c r="AI427" s="2403">
        <f>$M$55</f>
        <v>5</v>
      </c>
      <c r="AJ427" s="2403">
        <f>$M$55</f>
        <v>5</v>
      </c>
      <c r="AK427" s="2001"/>
      <c r="AL427" s="2001"/>
      <c r="AN427" s="2001"/>
      <c r="AP427" s="2113" t="s">
        <v>1663</v>
      </c>
      <c r="AQ427" s="2295" t="s">
        <v>3307</v>
      </c>
      <c r="AR427" s="2301"/>
      <c r="AS427" s="2301"/>
      <c r="AT427" s="2301"/>
      <c r="AU427" s="2301"/>
      <c r="AV427" s="2304">
        <f>$O$55</f>
        <v>2</v>
      </c>
      <c r="AW427" s="2305">
        <f>$O$55</f>
        <v>2</v>
      </c>
      <c r="AX427" s="2306">
        <f>$O$55</f>
        <v>2</v>
      </c>
      <c r="AY427" s="2307">
        <f>$O$55</f>
        <v>2</v>
      </c>
      <c r="AZ427" s="2308">
        <f>$P$55</f>
        <v>0</v>
      </c>
      <c r="BA427" s="2309">
        <f>$P$55</f>
        <v>0</v>
      </c>
      <c r="BB427" s="2310">
        <f>$P$55</f>
        <v>0</v>
      </c>
      <c r="BC427" s="2311">
        <f>$P$55</f>
        <v>0</v>
      </c>
    </row>
    <row r="428" spans="2:58">
      <c r="B428" s="2001"/>
      <c r="C428" s="2004" t="s">
        <v>1973</v>
      </c>
      <c r="D428" s="2001"/>
      <c r="E428" s="2001"/>
      <c r="F428" s="2001"/>
      <c r="G428" s="2001"/>
      <c r="H428" s="2001"/>
      <c r="I428" s="2001"/>
      <c r="J428" s="2005" t="s">
        <v>2953</v>
      </c>
      <c r="K428" s="2001"/>
      <c r="L428" s="2001"/>
      <c r="M428" s="2001"/>
      <c r="N428" s="1992"/>
      <c r="O428" s="2005" t="s">
        <v>3166</v>
      </c>
      <c r="P428" s="2003"/>
      <c r="Q428" s="2001"/>
      <c r="R428" s="2001"/>
      <c r="S428" s="2001"/>
      <c r="AA428" s="2402" t="s">
        <v>495</v>
      </c>
      <c r="AB428" s="1974" t="s">
        <v>4026</v>
      </c>
      <c r="AC428" s="2001"/>
      <c r="AD428" s="2001"/>
      <c r="AE428" s="2001"/>
      <c r="AF428" s="2001"/>
      <c r="AG428" s="2403">
        <f>$M$89</f>
        <v>10</v>
      </c>
      <c r="AH428" s="2403">
        <f>$M$89</f>
        <v>10</v>
      </c>
      <c r="AI428" s="2403">
        <f>$M$89</f>
        <v>10</v>
      </c>
      <c r="AJ428" s="2403">
        <f>$M$89</f>
        <v>10</v>
      </c>
      <c r="AK428" s="2001"/>
      <c r="AL428" s="2001"/>
      <c r="AN428" s="2001"/>
      <c r="AP428" s="2113" t="s">
        <v>495</v>
      </c>
      <c r="AQ428" s="2295" t="s">
        <v>4026</v>
      </c>
      <c r="AR428" s="2301"/>
      <c r="AS428" s="2301"/>
      <c r="AT428" s="2301"/>
      <c r="AU428" s="2301"/>
      <c r="AV428" s="2296">
        <f>$O$89</f>
        <v>10</v>
      </c>
      <c r="AW428" s="2303">
        <f>$O$89</f>
        <v>10</v>
      </c>
      <c r="AX428" s="2296">
        <f>$O$89</f>
        <v>10</v>
      </c>
      <c r="AY428" s="2297">
        <f>$O$89</f>
        <v>10</v>
      </c>
      <c r="AZ428" s="2298">
        <f>$P$89</f>
        <v>10</v>
      </c>
      <c r="BA428" s="2299">
        <f>$P$89</f>
        <v>10</v>
      </c>
      <c r="BB428" s="2310">
        <f>$P$89</f>
        <v>10</v>
      </c>
      <c r="BC428" s="2311">
        <f>$P$89</f>
        <v>10</v>
      </c>
    </row>
    <row r="429" spans="2:58">
      <c r="B429" s="2001"/>
      <c r="C429" s="2004" t="s">
        <v>1309</v>
      </c>
      <c r="D429" s="2001"/>
      <c r="E429" s="2001"/>
      <c r="F429" s="2001"/>
      <c r="G429" s="2001"/>
      <c r="H429" s="2001"/>
      <c r="I429" s="2001"/>
      <c r="J429" s="2002" t="s">
        <v>2954</v>
      </c>
      <c r="K429" s="2001"/>
      <c r="L429" s="2001"/>
      <c r="M429" s="2001"/>
      <c r="N429" s="1992"/>
      <c r="O429" s="2003"/>
      <c r="P429" s="2003"/>
      <c r="Q429" s="2001"/>
      <c r="R429" s="2001"/>
      <c r="S429" s="2001"/>
      <c r="AA429" s="2402" t="s">
        <v>719</v>
      </c>
      <c r="AB429" s="1974" t="s">
        <v>4439</v>
      </c>
      <c r="AC429" s="2001"/>
      <c r="AD429" s="2001"/>
      <c r="AE429" s="2001"/>
      <c r="AF429" s="2001"/>
      <c r="AG429" s="2403">
        <f>$M$100</f>
        <v>5</v>
      </c>
      <c r="AH429" s="2403">
        <f>$M$100</f>
        <v>5</v>
      </c>
      <c r="AI429" s="2403">
        <f>$M$100</f>
        <v>5</v>
      </c>
      <c r="AJ429" s="2403">
        <f>$M$100</f>
        <v>5</v>
      </c>
      <c r="AK429" s="3878" t="s">
        <v>4450</v>
      </c>
      <c r="AL429" s="3878"/>
      <c r="AM429" s="3878"/>
      <c r="AN429" s="3878"/>
      <c r="AP429" s="2113" t="s">
        <v>719</v>
      </c>
      <c r="AQ429" s="2295" t="s">
        <v>4439</v>
      </c>
      <c r="AR429" s="2301"/>
      <c r="AS429" s="2301"/>
      <c r="AT429" s="2301"/>
      <c r="AU429" s="2301"/>
      <c r="AV429" s="2296">
        <f>$O$100</f>
        <v>5</v>
      </c>
      <c r="AW429" s="2312">
        <f>$O$100</f>
        <v>5</v>
      </c>
      <c r="AX429" s="2306">
        <f>$O$100</f>
        <v>5</v>
      </c>
      <c r="AY429" s="2307">
        <f>$O$100</f>
        <v>5</v>
      </c>
      <c r="AZ429" s="2298">
        <f>$P$100</f>
        <v>2</v>
      </c>
      <c r="BA429" s="2311">
        <f>$P$100</f>
        <v>2</v>
      </c>
      <c r="BB429" s="2310">
        <f>$P$100</f>
        <v>2</v>
      </c>
      <c r="BC429" s="2311">
        <f>$P$100</f>
        <v>2</v>
      </c>
    </row>
    <row r="430" spans="2:58">
      <c r="B430" s="2001"/>
      <c r="C430" s="2004" t="s">
        <v>2102</v>
      </c>
      <c r="D430" s="2001"/>
      <c r="E430" s="2001"/>
      <c r="F430" s="2001"/>
      <c r="G430" s="2001"/>
      <c r="H430" s="2001"/>
      <c r="I430" s="2001"/>
      <c r="J430" s="2001" t="s">
        <v>2938</v>
      </c>
      <c r="K430" s="2001"/>
      <c r="L430" s="2001"/>
      <c r="M430" s="2001"/>
      <c r="N430" s="1992"/>
      <c r="O430" s="2003">
        <v>2</v>
      </c>
      <c r="P430" s="2003"/>
      <c r="Q430" s="2001"/>
      <c r="R430" s="2001"/>
      <c r="S430" s="2001"/>
      <c r="AA430" s="2402" t="s">
        <v>280</v>
      </c>
      <c r="AB430" s="2001" t="s">
        <v>4805</v>
      </c>
      <c r="AC430" s="2001"/>
      <c r="AD430" s="2001"/>
      <c r="AE430" s="2001"/>
      <c r="AF430" s="2001"/>
      <c r="AG430" s="2403">
        <f>$M$117</f>
        <v>13</v>
      </c>
      <c r="AH430" s="2403">
        <f>$M$117</f>
        <v>13</v>
      </c>
      <c r="AI430" s="2403">
        <f>$M$117</f>
        <v>13</v>
      </c>
      <c r="AJ430" s="2403">
        <f>$M$117</f>
        <v>13</v>
      </c>
      <c r="AK430" s="3878"/>
      <c r="AL430" s="3878"/>
      <c r="AM430" s="3878"/>
      <c r="AN430" s="3878"/>
      <c r="AP430" s="2113" t="s">
        <v>280</v>
      </c>
      <c r="AQ430" s="2295" t="s">
        <v>4805</v>
      </c>
      <c r="AR430" s="2301"/>
      <c r="AS430" s="2301"/>
      <c r="AT430" s="2301"/>
      <c r="AU430" s="2301"/>
      <c r="AV430" s="2296">
        <f>$O$117</f>
        <v>13</v>
      </c>
      <c r="AW430" s="2303">
        <f>$O$117</f>
        <v>13</v>
      </c>
      <c r="AX430" s="2296">
        <f>$O$117</f>
        <v>13</v>
      </c>
      <c r="AY430" s="2297">
        <f>$O$117</f>
        <v>13</v>
      </c>
      <c r="AZ430" s="2298">
        <f>$P$117</f>
        <v>0</v>
      </c>
      <c r="BA430" s="2299">
        <f>$P$117</f>
        <v>0</v>
      </c>
      <c r="BB430" s="2310">
        <f>$P$117</f>
        <v>0</v>
      </c>
      <c r="BC430" s="2311">
        <f>$P$117</f>
        <v>0</v>
      </c>
    </row>
    <row r="431" spans="2:58">
      <c r="B431" s="2001"/>
      <c r="C431" s="2001"/>
      <c r="D431" s="2001"/>
      <c r="E431" s="2001"/>
      <c r="F431" s="2001"/>
      <c r="G431" s="2001"/>
      <c r="H431" s="2001"/>
      <c r="I431" s="2001"/>
      <c r="J431" s="2001" t="s">
        <v>2939</v>
      </c>
      <c r="K431" s="2001"/>
      <c r="L431" s="2001"/>
      <c r="M431" s="2001"/>
      <c r="N431" s="1992"/>
      <c r="O431" s="2003">
        <v>2</v>
      </c>
      <c r="P431" s="2003"/>
      <c r="Q431" s="2001"/>
      <c r="R431" s="2001"/>
      <c r="S431" s="2001"/>
      <c r="AA431" s="2402" t="s">
        <v>400</v>
      </c>
      <c r="AB431" s="1974" t="s">
        <v>4022</v>
      </c>
      <c r="AC431" s="2001"/>
      <c r="AD431" s="2001"/>
      <c r="AE431" s="2001"/>
      <c r="AF431" s="2001"/>
      <c r="AG431" s="2403">
        <f>$M$141</f>
        <v>3</v>
      </c>
      <c r="AH431" s="2403">
        <f>$M$141</f>
        <v>3</v>
      </c>
      <c r="AI431" s="2403">
        <f>$M$141</f>
        <v>3</v>
      </c>
      <c r="AJ431" s="2403">
        <f>$M$141</f>
        <v>3</v>
      </c>
      <c r="AK431" s="1974" t="s">
        <v>4445</v>
      </c>
      <c r="AL431" s="1974"/>
      <c r="AM431" s="2496"/>
      <c r="AN431" s="1987"/>
      <c r="AP431" s="2113" t="s">
        <v>400</v>
      </c>
      <c r="AQ431" s="2295" t="s">
        <v>4022</v>
      </c>
      <c r="AR431" s="2301"/>
      <c r="AS431" s="2301"/>
      <c r="AT431" s="2301"/>
      <c r="AU431" s="2301"/>
      <c r="AV431" s="2296">
        <f>$O$141</f>
        <v>0</v>
      </c>
      <c r="AW431" s="2312">
        <f>$O$141</f>
        <v>0</v>
      </c>
      <c r="AX431" s="2306">
        <f>$O$141</f>
        <v>0</v>
      </c>
      <c r="AY431" s="2307">
        <f>$O$141</f>
        <v>0</v>
      </c>
      <c r="AZ431" s="2298">
        <f>$P$141</f>
        <v>0</v>
      </c>
      <c r="BA431" s="2311">
        <f>$P$141</f>
        <v>0</v>
      </c>
      <c r="BB431" s="2310">
        <f>$P$141</f>
        <v>0</v>
      </c>
      <c r="BC431" s="2311">
        <f>$P$141</f>
        <v>0</v>
      </c>
    </row>
    <row r="432" spans="2:58">
      <c r="B432" s="2001"/>
      <c r="C432" s="2001"/>
      <c r="D432" s="2001"/>
      <c r="E432" s="2001"/>
      <c r="F432" s="2001"/>
      <c r="G432" s="3879" t="s">
        <v>1405</v>
      </c>
      <c r="H432" s="3879"/>
      <c r="I432" s="3879"/>
      <c r="J432" s="2001" t="s">
        <v>2940</v>
      </c>
      <c r="K432" s="2001"/>
      <c r="L432" s="2001"/>
      <c r="M432" s="2001"/>
      <c r="N432" s="1992"/>
      <c r="O432" s="2003">
        <v>2</v>
      </c>
      <c r="P432" s="2003"/>
      <c r="Q432" s="2001"/>
      <c r="R432" s="2001"/>
      <c r="S432" s="2001"/>
      <c r="AA432" s="2402" t="s">
        <v>342</v>
      </c>
      <c r="AB432" s="1974" t="s">
        <v>4806</v>
      </c>
      <c r="AC432" s="2001"/>
      <c r="AD432" s="2001"/>
      <c r="AE432" s="2001"/>
      <c r="AF432" s="2001"/>
      <c r="AG432" s="2403">
        <f>$M$152</f>
        <v>2</v>
      </c>
      <c r="AH432" s="2403">
        <f>$M$152</f>
        <v>2</v>
      </c>
      <c r="AI432" s="2403">
        <f>$M$152</f>
        <v>2</v>
      </c>
      <c r="AJ432" s="2403">
        <f>$M$152</f>
        <v>2</v>
      </c>
      <c r="AK432" s="1974" t="s">
        <v>3220</v>
      </c>
      <c r="AL432" s="1974"/>
      <c r="AM432" s="2496"/>
      <c r="AN432" s="1987"/>
      <c r="AP432" s="2113" t="s">
        <v>342</v>
      </c>
      <c r="AQ432" s="2295" t="s">
        <v>4806</v>
      </c>
      <c r="AR432" s="2301"/>
      <c r="AS432" s="2301"/>
      <c r="AT432" s="2301"/>
      <c r="AU432" s="2301"/>
      <c r="AV432" s="2296">
        <f>$O$152</f>
        <v>2</v>
      </c>
      <c r="AW432" s="2303">
        <f>$O$152</f>
        <v>2</v>
      </c>
      <c r="AX432" s="2306">
        <f>$O$152</f>
        <v>2</v>
      </c>
      <c r="AY432" s="2307">
        <f>$O$152</f>
        <v>2</v>
      </c>
      <c r="AZ432" s="2298">
        <f>$P$152</f>
        <v>0</v>
      </c>
      <c r="BA432" s="2299">
        <f>$P$152</f>
        <v>0</v>
      </c>
      <c r="BB432" s="2310">
        <f>$P$152</f>
        <v>0</v>
      </c>
      <c r="BC432" s="2311">
        <f>$P$152</f>
        <v>0</v>
      </c>
    </row>
    <row r="433" spans="1:55">
      <c r="B433" s="2001"/>
      <c r="C433" s="2001"/>
      <c r="D433" s="2001"/>
      <c r="E433" s="2001"/>
      <c r="F433" s="2001"/>
      <c r="G433" s="2006" t="s">
        <v>3929</v>
      </c>
      <c r="H433" s="2001" t="s">
        <v>3930</v>
      </c>
      <c r="I433" s="2006" t="s">
        <v>3928</v>
      </c>
      <c r="J433" s="2001" t="s">
        <v>2941</v>
      </c>
      <c r="K433" s="2001"/>
      <c r="L433" s="2006"/>
      <c r="M433" s="2001"/>
      <c r="N433" s="1992"/>
      <c r="O433" s="2003">
        <v>2</v>
      </c>
      <c r="P433" s="2003"/>
      <c r="Q433" s="2001"/>
      <c r="R433" s="2001"/>
      <c r="S433" s="2001"/>
      <c r="AA433" s="2402" t="s">
        <v>343</v>
      </c>
      <c r="AB433" s="1974" t="s">
        <v>3303</v>
      </c>
      <c r="AC433" s="2001"/>
      <c r="AD433" s="2001"/>
      <c r="AE433" s="2001"/>
      <c r="AF433" s="2001"/>
      <c r="AG433" s="2403">
        <f>$M$160</f>
        <v>20</v>
      </c>
      <c r="AH433" s="2403">
        <f>$M$160</f>
        <v>20</v>
      </c>
      <c r="AI433" s="2403"/>
      <c r="AJ433" s="2403"/>
      <c r="AK433" s="1974" t="s">
        <v>4038</v>
      </c>
      <c r="AL433" s="1974"/>
      <c r="AM433" s="2496"/>
      <c r="AN433" s="1987"/>
      <c r="AP433" s="2113" t="s">
        <v>343</v>
      </c>
      <c r="AQ433" s="2295" t="s">
        <v>3303</v>
      </c>
      <c r="AR433" s="2301"/>
      <c r="AS433" s="2301"/>
      <c r="AT433" s="2301"/>
      <c r="AU433" s="2301"/>
      <c r="AV433" s="2304">
        <f>$O$160</f>
        <v>0</v>
      </c>
      <c r="AW433" s="2305">
        <f>$O$160</f>
        <v>0</v>
      </c>
      <c r="AX433" s="2314"/>
      <c r="AY433" s="2315"/>
      <c r="AZ433" s="2308">
        <f>$P$160</f>
        <v>0</v>
      </c>
      <c r="BA433" s="2309">
        <f>$P$160</f>
        <v>0</v>
      </c>
      <c r="BB433" s="2316"/>
      <c r="BC433" s="2317"/>
    </row>
    <row r="434" spans="1:55">
      <c r="B434" s="2001"/>
      <c r="C434" s="2007"/>
      <c r="D434" s="2001"/>
      <c r="E434" s="2001"/>
      <c r="F434" s="2001"/>
      <c r="G434" s="2008" t="s">
        <v>2313</v>
      </c>
      <c r="H434" s="2001"/>
      <c r="I434" s="2008"/>
      <c r="J434" s="2001" t="s">
        <v>3164</v>
      </c>
      <c r="K434" s="2001"/>
      <c r="L434" s="2008"/>
      <c r="M434" s="2001"/>
      <c r="N434" s="1992"/>
      <c r="O434" s="2003">
        <v>2</v>
      </c>
      <c r="P434" s="2003"/>
      <c r="Q434" s="2001"/>
      <c r="R434" s="2001"/>
      <c r="S434" s="2001"/>
      <c r="AA434" s="2402" t="s">
        <v>344</v>
      </c>
      <c r="AB434" s="1974" t="s">
        <v>3905</v>
      </c>
      <c r="AC434" s="2001"/>
      <c r="AD434" s="2001"/>
      <c r="AE434" s="2001"/>
      <c r="AF434" s="2001"/>
      <c r="AG434" s="2406">
        <f>$M$169</f>
        <v>6</v>
      </c>
      <c r="AH434" s="2406">
        <f>$M$169</f>
        <v>6</v>
      </c>
      <c r="AI434" s="2406"/>
      <c r="AJ434" s="2406"/>
      <c r="AK434" s="1974" t="s">
        <v>4400</v>
      </c>
      <c r="AL434" s="1974"/>
      <c r="AM434" s="2496" t="s">
        <v>4730</v>
      </c>
      <c r="AN434" s="1987" t="str">
        <f>IF('Part VII-Threshold Criteria'!$P$224="Agree","Yes","")</f>
        <v/>
      </c>
      <c r="AP434" s="2113" t="s">
        <v>344</v>
      </c>
      <c r="AQ434" s="2295" t="s">
        <v>3905</v>
      </c>
      <c r="AR434" s="2301"/>
      <c r="AS434" s="2301"/>
      <c r="AT434" s="2301"/>
      <c r="AU434" s="2301"/>
      <c r="AV434" s="2304">
        <f>$O$169</f>
        <v>0</v>
      </c>
      <c r="AW434" s="2305">
        <f>$O$169</f>
        <v>0</v>
      </c>
      <c r="AX434" s="2314"/>
      <c r="AY434" s="2315"/>
      <c r="AZ434" s="2308">
        <f>$P$169</f>
        <v>0</v>
      </c>
      <c r="BA434" s="2309">
        <f>$P$169</f>
        <v>0</v>
      </c>
      <c r="BB434" s="2316"/>
      <c r="BC434" s="2317"/>
    </row>
    <row r="435" spans="1:55">
      <c r="B435" s="2001"/>
      <c r="C435" s="2007"/>
      <c r="D435" s="2001"/>
      <c r="E435" s="2001"/>
      <c r="F435" s="2001"/>
      <c r="G435" s="2008" t="s">
        <v>435</v>
      </c>
      <c r="H435" s="1992" t="s">
        <v>3932</v>
      </c>
      <c r="I435" s="2006" t="s">
        <v>2445</v>
      </c>
      <c r="J435" s="2001" t="s">
        <v>2942</v>
      </c>
      <c r="K435" s="2001"/>
      <c r="L435" s="2007"/>
      <c r="M435" s="2001"/>
      <c r="N435" s="1992"/>
      <c r="O435" s="2003">
        <v>1</v>
      </c>
      <c r="P435" s="2003"/>
      <c r="Q435" s="2001"/>
      <c r="R435" s="2001"/>
      <c r="S435" s="2001"/>
      <c r="AA435" s="2402" t="s">
        <v>1602</v>
      </c>
      <c r="AB435" s="1974" t="s">
        <v>3248</v>
      </c>
      <c r="AC435" s="2001"/>
      <c r="AD435" s="2001"/>
      <c r="AE435" s="2001"/>
      <c r="AF435" s="2001"/>
      <c r="AG435" s="2403">
        <f>$M$190</f>
        <v>3</v>
      </c>
      <c r="AH435" s="2403">
        <f>$M$190</f>
        <v>3</v>
      </c>
      <c r="AI435" s="2403"/>
      <c r="AJ435" s="2403"/>
      <c r="AK435" s="2001"/>
      <c r="AL435" s="1974"/>
      <c r="AM435" s="2496" t="s">
        <v>4037</v>
      </c>
      <c r="AN435" s="1987" t="str">
        <f>IF('Part VII-Threshold Criteria'!$P$227="Agree","Yes","")</f>
        <v/>
      </c>
      <c r="AP435" s="2113" t="s">
        <v>1602</v>
      </c>
      <c r="AQ435" s="2295" t="s">
        <v>3248</v>
      </c>
      <c r="AR435" s="2301"/>
      <c r="AS435" s="2301"/>
      <c r="AT435" s="2301"/>
      <c r="AU435" s="2301"/>
      <c r="AV435" s="2304">
        <f>$O$190</f>
        <v>1.5</v>
      </c>
      <c r="AW435" s="2305">
        <f>$O$190</f>
        <v>1.5</v>
      </c>
      <c r="AX435" s="2314"/>
      <c r="AY435" s="2315"/>
      <c r="AZ435" s="2308">
        <f>$P$190</f>
        <v>0</v>
      </c>
      <c r="BA435" s="2309">
        <f>$P$190</f>
        <v>0</v>
      </c>
      <c r="BB435" s="2316"/>
      <c r="BC435" s="2317"/>
    </row>
    <row r="436" spans="1:55">
      <c r="B436" s="2001"/>
      <c r="C436" s="2007"/>
      <c r="D436" s="2001"/>
      <c r="E436" s="2001"/>
      <c r="F436" s="2001"/>
      <c r="G436" s="2008" t="s">
        <v>1652</v>
      </c>
      <c r="H436" s="1992">
        <v>2020</v>
      </c>
      <c r="I436" s="1992" t="s">
        <v>3931</v>
      </c>
      <c r="J436" s="2001" t="s">
        <v>2943</v>
      </c>
      <c r="K436" s="2001"/>
      <c r="L436" s="2007"/>
      <c r="M436" s="2001"/>
      <c r="N436" s="1992"/>
      <c r="O436" s="2003">
        <v>1</v>
      </c>
      <c r="P436" s="2003"/>
      <c r="Q436" s="2001"/>
      <c r="R436" s="2001"/>
      <c r="S436" s="2001"/>
      <c r="AA436" s="2402" t="s">
        <v>3279</v>
      </c>
      <c r="AB436" s="1974" t="s">
        <v>3304</v>
      </c>
      <c r="AC436" s="2001"/>
      <c r="AD436" s="2001"/>
      <c r="AE436" s="2001"/>
      <c r="AF436" s="2001"/>
      <c r="AG436" s="2403">
        <f>$M$206</f>
        <v>10</v>
      </c>
      <c r="AH436" s="2403">
        <f>$M$206</f>
        <v>10</v>
      </c>
      <c r="AI436" s="2403"/>
      <c r="AJ436" s="2403"/>
      <c r="AK436" s="1974"/>
      <c r="AL436" s="1974"/>
      <c r="AM436" s="2496" t="s">
        <v>4446</v>
      </c>
      <c r="AN436" s="1987" t="str">
        <f>IF('Part VII-Threshold Criteria'!$P$228="Agree","Yes","")</f>
        <v/>
      </c>
      <c r="AP436" s="2113" t="s">
        <v>3279</v>
      </c>
      <c r="AQ436" s="2295" t="s">
        <v>3304</v>
      </c>
      <c r="AR436" s="2301"/>
      <c r="AS436" s="2301"/>
      <c r="AT436" s="2301"/>
      <c r="AU436" s="2301"/>
      <c r="AV436" s="2304">
        <f>$O$206</f>
        <v>0</v>
      </c>
      <c r="AW436" s="2305">
        <f>$O$206</f>
        <v>0</v>
      </c>
      <c r="AX436" s="2314"/>
      <c r="AY436" s="2315"/>
      <c r="AZ436" s="2308">
        <f>$P$206</f>
        <v>0</v>
      </c>
      <c r="BA436" s="2309">
        <f>$P$206</f>
        <v>0</v>
      </c>
      <c r="BB436" s="2316"/>
      <c r="BC436" s="2317"/>
    </row>
    <row r="437" spans="1:55">
      <c r="B437" s="2001"/>
      <c r="C437" s="2007"/>
      <c r="D437" s="2001"/>
      <c r="E437" s="2001"/>
      <c r="F437" s="2001"/>
      <c r="G437" s="2008" t="s">
        <v>2344</v>
      </c>
      <c r="H437" s="1992" t="s">
        <v>1607</v>
      </c>
      <c r="I437" s="2006" t="s">
        <v>2445</v>
      </c>
      <c r="J437" s="2001" t="s">
        <v>2944</v>
      </c>
      <c r="K437" s="2001"/>
      <c r="L437" s="2007"/>
      <c r="M437" s="2001"/>
      <c r="N437" s="1992"/>
      <c r="O437" s="2003">
        <v>1</v>
      </c>
      <c r="P437" s="2003"/>
      <c r="Q437" s="2001"/>
      <c r="R437" s="2001"/>
      <c r="S437" s="2001"/>
      <c r="AA437" s="2402" t="s">
        <v>2074</v>
      </c>
      <c r="AB437" s="1974" t="s">
        <v>3906</v>
      </c>
      <c r="AC437" s="2001"/>
      <c r="AD437" s="2001"/>
      <c r="AE437" s="2001"/>
      <c r="AF437" s="2001"/>
      <c r="AG437" s="2403">
        <f>$M$238</f>
        <v>10</v>
      </c>
      <c r="AH437" s="2403">
        <f>$M$238</f>
        <v>10</v>
      </c>
      <c r="AI437" s="2403"/>
      <c r="AJ437" s="2403"/>
      <c r="AK437" s="1974"/>
      <c r="AL437" s="1974"/>
      <c r="AM437" s="2496" t="s">
        <v>4447</v>
      </c>
      <c r="AN437" s="1987" t="str">
        <f>IF('Part VII-Threshold Criteria'!$P$229="Agree","Yes","")</f>
        <v/>
      </c>
      <c r="AP437" s="2113" t="s">
        <v>2074</v>
      </c>
      <c r="AQ437" s="2295" t="s">
        <v>3906</v>
      </c>
      <c r="AR437" s="2301"/>
      <c r="AS437" s="2301"/>
      <c r="AT437" s="2301"/>
      <c r="AU437" s="2301"/>
      <c r="AV437" s="2296">
        <f>$O$238</f>
        <v>0</v>
      </c>
      <c r="AW437" s="2303">
        <f>$O$238</f>
        <v>0</v>
      </c>
      <c r="AX437" s="2318"/>
      <c r="AY437" s="2319"/>
      <c r="AZ437" s="2298">
        <f>$P$238</f>
        <v>0</v>
      </c>
      <c r="BA437" s="2299">
        <f>$P$238</f>
        <v>0</v>
      </c>
      <c r="BB437" s="2320"/>
      <c r="BC437" s="2321"/>
    </row>
    <row r="438" spans="1:55">
      <c r="B438" s="2001"/>
      <c r="C438" s="2007"/>
      <c r="D438" s="2001"/>
      <c r="E438" s="2001"/>
      <c r="F438" s="2001"/>
      <c r="G438" s="2008" t="s">
        <v>970</v>
      </c>
      <c r="H438" s="1992">
        <v>2020</v>
      </c>
      <c r="I438" s="1992" t="s">
        <v>3931</v>
      </c>
      <c r="J438" s="2001" t="s">
        <v>3165</v>
      </c>
      <c r="K438" s="2001"/>
      <c r="L438" s="2007"/>
      <c r="M438" s="2001"/>
      <c r="N438" s="1992"/>
      <c r="O438" s="2003">
        <v>1</v>
      </c>
      <c r="P438" s="2003"/>
      <c r="Q438" s="2001"/>
      <c r="R438" s="2001"/>
      <c r="S438" s="2001"/>
      <c r="AA438" s="2402" t="s">
        <v>3279</v>
      </c>
      <c r="AB438" s="1974" t="s">
        <v>3176</v>
      </c>
      <c r="AC438" s="2001"/>
      <c r="AD438" s="2001"/>
      <c r="AE438" s="2001"/>
      <c r="AF438" s="2001"/>
      <c r="AG438" s="2403">
        <f>$M$265</f>
        <v>10</v>
      </c>
      <c r="AH438" s="2403">
        <f>$M$265</f>
        <v>10</v>
      </c>
      <c r="AI438" s="2403"/>
      <c r="AJ438" s="2403"/>
      <c r="AK438" s="1974" t="s">
        <v>2436</v>
      </c>
      <c r="AL438" s="1974"/>
      <c r="AM438" s="2496"/>
      <c r="AN438" s="1987"/>
      <c r="AP438" s="2113" t="s">
        <v>3279</v>
      </c>
      <c r="AQ438" s="2295" t="s">
        <v>3176</v>
      </c>
      <c r="AR438" s="2301"/>
      <c r="AS438" s="2301"/>
      <c r="AT438" s="2301"/>
      <c r="AU438" s="2301"/>
      <c r="AV438" s="2296">
        <f>$O$265</f>
        <v>0</v>
      </c>
      <c r="AW438" s="2303">
        <f>$O$265</f>
        <v>0</v>
      </c>
      <c r="AX438" s="2318"/>
      <c r="AY438" s="2319"/>
      <c r="AZ438" s="2298">
        <f>$P$265</f>
        <v>0</v>
      </c>
      <c r="BA438" s="2299">
        <f>$P$265</f>
        <v>0</v>
      </c>
      <c r="BB438" s="2320"/>
      <c r="BC438" s="2321"/>
    </row>
    <row r="439" spans="1:55">
      <c r="B439" s="2001"/>
      <c r="C439" s="2007"/>
      <c r="D439" s="2001"/>
      <c r="E439" s="2001"/>
      <c r="F439" s="2001"/>
      <c r="G439" s="2008" t="s">
        <v>3187</v>
      </c>
      <c r="H439" s="1992">
        <v>2019</v>
      </c>
      <c r="I439" s="1992" t="s">
        <v>3931</v>
      </c>
      <c r="J439" s="2001" t="s">
        <v>2952</v>
      </c>
      <c r="K439" s="2001"/>
      <c r="L439" s="2007"/>
      <c r="M439" s="2001"/>
      <c r="N439" s="1992"/>
      <c r="O439" s="2003">
        <v>1</v>
      </c>
      <c r="P439" s="2003"/>
      <c r="Q439" s="2001"/>
      <c r="R439" s="2001"/>
      <c r="S439" s="2001"/>
      <c r="AA439" s="2402" t="s">
        <v>3280</v>
      </c>
      <c r="AB439" s="1974" t="s">
        <v>4024</v>
      </c>
      <c r="AC439" s="2001"/>
      <c r="AD439" s="2001"/>
      <c r="AE439" s="2001"/>
      <c r="AF439" s="2001"/>
      <c r="AG439" s="2403">
        <f>$M$274</f>
        <v>4</v>
      </c>
      <c r="AH439" s="2403">
        <f>$M$274</f>
        <v>4</v>
      </c>
      <c r="AI439" s="2403"/>
      <c r="AJ439" s="2403"/>
      <c r="AK439" s="1974" t="s">
        <v>4448</v>
      </c>
      <c r="AL439" s="1974"/>
      <c r="AM439" s="2496"/>
      <c r="AN439" s="1987"/>
      <c r="AP439" s="2113" t="s">
        <v>3280</v>
      </c>
      <c r="AQ439" s="2295" t="s">
        <v>4024</v>
      </c>
      <c r="AR439" s="2301"/>
      <c r="AS439" s="2301"/>
      <c r="AT439" s="2301"/>
      <c r="AU439" s="2301"/>
      <c r="AV439" s="2296">
        <f>$O$274</f>
        <v>0</v>
      </c>
      <c r="AW439" s="2303">
        <f>$O$274</f>
        <v>0</v>
      </c>
      <c r="AX439" s="2318"/>
      <c r="AY439" s="2319"/>
      <c r="AZ439" s="2298">
        <f>$P$274</f>
        <v>0</v>
      </c>
      <c r="BA439" s="2299">
        <f>$P$274</f>
        <v>0</v>
      </c>
      <c r="BB439" s="2320"/>
      <c r="BC439" s="2321"/>
    </row>
    <row r="440" spans="1:55">
      <c r="B440" s="2001"/>
      <c r="C440" s="2007"/>
      <c r="D440" s="2001"/>
      <c r="E440" s="2001"/>
      <c r="F440" s="2001"/>
      <c r="G440" s="2008" t="s">
        <v>340</v>
      </c>
      <c r="H440" s="1992" t="s">
        <v>1607</v>
      </c>
      <c r="I440" s="2006" t="s">
        <v>2445</v>
      </c>
      <c r="J440" s="2001" t="s">
        <v>2945</v>
      </c>
      <c r="K440" s="2001"/>
      <c r="L440" s="2007"/>
      <c r="M440" s="2001"/>
      <c r="N440" s="1992"/>
      <c r="O440" s="2003">
        <v>1</v>
      </c>
      <c r="P440" s="2003"/>
      <c r="Q440" s="2001"/>
      <c r="R440" s="2001"/>
      <c r="S440" s="2001"/>
      <c r="AA440" s="2402" t="s">
        <v>3278</v>
      </c>
      <c r="AB440" s="1974" t="s">
        <v>3910</v>
      </c>
      <c r="AC440" s="2001"/>
      <c r="AD440" s="2001"/>
      <c r="AE440" s="2001"/>
      <c r="AF440" s="2001"/>
      <c r="AG440" s="2403">
        <f>$M$286</f>
        <v>5</v>
      </c>
      <c r="AH440" s="2403"/>
      <c r="AI440" s="2403"/>
      <c r="AJ440" s="2403"/>
      <c r="AK440" s="1974" t="s">
        <v>4449</v>
      </c>
      <c r="AL440" s="1974"/>
      <c r="AM440" s="2496"/>
      <c r="AN440" s="2404" t="str">
        <f>'Part II-Sources of Funds'!$L$16</f>
        <v>No</v>
      </c>
      <c r="AP440" s="2113" t="s">
        <v>3278</v>
      </c>
      <c r="AQ440" s="2295" t="s">
        <v>3910</v>
      </c>
      <c r="AR440" s="2301"/>
      <c r="AS440" s="2301"/>
      <c r="AT440" s="2301"/>
      <c r="AU440" s="2301"/>
      <c r="AV440" s="2296">
        <f>$O$286</f>
        <v>0</v>
      </c>
      <c r="AW440" s="2322"/>
      <c r="AX440" s="2323"/>
      <c r="AY440" s="2319"/>
      <c r="AZ440" s="2298">
        <f>$P$286</f>
        <v>0</v>
      </c>
      <c r="BA440" s="2324"/>
      <c r="BB440" s="2325"/>
      <c r="BC440" s="2321"/>
    </row>
    <row r="441" spans="1:55">
      <c r="B441" s="2001"/>
      <c r="C441" s="2007"/>
      <c r="D441" s="2001"/>
      <c r="E441" s="2001"/>
      <c r="F441" s="2001"/>
      <c r="G441" s="2008" t="s">
        <v>1630</v>
      </c>
      <c r="H441" s="1992">
        <v>2020</v>
      </c>
      <c r="I441" s="1992" t="s">
        <v>3931</v>
      </c>
      <c r="J441" s="2001" t="s">
        <v>2946</v>
      </c>
      <c r="K441" s="2001"/>
      <c r="L441" s="2007"/>
      <c r="M441" s="2001"/>
      <c r="N441" s="1992"/>
      <c r="O441" s="2003">
        <v>1</v>
      </c>
      <c r="P441" s="2003"/>
      <c r="Q441" s="2001"/>
      <c r="R441" s="2001"/>
      <c r="S441" s="2001"/>
      <c r="AA441" s="2402" t="s">
        <v>3281</v>
      </c>
      <c r="AB441" s="2001" t="s">
        <v>4807</v>
      </c>
      <c r="AC441" s="2001"/>
      <c r="AD441" s="2001"/>
      <c r="AE441" s="2001"/>
      <c r="AF441" s="2001"/>
      <c r="AG441" s="2403">
        <f>$M$304</f>
        <v>10</v>
      </c>
      <c r="AH441" s="2403"/>
      <c r="AI441" s="2403"/>
      <c r="AJ441" s="2403"/>
      <c r="AK441" s="2001"/>
      <c r="AL441" s="2001"/>
      <c r="AN441" s="2001"/>
      <c r="AP441" s="2113" t="s">
        <v>3281</v>
      </c>
      <c r="AQ441" s="2295" t="s">
        <v>4807</v>
      </c>
      <c r="AR441" s="2301"/>
      <c r="AS441" s="2301"/>
      <c r="AT441" s="2301"/>
      <c r="AU441" s="2301"/>
      <c r="AV441" s="2296">
        <f>$O$304</f>
        <v>0</v>
      </c>
      <c r="AW441" s="2322"/>
      <c r="AX441" s="2323"/>
      <c r="AY441" s="2319"/>
      <c r="AZ441" s="2298">
        <f>$P$304</f>
        <v>0</v>
      </c>
      <c r="BA441" s="2324"/>
      <c r="BB441" s="2325"/>
      <c r="BC441" s="2321"/>
    </row>
    <row r="442" spans="1:55">
      <c r="B442" s="2001"/>
      <c r="C442" s="2007"/>
      <c r="D442" s="2001"/>
      <c r="E442" s="2001"/>
      <c r="F442" s="2001"/>
      <c r="G442" s="2008" t="s">
        <v>1903</v>
      </c>
      <c r="H442" s="1992" t="s">
        <v>3932</v>
      </c>
      <c r="I442" s="2006" t="s">
        <v>2445</v>
      </c>
      <c r="J442" s="2001" t="s">
        <v>2947</v>
      </c>
      <c r="K442" s="2001"/>
      <c r="L442" s="2007"/>
      <c r="M442" s="2001"/>
      <c r="N442" s="1992"/>
      <c r="O442" s="2003">
        <v>1</v>
      </c>
      <c r="P442" s="2003"/>
      <c r="Q442" s="2001"/>
      <c r="R442" s="2001"/>
      <c r="S442" s="2001"/>
      <c r="AA442" s="2402" t="s">
        <v>3282</v>
      </c>
      <c r="AB442" s="2001" t="s">
        <v>4808</v>
      </c>
      <c r="AC442" s="2001"/>
      <c r="AD442" s="2001"/>
      <c r="AE442" s="2001"/>
      <c r="AF442" s="2001"/>
      <c r="AG442" s="2403">
        <f>$M$318</f>
        <v>1</v>
      </c>
      <c r="AH442" s="2403"/>
      <c r="AI442" s="2403"/>
      <c r="AJ442" s="2403"/>
      <c r="AK442" s="2001"/>
      <c r="AL442" s="2001"/>
      <c r="AN442" s="2001"/>
      <c r="AP442" s="2113" t="s">
        <v>3282</v>
      </c>
      <c r="AQ442" s="2295" t="s">
        <v>4808</v>
      </c>
      <c r="AR442" s="2301"/>
      <c r="AS442" s="2301"/>
      <c r="AT442" s="2301"/>
      <c r="AU442" s="2301"/>
      <c r="AV442" s="2296">
        <f>$O$318</f>
        <v>0</v>
      </c>
      <c r="AW442" s="2326"/>
      <c r="AX442" s="2318"/>
      <c r="AY442" s="2319"/>
      <c r="AZ442" s="2298">
        <f>$P$318</f>
        <v>0</v>
      </c>
      <c r="BA442" s="2321"/>
      <c r="BB442" s="2320"/>
      <c r="BC442" s="2321"/>
    </row>
    <row r="443" spans="1:55">
      <c r="A443" s="2001"/>
      <c r="B443" s="2001"/>
      <c r="C443" s="2001"/>
      <c r="D443" s="2001"/>
      <c r="E443" s="2001"/>
      <c r="F443" s="2001"/>
      <c r="G443" s="2008" t="s">
        <v>82</v>
      </c>
      <c r="H443" s="1992" t="s">
        <v>3932</v>
      </c>
      <c r="I443" s="2006" t="s">
        <v>2445</v>
      </c>
      <c r="J443" s="2001" t="s">
        <v>2948</v>
      </c>
      <c r="K443" s="2001"/>
      <c r="L443" s="2007"/>
      <c r="M443" s="2001"/>
      <c r="N443" s="1992"/>
      <c r="O443" s="2003">
        <v>1</v>
      </c>
      <c r="P443" s="2003"/>
      <c r="Q443" s="2001"/>
      <c r="R443" s="2001"/>
      <c r="S443" s="2001"/>
      <c r="AA443" s="2402" t="s">
        <v>3285</v>
      </c>
      <c r="AB443" s="1974" t="s">
        <v>4023</v>
      </c>
      <c r="AC443" s="2001"/>
      <c r="AD443" s="2001"/>
      <c r="AE443" s="2001"/>
      <c r="AF443" s="2001"/>
      <c r="AG443" s="2403">
        <f>$M$332</f>
        <v>1</v>
      </c>
      <c r="AH443" s="2403"/>
      <c r="AI443" s="2403"/>
      <c r="AJ443" s="2403"/>
      <c r="AK443" s="2001"/>
      <c r="AL443" s="2001"/>
      <c r="AN443" s="2001"/>
      <c r="AP443" s="2113" t="s">
        <v>3285</v>
      </c>
      <c r="AQ443" s="2295" t="s">
        <v>4023</v>
      </c>
      <c r="AR443" s="2301"/>
      <c r="AS443" s="2301"/>
      <c r="AT443" s="2301"/>
      <c r="AU443" s="2301"/>
      <c r="AV443" s="2296">
        <f>$O$332</f>
        <v>0</v>
      </c>
      <c r="AW443" s="2326"/>
      <c r="AX443" s="2318"/>
      <c r="AY443" s="2319"/>
      <c r="AZ443" s="2298">
        <f>$P$332</f>
        <v>0</v>
      </c>
      <c r="BA443" s="2321"/>
      <c r="BB443" s="2320"/>
      <c r="BC443" s="2321"/>
    </row>
    <row r="444" spans="1:55">
      <c r="A444" s="2001"/>
      <c r="B444" s="2001"/>
      <c r="C444" s="2001"/>
      <c r="D444" s="2001"/>
      <c r="E444" s="2001"/>
      <c r="F444" s="2001"/>
      <c r="G444" s="2008" t="s">
        <v>836</v>
      </c>
      <c r="H444" s="1992">
        <v>2019</v>
      </c>
      <c r="I444" s="1992" t="s">
        <v>3931</v>
      </c>
      <c r="J444" s="2001" t="s">
        <v>2951</v>
      </c>
      <c r="K444" s="2001"/>
      <c r="L444" s="2007"/>
      <c r="M444" s="2001"/>
      <c r="N444" s="1992"/>
      <c r="O444" s="2003">
        <v>1</v>
      </c>
      <c r="P444" s="2003"/>
      <c r="Q444" s="2001"/>
      <c r="R444" s="2001"/>
      <c r="S444" s="2001"/>
      <c r="AA444" s="2402" t="s">
        <v>3286</v>
      </c>
      <c r="AB444" s="1974" t="s">
        <v>3308</v>
      </c>
      <c r="AC444" s="2001"/>
      <c r="AD444" s="2001"/>
      <c r="AE444" s="2001"/>
      <c r="AF444" s="2001"/>
      <c r="AG444" s="2403">
        <f>$M$340</f>
        <v>2</v>
      </c>
      <c r="AH444" s="2403"/>
      <c r="AI444" s="2403"/>
      <c r="AJ444" s="2403"/>
      <c r="AK444" s="2001"/>
      <c r="AL444" s="2001"/>
      <c r="AN444" s="2001"/>
      <c r="AP444" s="2113" t="s">
        <v>3286</v>
      </c>
      <c r="AQ444" s="2295" t="s">
        <v>3308</v>
      </c>
      <c r="AR444" s="2301"/>
      <c r="AS444" s="2301"/>
      <c r="AT444" s="2301"/>
      <c r="AU444" s="2301"/>
      <c r="AV444" s="2296">
        <f>$O$340</f>
        <v>0</v>
      </c>
      <c r="AW444" s="2326"/>
      <c r="AX444" s="2318"/>
      <c r="AY444" s="2319"/>
      <c r="AZ444" s="2298">
        <f>$P$340</f>
        <v>0</v>
      </c>
      <c r="BA444" s="2321"/>
      <c r="BB444" s="2320"/>
      <c r="BC444" s="2321"/>
    </row>
    <row r="445" spans="1:55">
      <c r="A445" s="2001" t="s">
        <v>2490</v>
      </c>
      <c r="B445" s="2001"/>
      <c r="C445" s="2001"/>
      <c r="D445" s="2001"/>
      <c r="E445" s="2001"/>
      <c r="F445" s="2001"/>
      <c r="G445" s="2008" t="s">
        <v>1980</v>
      </c>
      <c r="H445" s="1992" t="s">
        <v>3932</v>
      </c>
      <c r="I445" s="2006" t="s">
        <v>2445</v>
      </c>
      <c r="J445" s="2001" t="s">
        <v>2949</v>
      </c>
      <c r="K445" s="2001"/>
      <c r="L445" s="2007"/>
      <c r="M445" s="2001"/>
      <c r="N445" s="1992"/>
      <c r="O445" s="2003">
        <v>1</v>
      </c>
      <c r="P445" s="2003"/>
      <c r="Q445" s="2001"/>
      <c r="R445" s="2001"/>
      <c r="S445" s="2001"/>
      <c r="AA445" s="2402" t="s">
        <v>3287</v>
      </c>
      <c r="AB445" s="1974" t="s">
        <v>4443</v>
      </c>
      <c r="AC445" s="2001"/>
      <c r="AD445" s="2001"/>
      <c r="AE445" s="2001"/>
      <c r="AF445" s="2001"/>
      <c r="AG445" s="2403">
        <f>$M$351</f>
        <v>2</v>
      </c>
      <c r="AH445" s="2403"/>
      <c r="AI445" s="2405">
        <f>$M$351</f>
        <v>2</v>
      </c>
      <c r="AJ445" s="2403"/>
      <c r="AK445" s="2001"/>
      <c r="AL445" s="2001"/>
      <c r="AN445" s="2001"/>
      <c r="AP445" s="2113" t="s">
        <v>3287</v>
      </c>
      <c r="AQ445" s="2295" t="s">
        <v>4443</v>
      </c>
      <c r="AR445" s="2301"/>
      <c r="AS445" s="2301"/>
      <c r="AT445" s="2301"/>
      <c r="AU445" s="2301"/>
      <c r="AV445" s="2296">
        <f>$O$351</f>
        <v>0</v>
      </c>
      <c r="AW445" s="2326"/>
      <c r="AX445" s="2296">
        <f>$O$351</f>
        <v>0</v>
      </c>
      <c r="AY445" s="2319"/>
      <c r="AZ445" s="2298">
        <f>$P$351</f>
        <v>0</v>
      </c>
      <c r="BA445" s="2321"/>
      <c r="BB445" s="2300">
        <f>$P$351</f>
        <v>0</v>
      </c>
      <c r="BC445" s="2321"/>
    </row>
    <row r="446" spans="1:55">
      <c r="A446" s="2001" t="s">
        <v>2505</v>
      </c>
      <c r="B446" s="2001"/>
      <c r="C446" s="2001"/>
      <c r="D446" s="2001"/>
      <c r="E446" s="2001"/>
      <c r="F446" s="2001"/>
      <c r="G446" s="2008" t="s">
        <v>1901</v>
      </c>
      <c r="H446" s="1992">
        <v>2019</v>
      </c>
      <c r="I446" s="1992" t="s">
        <v>3931</v>
      </c>
      <c r="J446" s="2001" t="s">
        <v>2950</v>
      </c>
      <c r="K446" s="2001"/>
      <c r="L446" s="2007"/>
      <c r="M446" s="2001"/>
      <c r="N446" s="1992"/>
      <c r="O446" s="2003">
        <v>1</v>
      </c>
      <c r="P446" s="2003"/>
      <c r="Q446" s="2001"/>
      <c r="R446" s="2001"/>
      <c r="S446" s="2001"/>
      <c r="AA446" s="2402" t="s">
        <v>3288</v>
      </c>
      <c r="AB446" s="1974" t="s">
        <v>3306</v>
      </c>
      <c r="AC446" s="2001"/>
      <c r="AD446" s="2001"/>
      <c r="AE446" s="2001"/>
      <c r="AF446" s="2001"/>
      <c r="AG446" s="2403">
        <f>$M$360</f>
        <v>2</v>
      </c>
      <c r="AH446" s="2403"/>
      <c r="AI446" s="2405">
        <f>$M$360</f>
        <v>2</v>
      </c>
      <c r="AJ446" s="2403"/>
      <c r="AK446" s="2001"/>
      <c r="AL446" s="2001"/>
      <c r="AN446" s="2001"/>
      <c r="AP446" s="2113" t="s">
        <v>3288</v>
      </c>
      <c r="AQ446" s="2295" t="s">
        <v>3306</v>
      </c>
      <c r="AR446" s="2301"/>
      <c r="AS446" s="2301"/>
      <c r="AT446" s="2301"/>
      <c r="AU446" s="2301"/>
      <c r="AV446" s="2296">
        <f>$O$360</f>
        <v>0</v>
      </c>
      <c r="AW446" s="2326"/>
      <c r="AX446" s="2296">
        <f>$O$360</f>
        <v>0</v>
      </c>
      <c r="AY446" s="2319"/>
      <c r="AZ446" s="2298">
        <f>$P$360</f>
        <v>0</v>
      </c>
      <c r="BA446" s="2321"/>
      <c r="BB446" s="2300">
        <f>$P$360</f>
        <v>0</v>
      </c>
      <c r="BC446" s="2321"/>
    </row>
    <row r="447" spans="1:55">
      <c r="A447" s="2007" t="s">
        <v>2932</v>
      </c>
      <c r="B447" s="2001"/>
      <c r="C447" s="2001"/>
      <c r="D447" s="2007"/>
      <c r="E447" s="2007">
        <v>3</v>
      </c>
      <c r="F447" s="2001"/>
      <c r="G447" s="2008" t="s">
        <v>322</v>
      </c>
      <c r="H447" s="1992">
        <v>2019</v>
      </c>
      <c r="I447" s="1992" t="s">
        <v>3931</v>
      </c>
      <c r="J447" s="2001"/>
      <c r="K447" s="2001"/>
      <c r="L447" s="2007"/>
      <c r="M447" s="2001"/>
      <c r="N447" s="1992"/>
      <c r="O447" s="2003"/>
      <c r="P447" s="2003"/>
      <c r="Q447" s="2001"/>
      <c r="R447" s="2001"/>
      <c r="S447" s="2001"/>
      <c r="AA447" s="2402" t="s">
        <v>3289</v>
      </c>
      <c r="AB447" s="2001" t="s">
        <v>4809</v>
      </c>
      <c r="AC447" s="2001"/>
      <c r="AD447" s="2001"/>
      <c r="AE447" s="2001"/>
      <c r="AF447" s="2001"/>
      <c r="AG447" s="2403"/>
      <c r="AH447" s="2403"/>
      <c r="AI447" s="2403">
        <f>$M$369</f>
        <v>0</v>
      </c>
      <c r="AJ447" s="2403">
        <f>$M$369</f>
        <v>0</v>
      </c>
      <c r="AK447" s="2001"/>
      <c r="AL447" s="2001"/>
      <c r="AN447" s="2001"/>
      <c r="AP447" s="2113" t="s">
        <v>3289</v>
      </c>
      <c r="AQ447" s="2295" t="s">
        <v>4809</v>
      </c>
      <c r="AR447" s="2301"/>
      <c r="AS447" s="2301"/>
      <c r="AT447" s="2301"/>
      <c r="AU447" s="2301"/>
      <c r="AV447" s="2323"/>
      <c r="AW447" s="2322"/>
      <c r="AX447" s="2296">
        <f>$O$369</f>
        <v>26</v>
      </c>
      <c r="AY447" s="2297">
        <f>$O$369</f>
        <v>26</v>
      </c>
      <c r="AZ447" s="2327"/>
      <c r="BA447" s="2324"/>
      <c r="BB447" s="2300">
        <f>$P$369</f>
        <v>0</v>
      </c>
      <c r="BC447" s="2299">
        <f>$P$369</f>
        <v>0</v>
      </c>
    </row>
    <row r="448" spans="1:55">
      <c r="A448" s="2007" t="s">
        <v>2933</v>
      </c>
      <c r="B448" s="2001"/>
      <c r="C448" s="2001"/>
      <c r="D448" s="2007"/>
      <c r="E448" s="2007">
        <v>2</v>
      </c>
      <c r="F448" s="2001"/>
      <c r="G448" s="2008" t="s">
        <v>814</v>
      </c>
      <c r="H448" s="1992">
        <v>2019</v>
      </c>
      <c r="I448" s="1992" t="s">
        <v>3931</v>
      </c>
      <c r="J448" s="2001"/>
      <c r="K448" s="2001"/>
      <c r="L448" s="2007"/>
      <c r="M448" s="2001"/>
      <c r="N448" s="1992"/>
      <c r="O448" s="2003"/>
      <c r="P448" s="2003"/>
      <c r="Q448" s="2001"/>
      <c r="R448" s="2001"/>
      <c r="S448" s="2001"/>
      <c r="AA448" s="2402"/>
      <c r="AB448" s="1974"/>
      <c r="AC448" s="2001"/>
      <c r="AD448" s="2001"/>
      <c r="AE448" s="2001"/>
      <c r="AF448" s="2001"/>
      <c r="AG448" s="2403"/>
      <c r="AH448" s="2403"/>
      <c r="AI448" s="2403"/>
      <c r="AJ448" s="2403"/>
      <c r="AK448" s="2001"/>
      <c r="AL448" s="2001"/>
      <c r="AN448" s="2001"/>
      <c r="AP448" s="2113"/>
      <c r="AQ448" s="2328"/>
      <c r="AR448" s="2329"/>
      <c r="AS448" s="2329"/>
      <c r="AT448" s="2329"/>
      <c r="AU448" s="2329"/>
      <c r="AV448" s="2330"/>
      <c r="AW448" s="2331"/>
      <c r="AX448" s="2332"/>
      <c r="AY448" s="2333"/>
      <c r="AZ448" s="2334"/>
      <c r="BA448" s="2335"/>
      <c r="BB448" s="2336"/>
      <c r="BC448" s="2335"/>
    </row>
    <row r="449" spans="1:55">
      <c r="A449" s="2007" t="s">
        <v>2934</v>
      </c>
      <c r="B449" s="2001"/>
      <c r="C449" s="2001"/>
      <c r="D449" s="2007"/>
      <c r="E449" s="2007">
        <v>10</v>
      </c>
      <c r="F449" s="2001"/>
      <c r="G449" s="2008" t="s">
        <v>1783</v>
      </c>
      <c r="H449" s="1992">
        <v>2019</v>
      </c>
      <c r="I449" s="1992" t="s">
        <v>3931</v>
      </c>
      <c r="J449" s="2009" t="s">
        <v>3175</v>
      </c>
      <c r="K449" s="2001"/>
      <c r="L449" s="2007"/>
      <c r="M449" s="2001"/>
      <c r="N449" s="1992"/>
      <c r="O449" s="2003"/>
      <c r="P449" s="2003"/>
      <c r="Q449" s="2001"/>
      <c r="R449" s="2001"/>
      <c r="S449" s="2001"/>
      <c r="AA449" s="1974"/>
      <c r="AB449" s="2407"/>
      <c r="AC449" s="1974"/>
      <c r="AD449" s="1974"/>
      <c r="AE449" s="1974"/>
      <c r="AF449" s="1974"/>
      <c r="AG449" s="1974"/>
      <c r="AH449" s="1974"/>
      <c r="AI449" s="1974"/>
      <c r="AJ449" s="1974"/>
      <c r="AK449" s="2001"/>
      <c r="AL449" s="2001"/>
      <c r="AN449" s="2001"/>
      <c r="AP449" s="2075"/>
      <c r="AQ449" s="2075"/>
      <c r="AR449" s="2075"/>
      <c r="AS449" s="2075"/>
      <c r="AT449" s="2075"/>
      <c r="AU449" s="2075"/>
      <c r="AV449" s="2337"/>
      <c r="AW449" s="2337"/>
      <c r="AX449" s="2337"/>
      <c r="AY449" s="2337"/>
      <c r="AZ449" s="2338"/>
      <c r="BA449" s="2338"/>
      <c r="BB449" s="2338"/>
      <c r="BC449" s="2338"/>
    </row>
    <row r="450" spans="1:55">
      <c r="A450" s="2007" t="s">
        <v>2506</v>
      </c>
      <c r="B450" s="2001"/>
      <c r="C450" s="2001"/>
      <c r="D450" s="2007"/>
      <c r="E450" s="2007"/>
      <c r="F450" s="2001"/>
      <c r="G450" s="2008" t="s">
        <v>394</v>
      </c>
      <c r="H450" s="1992">
        <v>2019</v>
      </c>
      <c r="I450" s="1992" t="s">
        <v>3931</v>
      </c>
      <c r="J450" s="2001" t="s">
        <v>3246</v>
      </c>
      <c r="K450" s="2001"/>
      <c r="L450" s="2007"/>
      <c r="M450" s="2001"/>
      <c r="N450" s="1992"/>
      <c r="O450" s="2003"/>
      <c r="P450" s="2003"/>
      <c r="Q450" s="2001"/>
      <c r="R450" s="2001"/>
      <c r="S450" s="2001"/>
      <c r="AA450" s="1974"/>
      <c r="AB450" s="2407"/>
      <c r="AC450" s="1974"/>
      <c r="AD450" s="1973" t="s">
        <v>4135</v>
      </c>
      <c r="AE450" s="1974"/>
      <c r="AF450" s="1974"/>
      <c r="AG450" s="2408"/>
      <c r="AH450" s="2409">
        <f>IF(AND($C$16="4%",($D$12-$C$12)&gt;0),(SUM(AH424:AH448)-($D$12-$C$12)),SUM(AH424:AH448))</f>
        <v>109</v>
      </c>
      <c r="AI450" s="2409">
        <f>IF(AND($C$16="4%",($D$12-$C$12)&gt;0),(SUM(AI424:AI448)-($D$12-$C$12)),SUM(AI424:AI448))</f>
        <v>50</v>
      </c>
      <c r="AJ450" s="2409">
        <f>SUM(AJ425:AJ448)</f>
        <v>46</v>
      </c>
      <c r="AK450" s="1987"/>
      <c r="AL450" s="1992"/>
      <c r="AM450" s="2497"/>
      <c r="AN450" s="2404"/>
      <c r="AP450" s="2075"/>
      <c r="AQ450" s="2075"/>
      <c r="AR450" s="2075"/>
      <c r="AS450" s="2075"/>
      <c r="AT450" s="2075"/>
      <c r="AU450" s="2075"/>
      <c r="AV450" s="2339">
        <f>SUM(AV424:AV448)</f>
        <v>40.5</v>
      </c>
      <c r="AW450" s="2339">
        <f>IF(AND($C$16="4%",($D$12-$C$12)&gt;0),(SUM(AW424:AW448)-($D$12-$C$12)),SUM(AW424:AW448))</f>
        <v>40.5</v>
      </c>
      <c r="AX450" s="2339">
        <f>IF(AND($C$16="4%",($D$12-$C$12)&gt;0),(SUM(AX424:AX448)-($D$12-$C$12)),SUM(AX424:AX448))</f>
        <v>65</v>
      </c>
      <c r="AY450" s="2339">
        <f>SUM(AY424:AY448)</f>
        <v>65</v>
      </c>
      <c r="AZ450" s="2340">
        <f>SUM(AZ424:AZ448)</f>
        <v>12</v>
      </c>
      <c r="BA450" s="2340">
        <f>IF(AND($C$16="4%",($E$12-$C$12)&gt;0),(SUM(BA424:BA448)-($E$12-$C$12)),SUM(BA424:BA448))</f>
        <v>12</v>
      </c>
      <c r="BB450" s="2340">
        <f>IF(AND($C$16="4%",($E$12-$C$12)&gt;0),(SUM(BB424:BB448)-($E$12-$C$12)),SUM(BB424:BB448))</f>
        <v>12</v>
      </c>
      <c r="BC450" s="2340">
        <f>SUM(BC424:BC448)</f>
        <v>12</v>
      </c>
    </row>
    <row r="451" spans="1:55">
      <c r="B451" s="2001"/>
      <c r="C451" s="2007"/>
      <c r="D451" s="2001"/>
      <c r="E451" s="2001"/>
      <c r="F451" s="2001"/>
      <c r="G451" s="2008" t="s">
        <v>920</v>
      </c>
      <c r="H451" s="1992">
        <v>2020</v>
      </c>
      <c r="I451" s="1992" t="s">
        <v>3931</v>
      </c>
      <c r="J451" s="2001" t="s">
        <v>3241</v>
      </c>
      <c r="K451" s="2001"/>
      <c r="L451" s="2007"/>
      <c r="M451" s="2001"/>
      <c r="N451" s="1992"/>
      <c r="O451" s="2003"/>
      <c r="P451" s="2003"/>
      <c r="Q451" s="2001"/>
      <c r="R451" s="2001"/>
      <c r="S451" s="2001"/>
      <c r="AA451" s="2001"/>
      <c r="AB451" s="2001"/>
      <c r="AC451" s="2001"/>
      <c r="AD451" s="2001"/>
      <c r="AE451" s="2001"/>
      <c r="AF451" s="2001"/>
      <c r="AG451" s="2001"/>
      <c r="AH451" s="2001"/>
      <c r="AI451" s="2001"/>
      <c r="AJ451" s="2001"/>
      <c r="AK451" s="1987"/>
      <c r="AL451" s="1992"/>
      <c r="AM451" s="2497"/>
      <c r="AN451" s="2404"/>
    </row>
    <row r="452" spans="1:55">
      <c r="B452" s="2001"/>
      <c r="C452" s="2007"/>
      <c r="D452" s="2001"/>
      <c r="E452" s="2001"/>
      <c r="F452" s="2001"/>
      <c r="G452" s="2008" t="s">
        <v>531</v>
      </c>
      <c r="H452" s="1992">
        <v>2020</v>
      </c>
      <c r="I452" s="1992" t="s">
        <v>3931</v>
      </c>
      <c r="J452" s="2001" t="s">
        <v>3168</v>
      </c>
      <c r="K452" s="2001"/>
      <c r="L452" s="2007"/>
      <c r="M452" s="2001"/>
      <c r="N452" s="1992"/>
      <c r="O452" s="2003"/>
      <c r="P452" s="2003"/>
      <c r="Q452" s="2001"/>
      <c r="R452" s="2001"/>
      <c r="S452" s="2001"/>
      <c r="AA452" s="2001"/>
      <c r="AB452" s="2001"/>
      <c r="AC452" s="2001"/>
      <c r="AD452" s="2001"/>
      <c r="AE452" s="2001"/>
      <c r="AF452" s="2001"/>
      <c r="AG452" s="2001"/>
      <c r="AH452" s="2001"/>
      <c r="AI452" s="2001"/>
      <c r="AJ452" s="2001"/>
      <c r="AK452" s="2001"/>
      <c r="AL452" s="2001"/>
      <c r="AN452" s="2001"/>
    </row>
    <row r="453" spans="1:55">
      <c r="B453" s="2001"/>
      <c r="C453" s="2007"/>
      <c r="D453" s="2001"/>
      <c r="E453" s="2001"/>
      <c r="F453" s="2001"/>
      <c r="G453" s="2008" t="s">
        <v>808</v>
      </c>
      <c r="H453" s="1992" t="s">
        <v>3932</v>
      </c>
      <c r="I453" s="2006" t="s">
        <v>2445</v>
      </c>
      <c r="J453" s="2001" t="s">
        <v>3237</v>
      </c>
      <c r="K453" s="2001"/>
      <c r="L453" s="2007"/>
      <c r="M453" s="2001"/>
      <c r="N453" s="1992"/>
      <c r="O453" s="2003"/>
      <c r="P453" s="2003"/>
      <c r="Q453" s="2001"/>
      <c r="R453" s="2001"/>
      <c r="S453" s="2001"/>
    </row>
    <row r="454" spans="1:55">
      <c r="B454" s="2001"/>
      <c r="C454" s="2007"/>
      <c r="D454" s="2001"/>
      <c r="E454" s="2001"/>
      <c r="F454" s="2001"/>
      <c r="G454" s="2008" t="s">
        <v>2935</v>
      </c>
      <c r="H454" s="1992">
        <v>2019</v>
      </c>
      <c r="I454" s="1992" t="s">
        <v>3931</v>
      </c>
      <c r="J454" s="2001" t="s">
        <v>3169</v>
      </c>
      <c r="K454" s="2001"/>
      <c r="L454" s="2007"/>
      <c r="M454" s="2001"/>
      <c r="N454" s="1992"/>
      <c r="O454" s="2003"/>
      <c r="P454" s="2003"/>
      <c r="Q454" s="2001"/>
      <c r="R454" s="2001"/>
      <c r="S454" s="2001"/>
    </row>
    <row r="455" spans="1:55">
      <c r="B455" s="2001"/>
      <c r="C455" s="2001"/>
      <c r="D455" s="2001"/>
      <c r="E455" s="2001"/>
      <c r="F455" s="2001"/>
      <c r="G455" s="2008" t="s">
        <v>763</v>
      </c>
      <c r="H455" s="1992">
        <v>2019</v>
      </c>
      <c r="I455" s="1992" t="s">
        <v>3931</v>
      </c>
      <c r="J455" s="2001" t="s">
        <v>3238</v>
      </c>
      <c r="K455" s="2001"/>
      <c r="L455" s="2007"/>
      <c r="M455" s="2001"/>
      <c r="N455" s="1992"/>
      <c r="O455" s="2003"/>
      <c r="P455" s="2003"/>
      <c r="Q455" s="2001"/>
      <c r="R455" s="2001"/>
      <c r="S455" s="2001"/>
    </row>
    <row r="456" spans="1:55">
      <c r="B456" s="2001"/>
      <c r="C456" s="2001"/>
      <c r="D456" s="2001"/>
      <c r="E456" s="2001"/>
      <c r="F456" s="2001"/>
      <c r="G456" s="2008" t="s">
        <v>172</v>
      </c>
      <c r="H456" s="1992">
        <v>2019</v>
      </c>
      <c r="I456" s="1992" t="s">
        <v>3931</v>
      </c>
      <c r="J456" s="2001" t="s">
        <v>3170</v>
      </c>
      <c r="K456" s="2001"/>
      <c r="L456" s="2001"/>
      <c r="M456" s="2001"/>
      <c r="N456" s="1992"/>
      <c r="O456" s="2003"/>
      <c r="P456" s="2003"/>
      <c r="Q456" s="2001"/>
      <c r="R456" s="2001"/>
      <c r="S456" s="2001"/>
      <c r="AB456" s="2256" t="s">
        <v>4881</v>
      </c>
      <c r="AC456" s="2257"/>
      <c r="AD456" s="2257"/>
      <c r="AE456" s="2258"/>
      <c r="AF456" s="2258"/>
      <c r="AG456" s="2258"/>
      <c r="AH456" s="2258"/>
      <c r="AI456" s="2259" t="s">
        <v>2879</v>
      </c>
      <c r="AJ456" s="2260" t="s">
        <v>245</v>
      </c>
      <c r="AK456" s="2261"/>
    </row>
    <row r="457" spans="1:55">
      <c r="B457" s="2001"/>
      <c r="C457" s="2001"/>
      <c r="D457" s="2001"/>
      <c r="E457" s="2001"/>
      <c r="F457" s="2001"/>
      <c r="G457" s="2008" t="s">
        <v>3255</v>
      </c>
      <c r="H457" s="1992" t="s">
        <v>3932</v>
      </c>
      <c r="I457" s="2006" t="s">
        <v>2445</v>
      </c>
      <c r="J457" s="2001" t="s">
        <v>3239</v>
      </c>
      <c r="K457" s="2001"/>
      <c r="L457" s="2007"/>
      <c r="M457" s="2001"/>
      <c r="N457" s="1992"/>
      <c r="O457" s="2003"/>
      <c r="P457" s="2003"/>
      <c r="Q457" s="2001"/>
      <c r="R457" s="2001"/>
      <c r="S457" s="2001"/>
      <c r="AB457" s="2262"/>
      <c r="AC457" s="2075" t="s">
        <v>3304</v>
      </c>
      <c r="AD457" s="2099"/>
      <c r="AE457" s="2075"/>
      <c r="AF457" s="2075"/>
      <c r="AG457" s="2075"/>
      <c r="AH457" s="2075"/>
      <c r="AI457" s="2263">
        <f>$O$206</f>
        <v>0</v>
      </c>
      <c r="AJ457" s="2264">
        <f>$P$206</f>
        <v>0</v>
      </c>
      <c r="AK457" s="2265"/>
    </row>
    <row r="458" spans="1:55">
      <c r="B458" s="2001"/>
      <c r="C458" s="2001"/>
      <c r="D458" s="2001"/>
      <c r="E458" s="2001"/>
      <c r="F458" s="2001"/>
      <c r="G458" s="2008" t="s">
        <v>506</v>
      </c>
      <c r="H458" s="1992">
        <v>2020</v>
      </c>
      <c r="I458" s="1992" t="s">
        <v>3931</v>
      </c>
      <c r="J458" s="2001" t="s">
        <v>3242</v>
      </c>
      <c r="K458" s="2001"/>
      <c r="L458" s="2007"/>
      <c r="M458" s="2001"/>
      <c r="N458" s="2001"/>
      <c r="O458" s="2001"/>
      <c r="P458" s="2001"/>
      <c r="Q458" s="2001"/>
      <c r="R458" s="2001"/>
      <c r="S458" s="2001"/>
      <c r="AB458" s="2262"/>
      <c r="AC458" s="2075" t="s">
        <v>3906</v>
      </c>
      <c r="AD458" s="2099"/>
      <c r="AE458" s="2075"/>
      <c r="AF458" s="2075"/>
      <c r="AG458" s="2075"/>
      <c r="AH458" s="2075"/>
      <c r="AI458" s="2266">
        <f>$O$238</f>
        <v>0</v>
      </c>
      <c r="AJ458" s="2267">
        <f>$P$238</f>
        <v>0</v>
      </c>
      <c r="AK458" s="2265"/>
    </row>
    <row r="459" spans="1:55">
      <c r="B459" s="2001"/>
      <c r="C459" s="2001"/>
      <c r="D459" s="2001"/>
      <c r="E459" s="2001"/>
      <c r="F459" s="2001"/>
      <c r="G459" s="2008" t="s">
        <v>375</v>
      </c>
      <c r="H459" s="1992">
        <v>2020</v>
      </c>
      <c r="I459" s="1992" t="s">
        <v>3931</v>
      </c>
      <c r="J459" s="2001" t="s">
        <v>3245</v>
      </c>
      <c r="K459" s="2001"/>
      <c r="L459" s="2001"/>
      <c r="M459" s="2001"/>
      <c r="N459" s="2001"/>
      <c r="O459" s="2001"/>
      <c r="P459" s="2001"/>
      <c r="Q459" s="2001"/>
      <c r="R459" s="2001"/>
      <c r="S459" s="2001"/>
      <c r="AB459" s="2262"/>
      <c r="AC459" s="2075" t="s">
        <v>3176</v>
      </c>
      <c r="AD459" s="2099"/>
      <c r="AE459" s="2075"/>
      <c r="AF459" s="2075"/>
      <c r="AG459" s="2075"/>
      <c r="AH459" s="2075"/>
      <c r="AI459" s="2266">
        <f>$O$265</f>
        <v>0</v>
      </c>
      <c r="AJ459" s="2267">
        <f>$P$265</f>
        <v>0</v>
      </c>
      <c r="AK459" s="2265"/>
    </row>
    <row r="460" spans="1:55">
      <c r="B460" s="2001"/>
      <c r="C460" s="2001"/>
      <c r="D460" s="2010"/>
      <c r="E460" s="2001"/>
      <c r="F460" s="2001"/>
      <c r="G460" s="2008" t="s">
        <v>1347</v>
      </c>
      <c r="H460" s="1992" t="s">
        <v>3932</v>
      </c>
      <c r="I460" s="2006" t="s">
        <v>2445</v>
      </c>
      <c r="J460" s="2001" t="s">
        <v>3171</v>
      </c>
      <c r="K460" s="2001"/>
      <c r="L460" s="2007"/>
      <c r="M460" s="2001"/>
      <c r="N460" s="2001"/>
      <c r="O460" s="2001"/>
      <c r="P460" s="2001"/>
      <c r="Q460" s="2001"/>
      <c r="R460" s="2001"/>
      <c r="S460" s="2001"/>
      <c r="AB460" s="2262"/>
      <c r="AC460" s="2075" t="s">
        <v>4807</v>
      </c>
      <c r="AD460" s="2099"/>
      <c r="AE460" s="2075"/>
      <c r="AF460" s="2075"/>
      <c r="AG460" s="2075"/>
      <c r="AH460" s="2075"/>
      <c r="AI460" s="2266">
        <f>$O$304</f>
        <v>0</v>
      </c>
      <c r="AJ460" s="2267">
        <f>$P$304</f>
        <v>0</v>
      </c>
      <c r="AK460" s="2265"/>
    </row>
    <row r="461" spans="1:55">
      <c r="B461" s="2001"/>
      <c r="C461" s="2001"/>
      <c r="D461" s="2010"/>
      <c r="E461" s="2001"/>
      <c r="F461" s="2001"/>
      <c r="G461" s="2008" t="s">
        <v>1701</v>
      </c>
      <c r="H461" s="1992" t="s">
        <v>3932</v>
      </c>
      <c r="I461" s="2006" t="s">
        <v>2445</v>
      </c>
      <c r="J461" s="2001" t="s">
        <v>3172</v>
      </c>
      <c r="K461" s="2001"/>
      <c r="L461" s="2007"/>
      <c r="M461" s="2001"/>
      <c r="N461" s="2001"/>
      <c r="O461" s="2001"/>
      <c r="P461" s="2001"/>
      <c r="Q461" s="2001"/>
      <c r="R461" s="2001"/>
      <c r="S461" s="2001"/>
      <c r="AB461" s="2268"/>
      <c r="AC461" s="2269"/>
      <c r="AD461" s="2269"/>
      <c r="AE461" s="2270"/>
      <c r="AF461" s="2270"/>
      <c r="AG461" s="2270"/>
      <c r="AH461" s="2270"/>
      <c r="AI461" s="2270"/>
      <c r="AJ461" s="2270"/>
      <c r="AK461" s="2271"/>
    </row>
    <row r="462" spans="1:55">
      <c r="B462" s="2001"/>
      <c r="C462" s="2001"/>
      <c r="D462" s="2001"/>
      <c r="E462" s="2001"/>
      <c r="F462" s="2001"/>
      <c r="G462" s="2008" t="s">
        <v>1963</v>
      </c>
      <c r="H462" s="1992">
        <v>2020</v>
      </c>
      <c r="I462" s="1992" t="s">
        <v>3931</v>
      </c>
      <c r="J462" s="2001" t="s">
        <v>3240</v>
      </c>
      <c r="K462" s="2001"/>
      <c r="L462" s="2007"/>
      <c r="M462" s="2001"/>
      <c r="N462" s="2001"/>
      <c r="O462" s="2001"/>
      <c r="P462" s="2001"/>
      <c r="Q462" s="2001"/>
      <c r="R462" s="2001"/>
      <c r="S462" s="2001"/>
    </row>
    <row r="463" spans="1:55">
      <c r="B463" s="2001"/>
      <c r="C463" s="2001"/>
      <c r="D463" s="2001"/>
      <c r="E463" s="2001"/>
      <c r="F463" s="2001"/>
      <c r="G463" s="2008" t="s">
        <v>1350</v>
      </c>
      <c r="H463" s="1992">
        <v>2019</v>
      </c>
      <c r="I463" s="1992" t="s">
        <v>3931</v>
      </c>
      <c r="J463" s="2001" t="s">
        <v>3243</v>
      </c>
      <c r="K463" s="2001"/>
      <c r="L463" s="2001"/>
      <c r="M463" s="2001"/>
      <c r="N463" s="2001"/>
      <c r="O463" s="2001"/>
      <c r="P463" s="2001"/>
      <c r="Q463" s="2001"/>
      <c r="R463" s="2001"/>
      <c r="S463" s="2001"/>
    </row>
    <row r="464" spans="1:55">
      <c r="B464" s="2001"/>
      <c r="C464" s="2001"/>
      <c r="D464" s="2001"/>
      <c r="E464" s="2001"/>
      <c r="F464" s="2001"/>
      <c r="G464" s="2008" t="s">
        <v>235</v>
      </c>
      <c r="H464" s="1992">
        <v>2019</v>
      </c>
      <c r="I464" s="1992" t="s">
        <v>3931</v>
      </c>
      <c r="J464" s="2001" t="s">
        <v>3244</v>
      </c>
      <c r="K464" s="2001"/>
      <c r="L464" s="2007"/>
      <c r="M464" s="2001"/>
      <c r="N464" s="2001"/>
      <c r="O464" s="2001"/>
      <c r="P464" s="2001"/>
      <c r="Q464" s="2001"/>
      <c r="R464" s="2001"/>
      <c r="S464" s="2001"/>
    </row>
    <row r="465" spans="2:19">
      <c r="B465" s="2001"/>
      <c r="C465" s="2001"/>
      <c r="D465" s="2001"/>
      <c r="E465" s="2001"/>
      <c r="F465" s="2001"/>
      <c r="G465" s="2008" t="s">
        <v>977</v>
      </c>
      <c r="H465" s="1992">
        <v>2020</v>
      </c>
      <c r="I465" s="1992" t="s">
        <v>3931</v>
      </c>
      <c r="J465" s="2001" t="s">
        <v>3173</v>
      </c>
      <c r="K465" s="2001"/>
      <c r="L465" s="2007"/>
      <c r="M465" s="2001"/>
      <c r="N465" s="2001"/>
      <c r="O465" s="2001"/>
      <c r="P465" s="2001"/>
      <c r="Q465" s="2001"/>
      <c r="R465" s="2001"/>
      <c r="S465" s="2001"/>
    </row>
    <row r="466" spans="2:19">
      <c r="B466" s="2001"/>
      <c r="C466" s="2010"/>
      <c r="D466" s="2001"/>
      <c r="E466" s="2001"/>
      <c r="F466" s="2001"/>
      <c r="G466" s="2008" t="s">
        <v>2090</v>
      </c>
      <c r="H466" s="1992">
        <v>2020</v>
      </c>
      <c r="I466" s="1992" t="s">
        <v>3931</v>
      </c>
      <c r="J466" s="2001" t="s">
        <v>3174</v>
      </c>
      <c r="K466" s="2001"/>
      <c r="L466" s="2007"/>
      <c r="M466" s="2001"/>
      <c r="N466" s="2001"/>
      <c r="O466" s="2001"/>
      <c r="P466" s="2001"/>
      <c r="Q466" s="2001"/>
      <c r="R466" s="2001"/>
      <c r="S466" s="2001"/>
    </row>
    <row r="467" spans="2:19">
      <c r="B467" s="2001"/>
      <c r="C467" s="2010"/>
      <c r="D467" s="2001"/>
      <c r="E467" s="2001"/>
      <c r="F467" s="2001"/>
      <c r="G467" s="2008" t="s">
        <v>3926</v>
      </c>
      <c r="H467" s="1992" t="s">
        <v>3932</v>
      </c>
      <c r="I467" s="2006" t="s">
        <v>2445</v>
      </c>
      <c r="J467" s="2001"/>
      <c r="K467" s="2001"/>
      <c r="L467" s="2007"/>
      <c r="M467" s="2001"/>
      <c r="N467" s="2001"/>
      <c r="O467" s="2001"/>
      <c r="P467" s="2001"/>
      <c r="Q467" s="2001"/>
      <c r="R467" s="2001"/>
      <c r="S467" s="2001"/>
    </row>
    <row r="468" spans="2:19">
      <c r="B468" s="2001"/>
      <c r="C468" s="2010"/>
      <c r="D468" s="2001"/>
      <c r="E468" s="2001"/>
      <c r="F468" s="2001"/>
      <c r="G468" s="2008" t="s">
        <v>1743</v>
      </c>
      <c r="H468" s="1992" t="s">
        <v>3932</v>
      </c>
      <c r="I468" s="2006" t="s">
        <v>2445</v>
      </c>
      <c r="J468" s="2001"/>
      <c r="K468" s="2001"/>
      <c r="L468" s="2007"/>
      <c r="M468" s="2001"/>
      <c r="N468" s="2001"/>
      <c r="O468" s="2001"/>
      <c r="P468" s="2001"/>
      <c r="Q468" s="2001"/>
      <c r="R468" s="2001"/>
      <c r="S468" s="2001"/>
    </row>
    <row r="469" spans="2:19">
      <c r="B469" s="2001"/>
      <c r="C469" s="2010"/>
      <c r="D469" s="2001"/>
      <c r="E469" s="2001"/>
      <c r="F469" s="2001"/>
      <c r="G469" s="2008" t="s">
        <v>471</v>
      </c>
      <c r="H469" s="1992" t="s">
        <v>3932</v>
      </c>
      <c r="I469" s="2006" t="s">
        <v>2445</v>
      </c>
      <c r="J469" s="2001"/>
      <c r="K469" s="2001"/>
      <c r="L469" s="2007"/>
      <c r="M469" s="2001"/>
      <c r="N469" s="2001"/>
      <c r="O469" s="2001"/>
      <c r="P469" s="2001"/>
      <c r="Q469" s="2001"/>
      <c r="R469" s="2001"/>
      <c r="S469" s="2001"/>
    </row>
    <row r="470" spans="2:19">
      <c r="B470" s="2001"/>
      <c r="C470" s="2010"/>
      <c r="D470" s="2001"/>
      <c r="E470" s="2001"/>
      <c r="F470" s="2001"/>
      <c r="G470" s="2008" t="s">
        <v>1945</v>
      </c>
      <c r="H470" s="1992" t="s">
        <v>3932</v>
      </c>
      <c r="I470" s="2006" t="s">
        <v>2445</v>
      </c>
      <c r="J470" s="2001"/>
      <c r="K470" s="2001"/>
      <c r="L470" s="2007"/>
      <c r="M470" s="2001"/>
      <c r="N470" s="2001"/>
      <c r="O470" s="2001"/>
      <c r="P470" s="2001"/>
      <c r="Q470" s="2001"/>
      <c r="R470" s="2001"/>
      <c r="S470" s="2001"/>
    </row>
    <row r="471" spans="2:19">
      <c r="B471" s="2001"/>
      <c r="C471" s="2010"/>
      <c r="D471" s="2001"/>
      <c r="E471" s="2001"/>
      <c r="F471" s="2001"/>
      <c r="G471" s="2008" t="s">
        <v>2082</v>
      </c>
      <c r="H471" s="1992">
        <v>2020</v>
      </c>
      <c r="I471" s="1992" t="s">
        <v>3931</v>
      </c>
      <c r="J471" s="2001"/>
      <c r="K471" s="2001"/>
      <c r="L471" s="2007"/>
      <c r="M471" s="2001"/>
      <c r="N471" s="2001"/>
      <c r="O471" s="2001"/>
      <c r="P471" s="2001"/>
      <c r="Q471" s="2001"/>
      <c r="R471" s="2001"/>
      <c r="S471" s="2001"/>
    </row>
    <row r="472" spans="2:19">
      <c r="B472" s="2001"/>
      <c r="C472" s="2010"/>
      <c r="D472" s="2001"/>
      <c r="E472" s="2001"/>
      <c r="F472" s="2001"/>
      <c r="G472" s="2008" t="s">
        <v>1968</v>
      </c>
      <c r="H472" s="1992">
        <v>2020</v>
      </c>
      <c r="I472" s="1992" t="s">
        <v>3931</v>
      </c>
      <c r="J472" s="2001"/>
      <c r="K472" s="2001"/>
      <c r="L472" s="2001"/>
      <c r="M472" s="2001"/>
      <c r="N472" s="2001"/>
      <c r="O472" s="2001"/>
      <c r="P472" s="2001"/>
      <c r="Q472" s="2001"/>
      <c r="R472" s="2001"/>
      <c r="S472" s="2001"/>
    </row>
    <row r="473" spans="2:19">
      <c r="B473" s="2001"/>
      <c r="C473" s="2001"/>
      <c r="D473" s="2001"/>
      <c r="E473" s="2001"/>
      <c r="F473" s="2001"/>
      <c r="G473" s="2008" t="s">
        <v>2147</v>
      </c>
      <c r="H473" s="1992">
        <v>2019</v>
      </c>
      <c r="I473" s="1992" t="s">
        <v>3931</v>
      </c>
      <c r="J473" s="2001"/>
      <c r="K473" s="2001"/>
      <c r="L473" s="2001"/>
      <c r="M473" s="2001"/>
      <c r="N473" s="2001"/>
      <c r="O473" s="2001"/>
      <c r="P473" s="2001"/>
      <c r="Q473" s="2001"/>
      <c r="R473" s="2001"/>
      <c r="S473" s="2001"/>
    </row>
    <row r="474" spans="2:19">
      <c r="B474" s="2001"/>
      <c r="C474" s="2001"/>
      <c r="D474" s="2001"/>
      <c r="E474" s="2001"/>
      <c r="F474" s="2001"/>
      <c r="G474" s="2008" t="s">
        <v>3927</v>
      </c>
      <c r="H474" s="2001"/>
      <c r="I474" s="2001"/>
      <c r="J474" s="2001"/>
      <c r="K474" s="2001"/>
      <c r="L474" s="2001"/>
      <c r="M474" s="2001"/>
      <c r="N474" s="1992"/>
      <c r="O474" s="2003"/>
      <c r="P474" s="2003"/>
      <c r="Q474" s="2001"/>
      <c r="R474" s="2001"/>
      <c r="S474" s="2001"/>
    </row>
    <row r="475" spans="2:19">
      <c r="B475" s="2001"/>
      <c r="C475" s="2001"/>
      <c r="D475" s="2001"/>
      <c r="E475" s="2001"/>
      <c r="F475" s="2001"/>
      <c r="G475" s="2008" t="s">
        <v>1572</v>
      </c>
      <c r="H475" s="1992">
        <v>2019</v>
      </c>
      <c r="I475" s="1992" t="s">
        <v>3931</v>
      </c>
      <c r="J475" s="2001"/>
      <c r="K475" s="2001"/>
      <c r="L475" s="2001"/>
      <c r="M475" s="2001"/>
      <c r="N475" s="1992"/>
      <c r="O475" s="2003"/>
      <c r="P475" s="2003"/>
      <c r="Q475" s="2001"/>
      <c r="R475" s="2001"/>
      <c r="S475" s="2001"/>
    </row>
    <row r="476" spans="2:19">
      <c r="B476" s="2001"/>
      <c r="C476" s="2001"/>
      <c r="D476" s="2001"/>
      <c r="E476" s="2001"/>
      <c r="F476" s="2001"/>
      <c r="G476" s="2008" t="s">
        <v>1575</v>
      </c>
      <c r="H476" s="1992">
        <v>2020</v>
      </c>
      <c r="I476" s="1992" t="s">
        <v>3931</v>
      </c>
      <c r="J476" s="2001"/>
      <c r="K476" s="2001"/>
      <c r="L476" s="2001"/>
      <c r="M476" s="2001"/>
      <c r="N476" s="1992"/>
      <c r="O476" s="2003"/>
      <c r="P476" s="2003"/>
      <c r="Q476" s="2001"/>
      <c r="R476" s="2001"/>
      <c r="S476" s="2001"/>
    </row>
    <row r="477" spans="2:19">
      <c r="B477" s="2001"/>
      <c r="C477" s="2001"/>
      <c r="D477" s="2001"/>
      <c r="E477" s="2001"/>
      <c r="F477" s="2001"/>
      <c r="G477" s="2008" t="s">
        <v>1580</v>
      </c>
      <c r="H477" s="1992">
        <v>2020</v>
      </c>
      <c r="I477" s="1992" t="s">
        <v>3931</v>
      </c>
      <c r="J477" s="2001"/>
      <c r="K477" s="2001"/>
      <c r="L477" s="2001"/>
      <c r="M477" s="2001"/>
      <c r="N477" s="1992"/>
      <c r="O477" s="2003"/>
      <c r="P477" s="2003"/>
      <c r="Q477" s="2001"/>
      <c r="R477" s="2001"/>
      <c r="S477" s="2001"/>
    </row>
    <row r="478" spans="2:19">
      <c r="B478" s="2001"/>
      <c r="C478" s="2001"/>
      <c r="D478" s="2001"/>
      <c r="E478" s="2001"/>
      <c r="F478" s="2001"/>
      <c r="G478" s="2008" t="s">
        <v>1588</v>
      </c>
      <c r="H478" s="1992">
        <v>2020</v>
      </c>
      <c r="I478" s="1992" t="s">
        <v>3931</v>
      </c>
      <c r="J478" s="2001"/>
      <c r="K478" s="2001"/>
      <c r="L478" s="2001"/>
      <c r="M478" s="2001"/>
      <c r="N478" s="1992"/>
      <c r="O478" s="2003"/>
      <c r="P478" s="2003"/>
      <c r="Q478" s="2001"/>
      <c r="R478" s="2001"/>
      <c r="S478" s="2001"/>
    </row>
    <row r="479" spans="2:19">
      <c r="B479" s="2001"/>
      <c r="C479" s="2001"/>
      <c r="D479" s="2001"/>
      <c r="E479" s="2001"/>
      <c r="F479" s="2001"/>
      <c r="G479" s="2008" t="s">
        <v>1589</v>
      </c>
      <c r="H479" s="1992">
        <v>2019</v>
      </c>
      <c r="I479" s="1992" t="s">
        <v>3931</v>
      </c>
      <c r="J479" s="2001"/>
      <c r="K479" s="2001"/>
      <c r="L479" s="2001"/>
      <c r="M479" s="2001"/>
      <c r="N479" s="1992"/>
      <c r="O479" s="2003"/>
      <c r="P479" s="2003"/>
      <c r="Q479" s="2001"/>
      <c r="R479" s="2001"/>
      <c r="S479" s="2001"/>
    </row>
    <row r="480" spans="2:19">
      <c r="B480" s="2001"/>
      <c r="C480" s="2001"/>
      <c r="D480" s="2001"/>
      <c r="E480" s="2001"/>
      <c r="F480" s="2001"/>
      <c r="G480" s="2008" t="s">
        <v>100</v>
      </c>
      <c r="H480" s="1992">
        <v>2020</v>
      </c>
      <c r="I480" s="1992" t="s">
        <v>3931</v>
      </c>
      <c r="J480" s="2001"/>
      <c r="K480" s="2001"/>
      <c r="L480" s="2001"/>
      <c r="M480" s="2001"/>
      <c r="N480" s="1992"/>
      <c r="O480" s="2003"/>
      <c r="P480" s="2003"/>
      <c r="Q480" s="2001"/>
      <c r="R480" s="2001"/>
      <c r="S480" s="2001"/>
    </row>
    <row r="481" spans="2:19">
      <c r="B481" s="2001"/>
      <c r="C481" s="2001"/>
      <c r="D481" s="2001"/>
      <c r="E481" s="2001"/>
      <c r="F481" s="2001"/>
      <c r="G481" s="2008" t="s">
        <v>285</v>
      </c>
      <c r="H481" s="1992">
        <v>2020</v>
      </c>
      <c r="I481" s="1992" t="s">
        <v>3931</v>
      </c>
      <c r="J481" s="2001"/>
      <c r="K481" s="2001"/>
      <c r="L481" s="2001"/>
      <c r="M481" s="2001"/>
      <c r="N481" s="1992"/>
      <c r="O481" s="2003"/>
      <c r="P481" s="2003"/>
      <c r="Q481" s="2001"/>
      <c r="R481" s="2001"/>
      <c r="S481" s="2001"/>
    </row>
    <row r="482" spans="2:19">
      <c r="B482" s="2001"/>
      <c r="C482" s="2001"/>
      <c r="D482" s="2001"/>
      <c r="E482" s="2001"/>
      <c r="F482" s="2001"/>
      <c r="G482" s="2008" t="s">
        <v>1440</v>
      </c>
      <c r="H482" s="1992" t="s">
        <v>3932</v>
      </c>
      <c r="I482" s="2006" t="s">
        <v>2445</v>
      </c>
      <c r="J482" s="2001"/>
      <c r="K482" s="2001"/>
      <c r="L482" s="2001"/>
      <c r="M482" s="2001"/>
      <c r="N482" s="1992"/>
      <c r="O482" s="2003"/>
      <c r="P482" s="2003"/>
      <c r="Q482" s="2001"/>
      <c r="R482" s="2001"/>
      <c r="S482" s="2001"/>
    </row>
    <row r="483" spans="2:19" ht="30" customHeight="1">
      <c r="B483" s="2001"/>
      <c r="C483" s="2001"/>
      <c r="D483" s="2001"/>
      <c r="E483" s="2001"/>
      <c r="F483" s="2001"/>
      <c r="G483" s="2008"/>
      <c r="H483" s="2001"/>
      <c r="I483" s="2001"/>
      <c r="J483" s="2001"/>
      <c r="K483" s="2001"/>
      <c r="L483" s="2001"/>
      <c r="M483" s="2001"/>
      <c r="N483" s="2001"/>
      <c r="O483" s="2001"/>
      <c r="P483" s="2001"/>
      <c r="Q483" s="2001"/>
      <c r="R483" s="2001"/>
      <c r="S483" s="2001"/>
    </row>
    <row r="484" spans="2:19">
      <c r="B484" s="2001"/>
      <c r="C484" s="2001"/>
      <c r="D484" s="2001"/>
      <c r="E484" s="2001"/>
      <c r="F484" s="2001"/>
      <c r="G484" s="2001"/>
      <c r="H484" s="2001"/>
      <c r="I484" s="2001"/>
      <c r="J484" s="2001"/>
      <c r="K484" s="2001"/>
      <c r="L484" s="2001"/>
      <c r="M484" s="2001"/>
      <c r="N484" s="1992"/>
      <c r="O484" s="2003"/>
      <c r="P484" s="2003"/>
      <c r="Q484" s="2001"/>
      <c r="R484" s="2001"/>
      <c r="S484" s="2001"/>
    </row>
    <row r="485" spans="2:19">
      <c r="B485" s="2001"/>
      <c r="C485" s="2001"/>
      <c r="D485" s="2001"/>
      <c r="E485" s="2001"/>
      <c r="F485" s="2001"/>
      <c r="G485" s="2001"/>
      <c r="H485" s="2001"/>
      <c r="I485" s="2001"/>
      <c r="J485" s="2001"/>
      <c r="K485" s="2001"/>
      <c r="L485" s="2001"/>
      <c r="M485" s="2001"/>
      <c r="N485" s="1992"/>
      <c r="O485" s="2003"/>
      <c r="P485" s="2003"/>
      <c r="Q485" s="2001"/>
      <c r="R485" s="2001"/>
      <c r="S485" s="2001"/>
    </row>
    <row r="486" spans="2:19">
      <c r="B486" s="2001"/>
      <c r="C486" s="2001"/>
      <c r="D486" s="2001"/>
      <c r="E486" s="2001"/>
      <c r="F486" s="2001"/>
      <c r="G486" s="2001"/>
      <c r="H486" s="2001"/>
      <c r="I486" s="2001"/>
      <c r="J486" s="2001"/>
      <c r="K486" s="2001"/>
      <c r="L486" s="2001"/>
      <c r="M486" s="2001"/>
      <c r="N486" s="1992"/>
      <c r="O486" s="2003"/>
      <c r="P486" s="2003"/>
      <c r="Q486" s="2001"/>
      <c r="R486" s="2001"/>
      <c r="S486" s="2001"/>
    </row>
    <row r="616" spans="14:16">
      <c r="N616" s="2074"/>
      <c r="O616" s="2074"/>
      <c r="P616" s="2074"/>
    </row>
    <row r="617" spans="14:16">
      <c r="N617" s="2074"/>
      <c r="O617" s="2074"/>
      <c r="P617" s="2074"/>
    </row>
    <row r="618" spans="14:16">
      <c r="N618" s="2074"/>
      <c r="O618" s="2074"/>
      <c r="P618" s="2074"/>
    </row>
    <row r="619" spans="14:16">
      <c r="N619" s="2074"/>
      <c r="O619" s="2074"/>
      <c r="P619" s="2074"/>
    </row>
    <row r="620" spans="14:16">
      <c r="N620" s="2074"/>
      <c r="O620" s="2074"/>
      <c r="P620" s="2074"/>
    </row>
    <row r="621" spans="14:16">
      <c r="N621" s="2074"/>
      <c r="O621" s="2074"/>
      <c r="P621" s="2074"/>
    </row>
    <row r="622" spans="14:16">
      <c r="N622" s="2074"/>
      <c r="O622" s="2074"/>
      <c r="P622" s="2074"/>
    </row>
    <row r="623" spans="14:16">
      <c r="N623" s="2074"/>
      <c r="O623" s="2074"/>
      <c r="P623" s="2074"/>
    </row>
    <row r="624" spans="14:16">
      <c r="N624" s="2074"/>
      <c r="O624" s="2074"/>
      <c r="P624" s="2074"/>
    </row>
    <row r="625" spans="14:16">
      <c r="N625" s="2074"/>
      <c r="O625" s="2074"/>
      <c r="P625" s="2074"/>
    </row>
    <row r="626" spans="14:16">
      <c r="N626" s="2074"/>
      <c r="O626" s="2074"/>
      <c r="P626" s="2074"/>
    </row>
    <row r="627" spans="14:16">
      <c r="N627" s="2074"/>
      <c r="O627" s="2074"/>
      <c r="P627" s="2074"/>
    </row>
    <row r="628" spans="14:16">
      <c r="N628" s="2074"/>
      <c r="O628" s="2074"/>
      <c r="P628" s="2074"/>
    </row>
    <row r="629" spans="14:16">
      <c r="N629" s="2074"/>
      <c r="O629" s="2074"/>
      <c r="P629" s="2074"/>
    </row>
    <row r="630" spans="14:16">
      <c r="N630" s="2074"/>
      <c r="O630" s="2074"/>
      <c r="P630" s="2074"/>
    </row>
    <row r="631" spans="14:16">
      <c r="N631" s="2074"/>
      <c r="O631" s="2074"/>
      <c r="P631" s="2074"/>
    </row>
    <row r="632" spans="14:16">
      <c r="N632" s="2074"/>
      <c r="O632" s="2074"/>
      <c r="P632" s="2074"/>
    </row>
    <row r="633" spans="14:16">
      <c r="N633" s="2074"/>
      <c r="O633" s="2074"/>
      <c r="P633" s="2074"/>
    </row>
    <row r="634" spans="14:16">
      <c r="N634" s="2074"/>
      <c r="O634" s="2074"/>
      <c r="P634" s="2074"/>
    </row>
    <row r="635" spans="14:16">
      <c r="N635" s="2074"/>
      <c r="O635" s="2074"/>
      <c r="P635" s="2074"/>
    </row>
    <row r="636" spans="14:16">
      <c r="N636" s="2074"/>
      <c r="O636" s="2074"/>
      <c r="P636" s="2074"/>
    </row>
    <row r="637" spans="14:16">
      <c r="N637" s="2074"/>
      <c r="O637" s="2074"/>
      <c r="P637" s="2074"/>
    </row>
    <row r="638" spans="14:16">
      <c r="N638" s="2074"/>
      <c r="O638" s="2074"/>
      <c r="P638" s="2074"/>
    </row>
    <row r="639" spans="14:16">
      <c r="N639" s="2074"/>
      <c r="O639" s="2074"/>
      <c r="P639" s="2074"/>
    </row>
    <row r="640" spans="14:16">
      <c r="N640" s="2074"/>
      <c r="O640" s="2074"/>
      <c r="P640" s="2074"/>
    </row>
    <row r="641" spans="14:16">
      <c r="N641" s="2074"/>
      <c r="O641" s="2074"/>
      <c r="P641" s="2074"/>
    </row>
    <row r="642" spans="14:16">
      <c r="N642" s="2074"/>
      <c r="O642" s="2074"/>
      <c r="P642" s="2074"/>
    </row>
    <row r="643" spans="14:16">
      <c r="N643" s="2074"/>
      <c r="O643" s="2074"/>
      <c r="P643" s="2074"/>
    </row>
    <row r="644" spans="14:16">
      <c r="N644" s="2074"/>
      <c r="O644" s="2074"/>
      <c r="P644" s="2074"/>
    </row>
    <row r="645" spans="14:16">
      <c r="N645" s="2074"/>
      <c r="O645" s="2074"/>
      <c r="P645" s="2074"/>
    </row>
    <row r="646" spans="14:16">
      <c r="N646" s="2074"/>
      <c r="O646" s="2074"/>
      <c r="P646" s="2074"/>
    </row>
    <row r="647" spans="14:16">
      <c r="N647" s="2074"/>
      <c r="O647" s="2074"/>
      <c r="P647" s="2074"/>
    </row>
    <row r="648" spans="14:16">
      <c r="N648" s="2074"/>
      <c r="O648" s="2074"/>
      <c r="P648" s="2074"/>
    </row>
    <row r="649" spans="14:16">
      <c r="N649" s="2074"/>
      <c r="O649" s="2074"/>
      <c r="P649" s="2074"/>
    </row>
    <row r="650" spans="14:16">
      <c r="N650" s="2074"/>
      <c r="O650" s="2074"/>
      <c r="P650" s="2074"/>
    </row>
    <row r="651" spans="14:16">
      <c r="N651" s="2074"/>
      <c r="O651" s="2074"/>
      <c r="P651" s="2074"/>
    </row>
    <row r="652" spans="14:16">
      <c r="N652" s="2074"/>
      <c r="O652" s="2074"/>
      <c r="P652" s="2074"/>
    </row>
    <row r="653" spans="14:16">
      <c r="N653" s="2074"/>
      <c r="O653" s="2074"/>
      <c r="P653" s="2074"/>
    </row>
    <row r="654" spans="14:16">
      <c r="N654" s="2074"/>
      <c r="O654" s="2074"/>
      <c r="P654" s="2074"/>
    </row>
    <row r="655" spans="14:16">
      <c r="N655" s="2074"/>
      <c r="O655" s="2074"/>
      <c r="P655" s="2074"/>
    </row>
    <row r="656" spans="14:16">
      <c r="N656" s="2074"/>
      <c r="O656" s="2074"/>
      <c r="P656" s="2074"/>
    </row>
    <row r="657" spans="14:16">
      <c r="N657" s="2074"/>
      <c r="O657" s="2074"/>
      <c r="P657" s="2074"/>
    </row>
    <row r="658" spans="14:16">
      <c r="N658" s="2074"/>
      <c r="O658" s="2074"/>
      <c r="P658" s="2074"/>
    </row>
    <row r="659" spans="14:16">
      <c r="N659" s="2074"/>
      <c r="O659" s="2074"/>
      <c r="P659" s="2074"/>
    </row>
    <row r="660" spans="14:16">
      <c r="N660" s="2074"/>
      <c r="O660" s="2074"/>
      <c r="P660" s="2074"/>
    </row>
    <row r="661" spans="14:16">
      <c r="N661" s="2074"/>
      <c r="O661" s="2074"/>
      <c r="P661" s="2074"/>
    </row>
    <row r="662" spans="14:16">
      <c r="N662" s="2074"/>
      <c r="O662" s="2074"/>
      <c r="P662" s="2074"/>
    </row>
    <row r="663" spans="14:16">
      <c r="N663" s="2074"/>
      <c r="O663" s="2074"/>
      <c r="P663" s="2074"/>
    </row>
    <row r="664" spans="14:16">
      <c r="N664" s="2074"/>
      <c r="O664" s="2074"/>
      <c r="P664" s="2074"/>
    </row>
    <row r="665" spans="14:16">
      <c r="N665" s="2074"/>
      <c r="O665" s="2074"/>
      <c r="P665" s="2074"/>
    </row>
    <row r="666" spans="14:16">
      <c r="N666" s="2074"/>
      <c r="O666" s="2074"/>
      <c r="P666" s="2074"/>
    </row>
    <row r="667" spans="14:16">
      <c r="N667" s="2074"/>
      <c r="O667" s="2074"/>
      <c r="P667" s="2074"/>
    </row>
    <row r="668" spans="14:16">
      <c r="N668" s="2074"/>
      <c r="O668" s="2074"/>
      <c r="P668" s="2074"/>
    </row>
    <row r="669" spans="14:16">
      <c r="N669" s="2074"/>
      <c r="O669" s="2074"/>
      <c r="P669" s="2074"/>
    </row>
    <row r="670" spans="14:16">
      <c r="N670" s="2074"/>
      <c r="O670" s="2074"/>
      <c r="P670" s="2074"/>
    </row>
    <row r="671" spans="14:16">
      <c r="N671" s="2074"/>
      <c r="O671" s="2074"/>
      <c r="P671" s="2074"/>
    </row>
    <row r="672" spans="14:16">
      <c r="N672" s="2074"/>
      <c r="O672" s="2074"/>
      <c r="P672" s="2074"/>
    </row>
    <row r="673" spans="14:16">
      <c r="N673" s="2074"/>
      <c r="O673" s="2074"/>
      <c r="P673" s="2074"/>
    </row>
    <row r="674" spans="14:16">
      <c r="N674" s="2074"/>
      <c r="O674" s="2074"/>
      <c r="P674" s="2074"/>
    </row>
    <row r="675" spans="14:16">
      <c r="N675" s="2074"/>
      <c r="O675" s="2074"/>
      <c r="P675" s="2074"/>
    </row>
    <row r="676" spans="14:16">
      <c r="N676" s="2074"/>
      <c r="O676" s="2074"/>
      <c r="P676" s="2074"/>
    </row>
    <row r="677" spans="14:16">
      <c r="N677" s="2074"/>
      <c r="O677" s="2074"/>
      <c r="P677" s="2074"/>
    </row>
    <row r="678" spans="14:16">
      <c r="N678" s="2074"/>
      <c r="O678" s="2074"/>
      <c r="P678" s="2074"/>
    </row>
    <row r="679" spans="14:16">
      <c r="N679" s="2074"/>
      <c r="O679" s="2074"/>
      <c r="P679" s="2074"/>
    </row>
    <row r="680" spans="14:16">
      <c r="N680" s="2074"/>
      <c r="O680" s="2074"/>
      <c r="P680" s="2074"/>
    </row>
    <row r="681" spans="14:16">
      <c r="N681" s="2074"/>
      <c r="O681" s="2074"/>
      <c r="P681" s="2074"/>
    </row>
    <row r="682" spans="14:16">
      <c r="N682" s="2074"/>
      <c r="O682" s="2074"/>
      <c r="P682" s="2074"/>
    </row>
    <row r="683" spans="14:16">
      <c r="N683" s="2074"/>
      <c r="O683" s="2074"/>
      <c r="P683" s="2074"/>
    </row>
    <row r="684" spans="14:16">
      <c r="N684" s="2074"/>
      <c r="O684" s="2074"/>
      <c r="P684" s="2074"/>
    </row>
    <row r="685" spans="14:16">
      <c r="N685" s="2074"/>
      <c r="O685" s="2074"/>
      <c r="P685" s="2074"/>
    </row>
    <row r="686" spans="14:16">
      <c r="N686" s="2074"/>
      <c r="O686" s="2074"/>
      <c r="P686" s="2074"/>
    </row>
    <row r="687" spans="14:16">
      <c r="N687" s="2074"/>
      <c r="O687" s="2074"/>
      <c r="P687" s="2074"/>
    </row>
    <row r="688" spans="14:16">
      <c r="N688" s="2074"/>
      <c r="O688" s="2074"/>
      <c r="P688" s="2074"/>
    </row>
    <row r="689" spans="14:16">
      <c r="N689" s="2074"/>
      <c r="O689" s="2074"/>
      <c r="P689" s="2074"/>
    </row>
    <row r="690" spans="14:16">
      <c r="N690" s="2074"/>
      <c r="O690" s="2074"/>
      <c r="P690" s="2074"/>
    </row>
    <row r="691" spans="14:16">
      <c r="N691" s="2074"/>
      <c r="O691" s="2074"/>
      <c r="P691" s="2074"/>
    </row>
    <row r="692" spans="14:16">
      <c r="N692" s="2074"/>
      <c r="O692" s="2074"/>
      <c r="P692" s="2074"/>
    </row>
    <row r="693" spans="14:16">
      <c r="N693" s="2074"/>
      <c r="O693" s="2074"/>
      <c r="P693" s="2074"/>
    </row>
    <row r="694" spans="14:16">
      <c r="N694" s="2074"/>
      <c r="O694" s="2074"/>
      <c r="P694" s="2074"/>
    </row>
    <row r="695" spans="14:16">
      <c r="N695" s="2074"/>
      <c r="O695" s="2074"/>
      <c r="P695" s="2074"/>
    </row>
    <row r="696" spans="14:16">
      <c r="N696" s="2074"/>
      <c r="O696" s="2074"/>
      <c r="P696" s="2074"/>
    </row>
    <row r="697" spans="14:16">
      <c r="N697" s="2074"/>
      <c r="O697" s="2074"/>
      <c r="P697" s="2074"/>
    </row>
    <row r="698" spans="14:16">
      <c r="N698" s="2074"/>
      <c r="O698" s="2074"/>
      <c r="P698" s="2074"/>
    </row>
    <row r="699" spans="14:16">
      <c r="N699" s="2074"/>
      <c r="O699" s="2074"/>
      <c r="P699" s="2074"/>
    </row>
    <row r="700" spans="14:16">
      <c r="N700" s="2074"/>
      <c r="O700" s="2074"/>
      <c r="P700" s="2074"/>
    </row>
    <row r="701" spans="14:16">
      <c r="N701" s="2074"/>
      <c r="O701" s="2074"/>
      <c r="P701" s="2074"/>
    </row>
    <row r="702" spans="14:16">
      <c r="N702" s="2074"/>
      <c r="O702" s="2074"/>
      <c r="P702" s="2074"/>
    </row>
    <row r="703" spans="14:16">
      <c r="N703" s="2074"/>
      <c r="O703" s="2074"/>
      <c r="P703" s="2074"/>
    </row>
    <row r="704" spans="14:16">
      <c r="N704" s="2074"/>
      <c r="O704" s="2074"/>
      <c r="P704" s="2074"/>
    </row>
    <row r="705" spans="14:16">
      <c r="N705" s="2074"/>
      <c r="O705" s="2074"/>
      <c r="P705" s="2074"/>
    </row>
    <row r="706" spans="14:16">
      <c r="N706" s="2074"/>
      <c r="O706" s="2074"/>
      <c r="P706" s="2074"/>
    </row>
    <row r="707" spans="14:16">
      <c r="N707" s="2074"/>
      <c r="O707" s="2074"/>
      <c r="P707" s="2074"/>
    </row>
    <row r="708" spans="14:16">
      <c r="N708" s="2074"/>
      <c r="O708" s="2074"/>
      <c r="P708" s="2074"/>
    </row>
    <row r="709" spans="14:16">
      <c r="N709" s="2074"/>
      <c r="O709" s="2074"/>
      <c r="P709" s="2074"/>
    </row>
    <row r="710" spans="14:16">
      <c r="N710" s="2074"/>
      <c r="O710" s="2074"/>
      <c r="P710" s="2074"/>
    </row>
    <row r="711" spans="14:16">
      <c r="N711" s="2074"/>
      <c r="O711" s="2074"/>
      <c r="P711" s="2074"/>
    </row>
    <row r="712" spans="14:16">
      <c r="N712" s="2074"/>
      <c r="O712" s="2074"/>
      <c r="P712" s="2074"/>
    </row>
    <row r="713" spans="14:16">
      <c r="N713" s="2074"/>
      <c r="O713" s="2074"/>
      <c r="P713" s="2074"/>
    </row>
    <row r="714" spans="14:16">
      <c r="N714" s="2074"/>
      <c r="O714" s="2074"/>
      <c r="P714" s="2074"/>
    </row>
    <row r="715" spans="14:16">
      <c r="N715" s="2074"/>
      <c r="O715" s="2074"/>
      <c r="P715" s="2074"/>
    </row>
    <row r="716" spans="14:16">
      <c r="N716" s="2074"/>
      <c r="O716" s="2074"/>
      <c r="P716" s="2074"/>
    </row>
    <row r="717" spans="14:16">
      <c r="N717" s="2074"/>
      <c r="O717" s="2074"/>
      <c r="P717" s="2074"/>
    </row>
    <row r="718" spans="14:16">
      <c r="N718" s="2074"/>
      <c r="O718" s="2074"/>
      <c r="P718" s="2074"/>
    </row>
    <row r="719" spans="14:16">
      <c r="N719" s="2074"/>
      <c r="O719" s="2074"/>
      <c r="P719" s="2074"/>
    </row>
    <row r="720" spans="14:16">
      <c r="N720" s="2074"/>
      <c r="O720" s="2074"/>
      <c r="P720" s="2074"/>
    </row>
    <row r="721" spans="14:16">
      <c r="N721" s="2074"/>
      <c r="O721" s="2074"/>
      <c r="P721" s="2074"/>
    </row>
    <row r="722" spans="14:16">
      <c r="N722" s="2074"/>
      <c r="O722" s="2074"/>
      <c r="P722" s="2074"/>
    </row>
    <row r="723" spans="14:16">
      <c r="N723" s="2074"/>
      <c r="O723" s="2074"/>
      <c r="P723" s="2074"/>
    </row>
    <row r="724" spans="14:16">
      <c r="N724" s="2074"/>
      <c r="O724" s="2074"/>
      <c r="P724" s="2074"/>
    </row>
    <row r="725" spans="14:16">
      <c r="N725" s="2074"/>
      <c r="O725" s="2074"/>
      <c r="P725" s="2074"/>
    </row>
    <row r="726" spans="14:16">
      <c r="N726" s="2074"/>
      <c r="O726" s="2074"/>
      <c r="P726" s="2074"/>
    </row>
    <row r="727" spans="14:16">
      <c r="N727" s="2074"/>
      <c r="O727" s="2074"/>
      <c r="P727" s="2074"/>
    </row>
    <row r="728" spans="14:16">
      <c r="N728" s="2074"/>
      <c r="O728" s="2074"/>
      <c r="P728" s="2074"/>
    </row>
    <row r="729" spans="14:16">
      <c r="N729" s="2074"/>
      <c r="O729" s="2074"/>
      <c r="P729" s="2074"/>
    </row>
    <row r="730" spans="14:16">
      <c r="N730" s="2074"/>
      <c r="O730" s="2074"/>
      <c r="P730" s="2074"/>
    </row>
    <row r="731" spans="14:16">
      <c r="N731" s="2074"/>
      <c r="O731" s="2074"/>
      <c r="P731" s="2074"/>
    </row>
    <row r="732" spans="14:16">
      <c r="N732" s="2074"/>
      <c r="O732" s="2074"/>
      <c r="P732" s="2074"/>
    </row>
    <row r="733" spans="14:16">
      <c r="N733" s="2074"/>
      <c r="O733" s="2074"/>
      <c r="P733" s="2074"/>
    </row>
    <row r="734" spans="14:16">
      <c r="N734" s="2074"/>
      <c r="O734" s="2074"/>
      <c r="P734" s="2074"/>
    </row>
    <row r="735" spans="14:16">
      <c r="N735" s="2074"/>
      <c r="O735" s="2074"/>
      <c r="P735" s="2074"/>
    </row>
    <row r="736" spans="14:16">
      <c r="N736" s="2074"/>
      <c r="O736" s="2074"/>
      <c r="P736" s="2074"/>
    </row>
    <row r="737" spans="14:16">
      <c r="N737" s="2074"/>
      <c r="O737" s="2074"/>
      <c r="P737" s="2074"/>
    </row>
    <row r="738" spans="14:16">
      <c r="N738" s="2074"/>
      <c r="O738" s="2074"/>
      <c r="P738" s="2074"/>
    </row>
    <row r="739" spans="14:16">
      <c r="N739" s="2074"/>
      <c r="O739" s="2074"/>
      <c r="P739" s="2074"/>
    </row>
    <row r="740" spans="14:16">
      <c r="N740" s="2074"/>
      <c r="O740" s="2074"/>
      <c r="P740" s="2074"/>
    </row>
    <row r="741" spans="14:16">
      <c r="N741" s="2074"/>
      <c r="O741" s="2074"/>
      <c r="P741" s="2074"/>
    </row>
    <row r="742" spans="14:16">
      <c r="N742" s="2074"/>
      <c r="O742" s="2074"/>
      <c r="P742" s="2074"/>
    </row>
    <row r="743" spans="14:16">
      <c r="N743" s="2074"/>
      <c r="O743" s="2074"/>
      <c r="P743" s="2074"/>
    </row>
    <row r="744" spans="14:16">
      <c r="N744" s="2074"/>
      <c r="O744" s="2074"/>
      <c r="P744" s="2074"/>
    </row>
    <row r="745" spans="14:16">
      <c r="N745" s="2074"/>
      <c r="O745" s="2074"/>
      <c r="P745" s="2074"/>
    </row>
    <row r="746" spans="14:16">
      <c r="N746" s="2074"/>
      <c r="O746" s="2074"/>
      <c r="P746" s="2074"/>
    </row>
    <row r="747" spans="14:16">
      <c r="N747" s="2074"/>
      <c r="O747" s="2074"/>
      <c r="P747" s="2074"/>
    </row>
    <row r="748" spans="14:16">
      <c r="N748" s="2074"/>
      <c r="O748" s="2074"/>
      <c r="P748" s="2074"/>
    </row>
    <row r="749" spans="14:16">
      <c r="N749" s="2074"/>
      <c r="O749" s="2074"/>
      <c r="P749" s="2074"/>
    </row>
    <row r="750" spans="14:16">
      <c r="N750" s="2074"/>
      <c r="O750" s="2074"/>
      <c r="P750" s="2074"/>
    </row>
    <row r="751" spans="14:16">
      <c r="N751" s="2074"/>
      <c r="O751" s="2074"/>
      <c r="P751" s="2074"/>
    </row>
    <row r="752" spans="14:16">
      <c r="N752" s="2074"/>
      <c r="O752" s="2074"/>
      <c r="P752" s="2074"/>
    </row>
    <row r="753" spans="14:16">
      <c r="N753" s="2074"/>
      <c r="O753" s="2074"/>
      <c r="P753" s="2074"/>
    </row>
    <row r="754" spans="14:16">
      <c r="N754" s="2074"/>
      <c r="O754" s="2074"/>
      <c r="P754" s="2074"/>
    </row>
    <row r="755" spans="14:16">
      <c r="N755" s="2074"/>
      <c r="O755" s="2074"/>
      <c r="P755" s="2074"/>
    </row>
    <row r="756" spans="14:16">
      <c r="N756" s="2074"/>
      <c r="O756" s="2074"/>
      <c r="P756" s="2074"/>
    </row>
    <row r="757" spans="14:16">
      <c r="N757" s="2074"/>
      <c r="O757" s="2074"/>
      <c r="P757" s="2074"/>
    </row>
    <row r="758" spans="14:16">
      <c r="N758" s="2074"/>
      <c r="O758" s="2074"/>
      <c r="P758" s="2074"/>
    </row>
    <row r="759" spans="14:16">
      <c r="N759" s="2074"/>
      <c r="O759" s="2074"/>
      <c r="P759" s="2074"/>
    </row>
    <row r="760" spans="14:16">
      <c r="N760" s="2074"/>
      <c r="O760" s="2074"/>
      <c r="P760" s="2074"/>
    </row>
    <row r="761" spans="14:16">
      <c r="N761" s="2074"/>
      <c r="O761" s="2074"/>
      <c r="P761" s="2074"/>
    </row>
    <row r="762" spans="14:16">
      <c r="N762" s="2074"/>
      <c r="O762" s="2074"/>
      <c r="P762" s="2074"/>
    </row>
    <row r="763" spans="14:16">
      <c r="N763" s="2074"/>
      <c r="O763" s="2074"/>
      <c r="P763" s="2074"/>
    </row>
    <row r="764" spans="14:16">
      <c r="N764" s="2074"/>
      <c r="O764" s="2074"/>
      <c r="P764" s="2074"/>
    </row>
    <row r="765" spans="14:16">
      <c r="N765" s="2074"/>
      <c r="O765" s="2074"/>
      <c r="P765" s="2074"/>
    </row>
    <row r="766" spans="14:16">
      <c r="N766" s="2074"/>
      <c r="O766" s="2074"/>
      <c r="P766" s="2074"/>
    </row>
    <row r="767" spans="14:16">
      <c r="N767" s="2074"/>
      <c r="O767" s="2074"/>
      <c r="P767" s="2074"/>
    </row>
    <row r="768" spans="14:16">
      <c r="N768" s="2074"/>
      <c r="O768" s="2074"/>
      <c r="P768" s="2074"/>
    </row>
    <row r="769" spans="14:16">
      <c r="N769" s="2074"/>
      <c r="O769" s="2074"/>
      <c r="P769" s="2074"/>
    </row>
    <row r="770" spans="14:16">
      <c r="N770" s="2074"/>
      <c r="O770" s="2074"/>
      <c r="P770" s="2074"/>
    </row>
    <row r="771" spans="14:16">
      <c r="N771" s="2074"/>
      <c r="O771" s="2074"/>
      <c r="P771" s="2074"/>
    </row>
    <row r="772" spans="14:16">
      <c r="N772" s="2074"/>
      <c r="O772" s="2074"/>
      <c r="P772" s="2074"/>
    </row>
    <row r="773" spans="14:16">
      <c r="N773" s="2074"/>
      <c r="O773" s="2074"/>
      <c r="P773" s="2074"/>
    </row>
    <row r="774" spans="14:16">
      <c r="N774" s="2074"/>
      <c r="O774" s="2074"/>
      <c r="P774" s="2074"/>
    </row>
    <row r="775" spans="14:16">
      <c r="N775" s="2074"/>
      <c r="O775" s="2074"/>
      <c r="P775" s="2074"/>
    </row>
    <row r="776" spans="14:16">
      <c r="N776" s="2074"/>
      <c r="O776" s="2074"/>
      <c r="P776" s="2074"/>
    </row>
    <row r="777" spans="14:16">
      <c r="N777" s="2074"/>
      <c r="O777" s="2074"/>
      <c r="P777" s="2074"/>
    </row>
    <row r="778" spans="14:16">
      <c r="N778" s="2074"/>
      <c r="O778" s="2074"/>
      <c r="P778" s="2074"/>
    </row>
    <row r="779" spans="14:16">
      <c r="N779" s="2074"/>
      <c r="O779" s="2074"/>
      <c r="P779" s="2074"/>
    </row>
    <row r="780" spans="14:16">
      <c r="N780" s="2074"/>
      <c r="O780" s="2074"/>
      <c r="P780" s="2074"/>
    </row>
    <row r="781" spans="14:16">
      <c r="N781" s="2074"/>
      <c r="O781" s="2074"/>
      <c r="P781" s="2074"/>
    </row>
    <row r="782" spans="14:16">
      <c r="N782" s="2074"/>
      <c r="O782" s="2074"/>
      <c r="P782" s="2074"/>
    </row>
    <row r="783" spans="14:16">
      <c r="N783" s="2074"/>
      <c r="O783" s="2074"/>
      <c r="P783" s="2074"/>
    </row>
    <row r="784" spans="14:16">
      <c r="N784" s="2074"/>
      <c r="O784" s="2074"/>
      <c r="P784" s="2074"/>
    </row>
    <row r="785" spans="14:16">
      <c r="N785" s="2074"/>
      <c r="O785" s="2074"/>
      <c r="P785" s="2074"/>
    </row>
    <row r="786" spans="14:16">
      <c r="N786" s="2074"/>
      <c r="O786" s="2074"/>
      <c r="P786" s="2074"/>
    </row>
    <row r="787" spans="14:16">
      <c r="N787" s="2074"/>
      <c r="O787" s="2074"/>
      <c r="P787" s="2074"/>
    </row>
    <row r="788" spans="14:16">
      <c r="N788" s="2074"/>
      <c r="O788" s="2074"/>
      <c r="P788" s="2074"/>
    </row>
    <row r="789" spans="14:16">
      <c r="N789" s="2074"/>
      <c r="O789" s="2074"/>
      <c r="P789" s="2074"/>
    </row>
    <row r="790" spans="14:16">
      <c r="N790" s="2074"/>
      <c r="O790" s="2074"/>
      <c r="P790" s="2074"/>
    </row>
    <row r="791" spans="14:16">
      <c r="N791" s="2074"/>
      <c r="O791" s="2074"/>
      <c r="P791" s="2074"/>
    </row>
    <row r="792" spans="14:16">
      <c r="N792" s="2074"/>
      <c r="O792" s="2074"/>
      <c r="P792" s="2074"/>
    </row>
    <row r="793" spans="14:16">
      <c r="N793" s="2074"/>
      <c r="O793" s="2074"/>
      <c r="P793" s="2074"/>
    </row>
    <row r="794" spans="14:16">
      <c r="N794" s="2074"/>
      <c r="O794" s="2074"/>
      <c r="P794" s="2074"/>
    </row>
    <row r="795" spans="14:16">
      <c r="N795" s="2074"/>
      <c r="O795" s="2074"/>
      <c r="P795" s="2074"/>
    </row>
    <row r="796" spans="14:16">
      <c r="N796" s="2074"/>
      <c r="O796" s="2074"/>
      <c r="P796" s="2074"/>
    </row>
    <row r="797" spans="14:16">
      <c r="N797" s="2074"/>
      <c r="O797" s="2074"/>
      <c r="P797" s="2074"/>
    </row>
    <row r="798" spans="14:16">
      <c r="N798" s="2074"/>
      <c r="O798" s="2074"/>
      <c r="P798" s="2074"/>
    </row>
    <row r="799" spans="14:16">
      <c r="N799" s="2074"/>
      <c r="O799" s="2074"/>
      <c r="P799" s="2074"/>
    </row>
    <row r="800" spans="14:16">
      <c r="N800" s="2074"/>
      <c r="O800" s="2074"/>
      <c r="P800" s="2074"/>
    </row>
    <row r="801" spans="14:16">
      <c r="N801" s="2074"/>
      <c r="O801" s="2074"/>
      <c r="P801" s="2074"/>
    </row>
    <row r="802" spans="14:16">
      <c r="N802" s="2074"/>
      <c r="O802" s="2074"/>
      <c r="P802" s="2074"/>
    </row>
    <row r="803" spans="14:16">
      <c r="N803" s="2074"/>
      <c r="O803" s="2074"/>
      <c r="P803" s="2074"/>
    </row>
    <row r="804" spans="14:16">
      <c r="N804" s="2074"/>
      <c r="O804" s="2074"/>
      <c r="P804" s="2074"/>
    </row>
  </sheetData>
  <sheetProtection algorithmName="SHA-512" hashValue="YEWg5RKwnhZKovbeNmJMJfLtneZxs6wc+LIIdJycb5e1RLxRjYnlmijs4fpFpl5/BlLFjFfcs6nmmBp7zw6WAw==" saltValue="1PuUpGJH/OvOVG4haI9Ykw==" spinCount="100000" sheet="1" objects="1" scenarios="1" formatRows="0"/>
  <mergeCells count="305">
    <mergeCell ref="B28:L28"/>
    <mergeCell ref="C32:L32"/>
    <mergeCell ref="A34:P34"/>
    <mergeCell ref="O38:O41"/>
    <mergeCell ref="P38:P41"/>
    <mergeCell ref="J40:K40"/>
    <mergeCell ref="J41:K41"/>
    <mergeCell ref="J31:N31"/>
    <mergeCell ref="J39:N39"/>
    <mergeCell ref="H16:N16"/>
    <mergeCell ref="F15:G16"/>
    <mergeCell ref="H11:J11"/>
    <mergeCell ref="H15:N15"/>
    <mergeCell ref="H12:J13"/>
    <mergeCell ref="C15:D15"/>
    <mergeCell ref="C16:D16"/>
    <mergeCell ref="B26:L26"/>
    <mergeCell ref="D18:N18"/>
    <mergeCell ref="A1:P1"/>
    <mergeCell ref="A3:L4"/>
    <mergeCell ref="B6:F6"/>
    <mergeCell ref="K11:K13"/>
    <mergeCell ref="C10:E10"/>
    <mergeCell ref="C12:C13"/>
    <mergeCell ref="F11:G13"/>
    <mergeCell ref="A10:B13"/>
    <mergeCell ref="L12:N13"/>
    <mergeCell ref="L11:N11"/>
    <mergeCell ref="D12:D13"/>
    <mergeCell ref="E12:E13"/>
    <mergeCell ref="J61:K61"/>
    <mergeCell ref="M61:P61"/>
    <mergeCell ref="C42:L42"/>
    <mergeCell ref="B48:M48"/>
    <mergeCell ref="A50:P50"/>
    <mergeCell ref="A52:P52"/>
    <mergeCell ref="B57:L57"/>
    <mergeCell ref="J58:K58"/>
    <mergeCell ref="M58:P58"/>
    <mergeCell ref="J59:K59"/>
    <mergeCell ref="M59:P59"/>
    <mergeCell ref="J60:K60"/>
    <mergeCell ref="M60:P60"/>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V71:AA71"/>
    <mergeCell ref="J73:K73"/>
    <mergeCell ref="J74:K74"/>
    <mergeCell ref="M74:P74"/>
    <mergeCell ref="J68:K68"/>
    <mergeCell ref="M68:P68"/>
    <mergeCell ref="J69:K69"/>
    <mergeCell ref="M69:P69"/>
    <mergeCell ref="J70:K70"/>
    <mergeCell ref="M70:P70"/>
    <mergeCell ref="J75:K75"/>
    <mergeCell ref="M75:P75"/>
    <mergeCell ref="V75:W75"/>
    <mergeCell ref="X75:Y75"/>
    <mergeCell ref="Z75:AA75"/>
    <mergeCell ref="J76:K76"/>
    <mergeCell ref="M76:P76"/>
    <mergeCell ref="V76:W76"/>
    <mergeCell ref="X76:Y76"/>
    <mergeCell ref="Z76:AA76"/>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B175:E175"/>
    <mergeCell ref="G175:I175"/>
    <mergeCell ref="J175:P175"/>
    <mergeCell ref="C178:K178"/>
    <mergeCell ref="I191:I193"/>
    <mergeCell ref="F191:F193"/>
    <mergeCell ref="R178:R180"/>
    <mergeCell ref="R181:R183"/>
    <mergeCell ref="C183:K183"/>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60:P260"/>
    <mergeCell ref="A262:P262"/>
    <mergeCell ref="M266:M267"/>
    <mergeCell ref="A269:P269"/>
    <mergeCell ref="A271:P271"/>
    <mergeCell ref="H276:J276"/>
    <mergeCell ref="K276:M276"/>
    <mergeCell ref="I257:J257"/>
    <mergeCell ref="K257:L257"/>
    <mergeCell ref="M257:P257"/>
    <mergeCell ref="I258:J258"/>
    <mergeCell ref="K258:L258"/>
    <mergeCell ref="M258:P258"/>
    <mergeCell ref="A299:P299"/>
    <mergeCell ref="A301:P301"/>
    <mergeCell ref="M307:P307"/>
    <mergeCell ref="A313:P313"/>
    <mergeCell ref="A315:P315"/>
    <mergeCell ref="L320:M321"/>
    <mergeCell ref="O320:P321"/>
    <mergeCell ref="H277:J277"/>
    <mergeCell ref="K277:M277"/>
    <mergeCell ref="H278:J278"/>
    <mergeCell ref="K278:M278"/>
    <mergeCell ref="A281:P281"/>
    <mergeCell ref="A283:P283"/>
    <mergeCell ref="C322:E322"/>
    <mergeCell ref="F322:H322"/>
    <mergeCell ref="I322:J322"/>
    <mergeCell ref="L322:M322"/>
    <mergeCell ref="O322:P322"/>
    <mergeCell ref="C323:E323"/>
    <mergeCell ref="F323:H323"/>
    <mergeCell ref="I323:J323"/>
    <mergeCell ref="L323:M323"/>
    <mergeCell ref="O323:P323"/>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M399:P399"/>
    <mergeCell ref="A402:P402"/>
    <mergeCell ref="B397:C397"/>
    <mergeCell ref="D397:F397"/>
    <mergeCell ref="G397:I397"/>
    <mergeCell ref="J397:K397"/>
    <mergeCell ref="M397:P397"/>
    <mergeCell ref="B398:C398"/>
    <mergeCell ref="D398:F398"/>
    <mergeCell ref="G398:I398"/>
    <mergeCell ref="J398:K398"/>
    <mergeCell ref="M398:P39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7">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277:P283 P266:P271 P326:P331 P343 P345:P351 P354:P359 P361:P368 P96:P97 P244:P252 P259:P262 P108:P109 P112:P116"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topLeftCell="A25" workbookViewId="0">
      <selection activeCell="A5" sqref="A5:M5"/>
    </sheetView>
  </sheetViews>
  <sheetFormatPr defaultColWidth="8.6640625" defaultRowHeight="15.6"/>
  <cols>
    <col min="1" max="1" width="2.33203125" style="792" customWidth="1"/>
    <col min="2" max="13" width="7.6640625" style="792" customWidth="1"/>
    <col min="14" max="15" width="5.6640625" style="792" customWidth="1"/>
    <col min="16" max="16384" width="8.6640625" style="792"/>
  </cols>
  <sheetData>
    <row r="1" spans="1:26" ht="18">
      <c r="N1" s="793" t="s">
        <v>1400</v>
      </c>
      <c r="O1" s="793"/>
      <c r="P1" s="793"/>
      <c r="Q1" s="793"/>
      <c r="R1" s="793"/>
      <c r="S1" s="793"/>
      <c r="T1" s="793"/>
      <c r="U1" s="793"/>
      <c r="V1" s="793"/>
      <c r="W1" s="793"/>
      <c r="X1" s="793"/>
      <c r="Y1" s="793"/>
      <c r="Z1" s="793"/>
    </row>
    <row r="2" spans="1:26">
      <c r="N2" s="794" t="s">
        <v>1401</v>
      </c>
      <c r="O2" s="794"/>
      <c r="P2" s="794"/>
      <c r="Q2" s="794"/>
      <c r="R2" s="794"/>
      <c r="S2" s="794"/>
      <c r="T2" s="794"/>
      <c r="U2" s="794"/>
      <c r="V2" s="794"/>
      <c r="W2" s="794"/>
      <c r="X2" s="794"/>
      <c r="Y2" s="794"/>
      <c r="Z2" s="794"/>
    </row>
    <row r="3" spans="1:26">
      <c r="N3" s="795" t="s">
        <v>1402</v>
      </c>
      <c r="O3" s="795"/>
      <c r="P3" s="795"/>
      <c r="Q3" s="795"/>
      <c r="R3" s="795"/>
      <c r="S3" s="795"/>
      <c r="T3" s="795"/>
      <c r="U3" s="795"/>
      <c r="V3" s="795"/>
      <c r="W3" s="795"/>
      <c r="X3" s="795"/>
      <c r="Y3" s="795"/>
      <c r="Z3" s="795"/>
    </row>
    <row r="4" spans="1:26">
      <c r="B4" s="796"/>
      <c r="C4" s="796"/>
      <c r="D4" s="796"/>
      <c r="E4" s="796"/>
      <c r="F4" s="796"/>
      <c r="G4" s="796"/>
      <c r="H4" s="796"/>
      <c r="I4" s="796"/>
      <c r="J4" s="796"/>
      <c r="K4" s="796"/>
      <c r="L4" s="796"/>
      <c r="M4" s="796"/>
      <c r="N4" s="797" t="s">
        <v>655</v>
      </c>
    </row>
    <row r="5" spans="1:26" ht="59.25" customHeight="1">
      <c r="A5" s="4138" t="s">
        <v>2472</v>
      </c>
      <c r="B5" s="4138"/>
      <c r="C5" s="4138"/>
      <c r="D5" s="4138"/>
      <c r="E5" s="4138"/>
      <c r="F5" s="4138"/>
      <c r="G5" s="4138"/>
      <c r="H5" s="4138"/>
      <c r="I5" s="4138"/>
      <c r="J5" s="4138"/>
      <c r="K5" s="4138"/>
      <c r="L5" s="4138"/>
      <c r="M5" s="4138"/>
    </row>
    <row r="6" spans="1:26" ht="11.7" customHeight="1">
      <c r="A6" s="796"/>
      <c r="B6" s="796"/>
      <c r="C6" s="796"/>
      <c r="D6" s="796"/>
      <c r="E6" s="796"/>
      <c r="F6" s="796"/>
      <c r="G6" s="796"/>
      <c r="H6" s="796"/>
      <c r="I6" s="796"/>
      <c r="J6" s="796"/>
      <c r="K6" s="796"/>
      <c r="L6" s="796"/>
      <c r="M6" s="796"/>
    </row>
    <row r="7" spans="1:26">
      <c r="A7" s="796" t="s">
        <v>660</v>
      </c>
      <c r="B7" s="796"/>
      <c r="C7" s="796"/>
      <c r="D7" s="796"/>
      <c r="E7" s="796"/>
      <c r="F7" s="796"/>
      <c r="G7" s="796"/>
      <c r="H7" s="796"/>
      <c r="I7" s="796"/>
      <c r="J7" s="796"/>
      <c r="K7" s="796"/>
      <c r="L7" s="796"/>
      <c r="M7" s="796"/>
    </row>
    <row r="8" spans="1:26" ht="11.7" customHeight="1">
      <c r="A8" s="796"/>
      <c r="B8" s="796"/>
      <c r="C8" s="796"/>
      <c r="D8" s="796"/>
      <c r="E8" s="796"/>
      <c r="F8" s="796"/>
      <c r="G8" s="796"/>
      <c r="H8" s="796"/>
      <c r="I8" s="796"/>
      <c r="J8" s="796"/>
      <c r="K8" s="796"/>
      <c r="L8" s="796"/>
      <c r="M8" s="796"/>
    </row>
    <row r="9" spans="1:26">
      <c r="A9" s="4134" t="s">
        <v>1761</v>
      </c>
      <c r="B9" s="4134"/>
      <c r="C9" s="4134"/>
      <c r="D9" s="4134"/>
      <c r="E9" s="4134"/>
      <c r="F9" s="4134"/>
      <c r="G9" s="4134"/>
      <c r="H9" s="4134"/>
      <c r="I9" s="4134"/>
      <c r="J9" s="4134"/>
      <c r="K9" s="4134"/>
      <c r="L9" s="4134"/>
      <c r="M9" s="4134"/>
    </row>
    <row r="10" spans="1:26" ht="6.75" customHeight="1">
      <c r="A10" s="4134"/>
      <c r="B10" s="4134"/>
      <c r="C10" s="4134"/>
      <c r="D10" s="4134"/>
      <c r="E10" s="4134"/>
      <c r="F10" s="4134"/>
      <c r="G10" s="4134"/>
      <c r="H10" s="4134"/>
      <c r="I10" s="4134"/>
      <c r="J10" s="4134"/>
      <c r="K10" s="4134"/>
      <c r="L10" s="4134"/>
      <c r="M10" s="4134"/>
    </row>
    <row r="11" spans="1:26" ht="44.25" customHeight="1">
      <c r="A11" s="4139" t="s">
        <v>5099</v>
      </c>
      <c r="B11" s="4139"/>
      <c r="C11" s="4139"/>
      <c r="D11" s="4139"/>
      <c r="E11" s="4139"/>
      <c r="F11" s="4139"/>
      <c r="G11" s="4139"/>
      <c r="H11" s="4139"/>
      <c r="I11" s="4139"/>
      <c r="J11" s="4139"/>
      <c r="K11" s="4139"/>
      <c r="L11" s="4139"/>
      <c r="M11" s="4139"/>
    </row>
    <row r="12" spans="1:26" ht="3" customHeight="1">
      <c r="A12" s="4134"/>
      <c r="B12" s="4134"/>
      <c r="C12" s="4134"/>
      <c r="D12" s="4134"/>
      <c r="E12" s="4134"/>
      <c r="F12" s="4134"/>
      <c r="G12" s="4134"/>
      <c r="H12" s="4134"/>
      <c r="I12" s="4134"/>
      <c r="J12" s="4134"/>
      <c r="K12" s="4134"/>
      <c r="L12" s="4134"/>
      <c r="M12" s="4134"/>
    </row>
    <row r="13" spans="1:26" ht="101.25" customHeight="1">
      <c r="A13" s="798" t="s">
        <v>1611</v>
      </c>
      <c r="B13" s="4136" t="s">
        <v>3102</v>
      </c>
      <c r="C13" s="4136"/>
      <c r="D13" s="4136"/>
      <c r="E13" s="4136"/>
      <c r="F13" s="4136"/>
      <c r="G13" s="4136"/>
      <c r="H13" s="4136"/>
      <c r="I13" s="4136"/>
      <c r="J13" s="4136"/>
      <c r="K13" s="4136"/>
      <c r="L13" s="4136"/>
      <c r="M13" s="4136"/>
      <c r="U13" s="792" t="s">
        <v>4162</v>
      </c>
    </row>
    <row r="14" spans="1:26" ht="47.25" customHeight="1">
      <c r="A14" s="798" t="s">
        <v>1612</v>
      </c>
      <c r="B14" s="4136" t="s">
        <v>3103</v>
      </c>
      <c r="C14" s="4136"/>
      <c r="D14" s="4136"/>
      <c r="E14" s="4136"/>
      <c r="F14" s="4136"/>
      <c r="G14" s="4136"/>
      <c r="H14" s="4136"/>
      <c r="I14" s="4136"/>
      <c r="J14" s="4136"/>
      <c r="K14" s="4136"/>
      <c r="L14" s="4136"/>
      <c r="M14" s="4136"/>
    </row>
    <row r="15" spans="1:26" ht="117" customHeight="1">
      <c r="A15" s="798" t="s">
        <v>1613</v>
      </c>
      <c r="B15" s="4136" t="s">
        <v>3104</v>
      </c>
      <c r="C15" s="4136"/>
      <c r="D15" s="4136"/>
      <c r="E15" s="4136"/>
      <c r="F15" s="4136"/>
      <c r="G15" s="4136"/>
      <c r="H15" s="4136"/>
      <c r="I15" s="4136"/>
      <c r="J15" s="4136"/>
      <c r="K15" s="4136"/>
      <c r="L15" s="4136"/>
      <c r="M15" s="4136"/>
    </row>
    <row r="16" spans="1:26" ht="147" customHeight="1">
      <c r="A16" s="798" t="s">
        <v>2175</v>
      </c>
      <c r="B16" s="4136" t="s">
        <v>2984</v>
      </c>
      <c r="C16" s="4136"/>
      <c r="D16" s="4136"/>
      <c r="E16" s="4136"/>
      <c r="F16" s="4136"/>
      <c r="G16" s="4136"/>
      <c r="H16" s="4136"/>
      <c r="I16" s="4136"/>
      <c r="J16" s="4136"/>
      <c r="K16" s="4136"/>
      <c r="L16" s="4136"/>
      <c r="M16" s="4136"/>
    </row>
    <row r="17" spans="1:13" ht="48.75" customHeight="1">
      <c r="A17" s="798" t="s">
        <v>1446</v>
      </c>
      <c r="B17" s="4136" t="s">
        <v>636</v>
      </c>
      <c r="C17" s="4136"/>
      <c r="D17" s="4136"/>
      <c r="E17" s="4136"/>
      <c r="F17" s="4136"/>
      <c r="G17" s="4136"/>
      <c r="H17" s="4136"/>
      <c r="I17" s="4136"/>
      <c r="J17" s="4136"/>
      <c r="K17" s="4136"/>
      <c r="L17" s="4136"/>
      <c r="M17" s="4136"/>
    </row>
    <row r="18" spans="1:13" ht="165" customHeight="1">
      <c r="A18" s="798" t="s">
        <v>1447</v>
      </c>
      <c r="B18" s="4136" t="s">
        <v>2983</v>
      </c>
      <c r="C18" s="4136"/>
      <c r="D18" s="4136"/>
      <c r="E18" s="4136"/>
      <c r="F18" s="4136"/>
      <c r="G18" s="4136"/>
      <c r="H18" s="4136"/>
      <c r="I18" s="4136"/>
      <c r="J18" s="4136"/>
      <c r="K18" s="4136"/>
      <c r="L18" s="4136"/>
      <c r="M18" s="4136"/>
    </row>
    <row r="19" spans="1:13" ht="48.75" customHeight="1">
      <c r="A19" s="798" t="s">
        <v>93</v>
      </c>
      <c r="B19" s="4137" t="s">
        <v>3105</v>
      </c>
      <c r="C19" s="4137"/>
      <c r="D19" s="4137"/>
      <c r="E19" s="4137"/>
      <c r="F19" s="4137"/>
      <c r="G19" s="4137"/>
      <c r="H19" s="4137"/>
      <c r="I19" s="4137"/>
      <c r="J19" s="4137"/>
      <c r="K19" s="4137"/>
      <c r="L19" s="4137"/>
      <c r="M19" s="4137"/>
    </row>
    <row r="20" spans="1:13" ht="50.25" customHeight="1">
      <c r="A20" s="798" t="s">
        <v>480</v>
      </c>
      <c r="B20" s="4136" t="s">
        <v>2985</v>
      </c>
      <c r="C20" s="4136"/>
      <c r="D20" s="4136"/>
      <c r="E20" s="4136"/>
      <c r="F20" s="4136"/>
      <c r="G20" s="4136"/>
      <c r="H20" s="4136"/>
      <c r="I20" s="4136"/>
      <c r="J20" s="4136"/>
      <c r="K20" s="4136"/>
      <c r="L20" s="4136"/>
      <c r="M20" s="4136"/>
    </row>
    <row r="21" spans="1:13" ht="31.5" customHeight="1">
      <c r="A21" s="798" t="s">
        <v>481</v>
      </c>
      <c r="B21" s="4136" t="s">
        <v>3001</v>
      </c>
      <c r="C21" s="4136"/>
      <c r="D21" s="4136"/>
      <c r="E21" s="4136"/>
      <c r="F21" s="4136"/>
      <c r="G21" s="4136"/>
      <c r="H21" s="4136"/>
      <c r="I21" s="4136"/>
      <c r="J21" s="4136"/>
      <c r="K21" s="4136"/>
      <c r="L21" s="4136"/>
      <c r="M21" s="4136"/>
    </row>
    <row r="22" spans="1:13" ht="1.5" customHeight="1">
      <c r="A22" s="4134"/>
      <c r="B22" s="4134"/>
      <c r="C22" s="4134"/>
      <c r="D22" s="4134"/>
      <c r="E22" s="4134"/>
      <c r="F22" s="4134"/>
      <c r="G22" s="4134"/>
      <c r="H22" s="4134"/>
      <c r="I22" s="4134"/>
      <c r="J22" s="4134"/>
      <c r="K22" s="4134"/>
      <c r="L22" s="4134"/>
      <c r="M22" s="4134"/>
    </row>
    <row r="23" spans="1:13" ht="3" customHeight="1">
      <c r="A23" s="4134"/>
      <c r="B23" s="4134"/>
      <c r="C23" s="4134"/>
      <c r="D23" s="4134"/>
      <c r="E23" s="4134"/>
      <c r="F23" s="4134"/>
      <c r="G23" s="4134"/>
      <c r="H23" s="4134"/>
      <c r="I23" s="4134"/>
      <c r="J23" s="4134"/>
      <c r="K23" s="4134"/>
      <c r="L23" s="4134"/>
      <c r="M23" s="4134"/>
    </row>
    <row r="24" spans="1:13" ht="13.5" customHeight="1">
      <c r="A24" s="4134" t="s">
        <v>1372</v>
      </c>
      <c r="B24" s="4134"/>
      <c r="C24" s="4134"/>
      <c r="D24" s="4134"/>
      <c r="E24" s="4134"/>
      <c r="F24" s="4134"/>
      <c r="G24" s="4134"/>
      <c r="H24" s="4134"/>
      <c r="I24" s="4134"/>
      <c r="J24" s="4134"/>
      <c r="K24" s="4134"/>
      <c r="L24" s="4134"/>
      <c r="M24" s="4134"/>
    </row>
    <row r="25" spans="1:13" ht="32.25" customHeight="1">
      <c r="A25" s="798" t="s">
        <v>1373</v>
      </c>
      <c r="B25" s="4136" t="s">
        <v>3002</v>
      </c>
      <c r="C25" s="4136"/>
      <c r="D25" s="4136"/>
      <c r="E25" s="4136"/>
      <c r="F25" s="4136"/>
      <c r="G25" s="4136"/>
      <c r="H25" s="4136"/>
      <c r="I25" s="4136"/>
      <c r="J25" s="4136"/>
      <c r="K25" s="4136"/>
      <c r="L25" s="4136"/>
      <c r="M25" s="4136"/>
    </row>
    <row r="26" spans="1:13" ht="31.5" customHeight="1">
      <c r="A26" s="798" t="s">
        <v>1373</v>
      </c>
      <c r="B26" s="4136" t="s">
        <v>3003</v>
      </c>
      <c r="C26" s="4136"/>
      <c r="D26" s="4136"/>
      <c r="E26" s="4136"/>
      <c r="F26" s="4136"/>
      <c r="G26" s="4136"/>
      <c r="H26" s="4136"/>
      <c r="I26" s="4136"/>
      <c r="J26" s="4136"/>
      <c r="K26" s="4136"/>
      <c r="L26" s="4136"/>
      <c r="M26" s="4136"/>
    </row>
    <row r="27" spans="1:13" ht="78.75" customHeight="1">
      <c r="A27" s="798" t="s">
        <v>1373</v>
      </c>
      <c r="B27" s="4136" t="s">
        <v>2473</v>
      </c>
      <c r="C27" s="4136"/>
      <c r="D27" s="4136"/>
      <c r="E27" s="4136"/>
      <c r="F27" s="4136"/>
      <c r="G27" s="4136"/>
      <c r="H27" s="4136"/>
      <c r="I27" s="4136"/>
      <c r="J27" s="4136"/>
      <c r="K27" s="4136"/>
      <c r="L27" s="4136"/>
      <c r="M27" s="4136"/>
    </row>
    <row r="28" spans="1:13" ht="7.5" customHeight="1">
      <c r="A28" s="4134"/>
      <c r="B28" s="4134"/>
      <c r="C28" s="4134"/>
      <c r="D28" s="4134"/>
      <c r="E28" s="4134"/>
      <c r="F28" s="4134"/>
      <c r="G28" s="4134"/>
      <c r="H28" s="4134"/>
      <c r="I28" s="4134"/>
      <c r="J28" s="4134"/>
      <c r="K28" s="4134"/>
      <c r="L28" s="4134"/>
      <c r="M28" s="4134"/>
    </row>
    <row r="29" spans="1:13" ht="43.5" customHeight="1">
      <c r="A29" s="4136" t="s">
        <v>886</v>
      </c>
      <c r="B29" s="4136"/>
      <c r="C29" s="4136"/>
      <c r="D29" s="4136"/>
      <c r="E29" s="4136"/>
      <c r="F29" s="4136"/>
      <c r="G29" s="4136"/>
      <c r="H29" s="4136"/>
      <c r="I29" s="4136"/>
      <c r="J29" s="4136"/>
      <c r="K29" s="4136"/>
      <c r="L29" s="4136"/>
      <c r="M29" s="4136"/>
    </row>
    <row r="30" spans="1:13" ht="3" customHeight="1">
      <c r="A30" s="4134"/>
      <c r="B30" s="4134"/>
      <c r="C30" s="4134"/>
      <c r="D30" s="4134"/>
      <c r="E30" s="4134"/>
      <c r="F30" s="4134"/>
      <c r="G30" s="4134"/>
      <c r="H30" s="4134"/>
      <c r="I30" s="4134"/>
      <c r="J30" s="4134"/>
      <c r="K30" s="4134"/>
      <c r="L30" s="4134"/>
      <c r="M30" s="4134"/>
    </row>
    <row r="31" spans="1:13" ht="32.25" customHeight="1">
      <c r="A31" s="4136" t="s">
        <v>2474</v>
      </c>
      <c r="B31" s="4136"/>
      <c r="C31" s="4136"/>
      <c r="D31" s="4136"/>
      <c r="E31" s="4136"/>
      <c r="F31" s="4136"/>
      <c r="G31" s="4136"/>
      <c r="H31" s="4136"/>
      <c r="I31" s="4136"/>
      <c r="J31" s="4136"/>
      <c r="K31" s="4136"/>
      <c r="L31" s="4136"/>
      <c r="M31" s="4136"/>
    </row>
    <row r="32" spans="1:13" ht="4.5" customHeight="1">
      <c r="A32" s="4134"/>
      <c r="B32" s="4134"/>
      <c r="C32" s="4134"/>
      <c r="D32" s="4134"/>
      <c r="E32" s="4134"/>
      <c r="F32" s="4134"/>
      <c r="G32" s="4134"/>
      <c r="H32" s="4134"/>
      <c r="I32" s="4134"/>
      <c r="J32" s="4134"/>
      <c r="K32" s="4134"/>
      <c r="L32" s="4134"/>
      <c r="M32" s="4134"/>
    </row>
    <row r="33" spans="1:13">
      <c r="A33" s="4134" t="s">
        <v>863</v>
      </c>
      <c r="B33" s="4134"/>
      <c r="C33" s="4134"/>
      <c r="D33" s="4134"/>
      <c r="E33" s="4134"/>
      <c r="F33" s="4134"/>
      <c r="G33" s="4134"/>
      <c r="H33" s="4134"/>
      <c r="I33" s="4134"/>
      <c r="J33" s="4134"/>
      <c r="K33" s="4134"/>
      <c r="L33" s="4134"/>
      <c r="M33" s="4134"/>
    </row>
    <row r="34" spans="1:13" ht="6" customHeight="1">
      <c r="A34" s="818"/>
      <c r="B34" s="818"/>
      <c r="C34" s="818"/>
      <c r="D34" s="818"/>
      <c r="E34" s="818"/>
      <c r="F34" s="818"/>
      <c r="G34" s="818"/>
      <c r="H34" s="818"/>
      <c r="I34" s="818"/>
      <c r="J34" s="818"/>
      <c r="K34" s="818"/>
      <c r="L34" s="818"/>
      <c r="M34" s="818"/>
    </row>
    <row r="35" spans="1:13">
      <c r="A35" s="4135"/>
      <c r="B35" s="4135"/>
      <c r="C35" s="4135"/>
      <c r="D35" s="4135"/>
      <c r="E35" s="4135"/>
      <c r="F35" s="4135"/>
      <c r="G35" s="796"/>
      <c r="H35" s="4135"/>
      <c r="I35" s="4135"/>
      <c r="J35" s="4135"/>
      <c r="K35" s="4135"/>
      <c r="L35" s="4135"/>
      <c r="M35" s="4135"/>
    </row>
    <row r="36" spans="1:13" ht="12" customHeight="1">
      <c r="A36" s="4132" t="s">
        <v>864</v>
      </c>
      <c r="B36" s="4132"/>
      <c r="C36" s="4132"/>
      <c r="D36" s="4132"/>
      <c r="E36" s="4132"/>
      <c r="F36" s="4132"/>
      <c r="G36" s="796"/>
      <c r="H36" s="4132" t="s">
        <v>1833</v>
      </c>
      <c r="I36" s="4132"/>
      <c r="J36" s="4132"/>
      <c r="K36" s="4132"/>
      <c r="L36" s="4132"/>
      <c r="M36" s="4132"/>
    </row>
    <row r="37" spans="1:13" ht="6" customHeight="1">
      <c r="A37" s="796"/>
      <c r="B37" s="796"/>
      <c r="C37" s="796"/>
      <c r="D37" s="796"/>
      <c r="E37" s="796"/>
      <c r="F37" s="796"/>
      <c r="G37" s="796"/>
      <c r="H37" s="796"/>
      <c r="I37" s="796"/>
      <c r="J37" s="796"/>
      <c r="K37" s="796"/>
      <c r="L37" s="796"/>
      <c r="M37" s="796"/>
    </row>
    <row r="38" spans="1:13">
      <c r="A38" s="4130"/>
      <c r="B38" s="4130"/>
      <c r="C38" s="4130"/>
      <c r="D38" s="4130"/>
      <c r="E38" s="4130"/>
      <c r="F38" s="4130"/>
      <c r="G38" s="796"/>
      <c r="H38" s="4131"/>
      <c r="I38" s="4131"/>
      <c r="J38" s="4131"/>
      <c r="K38" s="4131"/>
      <c r="L38" s="4131"/>
      <c r="M38" s="4131"/>
    </row>
    <row r="39" spans="1:13" ht="12" customHeight="1">
      <c r="A39" s="4132" t="s">
        <v>865</v>
      </c>
      <c r="B39" s="4132"/>
      <c r="C39" s="4132"/>
      <c r="D39" s="4132"/>
      <c r="E39" s="4132"/>
      <c r="F39" s="4132"/>
      <c r="G39" s="796"/>
      <c r="H39" s="4132" t="s">
        <v>866</v>
      </c>
      <c r="I39" s="4132"/>
      <c r="J39" s="4132"/>
      <c r="K39" s="4132"/>
      <c r="L39" s="4132"/>
      <c r="M39" s="4132"/>
    </row>
    <row r="40" spans="1:13" ht="3" customHeight="1">
      <c r="A40" s="799"/>
      <c r="B40" s="799"/>
      <c r="C40" s="799"/>
      <c r="D40" s="799"/>
      <c r="E40" s="799"/>
      <c r="F40" s="799"/>
      <c r="G40" s="796"/>
      <c r="H40" s="799"/>
      <c r="I40" s="799"/>
      <c r="J40" s="799"/>
      <c r="K40" s="799"/>
      <c r="L40" s="799"/>
      <c r="M40" s="799"/>
    </row>
    <row r="41" spans="1:13" ht="11.7" customHeight="1">
      <c r="A41" s="796"/>
      <c r="B41" s="796"/>
      <c r="C41" s="796"/>
      <c r="D41" s="796"/>
      <c r="E41" s="796"/>
      <c r="F41" s="796"/>
      <c r="G41" s="796"/>
      <c r="H41" s="4133" t="s">
        <v>867</v>
      </c>
      <c r="I41" s="4133"/>
      <c r="J41" s="4133"/>
      <c r="K41" s="4133"/>
      <c r="L41" s="4133"/>
      <c r="M41" s="4133"/>
    </row>
    <row r="42" spans="1:13" ht="11.7" customHeight="1">
      <c r="A42" s="796"/>
      <c r="B42" s="796"/>
      <c r="C42" s="796"/>
      <c r="D42" s="796"/>
      <c r="E42" s="796"/>
      <c r="F42" s="796"/>
      <c r="G42" s="796"/>
    </row>
    <row r="43" spans="1:13" ht="11.7" customHeight="1">
      <c r="A43" s="796"/>
      <c r="B43" s="796"/>
      <c r="C43" s="796"/>
      <c r="D43" s="796"/>
      <c r="E43" s="796"/>
      <c r="F43" s="796"/>
      <c r="G43" s="796"/>
      <c r="H43" s="796"/>
      <c r="I43" s="796"/>
      <c r="J43" s="796"/>
      <c r="K43" s="796"/>
      <c r="L43" s="796"/>
      <c r="M43" s="796"/>
    </row>
    <row r="44" spans="1:13" ht="11.7" customHeight="1">
      <c r="A44" s="796"/>
      <c r="B44" s="796"/>
      <c r="C44" s="796"/>
      <c r="D44" s="796"/>
      <c r="E44" s="796"/>
      <c r="F44" s="796"/>
      <c r="G44" s="796"/>
      <c r="H44" s="796"/>
      <c r="I44" s="796"/>
      <c r="J44" s="796"/>
      <c r="K44" s="796"/>
      <c r="L44" s="796"/>
      <c r="M44" s="796"/>
    </row>
    <row r="45" spans="1:13" ht="11.7" customHeight="1"/>
    <row r="46" spans="1:13" ht="11.7" customHeight="1"/>
    <row r="47" spans="1:13" ht="11.7" customHeight="1"/>
    <row r="48" spans="1:13" ht="11.7" customHeight="1"/>
    <row r="49" ht="11.7" customHeight="1"/>
  </sheetData>
  <sheetProtection algorithmName="SHA-512" hashValue="OrWwePFX2uWekuh6n+phz9Hp4eSo1jff6Y1KPTIKYEKf0oKGfq1sdDsLQt39JDT1vxMxb/sdPNZ3PLFYtbUe3A==" saltValue="0qMyojKXQCDSx29THa8buw==" spinCount="100000" sheet="1" objects="1" scenario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election activeCell="D4" sqref="D4:I4"/>
    </sheetView>
  </sheetViews>
  <sheetFormatPr defaultColWidth="9.33203125" defaultRowHeight="13.8"/>
  <cols>
    <col min="1" max="1" width="5.44140625" style="1255" customWidth="1"/>
    <col min="2" max="2" width="6.33203125" style="1255" customWidth="1"/>
    <col min="3" max="3" width="9.6640625" style="1255" customWidth="1"/>
    <col min="4" max="4" width="10.44140625" style="1255" customWidth="1"/>
    <col min="5" max="5" width="7.6640625" style="1259" customWidth="1"/>
    <col min="6" max="6" width="8" style="1255" customWidth="1"/>
    <col min="7" max="7" width="8.6640625" style="1255" customWidth="1"/>
    <col min="8" max="8" width="10.33203125" style="1255" customWidth="1"/>
    <col min="9" max="9" width="10.6640625" style="1255" customWidth="1"/>
    <col min="10" max="11" width="11.6640625" style="1255" customWidth="1"/>
    <col min="12" max="16384" width="9.33203125" style="1255"/>
  </cols>
  <sheetData>
    <row r="1" spans="1:11" ht="18">
      <c r="A1" s="1302" t="s">
        <v>3833</v>
      </c>
      <c r="B1" s="1302"/>
      <c r="C1" s="1302"/>
      <c r="D1" s="1302"/>
      <c r="E1" s="1302"/>
      <c r="F1" s="1302"/>
      <c r="G1" s="1302"/>
      <c r="H1" s="1302"/>
    </row>
    <row r="2" spans="1:11" ht="18.600000000000001" thickBot="1">
      <c r="A2" s="1302" t="s">
        <v>3834</v>
      </c>
      <c r="B2" s="1302"/>
      <c r="C2" s="1302"/>
      <c r="D2" s="1302"/>
      <c r="E2" s="1302"/>
      <c r="F2" s="1302"/>
      <c r="G2" s="1302"/>
      <c r="H2" s="1302"/>
    </row>
    <row r="3" spans="1:11" ht="15" customHeight="1" thickBot="1">
      <c r="A3" s="1256" t="s">
        <v>3835</v>
      </c>
      <c r="B3" s="1257"/>
      <c r="C3" s="1258"/>
      <c r="D3" s="4199" t="str">
        <f>'Part I-Project Identification'!F26</f>
        <v>Retreat at Madison Place</v>
      </c>
      <c r="E3" s="4200"/>
      <c r="F3" s="4200"/>
      <c r="G3" s="4200"/>
      <c r="H3" s="4200"/>
      <c r="I3" s="4200"/>
      <c r="J3" s="4201" t="s">
        <v>4062</v>
      </c>
      <c r="K3" s="4202"/>
    </row>
    <row r="4" spans="1:11" ht="15" customHeight="1">
      <c r="A4" s="1260" t="s">
        <v>3836</v>
      </c>
      <c r="B4" s="1261"/>
      <c r="C4" s="1262"/>
      <c r="D4" s="4203"/>
      <c r="E4" s="4204"/>
      <c r="F4" s="4204"/>
      <c r="G4" s="4204"/>
      <c r="H4" s="4204"/>
      <c r="I4" s="4204"/>
      <c r="J4" s="4205" t="s">
        <v>3877</v>
      </c>
      <c r="K4" s="4206"/>
    </row>
    <row r="5" spans="1:11" ht="15" customHeight="1" thickBot="1">
      <c r="A5" s="1263" t="s">
        <v>3837</v>
      </c>
      <c r="B5" s="1264"/>
      <c r="C5" s="1265"/>
      <c r="D5" s="4209"/>
      <c r="E5" s="4210"/>
      <c r="F5" s="4210"/>
      <c r="G5" s="4210"/>
      <c r="H5" s="4210"/>
      <c r="I5" s="4210"/>
      <c r="J5" s="4207"/>
      <c r="K5" s="4208"/>
    </row>
    <row r="6" spans="1:11" ht="9" customHeight="1" thickBot="1">
      <c r="E6" s="1255"/>
    </row>
    <row r="7" spans="1:11">
      <c r="A7" s="4193" t="s">
        <v>3839</v>
      </c>
      <c r="B7" s="4194"/>
      <c r="C7" s="4194"/>
      <c r="D7" s="4194"/>
      <c r="E7" s="4194"/>
      <c r="F7" s="4194"/>
      <c r="G7" s="4194"/>
      <c r="H7" s="4194"/>
      <c r="I7" s="4194"/>
      <c r="J7" s="4194"/>
      <c r="K7" s="4195"/>
    </row>
    <row r="8" spans="1:11" ht="14.25" customHeight="1">
      <c r="A8" s="1261"/>
      <c r="B8" s="1261"/>
      <c r="C8" s="1473">
        <v>1</v>
      </c>
      <c r="D8" s="1280" t="s">
        <v>3840</v>
      </c>
      <c r="E8" s="1280"/>
      <c r="F8" s="1280"/>
      <c r="G8" s="1280"/>
      <c r="H8" s="1280"/>
      <c r="I8" s="1280"/>
      <c r="J8" s="4213"/>
      <c r="K8" s="4214"/>
    </row>
    <row r="9" spans="1:11" ht="7.2" customHeight="1">
      <c r="A9" s="4189"/>
      <c r="B9" s="4189"/>
      <c r="C9" s="4189"/>
      <c r="D9" s="4190"/>
      <c r="E9" s="4190"/>
      <c r="F9" s="4190"/>
      <c r="G9" s="4190"/>
      <c r="H9" s="4190"/>
      <c r="I9" s="4190"/>
      <c r="J9" s="4190"/>
      <c r="K9" s="1281"/>
    </row>
    <row r="10" spans="1:11">
      <c r="A10" s="4215" t="s">
        <v>3841</v>
      </c>
      <c r="B10" s="4216"/>
      <c r="C10" s="4216"/>
      <c r="D10" s="4216"/>
      <c r="E10" s="4216"/>
      <c r="F10" s="4216"/>
      <c r="G10" s="4216"/>
      <c r="H10" s="4216"/>
      <c r="I10" s="4216"/>
      <c r="J10" s="4216"/>
      <c r="K10" s="4217"/>
    </row>
    <row r="11" spans="1:11" ht="14.25" customHeight="1">
      <c r="A11" s="1261"/>
      <c r="B11" s="1261"/>
      <c r="C11" s="1473">
        <v>2</v>
      </c>
      <c r="D11" s="1280" t="s">
        <v>3842</v>
      </c>
      <c r="E11" s="1282"/>
      <c r="F11" s="1282"/>
      <c r="G11" s="1282"/>
      <c r="H11" s="1282"/>
      <c r="I11" s="1282"/>
      <c r="J11" s="4218"/>
      <c r="K11" s="4219"/>
    </row>
    <row r="12" spans="1:11" ht="7.2" customHeight="1">
      <c r="A12" s="4189"/>
      <c r="B12" s="4189"/>
      <c r="C12" s="4189"/>
      <c r="D12" s="4190"/>
      <c r="E12" s="4190"/>
      <c r="F12" s="4190"/>
      <c r="G12" s="4190"/>
      <c r="H12" s="4190"/>
      <c r="I12" s="4190"/>
      <c r="J12" s="4190"/>
      <c r="K12" s="1283"/>
    </row>
    <row r="13" spans="1:11">
      <c r="A13" s="4215" t="s">
        <v>3843</v>
      </c>
      <c r="B13" s="4216"/>
      <c r="C13" s="4216"/>
      <c r="D13" s="4216"/>
      <c r="E13" s="4216"/>
      <c r="F13" s="4216"/>
      <c r="G13" s="4216"/>
      <c r="H13" s="4216"/>
      <c r="I13" s="4216"/>
      <c r="J13" s="4216"/>
      <c r="K13" s="4217"/>
    </row>
    <row r="14" spans="1:11" ht="14.25" customHeight="1">
      <c r="A14" s="1261"/>
      <c r="B14" s="1261"/>
      <c r="C14" s="1474">
        <v>3</v>
      </c>
      <c r="D14" s="1284" t="s">
        <v>3844</v>
      </c>
      <c r="E14" s="1284"/>
      <c r="F14" s="1284"/>
      <c r="G14" s="1284"/>
      <c r="H14" s="1284"/>
      <c r="I14" s="1284"/>
      <c r="J14" s="4220"/>
      <c r="K14" s="4221"/>
    </row>
    <row r="15" spans="1:11" ht="14.25" customHeight="1">
      <c r="A15" s="1261"/>
      <c r="B15" s="1261"/>
      <c r="C15" s="1475">
        <v>4</v>
      </c>
      <c r="D15" s="1261" t="s">
        <v>3845</v>
      </c>
      <c r="E15" s="1261"/>
      <c r="F15" s="1261"/>
      <c r="G15" s="1261"/>
      <c r="H15" s="1261"/>
      <c r="I15" s="1261"/>
      <c r="J15" s="4222">
        <f>'Part III-A-Uses of Funds'!G130+'Part III-A-Uses of Funds'!G131+'Part III-A-Uses of Funds'!G133+'Part III-A-Uses of Funds'!G120</f>
        <v>1508548.853922151</v>
      </c>
      <c r="K15" s="4223"/>
    </row>
    <row r="16" spans="1:11" ht="14.25" customHeight="1">
      <c r="A16" s="1261"/>
      <c r="B16" s="1261"/>
      <c r="C16" s="1475">
        <v>5</v>
      </c>
      <c r="D16" s="1261" t="s">
        <v>3846</v>
      </c>
      <c r="E16" s="1261"/>
      <c r="F16" s="1261"/>
      <c r="G16" s="1261"/>
      <c r="H16" s="1261"/>
      <c r="I16" s="1261"/>
      <c r="J16" s="4185"/>
      <c r="K16" s="4186"/>
    </row>
    <row r="17" spans="1:13" ht="14.25" customHeight="1">
      <c r="A17" s="1261"/>
      <c r="B17" s="1261"/>
      <c r="C17" s="1476">
        <v>6</v>
      </c>
      <c r="D17" s="1264" t="s">
        <v>3847</v>
      </c>
      <c r="E17" s="1264"/>
      <c r="F17" s="1264"/>
      <c r="G17" s="1264"/>
      <c r="H17" s="1264"/>
      <c r="I17" s="1264"/>
      <c r="J17" s="4187"/>
      <c r="K17" s="4188"/>
    </row>
    <row r="18" spans="1:13" ht="7.2" customHeight="1">
      <c r="A18" s="4189"/>
      <c r="B18" s="4189"/>
      <c r="C18" s="4189"/>
      <c r="D18" s="4190"/>
      <c r="E18" s="4190"/>
      <c r="F18" s="4190"/>
      <c r="G18" s="4190"/>
      <c r="H18" s="4190"/>
      <c r="I18" s="4190"/>
      <c r="J18" s="4190"/>
      <c r="K18" s="1283"/>
    </row>
    <row r="19" spans="1:13" ht="14.25" customHeight="1">
      <c r="A19" s="1261"/>
      <c r="B19" s="1261"/>
      <c r="C19" s="1474">
        <v>7</v>
      </c>
      <c r="D19" s="1284" t="s">
        <v>3848</v>
      </c>
      <c r="E19" s="1284"/>
      <c r="F19" s="1284"/>
      <c r="G19" s="1284"/>
      <c r="H19" s="1284"/>
      <c r="I19" s="1284"/>
      <c r="J19" s="4211" t="str">
        <f>IF(J17="No",J14-J15,IF(J17="Yes",J14-J15-J16,"Error"))</f>
        <v>Error</v>
      </c>
      <c r="K19" s="4212"/>
    </row>
    <row r="20" spans="1:13" ht="14.25" customHeight="1">
      <c r="A20" s="1261"/>
      <c r="B20" s="1261"/>
      <c r="C20" s="1476">
        <v>8</v>
      </c>
      <c r="D20" s="1264" t="s">
        <v>3849</v>
      </c>
      <c r="E20" s="1264"/>
      <c r="F20" s="1264"/>
      <c r="G20" s="1264"/>
      <c r="H20" s="1264"/>
      <c r="I20" s="1264"/>
      <c r="J20" s="4191" t="e">
        <f>ROUNDDOWN(J19/J8,2)</f>
        <v>#VALUE!</v>
      </c>
      <c r="K20" s="4192"/>
    </row>
    <row r="21" spans="1:13" ht="7.2" customHeight="1">
      <c r="A21" s="4189"/>
      <c r="B21" s="4189"/>
      <c r="C21" s="4189"/>
      <c r="D21" s="4190"/>
      <c r="E21" s="4190"/>
      <c r="F21" s="4190"/>
      <c r="G21" s="4190"/>
      <c r="H21" s="4190"/>
      <c r="I21" s="4190"/>
      <c r="J21" s="4190"/>
      <c r="K21" s="1283"/>
    </row>
    <row r="22" spans="1:13" ht="14.25" customHeight="1" thickBot="1">
      <c r="A22" s="1261"/>
      <c r="B22" s="1261"/>
      <c r="C22" s="1473">
        <v>9</v>
      </c>
      <c r="D22" s="1285" t="s">
        <v>3850</v>
      </c>
      <c r="E22" s="1285"/>
      <c r="F22" s="1285"/>
      <c r="G22" s="1285"/>
      <c r="H22" s="1285"/>
      <c r="I22" s="1285"/>
      <c r="J22" s="4174" t="e">
        <f>J11/J19</f>
        <v>#VALUE!</v>
      </c>
      <c r="K22" s="4175"/>
    </row>
    <row r="23" spans="1:13" ht="9" customHeight="1">
      <c r="A23" s="1270"/>
      <c r="C23" s="1271"/>
      <c r="D23" s="1271"/>
      <c r="E23" s="1271"/>
      <c r="F23" s="1271"/>
      <c r="G23" s="1271"/>
      <c r="H23" s="1271"/>
      <c r="I23" s="1271"/>
      <c r="J23" s="1271"/>
      <c r="K23" s="1272"/>
    </row>
    <row r="24" spans="1:13" ht="18">
      <c r="A24" s="1273" t="s">
        <v>3851</v>
      </c>
      <c r="C24" s="1271"/>
      <c r="D24" s="1271"/>
      <c r="E24" s="1271"/>
      <c r="F24" s="1271"/>
      <c r="G24" s="1271"/>
      <c r="H24" s="1271"/>
      <c r="I24" s="1271"/>
      <c r="J24" s="1271"/>
      <c r="K24" s="1272"/>
    </row>
    <row r="25" spans="1:13" ht="14.25" customHeight="1">
      <c r="A25" s="1325" t="s">
        <v>3882</v>
      </c>
      <c r="C25" s="1271"/>
      <c r="D25" s="1271"/>
      <c r="E25" s="1271"/>
      <c r="F25" s="1271"/>
      <c r="G25" s="1271"/>
      <c r="H25" s="1271"/>
      <c r="I25" s="1271"/>
      <c r="J25" s="1271"/>
      <c r="K25" s="1272"/>
    </row>
    <row r="26" spans="1:13" ht="14.25" customHeight="1">
      <c r="A26" s="1325" t="s">
        <v>3883</v>
      </c>
      <c r="C26" s="1271"/>
      <c r="D26" s="1271"/>
      <c r="E26" s="1271"/>
      <c r="F26" s="1271"/>
      <c r="G26" s="1271"/>
      <c r="H26" s="1271"/>
      <c r="I26" s="1271"/>
      <c r="J26" s="1271"/>
      <c r="K26" s="1272"/>
    </row>
    <row r="27" spans="1:13" ht="14.25" customHeight="1">
      <c r="A27" s="1325" t="s">
        <v>3884</v>
      </c>
      <c r="C27" s="1271"/>
      <c r="D27" s="1271"/>
      <c r="E27" s="1271"/>
      <c r="F27" s="1271"/>
      <c r="G27" s="1271"/>
      <c r="H27" s="1271"/>
      <c r="I27" s="1271"/>
      <c r="J27" s="1271"/>
      <c r="K27" s="1272"/>
    </row>
    <row r="28" spans="1:13" ht="14.25" customHeight="1">
      <c r="A28" s="1325" t="s">
        <v>3885</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6" t="s">
        <v>3881</v>
      </c>
      <c r="B30" s="4177"/>
      <c r="C30" s="4177"/>
      <c r="D30" s="4177"/>
      <c r="E30" s="4177"/>
      <c r="F30" s="4177"/>
      <c r="G30" s="4177"/>
      <c r="H30" s="4177"/>
      <c r="I30" s="4177"/>
      <c r="J30" s="4177"/>
      <c r="K30" s="4178"/>
    </row>
    <row r="31" spans="1:13">
      <c r="B31" s="4179" t="s">
        <v>4062</v>
      </c>
      <c r="C31" s="4179"/>
      <c r="D31" s="4179"/>
      <c r="E31" s="4179"/>
      <c r="F31" s="4179"/>
      <c r="G31" s="4180" t="s">
        <v>3852</v>
      </c>
      <c r="H31" s="4181"/>
      <c r="I31" s="4181"/>
      <c r="J31" s="4181"/>
      <c r="K31" s="4182"/>
    </row>
    <row r="32" spans="1:13" ht="56.25" customHeight="1">
      <c r="A32" s="1279"/>
      <c r="B32" s="1297" t="s">
        <v>3880</v>
      </c>
      <c r="C32" s="1298" t="s">
        <v>3876</v>
      </c>
      <c r="D32" s="1298" t="s">
        <v>3875</v>
      </c>
      <c r="E32" s="4183" t="s">
        <v>3994</v>
      </c>
      <c r="F32" s="4184"/>
      <c r="G32" s="1299" t="s">
        <v>3853</v>
      </c>
      <c r="H32" s="1299" t="s">
        <v>3854</v>
      </c>
      <c r="J32" s="1299" t="s">
        <v>3855</v>
      </c>
      <c r="K32" s="1299" t="s">
        <v>3856</v>
      </c>
      <c r="L32" s="4169" t="s">
        <v>3857</v>
      </c>
      <c r="M32" s="4169"/>
    </row>
    <row r="33" spans="2:14" ht="12.75" customHeight="1">
      <c r="B33" s="1464"/>
      <c r="C33" s="1465"/>
      <c r="D33" s="1466"/>
      <c r="E33" s="4170"/>
      <c r="F33" s="4171"/>
      <c r="G33" s="1315" t="e">
        <f t="shared" ref="G33:G51" si="0">$J$22*B33</f>
        <v>#VALUE!</v>
      </c>
      <c r="H33" s="1316" t="e">
        <f>ROUNDUP(G33,0)</f>
        <v>#VALUE!</v>
      </c>
      <c r="I33" s="1317"/>
      <c r="J33" s="1318" t="e">
        <f t="shared" ref="J33:J51" si="1">$J$20*E33</f>
        <v>#VALUE!</v>
      </c>
      <c r="K33" s="1318" t="e">
        <f t="shared" ref="K33:K51" si="2">ROUNDDOWN(J33*H33,0)</f>
        <v>#VALUE!</v>
      </c>
      <c r="L33" s="4169"/>
      <c r="M33" s="4169"/>
    </row>
    <row r="34" spans="2:14" ht="12.75" customHeight="1">
      <c r="B34" s="1467"/>
      <c r="C34" s="1468"/>
      <c r="D34" s="1469"/>
      <c r="E34" s="4165"/>
      <c r="F34" s="4166"/>
      <c r="G34" s="1319" t="e">
        <f t="shared" si="0"/>
        <v>#VALUE!</v>
      </c>
      <c r="H34" s="1320" t="e">
        <f t="shared" ref="H34:H51" si="3">ROUNDUP(G34,0)</f>
        <v>#VALUE!</v>
      </c>
      <c r="I34" s="1317"/>
      <c r="J34" s="1321" t="e">
        <f t="shared" si="1"/>
        <v>#VALUE!</v>
      </c>
      <c r="K34" s="1321" t="e">
        <f t="shared" si="2"/>
        <v>#VALUE!</v>
      </c>
      <c r="L34" s="4169"/>
      <c r="M34" s="4169"/>
    </row>
    <row r="35" spans="2:14" ht="12.75" customHeight="1">
      <c r="B35" s="1467"/>
      <c r="C35" s="1468"/>
      <c r="D35" s="1469"/>
      <c r="E35" s="4165"/>
      <c r="F35" s="4166"/>
      <c r="G35" s="1319" t="e">
        <f t="shared" si="0"/>
        <v>#VALUE!</v>
      </c>
      <c r="H35" s="1320" t="e">
        <f t="shared" si="3"/>
        <v>#VALUE!</v>
      </c>
      <c r="I35" s="1317"/>
      <c r="J35" s="1321" t="e">
        <f t="shared" si="1"/>
        <v>#VALUE!</v>
      </c>
      <c r="K35" s="1321" t="e">
        <f t="shared" si="2"/>
        <v>#VALUE!</v>
      </c>
      <c r="L35" s="4169"/>
      <c r="M35" s="4169"/>
    </row>
    <row r="36" spans="2:14" ht="12.75" customHeight="1">
      <c r="B36" s="1467"/>
      <c r="C36" s="1468"/>
      <c r="D36" s="1469"/>
      <c r="E36" s="4165"/>
      <c r="F36" s="4166"/>
      <c r="G36" s="1319" t="e">
        <f t="shared" si="0"/>
        <v>#VALUE!</v>
      </c>
      <c r="H36" s="1320" t="e">
        <f t="shared" si="3"/>
        <v>#VALUE!</v>
      </c>
      <c r="I36" s="1317"/>
      <c r="J36" s="1321" t="e">
        <f t="shared" si="1"/>
        <v>#VALUE!</v>
      </c>
      <c r="K36" s="1321" t="e">
        <f t="shared" si="2"/>
        <v>#VALUE!</v>
      </c>
      <c r="L36" s="4169"/>
      <c r="M36" s="4169"/>
      <c r="N36" s="1274"/>
    </row>
    <row r="37" spans="2:14" ht="12.75" customHeight="1">
      <c r="B37" s="1467"/>
      <c r="C37" s="1468"/>
      <c r="D37" s="1469"/>
      <c r="E37" s="4165"/>
      <c r="F37" s="4166"/>
      <c r="G37" s="1319" t="e">
        <f t="shared" si="0"/>
        <v>#VALUE!</v>
      </c>
      <c r="H37" s="1320" t="e">
        <f t="shared" si="3"/>
        <v>#VALUE!</v>
      </c>
      <c r="I37" s="1317"/>
      <c r="J37" s="1321" t="e">
        <f t="shared" si="1"/>
        <v>#VALUE!</v>
      </c>
      <c r="K37" s="1321" t="e">
        <f t="shared" si="2"/>
        <v>#VALUE!</v>
      </c>
      <c r="L37" s="4169"/>
      <c r="M37" s="4169"/>
    </row>
    <row r="38" spans="2:14" ht="12.75" customHeight="1">
      <c r="B38" s="1467"/>
      <c r="C38" s="1468"/>
      <c r="D38" s="1469"/>
      <c r="E38" s="4165"/>
      <c r="F38" s="4166"/>
      <c r="G38" s="1319" t="e">
        <f t="shared" si="0"/>
        <v>#VALUE!</v>
      </c>
      <c r="H38" s="1320" t="e">
        <f t="shared" si="3"/>
        <v>#VALUE!</v>
      </c>
      <c r="I38" s="1317"/>
      <c r="J38" s="1321" t="e">
        <f t="shared" si="1"/>
        <v>#VALUE!</v>
      </c>
      <c r="K38" s="1321" t="e">
        <f t="shared" si="2"/>
        <v>#VALUE!</v>
      </c>
      <c r="L38" s="4169"/>
      <c r="M38" s="4169"/>
    </row>
    <row r="39" spans="2:14" ht="12.75" customHeight="1">
      <c r="B39" s="1467"/>
      <c r="C39" s="1468"/>
      <c r="D39" s="1469"/>
      <c r="E39" s="4165"/>
      <c r="F39" s="4166"/>
      <c r="G39" s="1319" t="e">
        <f t="shared" si="0"/>
        <v>#VALUE!</v>
      </c>
      <c r="H39" s="1320" t="e">
        <f t="shared" si="3"/>
        <v>#VALUE!</v>
      </c>
      <c r="I39" s="1317"/>
      <c r="J39" s="1321" t="e">
        <f t="shared" si="1"/>
        <v>#VALUE!</v>
      </c>
      <c r="K39" s="1321" t="e">
        <f t="shared" si="2"/>
        <v>#VALUE!</v>
      </c>
      <c r="L39" s="4169"/>
      <c r="M39" s="4169"/>
    </row>
    <row r="40" spans="2:14" ht="12.75" customHeight="1">
      <c r="B40" s="1467"/>
      <c r="C40" s="1468"/>
      <c r="D40" s="1469"/>
      <c r="E40" s="4165"/>
      <c r="F40" s="4166"/>
      <c r="G40" s="1319" t="e">
        <f t="shared" si="0"/>
        <v>#VALUE!</v>
      </c>
      <c r="H40" s="1320" t="e">
        <f t="shared" si="3"/>
        <v>#VALUE!</v>
      </c>
      <c r="I40" s="1317"/>
      <c r="J40" s="1321" t="e">
        <f t="shared" si="1"/>
        <v>#VALUE!</v>
      </c>
      <c r="K40" s="1321" t="e">
        <f t="shared" si="2"/>
        <v>#VALUE!</v>
      </c>
      <c r="L40" s="4169"/>
      <c r="M40" s="4169"/>
    </row>
    <row r="41" spans="2:14" ht="12.75" customHeight="1">
      <c r="B41" s="1467"/>
      <c r="C41" s="1468"/>
      <c r="D41" s="1469"/>
      <c r="E41" s="4165"/>
      <c r="F41" s="4166"/>
      <c r="G41" s="1319" t="e">
        <f t="shared" si="0"/>
        <v>#VALUE!</v>
      </c>
      <c r="H41" s="1320" t="e">
        <f t="shared" si="3"/>
        <v>#VALUE!</v>
      </c>
      <c r="I41" s="1317"/>
      <c r="J41" s="1321" t="e">
        <f t="shared" si="1"/>
        <v>#VALUE!</v>
      </c>
      <c r="K41" s="1321" t="e">
        <f t="shared" si="2"/>
        <v>#VALUE!</v>
      </c>
      <c r="L41" s="4169"/>
      <c r="M41" s="4169"/>
    </row>
    <row r="42" spans="2:14" ht="12.75" customHeight="1">
      <c r="B42" s="1467"/>
      <c r="C42" s="1468"/>
      <c r="D42" s="1469"/>
      <c r="E42" s="4165"/>
      <c r="F42" s="4166"/>
      <c r="G42" s="1319" t="e">
        <f t="shared" si="0"/>
        <v>#VALUE!</v>
      </c>
      <c r="H42" s="1320" t="e">
        <f t="shared" si="3"/>
        <v>#VALUE!</v>
      </c>
      <c r="I42" s="1317"/>
      <c r="J42" s="1321" t="e">
        <f t="shared" si="1"/>
        <v>#VALUE!</v>
      </c>
      <c r="K42" s="1321" t="e">
        <f t="shared" si="2"/>
        <v>#VALUE!</v>
      </c>
      <c r="L42" s="4169"/>
      <c r="M42" s="4169"/>
    </row>
    <row r="43" spans="2:14" ht="12.75" customHeight="1">
      <c r="B43" s="1467"/>
      <c r="C43" s="1468"/>
      <c r="D43" s="1469"/>
      <c r="E43" s="4165"/>
      <c r="F43" s="4166"/>
      <c r="G43" s="1319" t="e">
        <f t="shared" si="0"/>
        <v>#VALUE!</v>
      </c>
      <c r="H43" s="1320" t="e">
        <f t="shared" si="3"/>
        <v>#VALUE!</v>
      </c>
      <c r="I43" s="1317"/>
      <c r="J43" s="1321" t="e">
        <f t="shared" si="1"/>
        <v>#VALUE!</v>
      </c>
      <c r="K43" s="1321" t="e">
        <f t="shared" si="2"/>
        <v>#VALUE!</v>
      </c>
      <c r="L43" s="4169"/>
      <c r="M43" s="4169"/>
    </row>
    <row r="44" spans="2:14" ht="12.75" customHeight="1">
      <c r="B44" s="1467"/>
      <c r="C44" s="1468"/>
      <c r="D44" s="1469"/>
      <c r="E44" s="4165"/>
      <c r="F44" s="4166"/>
      <c r="G44" s="1319" t="e">
        <f t="shared" si="0"/>
        <v>#VALUE!</v>
      </c>
      <c r="H44" s="1320" t="e">
        <f t="shared" si="3"/>
        <v>#VALUE!</v>
      </c>
      <c r="I44" s="1317"/>
      <c r="J44" s="1321" t="e">
        <f t="shared" si="1"/>
        <v>#VALUE!</v>
      </c>
      <c r="K44" s="1321" t="e">
        <f t="shared" si="2"/>
        <v>#VALUE!</v>
      </c>
      <c r="L44" s="4169"/>
      <c r="M44" s="4169"/>
    </row>
    <row r="45" spans="2:14" ht="12.75" customHeight="1">
      <c r="B45" s="1467"/>
      <c r="C45" s="1468"/>
      <c r="D45" s="1469"/>
      <c r="E45" s="4165"/>
      <c r="F45" s="4166"/>
      <c r="G45" s="1319" t="e">
        <f t="shared" si="0"/>
        <v>#VALUE!</v>
      </c>
      <c r="H45" s="1320" t="e">
        <f t="shared" si="3"/>
        <v>#VALUE!</v>
      </c>
      <c r="I45" s="1317"/>
      <c r="J45" s="1321" t="e">
        <f t="shared" si="1"/>
        <v>#VALUE!</v>
      </c>
      <c r="K45" s="1321" t="e">
        <f t="shared" si="2"/>
        <v>#VALUE!</v>
      </c>
      <c r="L45" s="4169"/>
      <c r="M45" s="4169"/>
    </row>
    <row r="46" spans="2:14" ht="12.75" customHeight="1">
      <c r="B46" s="1467"/>
      <c r="C46" s="1468"/>
      <c r="D46" s="1469"/>
      <c r="E46" s="4165"/>
      <c r="F46" s="4166"/>
      <c r="G46" s="1319" t="e">
        <f t="shared" si="0"/>
        <v>#VALUE!</v>
      </c>
      <c r="H46" s="1320" t="e">
        <f t="shared" si="3"/>
        <v>#VALUE!</v>
      </c>
      <c r="I46" s="1317"/>
      <c r="J46" s="1321" t="e">
        <f t="shared" si="1"/>
        <v>#VALUE!</v>
      </c>
      <c r="K46" s="1321" t="e">
        <f t="shared" si="2"/>
        <v>#VALUE!</v>
      </c>
      <c r="L46" s="4169"/>
      <c r="M46" s="4169"/>
    </row>
    <row r="47" spans="2:14" ht="12.75" customHeight="1">
      <c r="B47" s="1467"/>
      <c r="C47" s="1468"/>
      <c r="D47" s="1469"/>
      <c r="E47" s="4165"/>
      <c r="F47" s="4166"/>
      <c r="G47" s="1319" t="e">
        <f t="shared" si="0"/>
        <v>#VALUE!</v>
      </c>
      <c r="H47" s="1320" t="e">
        <f t="shared" si="3"/>
        <v>#VALUE!</v>
      </c>
      <c r="I47" s="1317"/>
      <c r="J47" s="1321" t="e">
        <f t="shared" si="1"/>
        <v>#VALUE!</v>
      </c>
      <c r="K47" s="1321" t="e">
        <f t="shared" si="2"/>
        <v>#VALUE!</v>
      </c>
      <c r="L47" s="4169"/>
      <c r="M47" s="4169"/>
    </row>
    <row r="48" spans="2:14" ht="12.75" customHeight="1">
      <c r="B48" s="1467"/>
      <c r="C48" s="1468"/>
      <c r="D48" s="1469"/>
      <c r="E48" s="4165"/>
      <c r="F48" s="4166"/>
      <c r="G48" s="1319" t="e">
        <f t="shared" si="0"/>
        <v>#VALUE!</v>
      </c>
      <c r="H48" s="1320" t="e">
        <f t="shared" si="3"/>
        <v>#VALUE!</v>
      </c>
      <c r="I48" s="1317"/>
      <c r="J48" s="1321" t="e">
        <f t="shared" si="1"/>
        <v>#VALUE!</v>
      </c>
      <c r="K48" s="1321" t="e">
        <f t="shared" si="2"/>
        <v>#VALUE!</v>
      </c>
      <c r="L48" s="4169"/>
      <c r="M48" s="4169"/>
    </row>
    <row r="49" spans="1:13" ht="12.75" customHeight="1">
      <c r="B49" s="1467"/>
      <c r="C49" s="1468"/>
      <c r="D49" s="1469"/>
      <c r="E49" s="4165"/>
      <c r="F49" s="4166"/>
      <c r="G49" s="1319" t="e">
        <f t="shared" si="0"/>
        <v>#VALUE!</v>
      </c>
      <c r="H49" s="1320" t="e">
        <f t="shared" si="3"/>
        <v>#VALUE!</v>
      </c>
      <c r="I49" s="1317"/>
      <c r="J49" s="1321" t="e">
        <f t="shared" si="1"/>
        <v>#VALUE!</v>
      </c>
      <c r="K49" s="1321" t="e">
        <f t="shared" si="2"/>
        <v>#VALUE!</v>
      </c>
      <c r="L49" s="4169"/>
      <c r="M49" s="4169"/>
    </row>
    <row r="50" spans="1:13" ht="12.75" customHeight="1">
      <c r="B50" s="1467"/>
      <c r="C50" s="1468"/>
      <c r="D50" s="1469"/>
      <c r="E50" s="4165"/>
      <c r="F50" s="4166"/>
      <c r="G50" s="1319" t="e">
        <f t="shared" si="0"/>
        <v>#VALUE!</v>
      </c>
      <c r="H50" s="1320" t="e">
        <f t="shared" si="3"/>
        <v>#VALUE!</v>
      </c>
      <c r="I50" s="1317"/>
      <c r="J50" s="1321" t="e">
        <f t="shared" si="1"/>
        <v>#VALUE!</v>
      </c>
      <c r="K50" s="1321" t="e">
        <f t="shared" si="2"/>
        <v>#VALUE!</v>
      </c>
      <c r="L50" s="4169"/>
      <c r="M50" s="4169"/>
    </row>
    <row r="51" spans="1:13" ht="12.75" customHeight="1" thickBot="1">
      <c r="B51" s="1470"/>
      <c r="C51" s="1471"/>
      <c r="D51" s="1472"/>
      <c r="E51" s="4167"/>
      <c r="F51" s="4168"/>
      <c r="G51" s="1322" t="e">
        <f t="shared" si="0"/>
        <v>#VALUE!</v>
      </c>
      <c r="H51" s="1323" t="e">
        <f t="shared" si="3"/>
        <v>#VALUE!</v>
      </c>
      <c r="I51" s="1317"/>
      <c r="J51" s="1324" t="e">
        <f t="shared" si="1"/>
        <v>#VALUE!</v>
      </c>
      <c r="K51" s="1324" t="e">
        <f t="shared" si="2"/>
        <v>#VALUE!</v>
      </c>
      <c r="L51" s="4169"/>
      <c r="M51" s="4169"/>
    </row>
    <row r="52" spans="1:13" ht="15" customHeight="1" thickBot="1">
      <c r="B52" s="1290"/>
      <c r="D52" s="1284"/>
      <c r="E52" s="1284"/>
      <c r="F52" s="1284"/>
      <c r="G52" s="1301" t="s">
        <v>3858</v>
      </c>
      <c r="H52" s="1300" t="e">
        <f>SUM(H33:H51)</f>
        <v>#VALUE!</v>
      </c>
      <c r="I52" s="1284"/>
      <c r="J52" s="1290" t="s">
        <v>3859</v>
      </c>
      <c r="K52" s="1286" t="e">
        <f>SUM(K33:K51)</f>
        <v>#VALUE!</v>
      </c>
      <c r="L52" s="4169"/>
      <c r="M52" s="4169"/>
    </row>
    <row r="53" spans="1:13" ht="15" customHeight="1">
      <c r="B53" s="1291"/>
      <c r="C53" s="4172" t="s">
        <v>3860</v>
      </c>
      <c r="D53" s="4172"/>
      <c r="E53" s="4172"/>
      <c r="F53" s="4172"/>
      <c r="G53" s="4172"/>
      <c r="H53" s="4172"/>
      <c r="I53" s="4172"/>
      <c r="J53" s="4173"/>
      <c r="K53" s="1292" t="str">
        <f>IF(J17="no",0,IF(J17="yes",J16,"Error"))</f>
        <v>Error</v>
      </c>
      <c r="L53" s="4169"/>
      <c r="M53" s="4169"/>
    </row>
    <row r="54" spans="1:13" ht="15" customHeight="1" thickBot="1">
      <c r="B54" s="1291"/>
      <c r="C54" s="4153" t="s">
        <v>3861</v>
      </c>
      <c r="D54" s="4153"/>
      <c r="E54" s="4153"/>
      <c r="F54" s="4153"/>
      <c r="G54" s="4153"/>
      <c r="H54" s="4153"/>
      <c r="I54" s="4153"/>
      <c r="J54" s="4154"/>
      <c r="K54" s="1303" t="e">
        <f>K52+K53</f>
        <v>#VALUE!</v>
      </c>
    </row>
    <row r="55" spans="1:13" ht="7.95" customHeight="1">
      <c r="A55" s="4155"/>
      <c r="B55" s="4149"/>
      <c r="C55" s="4149"/>
      <c r="D55" s="4149"/>
      <c r="E55" s="4149"/>
      <c r="F55" s="4149"/>
      <c r="G55" s="4149"/>
      <c r="H55" s="4149"/>
      <c r="I55" s="4149"/>
      <c r="J55" s="4149"/>
      <c r="K55" s="1314"/>
    </row>
    <row r="56" spans="1:13" ht="15" customHeight="1">
      <c r="A56" s="4150" t="s">
        <v>3862</v>
      </c>
      <c r="B56" s="4151"/>
      <c r="C56" s="4151"/>
      <c r="D56" s="4151"/>
      <c r="E56" s="4151"/>
      <c r="F56" s="4151"/>
      <c r="G56" s="4151"/>
      <c r="H56" s="4151"/>
      <c r="I56" s="4151"/>
      <c r="J56" s="4151"/>
      <c r="K56" s="4152"/>
    </row>
    <row r="57" spans="1:13" ht="48" customHeight="1">
      <c r="A57" s="1276"/>
      <c r="B57" s="1267"/>
      <c r="C57" s="1278" t="s">
        <v>3863</v>
      </c>
      <c r="D57" s="1389" t="s">
        <v>3961</v>
      </c>
      <c r="E57" s="4156" t="s">
        <v>3879</v>
      </c>
      <c r="F57" s="4157"/>
      <c r="G57" s="4158" t="s">
        <v>3864</v>
      </c>
      <c r="H57" s="4159"/>
      <c r="I57" s="4156" t="s">
        <v>3878</v>
      </c>
      <c r="J57" s="4157"/>
      <c r="K57" s="4160"/>
      <c r="L57" s="4196" t="s">
        <v>4976</v>
      </c>
      <c r="M57" s="4197"/>
    </row>
    <row r="58" spans="1:13" ht="15" customHeight="1">
      <c r="A58" s="1379"/>
      <c r="B58" s="1309"/>
      <c r="C58" s="1287">
        <f>SUMIF(C33:C51, "0", H33:H51)</f>
        <v>0</v>
      </c>
      <c r="D58" s="1390">
        <f t="shared" ref="D58:D63" si="4">ROUNDUP(C58*1.1,0)</f>
        <v>0</v>
      </c>
      <c r="E58" s="4162" t="s">
        <v>3865</v>
      </c>
      <c r="F58" s="4163"/>
      <c r="G58" s="4143">
        <f>'DCA Underwriting Assumptions'!H156</f>
        <v>181488</v>
      </c>
      <c r="H58" s="4144"/>
      <c r="I58" s="4164">
        <f t="shared" ref="I58:I63" si="5">D58*G58</f>
        <v>0</v>
      </c>
      <c r="J58" s="4164"/>
      <c r="K58" s="4161"/>
      <c r="L58" s="4198"/>
      <c r="M58" s="4197"/>
    </row>
    <row r="59" spans="1:13">
      <c r="A59" s="1379"/>
      <c r="B59" s="1309"/>
      <c r="C59" s="1288">
        <f>SUMIF(C33:C51, "1", H33:H51)</f>
        <v>0</v>
      </c>
      <c r="D59" s="1391">
        <f t="shared" si="4"/>
        <v>0</v>
      </c>
      <c r="E59" s="4141" t="s">
        <v>2454</v>
      </c>
      <c r="F59" s="4142"/>
      <c r="G59" s="4143">
        <f>'DCA Underwriting Assumptions'!H157</f>
        <v>208048.8</v>
      </c>
      <c r="H59" s="4144"/>
      <c r="I59" s="4145">
        <f t="shared" si="5"/>
        <v>0</v>
      </c>
      <c r="J59" s="4145"/>
      <c r="K59" s="4161"/>
      <c r="L59" s="4198"/>
      <c r="M59" s="4197"/>
    </row>
    <row r="60" spans="1:13" ht="15" customHeight="1">
      <c r="A60" s="1379"/>
      <c r="B60" s="1309"/>
      <c r="C60" s="1288">
        <f>SUMIF(C33:C51, "2", H33:H51)</f>
        <v>0</v>
      </c>
      <c r="D60" s="1391">
        <f t="shared" si="4"/>
        <v>0</v>
      </c>
      <c r="E60" s="4141" t="s">
        <v>2455</v>
      </c>
      <c r="F60" s="4142"/>
      <c r="G60" s="4143">
        <f>'DCA Underwriting Assumptions'!H158</f>
        <v>252993.59999999998</v>
      </c>
      <c r="H60" s="4144"/>
      <c r="I60" s="4145">
        <f t="shared" si="5"/>
        <v>0</v>
      </c>
      <c r="J60" s="4145"/>
      <c r="K60" s="4161"/>
      <c r="L60" s="4198"/>
      <c r="M60" s="4197"/>
    </row>
    <row r="61" spans="1:13">
      <c r="A61" s="1379"/>
      <c r="B61" s="1309"/>
      <c r="C61" s="1288">
        <f>SUMIF(C33:C51, "3", H33:H51)</f>
        <v>0</v>
      </c>
      <c r="D61" s="1391">
        <f t="shared" si="4"/>
        <v>0</v>
      </c>
      <c r="E61" s="4141" t="s">
        <v>2458</v>
      </c>
      <c r="F61" s="4142"/>
      <c r="G61" s="4143">
        <f>'DCA Underwriting Assumptions'!H159</f>
        <v>327292.79999999999</v>
      </c>
      <c r="H61" s="4144"/>
      <c r="I61" s="4145">
        <f t="shared" si="5"/>
        <v>0</v>
      </c>
      <c r="J61" s="4145"/>
      <c r="K61" s="4161"/>
      <c r="L61" s="4198"/>
      <c r="M61" s="4197"/>
    </row>
    <row r="62" spans="1:13">
      <c r="A62" s="1379"/>
      <c r="B62" s="1309"/>
      <c r="C62" s="1288">
        <f>SUMIF(C33:C51, "4", H33:H51)</f>
        <v>0</v>
      </c>
      <c r="D62" s="1391">
        <f t="shared" si="4"/>
        <v>0</v>
      </c>
      <c r="E62" s="4141" t="s">
        <v>3866</v>
      </c>
      <c r="F62" s="4142"/>
      <c r="G62" s="4143">
        <f>'DCA Underwriting Assumptions'!H160</f>
        <v>359263.2</v>
      </c>
      <c r="H62" s="4144"/>
      <c r="I62" s="4145">
        <f t="shared" si="5"/>
        <v>0</v>
      </c>
      <c r="J62" s="4145"/>
      <c r="K62" s="4161"/>
      <c r="L62" s="4198"/>
      <c r="M62" s="4197"/>
    </row>
    <row r="63" spans="1:13">
      <c r="A63" s="1388"/>
      <c r="B63" s="1310"/>
      <c r="C63" s="1289">
        <f>SUMIF(C33:C51, "5", H33:H51)</f>
        <v>0</v>
      </c>
      <c r="D63" s="1392">
        <f t="shared" si="4"/>
        <v>0</v>
      </c>
      <c r="E63" s="4146" t="s">
        <v>3867</v>
      </c>
      <c r="F63" s="4147"/>
      <c r="G63" s="4143">
        <f>'DCA Underwriting Assumptions'!H160</f>
        <v>359263.2</v>
      </c>
      <c r="H63" s="4144"/>
      <c r="I63" s="4148">
        <f t="shared" si="5"/>
        <v>0</v>
      </c>
      <c r="J63" s="4148"/>
      <c r="K63" s="1312"/>
      <c r="L63" s="4198"/>
      <c r="M63" s="4197"/>
    </row>
    <row r="64" spans="1:13" ht="14.4" thickBot="1">
      <c r="A64" s="1387" t="s">
        <v>3868</v>
      </c>
      <c r="B64" s="1305">
        <f>SUM(C58:C63)</f>
        <v>0</v>
      </c>
      <c r="C64" s="1393"/>
      <c r="D64" s="1393">
        <f>SUM(D58:D63)</f>
        <v>0</v>
      </c>
      <c r="E64" s="1386"/>
      <c r="F64" s="1386"/>
      <c r="G64" s="1386"/>
      <c r="H64" s="1386"/>
      <c r="I64" s="1386"/>
      <c r="J64" s="1380" t="s">
        <v>3869</v>
      </c>
      <c r="K64" s="1304">
        <f>SUM(I58:I62)</f>
        <v>0</v>
      </c>
    </row>
    <row r="65" spans="1:11">
      <c r="A65" s="4149"/>
      <c r="B65" s="4149"/>
      <c r="C65" s="4149"/>
      <c r="D65" s="4149"/>
      <c r="E65" s="4149"/>
      <c r="F65" s="4149"/>
      <c r="G65" s="4149"/>
      <c r="H65" s="4149"/>
      <c r="I65" s="4149"/>
      <c r="J65" s="4149"/>
    </row>
    <row r="66" spans="1:11">
      <c r="A66" s="4150" t="s">
        <v>3870</v>
      </c>
      <c r="B66" s="4151"/>
      <c r="C66" s="4151"/>
      <c r="D66" s="4151"/>
      <c r="E66" s="4151"/>
      <c r="F66" s="4151"/>
      <c r="G66" s="4151"/>
      <c r="H66" s="4151"/>
      <c r="I66" s="4151"/>
      <c r="J66" s="4151"/>
      <c r="K66" s="4152"/>
    </row>
    <row r="67" spans="1:11" ht="15" customHeight="1">
      <c r="A67" s="1306"/>
      <c r="B67" s="1266"/>
      <c r="C67" s="1266"/>
      <c r="D67" s="1266"/>
      <c r="E67" s="1266" t="s">
        <v>3871</v>
      </c>
      <c r="F67" s="1266"/>
      <c r="G67" s="1266"/>
      <c r="H67" s="1266"/>
      <c r="I67" s="1266"/>
      <c r="J67" s="1267"/>
      <c r="K67" s="1275">
        <f>J11</f>
        <v>0</v>
      </c>
    </row>
    <row r="68" spans="1:11">
      <c r="A68" s="1307"/>
      <c r="E68" s="1255" t="s">
        <v>3872</v>
      </c>
      <c r="J68" s="1309"/>
      <c r="K68" s="1275" t="e">
        <f>K54</f>
        <v>#VALUE!</v>
      </c>
    </row>
    <row r="69" spans="1:11" ht="14.4" thickBot="1">
      <c r="A69" s="1308"/>
      <c r="B69" s="1268"/>
      <c r="C69" s="1268"/>
      <c r="D69" s="1268"/>
      <c r="E69" s="1268" t="s">
        <v>3873</v>
      </c>
      <c r="F69" s="1268"/>
      <c r="G69" s="1268"/>
      <c r="H69" s="1268"/>
      <c r="I69" s="1268"/>
      <c r="J69" s="1310"/>
      <c r="K69" s="1313">
        <f>K64</f>
        <v>0</v>
      </c>
    </row>
    <row r="70" spans="1:11" ht="14.4" thickBot="1">
      <c r="A70" s="1277"/>
      <c r="B70" s="1269"/>
      <c r="C70" s="4140" t="s">
        <v>3874</v>
      </c>
      <c r="D70" s="4140"/>
      <c r="E70" s="4140"/>
      <c r="F70" s="4140"/>
      <c r="G70" s="4140"/>
      <c r="H70" s="4140"/>
      <c r="I70" s="4140"/>
      <c r="J70" s="4140"/>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nIhu75cPuk7HoNDYqsS4+RkO+ccBJvVH1bTBTv+n1IrLR6ptQ8+U/z73FVvzgz3SqXLTn/mWd/A5jg5WOE8Vhw==" saltValue="zaYln3GUSwPW2wQOuTFsJQ==" spinCount="100000" sheet="1" objects="1" scenarios="1" formatRows="0"/>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e">
        <f>CONCATENATE("PART SEVEN - THRESHOLD CRITERIA","  -  ",#REF!," ",#REF!,", ",#REF!,", ",#REF!," County")</f>
        <v>#REF!</v>
      </c>
      <c r="B1" s="3334"/>
      <c r="C1" s="3334"/>
      <c r="D1" s="3334"/>
      <c r="E1" s="3334"/>
      <c r="F1" s="3334"/>
      <c r="G1" s="3334"/>
      <c r="H1" s="3334"/>
      <c r="I1" s="3334"/>
      <c r="J1" s="3334"/>
      <c r="K1" s="3334"/>
      <c r="L1" s="3334"/>
      <c r="M1" s="3334"/>
      <c r="N1" s="3334"/>
      <c r="O1" s="3334"/>
      <c r="P1" s="3334"/>
      <c r="Q1" s="3334"/>
      <c r="R1" s="1696"/>
      <c r="S1" s="1696"/>
    </row>
    <row r="2" spans="1:19" customFormat="1" ht="3" customHeight="1">
      <c r="R2" s="1696"/>
      <c r="S2" s="1696"/>
    </row>
    <row r="3" spans="1:19" ht="13.5" customHeight="1">
      <c r="A3" s="434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4"/>
      <c r="C3" s="4344"/>
      <c r="D3" s="4344"/>
      <c r="E3" s="4344"/>
      <c r="F3" s="4344"/>
      <c r="G3" s="4344"/>
      <c r="H3" s="434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4"/>
      <c r="J3" s="4344"/>
      <c r="K3" s="4344"/>
      <c r="L3" s="4344"/>
      <c r="M3" s="4344"/>
      <c r="N3" s="4344"/>
      <c r="P3" s="4354" t="s">
        <v>875</v>
      </c>
      <c r="Q3" s="4401" t="s">
        <v>4419</v>
      </c>
      <c r="R3" s="1696"/>
      <c r="S3" s="1696"/>
    </row>
    <row r="4" spans="1:19" ht="3" customHeight="1">
      <c r="A4" s="671"/>
      <c r="B4" s="4345"/>
      <c r="C4" s="4345"/>
      <c r="D4" s="4345"/>
      <c r="E4" s="671"/>
      <c r="F4" s="671"/>
      <c r="G4" s="671"/>
      <c r="H4" s="671"/>
      <c r="J4" s="488"/>
      <c r="K4" s="671"/>
      <c r="L4" s="671"/>
      <c r="M4" s="671"/>
      <c r="N4" s="671"/>
      <c r="P4" s="4355"/>
      <c r="Q4" s="4402"/>
      <c r="R4" s="1696"/>
      <c r="S4" s="1696"/>
    </row>
    <row r="5" spans="1:19">
      <c r="E5" s="4353" t="e">
        <f>#REF!</f>
        <v>#REF!</v>
      </c>
      <c r="F5" s="4353"/>
      <c r="G5" s="4353"/>
      <c r="H5" s="4353"/>
      <c r="I5" s="4353"/>
      <c r="J5" s="488"/>
      <c r="K5" s="1697"/>
      <c r="L5" s="1698" t="s">
        <v>4418</v>
      </c>
      <c r="M5" s="1699" t="e">
        <f>#REF!</f>
        <v>#REF!</v>
      </c>
      <c r="N5" s="1700"/>
      <c r="O5" s="1701"/>
      <c r="P5" s="4356"/>
      <c r="Q5" s="4403"/>
      <c r="R5" s="1507"/>
      <c r="S5" s="1507"/>
    </row>
    <row r="6" spans="1:19" ht="17.25" customHeight="1">
      <c r="A6" s="96" t="s">
        <v>4417</v>
      </c>
      <c r="I6" s="488"/>
      <c r="J6" s="488"/>
      <c r="K6" s="4351" t="s">
        <v>3194</v>
      </c>
      <c r="L6" s="4351"/>
      <c r="M6" s="4351"/>
      <c r="N6" s="4351"/>
      <c r="O6" s="4352"/>
      <c r="P6" s="4346"/>
      <c r="Q6" s="4347"/>
      <c r="R6" s="1507"/>
      <c r="S6" s="1507"/>
    </row>
    <row r="7" spans="1:19" ht="12.6" customHeight="1">
      <c r="A7" s="97" t="s">
        <v>2981</v>
      </c>
      <c r="H7" s="980"/>
      <c r="I7" s="1695"/>
      <c r="J7" s="1695"/>
      <c r="K7" s="980"/>
      <c r="L7" s="980"/>
      <c r="M7" s="671"/>
      <c r="N7" s="671"/>
    </row>
    <row r="8" spans="1:19" ht="23.25" customHeight="1">
      <c r="A8" s="4348" t="s">
        <v>1327</v>
      </c>
      <c r="B8" s="4349"/>
      <c r="C8" s="4349"/>
      <c r="D8" s="4349"/>
      <c r="E8" s="4349"/>
      <c r="F8" s="4349"/>
      <c r="G8" s="4349"/>
      <c r="H8" s="4349"/>
      <c r="I8" s="4349"/>
      <c r="J8" s="4349"/>
      <c r="K8" s="4349"/>
      <c r="L8" s="4349"/>
      <c r="M8" s="4349"/>
      <c r="N8" s="4349"/>
      <c r="O8" s="4349"/>
      <c r="P8" s="4349"/>
      <c r="Q8" s="4350"/>
      <c r="R8" s="3028" t="s">
        <v>1877</v>
      </c>
      <c r="S8" s="3024"/>
    </row>
    <row r="9" spans="1:19" ht="23.25" customHeight="1">
      <c r="A9" s="4330" t="s">
        <v>218</v>
      </c>
      <c r="B9" s="4331"/>
      <c r="C9" s="4331"/>
      <c r="D9" s="4331"/>
      <c r="E9" s="4331"/>
      <c r="F9" s="4331"/>
      <c r="G9" s="4331"/>
      <c r="H9" s="4331"/>
      <c r="I9" s="4331"/>
      <c r="J9" s="4331"/>
      <c r="K9" s="4331"/>
      <c r="L9" s="4331"/>
      <c r="M9" s="4331"/>
      <c r="N9" s="4331"/>
      <c r="O9" s="4331"/>
      <c r="P9" s="4331"/>
      <c r="Q9" s="4332"/>
      <c r="R9" s="3028"/>
      <c r="S9" s="3024"/>
    </row>
    <row r="10" spans="1:19" ht="23.25" customHeight="1">
      <c r="A10" s="4330" t="s">
        <v>1323</v>
      </c>
      <c r="B10" s="4331"/>
      <c r="C10" s="4331"/>
      <c r="D10" s="4331"/>
      <c r="E10" s="4331"/>
      <c r="F10" s="4331"/>
      <c r="G10" s="4331"/>
      <c r="H10" s="4331"/>
      <c r="I10" s="4331"/>
      <c r="J10" s="4331"/>
      <c r="K10" s="4331"/>
      <c r="L10" s="4331"/>
      <c r="M10" s="4331"/>
      <c r="N10" s="4331"/>
      <c r="O10" s="4331"/>
      <c r="P10" s="4331"/>
      <c r="Q10" s="4332"/>
      <c r="R10" s="3028"/>
      <c r="S10" s="3024"/>
    </row>
    <row r="11" spans="1:19" ht="23.25" customHeight="1">
      <c r="A11" s="4330" t="s">
        <v>1324</v>
      </c>
      <c r="B11" s="4331"/>
      <c r="C11" s="4331"/>
      <c r="D11" s="4331"/>
      <c r="E11" s="4331"/>
      <c r="F11" s="4331"/>
      <c r="G11" s="4331"/>
      <c r="H11" s="4331"/>
      <c r="I11" s="4331"/>
      <c r="J11" s="4331"/>
      <c r="K11" s="4331"/>
      <c r="L11" s="4331"/>
      <c r="M11" s="4331"/>
      <c r="N11" s="4331"/>
      <c r="O11" s="4331"/>
      <c r="P11" s="4331"/>
      <c r="Q11" s="4332"/>
      <c r="R11" s="3028"/>
      <c r="S11" s="3024"/>
    </row>
    <row r="12" spans="1:19" ht="23.25" customHeight="1">
      <c r="A12" s="4330" t="s">
        <v>1325</v>
      </c>
      <c r="B12" s="4331"/>
      <c r="C12" s="4331"/>
      <c r="D12" s="4331"/>
      <c r="E12" s="4331"/>
      <c r="F12" s="4331"/>
      <c r="G12" s="4331"/>
      <c r="H12" s="4331"/>
      <c r="I12" s="4331"/>
      <c r="J12" s="4331"/>
      <c r="K12" s="4331"/>
      <c r="L12" s="4331"/>
      <c r="M12" s="4331"/>
      <c r="N12" s="4331"/>
      <c r="O12" s="4331"/>
      <c r="P12" s="4331"/>
      <c r="Q12" s="4332"/>
      <c r="R12" s="869"/>
      <c r="S12" s="869"/>
    </row>
    <row r="13" spans="1:19" ht="23.25" customHeight="1">
      <c r="A13" s="4330" t="s">
        <v>1326</v>
      </c>
      <c r="B13" s="4331"/>
      <c r="C13" s="4331"/>
      <c r="D13" s="4331"/>
      <c r="E13" s="4331"/>
      <c r="F13" s="4331"/>
      <c r="G13" s="4331"/>
      <c r="H13" s="4331"/>
      <c r="I13" s="4331"/>
      <c r="J13" s="4331"/>
      <c r="K13" s="4331"/>
      <c r="L13" s="4331"/>
      <c r="M13" s="4331"/>
      <c r="N13" s="4331"/>
      <c r="O13" s="4331"/>
      <c r="P13" s="4331"/>
      <c r="Q13" s="4332"/>
      <c r="R13" s="869"/>
      <c r="S13" s="869"/>
    </row>
    <row r="14" spans="1:19" ht="23.25" customHeight="1">
      <c r="A14" s="4330" t="s">
        <v>1328</v>
      </c>
      <c r="B14" s="4331"/>
      <c r="C14" s="4331"/>
      <c r="D14" s="4331"/>
      <c r="E14" s="4331"/>
      <c r="F14" s="4331"/>
      <c r="G14" s="4331"/>
      <c r="H14" s="4331"/>
      <c r="I14" s="4331"/>
      <c r="J14" s="4331"/>
      <c r="K14" s="4331"/>
      <c r="L14" s="4331"/>
      <c r="M14" s="4331"/>
      <c r="N14" s="4331"/>
      <c r="O14" s="4331"/>
      <c r="P14" s="4331"/>
      <c r="Q14" s="4332"/>
    </row>
    <row r="15" spans="1:19" ht="11.25" customHeight="1">
      <c r="A15" s="4330" t="s">
        <v>1866</v>
      </c>
      <c r="B15" s="4331"/>
      <c r="C15" s="4331"/>
      <c r="D15" s="4331"/>
      <c r="E15" s="4331"/>
      <c r="F15" s="4331"/>
      <c r="G15" s="4331"/>
      <c r="H15" s="4331"/>
      <c r="I15" s="4331"/>
      <c r="J15" s="4331"/>
      <c r="K15" s="4331"/>
      <c r="L15" s="4331"/>
      <c r="M15" s="4331"/>
      <c r="N15" s="4331"/>
      <c r="O15" s="4331"/>
      <c r="P15" s="4331"/>
      <c r="Q15" s="4332"/>
      <c r="R15" s="3028"/>
      <c r="S15" s="3024"/>
    </row>
    <row r="16" spans="1:19" ht="11.25" customHeight="1">
      <c r="A16" s="4330" t="s">
        <v>1867</v>
      </c>
      <c r="B16" s="4331"/>
      <c r="C16" s="4331"/>
      <c r="D16" s="4331"/>
      <c r="E16" s="4331"/>
      <c r="F16" s="4331"/>
      <c r="G16" s="4331"/>
      <c r="H16" s="4331"/>
      <c r="I16" s="4331"/>
      <c r="J16" s="4331"/>
      <c r="K16" s="4331"/>
      <c r="L16" s="4331"/>
      <c r="M16" s="4331"/>
      <c r="N16" s="4331"/>
      <c r="O16" s="4331"/>
      <c r="P16" s="4331"/>
      <c r="Q16" s="4332"/>
      <c r="R16" s="3028"/>
      <c r="S16" s="3024"/>
    </row>
    <row r="17" spans="1:31" ht="11.25" customHeight="1">
      <c r="A17" s="4330" t="s">
        <v>1868</v>
      </c>
      <c r="B17" s="4331"/>
      <c r="C17" s="4331"/>
      <c r="D17" s="4331"/>
      <c r="E17" s="4331"/>
      <c r="F17" s="4331"/>
      <c r="G17" s="4331"/>
      <c r="H17" s="4331"/>
      <c r="I17" s="4331"/>
      <c r="J17" s="4331"/>
      <c r="K17" s="4331"/>
      <c r="L17" s="4331"/>
      <c r="M17" s="4331"/>
      <c r="N17" s="4331"/>
      <c r="O17" s="4331"/>
      <c r="P17" s="4331"/>
      <c r="Q17" s="4332"/>
      <c r="R17" s="3028"/>
      <c r="S17" s="3024"/>
    </row>
    <row r="18" spans="1:31" ht="11.25" customHeight="1">
      <c r="A18" s="4330" t="s">
        <v>1869</v>
      </c>
      <c r="B18" s="4331"/>
      <c r="C18" s="4331"/>
      <c r="D18" s="4331"/>
      <c r="E18" s="4331"/>
      <c r="F18" s="4331"/>
      <c r="G18" s="4331"/>
      <c r="H18" s="4331"/>
      <c r="I18" s="4331"/>
      <c r="J18" s="4331"/>
      <c r="K18" s="4331"/>
      <c r="L18" s="4331"/>
      <c r="M18" s="4331"/>
      <c r="N18" s="4331"/>
      <c r="O18" s="4331"/>
      <c r="P18" s="4331"/>
      <c r="Q18" s="4332"/>
      <c r="R18" s="3028"/>
      <c r="S18" s="3024"/>
    </row>
    <row r="19" spans="1:31" ht="11.25" customHeight="1">
      <c r="A19" s="4330" t="s">
        <v>1870</v>
      </c>
      <c r="B19" s="4331"/>
      <c r="C19" s="4331"/>
      <c r="D19" s="4331"/>
      <c r="E19" s="4331"/>
      <c r="F19" s="4331"/>
      <c r="G19" s="4331"/>
      <c r="H19" s="4331"/>
      <c r="I19" s="4331"/>
      <c r="J19" s="4331"/>
      <c r="K19" s="4331"/>
      <c r="L19" s="4331"/>
      <c r="M19" s="4331"/>
      <c r="N19" s="4331"/>
      <c r="O19" s="4331"/>
      <c r="P19" s="4331"/>
      <c r="Q19" s="4332"/>
      <c r="R19" s="3028"/>
      <c r="S19" s="3024"/>
    </row>
    <row r="20" spans="1:31" ht="11.25" customHeight="1">
      <c r="A20" s="4330" t="s">
        <v>1871</v>
      </c>
      <c r="B20" s="4331"/>
      <c r="C20" s="4331"/>
      <c r="D20" s="4331"/>
      <c r="E20" s="4331"/>
      <c r="F20" s="4331"/>
      <c r="G20" s="4331"/>
      <c r="H20" s="4331"/>
      <c r="I20" s="4331"/>
      <c r="J20" s="4331"/>
      <c r="K20" s="4331"/>
      <c r="L20" s="4331"/>
      <c r="M20" s="4331"/>
      <c r="N20" s="4331"/>
      <c r="O20" s="4331"/>
      <c r="P20" s="4331"/>
      <c r="Q20" s="4332"/>
      <c r="R20" s="3028"/>
      <c r="S20" s="3024"/>
    </row>
    <row r="21" spans="1:31" ht="11.25" customHeight="1">
      <c r="A21" s="4330" t="s">
        <v>1872</v>
      </c>
      <c r="B21" s="4331"/>
      <c r="C21" s="4331"/>
      <c r="D21" s="4331"/>
      <c r="E21" s="4331"/>
      <c r="F21" s="4331"/>
      <c r="G21" s="4331"/>
      <c r="H21" s="4331"/>
      <c r="I21" s="4331"/>
      <c r="J21" s="4331"/>
      <c r="K21" s="4331"/>
      <c r="L21" s="4331"/>
      <c r="M21" s="4331"/>
      <c r="N21" s="4331"/>
      <c r="O21" s="4331"/>
      <c r="P21" s="4331"/>
      <c r="Q21" s="4332"/>
    </row>
    <row r="22" spans="1:31" ht="11.25" customHeight="1">
      <c r="A22" s="4330" t="s">
        <v>1873</v>
      </c>
      <c r="B22" s="4331"/>
      <c r="C22" s="4331"/>
      <c r="D22" s="4331"/>
      <c r="E22" s="4331"/>
      <c r="F22" s="4331"/>
      <c r="G22" s="4331"/>
      <c r="H22" s="4331"/>
      <c r="I22" s="4331"/>
      <c r="J22" s="4331"/>
      <c r="K22" s="4331"/>
      <c r="L22" s="4331"/>
      <c r="M22" s="4331"/>
      <c r="N22" s="4331"/>
      <c r="O22" s="4331"/>
      <c r="P22" s="4331"/>
      <c r="Q22" s="4332"/>
      <c r="R22" s="3028"/>
      <c r="S22" s="3024"/>
    </row>
    <row r="23" spans="1:31" ht="11.25" customHeight="1">
      <c r="A23" s="4330" t="s">
        <v>1874</v>
      </c>
      <c r="B23" s="4331"/>
      <c r="C23" s="4331"/>
      <c r="D23" s="4331"/>
      <c r="E23" s="4331"/>
      <c r="F23" s="4331"/>
      <c r="G23" s="4331"/>
      <c r="H23" s="4331"/>
      <c r="I23" s="4331"/>
      <c r="J23" s="4331"/>
      <c r="K23" s="4331"/>
      <c r="L23" s="4331"/>
      <c r="M23" s="4331"/>
      <c r="N23" s="4331"/>
      <c r="O23" s="4331"/>
      <c r="P23" s="4331"/>
      <c r="Q23" s="4332"/>
      <c r="R23" s="3028"/>
      <c r="S23" s="3024"/>
    </row>
    <row r="24" spans="1:31" ht="11.25" customHeight="1">
      <c r="A24" s="4330" t="s">
        <v>1875</v>
      </c>
      <c r="B24" s="4331"/>
      <c r="C24" s="4331"/>
      <c r="D24" s="4331"/>
      <c r="E24" s="4331"/>
      <c r="F24" s="4331"/>
      <c r="G24" s="4331"/>
      <c r="H24" s="4331"/>
      <c r="I24" s="4331"/>
      <c r="J24" s="4331"/>
      <c r="K24" s="4331"/>
      <c r="L24" s="4331"/>
      <c r="M24" s="4331"/>
      <c r="N24" s="4331"/>
      <c r="O24" s="4331"/>
      <c r="P24" s="4331"/>
      <c r="Q24" s="4332"/>
      <c r="R24" s="3028"/>
      <c r="S24" s="3024"/>
    </row>
    <row r="25" spans="1:31" ht="11.25" customHeight="1">
      <c r="A25" s="4333" t="s">
        <v>1876</v>
      </c>
      <c r="B25" s="4334"/>
      <c r="C25" s="4334"/>
      <c r="D25" s="4334"/>
      <c r="E25" s="4334"/>
      <c r="F25" s="4334"/>
      <c r="G25" s="4334"/>
      <c r="H25" s="4334"/>
      <c r="I25" s="4334"/>
      <c r="J25" s="4334"/>
      <c r="K25" s="4334"/>
      <c r="L25" s="4334"/>
      <c r="M25" s="4334"/>
      <c r="N25" s="4334"/>
      <c r="O25" s="4334"/>
      <c r="P25" s="4334"/>
      <c r="Q25" s="4335"/>
      <c r="R25" s="3028"/>
      <c r="S25" s="3024"/>
    </row>
    <row r="26" spans="1:31" ht="6" customHeight="1"/>
    <row r="27" spans="1:31" ht="14.1" customHeight="1">
      <c r="A27" s="98" t="s">
        <v>688</v>
      </c>
      <c r="B27" s="99" t="s">
        <v>4521</v>
      </c>
      <c r="C27" s="100"/>
      <c r="D27" s="66"/>
      <c r="E27" s="66"/>
      <c r="F27" s="66"/>
      <c r="G27" s="66"/>
      <c r="I27" s="874"/>
      <c r="J27" s="874"/>
      <c r="K27" s="874"/>
      <c r="L27" s="671"/>
      <c r="M27" s="671"/>
      <c r="O27" s="101" t="s">
        <v>1725</v>
      </c>
      <c r="P27" s="4233"/>
      <c r="Q27" s="4234"/>
    </row>
    <row r="28" spans="1:31" ht="3" customHeight="1"/>
    <row r="29" spans="1:31" ht="11.25" customHeight="1">
      <c r="B29" s="42" t="s">
        <v>3154</v>
      </c>
      <c r="C29" s="42"/>
      <c r="D29" s="42"/>
      <c r="E29" s="42"/>
      <c r="F29" s="42"/>
      <c r="G29" s="874"/>
      <c r="H29" s="874"/>
      <c r="I29" s="874"/>
      <c r="J29" s="874"/>
      <c r="K29" s="671"/>
      <c r="L29" s="671"/>
      <c r="M29" s="671"/>
      <c r="N29" s="671"/>
      <c r="O29" s="671"/>
      <c r="P29" s="671"/>
      <c r="S29" s="125"/>
      <c r="T29" s="125"/>
    </row>
    <row r="30" spans="1:31" ht="108.75" customHeight="1">
      <c r="A30" s="4241"/>
      <c r="B30" s="4242"/>
      <c r="C30" s="4242"/>
      <c r="D30" s="4242"/>
      <c r="E30" s="4242"/>
      <c r="F30" s="4242"/>
      <c r="G30" s="4242"/>
      <c r="H30" s="4242"/>
      <c r="I30" s="4242"/>
      <c r="J30" s="4242"/>
      <c r="K30" s="4242"/>
      <c r="L30" s="4242"/>
      <c r="M30" s="4242"/>
      <c r="N30" s="4242"/>
      <c r="O30" s="4242"/>
      <c r="P30" s="4242"/>
      <c r="Q30" s="4243"/>
      <c r="R30" s="353" t="s">
        <v>1179</v>
      </c>
      <c r="S30" s="354"/>
      <c r="T30" s="125"/>
      <c r="U30" s="104"/>
      <c r="V30" s="104"/>
      <c r="W30" s="104"/>
      <c r="X30" s="104"/>
      <c r="Y30" s="104"/>
      <c r="Z30" s="104"/>
      <c r="AA30" s="104"/>
      <c r="AB30" s="104"/>
      <c r="AC30" s="104"/>
      <c r="AD30" s="104"/>
      <c r="AE30" s="104"/>
    </row>
    <row r="31" spans="1:31" ht="11.25" customHeight="1">
      <c r="B31" s="105" t="s">
        <v>1724</v>
      </c>
      <c r="C31" s="106"/>
      <c r="D31" s="870"/>
      <c r="E31" s="870"/>
      <c r="F31" s="870"/>
      <c r="G31" s="870"/>
      <c r="H31" s="870"/>
      <c r="I31" s="870"/>
      <c r="J31" s="870"/>
      <c r="K31" s="870"/>
      <c r="L31" s="870"/>
      <c r="M31" s="870"/>
      <c r="N31" s="870"/>
      <c r="O31" s="870"/>
      <c r="P31" s="870"/>
    </row>
    <row r="32" spans="1:31" ht="36" customHeight="1">
      <c r="A32" s="4343"/>
      <c r="B32" s="4343"/>
      <c r="C32" s="4343"/>
      <c r="D32" s="4343"/>
      <c r="E32" s="4343"/>
      <c r="F32" s="4343"/>
      <c r="G32" s="4343"/>
      <c r="H32" s="4343"/>
      <c r="I32" s="4343"/>
      <c r="J32" s="4343"/>
      <c r="K32" s="4343"/>
      <c r="L32" s="4343"/>
      <c r="M32" s="4343"/>
      <c r="N32" s="4343"/>
      <c r="O32" s="4343"/>
      <c r="P32" s="4343"/>
      <c r="Q32" s="4343"/>
      <c r="R32" s="353" t="s">
        <v>1179</v>
      </c>
      <c r="S32" s="354"/>
    </row>
    <row r="33" spans="1:31" ht="4.5" customHeight="1">
      <c r="B33" s="874"/>
      <c r="C33" s="870"/>
      <c r="D33" s="870"/>
      <c r="E33" s="870"/>
      <c r="F33" s="870"/>
      <c r="G33" s="870"/>
      <c r="H33" s="870"/>
      <c r="I33" s="870"/>
      <c r="J33" s="870"/>
      <c r="K33" s="870"/>
      <c r="L33" s="870"/>
      <c r="M33" s="870"/>
      <c r="N33" s="870"/>
      <c r="O33" s="870"/>
      <c r="P33" s="870"/>
      <c r="Q33" s="671"/>
    </row>
    <row r="34" spans="1:31" ht="12.75" customHeight="1">
      <c r="A34" s="2" t="s">
        <v>690</v>
      </c>
      <c r="B34" s="4" t="s">
        <v>1117</v>
      </c>
      <c r="C34" s="4"/>
      <c r="D34" s="4"/>
      <c r="E34" s="870"/>
      <c r="F34" s="870"/>
      <c r="G34" s="1566"/>
      <c r="O34" s="101" t="s">
        <v>1725</v>
      </c>
      <c r="P34" s="4233"/>
      <c r="Q34" s="4234"/>
    </row>
    <row r="35" spans="1:31" ht="12.75" customHeight="1">
      <c r="A35" s="2"/>
      <c r="B35" s="108" t="s">
        <v>4529</v>
      </c>
      <c r="C35" s="4"/>
      <c r="D35" s="4"/>
      <c r="E35" s="870"/>
      <c r="F35" s="870"/>
      <c r="H35" s="870"/>
      <c r="J35" s="3082" t="s">
        <v>4356</v>
      </c>
      <c r="K35" s="3083"/>
      <c r="L35" s="3084"/>
      <c r="M35" s="147" t="s">
        <v>1642</v>
      </c>
      <c r="N35" s="4224"/>
      <c r="O35" s="4225"/>
      <c r="P35" s="4225"/>
      <c r="Q35" s="4226"/>
    </row>
    <row r="36" spans="1:31" ht="12.75" customHeight="1">
      <c r="A36" s="2"/>
      <c r="B36" s="108" t="s">
        <v>4528</v>
      </c>
      <c r="C36" s="4"/>
      <c r="D36" s="4"/>
      <c r="E36" s="870"/>
      <c r="F36" s="870"/>
      <c r="G36" s="1566"/>
      <c r="H36" s="870"/>
      <c r="J36" s="3082" t="s">
        <v>4357</v>
      </c>
      <c r="K36" s="3083"/>
      <c r="L36" s="3084"/>
      <c r="M36" s="147" t="s">
        <v>1642</v>
      </c>
      <c r="N36" s="4224"/>
      <c r="O36" s="4225"/>
      <c r="P36" s="4225"/>
      <c r="Q36" s="4226"/>
    </row>
    <row r="37" spans="1:31" ht="12.75" customHeight="1">
      <c r="B37" s="73" t="s">
        <v>3154</v>
      </c>
      <c r="D37" s="73"/>
      <c r="E37" s="73"/>
      <c r="F37" s="73"/>
      <c r="G37" s="73"/>
      <c r="H37" s="33"/>
      <c r="I37" s="874"/>
      <c r="J37" s="874"/>
      <c r="K37" s="1662" t="s">
        <v>1724</v>
      </c>
      <c r="L37" s="671"/>
      <c r="M37" s="671"/>
      <c r="N37" s="671"/>
      <c r="O37" s="671"/>
      <c r="P37" s="671"/>
      <c r="Q37" s="671"/>
    </row>
    <row r="38" spans="1:31" ht="10.5" customHeight="1">
      <c r="A38" s="4241"/>
      <c r="B38" s="4242"/>
      <c r="C38" s="4242"/>
      <c r="D38" s="4242"/>
      <c r="E38" s="4242"/>
      <c r="F38" s="4242"/>
      <c r="G38" s="4242"/>
      <c r="H38" s="4242"/>
      <c r="I38" s="4242"/>
      <c r="J38" s="4243"/>
      <c r="K38" s="4238"/>
      <c r="L38" s="4239"/>
      <c r="M38" s="4239"/>
      <c r="N38" s="4239"/>
      <c r="O38" s="4239"/>
      <c r="P38" s="4239"/>
      <c r="Q38" s="4240"/>
      <c r="R38" s="353" t="s">
        <v>1179</v>
      </c>
      <c r="U38" s="104"/>
      <c r="V38" s="104"/>
      <c r="W38" s="104"/>
      <c r="X38" s="104"/>
      <c r="Y38" s="104"/>
      <c r="Z38" s="104"/>
      <c r="AA38" s="104"/>
      <c r="AB38" s="104"/>
      <c r="AC38" s="104"/>
      <c r="AD38" s="104"/>
      <c r="AE38" s="104"/>
    </row>
    <row r="39" spans="1:31" ht="4.5" customHeight="1">
      <c r="A39" s="671"/>
      <c r="B39" s="874"/>
      <c r="C39" s="870"/>
      <c r="D39" s="870"/>
      <c r="E39" s="870"/>
      <c r="F39" s="870"/>
      <c r="G39" s="870"/>
      <c r="H39" s="870"/>
      <c r="I39" s="870"/>
      <c r="J39" s="870"/>
      <c r="K39" s="870"/>
      <c r="L39" s="870"/>
      <c r="M39" s="870"/>
      <c r="N39" s="870"/>
      <c r="O39" s="870"/>
      <c r="P39" s="870"/>
      <c r="Q39" s="671"/>
    </row>
    <row r="40" spans="1:31" ht="12.75" customHeight="1">
      <c r="A40" s="2" t="s">
        <v>1661</v>
      </c>
      <c r="B40" s="2" t="s">
        <v>2414</v>
      </c>
      <c r="C40" s="89"/>
      <c r="D40" s="870"/>
      <c r="E40" s="870"/>
      <c r="F40" s="870"/>
      <c r="G40" s="870"/>
      <c r="H40" s="870"/>
      <c r="I40" s="870"/>
      <c r="J40" s="870"/>
      <c r="L40" s="1246" t="s">
        <v>3663</v>
      </c>
      <c r="M40" s="1247" t="s">
        <v>3664</v>
      </c>
      <c r="O40" s="101" t="s">
        <v>1725</v>
      </c>
      <c r="P40" s="4233"/>
      <c r="Q40" s="4234"/>
    </row>
    <row r="41" spans="1:31" ht="1.5" customHeight="1"/>
    <row r="42" spans="1:31" ht="12" customHeight="1">
      <c r="A42" s="110" t="s">
        <v>1835</v>
      </c>
      <c r="B42" s="4227" t="s">
        <v>3658</v>
      </c>
      <c r="C42" s="4227"/>
      <c r="D42" s="4227"/>
      <c r="E42" s="4227"/>
      <c r="F42" s="4227"/>
      <c r="G42" s="4227"/>
      <c r="H42" s="4227"/>
      <c r="I42" s="4227"/>
      <c r="J42" s="4227"/>
      <c r="K42" s="115"/>
      <c r="L42" s="346" t="s">
        <v>2572</v>
      </c>
      <c r="M42" s="1139">
        <v>2</v>
      </c>
      <c r="N42" s="108" t="s">
        <v>3888</v>
      </c>
      <c r="P42" s="4380"/>
      <c r="Q42" s="4390"/>
    </row>
    <row r="43" spans="1:31" ht="12" customHeight="1">
      <c r="A43" s="110"/>
      <c r="B43" s="4227"/>
      <c r="C43" s="4227"/>
      <c r="D43" s="4227"/>
      <c r="E43" s="4227"/>
      <c r="F43" s="4227"/>
      <c r="G43" s="4227"/>
      <c r="H43" s="4227"/>
      <c r="I43" s="4227"/>
      <c r="J43" s="4227"/>
      <c r="K43" s="115"/>
      <c r="L43" s="346" t="s">
        <v>3662</v>
      </c>
      <c r="M43" s="1140">
        <v>4</v>
      </c>
      <c r="O43" s="111"/>
      <c r="P43" s="4381"/>
      <c r="Q43" s="4391"/>
    </row>
    <row r="44" spans="1:31" ht="12" customHeight="1">
      <c r="A44" s="110"/>
      <c r="D44" s="870"/>
      <c r="E44" s="870"/>
      <c r="F44" s="870"/>
      <c r="G44" s="870"/>
      <c r="H44" s="870"/>
      <c r="I44" s="870"/>
      <c r="J44" s="870"/>
      <c r="K44" s="115"/>
      <c r="L44" s="371" t="s">
        <v>4052</v>
      </c>
      <c r="M44" s="1140"/>
      <c r="O44" s="111"/>
      <c r="P44" s="1459"/>
      <c r="Q44" s="1460"/>
    </row>
    <row r="45" spans="1:31" ht="12" customHeight="1">
      <c r="A45" s="40" t="s">
        <v>1837</v>
      </c>
      <c r="B45" s="108" t="s">
        <v>3665</v>
      </c>
      <c r="C45" s="108"/>
      <c r="D45" s="108"/>
      <c r="E45" s="108"/>
      <c r="F45" s="108"/>
      <c r="G45" s="108"/>
      <c r="H45" s="108"/>
      <c r="I45" s="108"/>
      <c r="J45" s="108"/>
      <c r="K45" s="456"/>
      <c r="L45" s="108"/>
      <c r="M45" s="115"/>
      <c r="N45" s="701"/>
      <c r="O45" s="701"/>
      <c r="P45" s="701"/>
    </row>
    <row r="46" spans="1:31" ht="12.75" customHeight="1">
      <c r="A46" s="395"/>
      <c r="B46" s="1155" t="s">
        <v>1611</v>
      </c>
      <c r="C46" s="108" t="s">
        <v>3669</v>
      </c>
      <c r="D46" s="1111"/>
      <c r="E46" s="1111"/>
      <c r="F46" s="1111"/>
      <c r="G46" s="1111"/>
      <c r="H46" s="1111"/>
      <c r="I46" s="1111"/>
      <c r="J46" s="1111"/>
      <c r="K46" s="1110"/>
      <c r="L46" s="700"/>
      <c r="N46" s="108" t="s">
        <v>3889</v>
      </c>
      <c r="O46" s="701"/>
      <c r="P46" s="175"/>
      <c r="Q46" s="418"/>
    </row>
    <row r="47" spans="1:31" ht="12.75" customHeight="1">
      <c r="A47" s="395"/>
      <c r="B47" s="1155" t="s">
        <v>1612</v>
      </c>
      <c r="C47" s="108" t="s">
        <v>3666</v>
      </c>
      <c r="D47" s="1111"/>
      <c r="E47" s="1111"/>
      <c r="F47" s="1111"/>
      <c r="G47" s="1111"/>
      <c r="H47" s="1111"/>
      <c r="I47" s="1111"/>
      <c r="J47" s="1111"/>
      <c r="K47" s="1110"/>
      <c r="L47" s="700"/>
      <c r="N47" s="108" t="s">
        <v>3890</v>
      </c>
      <c r="O47" s="701"/>
      <c r="P47" s="299"/>
      <c r="Q47" s="419"/>
    </row>
    <row r="48" spans="1:31" ht="12.75" customHeight="1">
      <c r="A48" s="1109"/>
      <c r="B48" s="371" t="s">
        <v>1613</v>
      </c>
      <c r="C48" s="108" t="s">
        <v>3667</v>
      </c>
      <c r="E48" s="1111"/>
      <c r="F48" s="1111"/>
      <c r="G48" s="1111"/>
      <c r="H48" s="1111"/>
      <c r="I48" s="1111"/>
      <c r="J48" s="1111"/>
      <c r="K48" s="1110"/>
      <c r="L48" s="700"/>
      <c r="M48" s="701"/>
      <c r="N48" s="108" t="s">
        <v>3891</v>
      </c>
      <c r="O48" s="701"/>
      <c r="P48" s="299"/>
      <c r="Q48" s="419"/>
    </row>
    <row r="49" spans="1:31" ht="12.75" customHeight="1">
      <c r="A49" s="112"/>
      <c r="B49" s="371" t="s">
        <v>2175</v>
      </c>
      <c r="C49" s="371" t="s">
        <v>3670</v>
      </c>
      <c r="D49" s="103"/>
      <c r="E49" s="103"/>
      <c r="F49" s="103"/>
      <c r="G49" s="103"/>
      <c r="H49" s="103"/>
      <c r="I49" s="35"/>
      <c r="J49" s="35"/>
      <c r="N49" s="108" t="s">
        <v>3892</v>
      </c>
      <c r="O49" s="701"/>
      <c r="P49" s="176"/>
      <c r="Q49" s="420"/>
    </row>
    <row r="50" spans="1:31" ht="12.75" customHeight="1">
      <c r="A50" s="112"/>
      <c r="B50" s="371"/>
      <c r="C50" s="108" t="s">
        <v>3671</v>
      </c>
      <c r="D50" s="103"/>
      <c r="E50" s="103"/>
      <c r="F50" s="103"/>
      <c r="G50" s="103"/>
      <c r="H50" s="103"/>
      <c r="I50" s="35"/>
      <c r="J50" s="35"/>
      <c r="L50" s="4250"/>
      <c r="M50" s="4251"/>
      <c r="N50" s="4251"/>
      <c r="O50" s="4251"/>
      <c r="P50" s="4251"/>
      <c r="Q50" s="4329"/>
    </row>
    <row r="51" spans="1:31" ht="12.75" customHeight="1">
      <c r="A51" s="112"/>
      <c r="B51" s="371" t="s">
        <v>1446</v>
      </c>
      <c r="C51" s="4227" t="s">
        <v>3668</v>
      </c>
      <c r="D51" s="4227"/>
      <c r="E51" s="4227"/>
      <c r="F51" s="4227"/>
      <c r="G51" s="4227"/>
      <c r="H51" s="4227"/>
      <c r="I51" s="4227"/>
      <c r="J51" s="4227"/>
      <c r="K51" s="4227"/>
      <c r="L51" s="4227"/>
      <c r="M51" s="412"/>
      <c r="N51" s="108" t="s">
        <v>3893</v>
      </c>
      <c r="O51" s="701"/>
      <c r="P51" s="372"/>
      <c r="Q51" s="417"/>
    </row>
    <row r="52" spans="1:31" ht="12.75" customHeight="1">
      <c r="A52" s="40"/>
      <c r="C52" s="4227"/>
      <c r="D52" s="4227"/>
      <c r="E52" s="4227"/>
      <c r="F52" s="4227"/>
      <c r="G52" s="4227"/>
      <c r="H52" s="4227"/>
      <c r="I52" s="4227"/>
      <c r="J52" s="4227"/>
      <c r="K52" s="4227"/>
      <c r="L52" s="4227"/>
      <c r="M52" s="412"/>
    </row>
    <row r="53" spans="1:31" ht="10.5" customHeight="1">
      <c r="B53" s="73" t="s">
        <v>3154</v>
      </c>
      <c r="D53" s="73"/>
      <c r="E53" s="73"/>
      <c r="F53" s="73"/>
      <c r="G53" s="73"/>
      <c r="H53" s="33"/>
      <c r="I53" s="874"/>
      <c r="J53" s="874"/>
      <c r="K53" s="105" t="s">
        <v>1724</v>
      </c>
      <c r="L53" s="671"/>
      <c r="M53" s="671"/>
      <c r="N53" s="671"/>
      <c r="O53" s="671"/>
      <c r="P53" s="671"/>
      <c r="Q53" s="671"/>
    </row>
    <row r="54" spans="1:31" ht="10.5" customHeight="1">
      <c r="A54" s="4241"/>
      <c r="B54" s="4242"/>
      <c r="C54" s="4242"/>
      <c r="D54" s="4242"/>
      <c r="E54" s="4242"/>
      <c r="F54" s="4242"/>
      <c r="G54" s="4242"/>
      <c r="H54" s="4242"/>
      <c r="I54" s="4242"/>
      <c r="J54" s="4243"/>
      <c r="K54" s="4238"/>
      <c r="L54" s="4239"/>
      <c r="M54" s="4239"/>
      <c r="N54" s="4239"/>
      <c r="O54" s="4239"/>
      <c r="P54" s="4239"/>
      <c r="Q54" s="4240"/>
      <c r="R54" s="353" t="s">
        <v>1179</v>
      </c>
      <c r="U54" s="104"/>
      <c r="V54" s="104"/>
      <c r="W54" s="104"/>
      <c r="X54" s="104"/>
      <c r="Y54" s="104"/>
      <c r="Z54" s="104"/>
      <c r="AA54" s="104"/>
      <c r="AB54" s="104"/>
      <c r="AC54" s="104"/>
      <c r="AD54" s="104"/>
      <c r="AE54" s="104"/>
    </row>
    <row r="55" spans="1:31" ht="4.5" customHeight="1">
      <c r="A55" s="671"/>
      <c r="B55" s="874"/>
      <c r="C55" s="870"/>
      <c r="D55" s="870"/>
      <c r="E55" s="870"/>
      <c r="F55" s="870"/>
      <c r="G55" s="870"/>
      <c r="H55" s="870"/>
      <c r="I55" s="870"/>
      <c r="J55" s="870"/>
      <c r="K55" s="870"/>
      <c r="L55" s="870"/>
      <c r="M55" s="870"/>
      <c r="N55" s="870"/>
      <c r="O55" s="870"/>
      <c r="P55" s="870"/>
      <c r="Q55" s="671"/>
    </row>
    <row r="56" spans="1:31" ht="14.1" customHeight="1">
      <c r="A56" s="2" t="s">
        <v>1663</v>
      </c>
      <c r="B56" s="2" t="s">
        <v>3886</v>
      </c>
      <c r="C56" s="2"/>
      <c r="D56" s="870"/>
      <c r="E56" s="870"/>
      <c r="F56" s="870"/>
      <c r="G56" s="870"/>
      <c r="H56" s="1254" t="e">
        <f>#REF!</f>
        <v>#REF!</v>
      </c>
      <c r="J56" s="1702" t="s">
        <v>4522</v>
      </c>
      <c r="K56" s="429" t="str">
        <f>'Part VIII Scoring Criteria OLD'!$M$60</f>
        <v>&lt;&lt; Select Pool &gt;&gt;</v>
      </c>
      <c r="L56" s="1702" t="s">
        <v>3695</v>
      </c>
      <c r="M56" s="850" t="str">
        <f>J35</f>
        <v>&lt;&lt; Select PROPOSED Tenancy &gt;&gt;</v>
      </c>
      <c r="O56" s="101" t="s">
        <v>1725</v>
      </c>
      <c r="P56" s="4233"/>
      <c r="Q56" s="4234"/>
    </row>
    <row r="57" spans="1:31" ht="3" customHeight="1"/>
    <row r="58" spans="1:31" ht="12.75" customHeight="1">
      <c r="A58" s="40" t="s">
        <v>1835</v>
      </c>
      <c r="B58" s="32" t="s">
        <v>2257</v>
      </c>
      <c r="D58" s="103"/>
      <c r="E58" s="103"/>
      <c r="F58" s="103"/>
      <c r="G58" s="103"/>
      <c r="H58" s="103"/>
      <c r="I58" s="35"/>
      <c r="J58" s="35"/>
      <c r="K58" s="35"/>
      <c r="L58" s="48" t="s">
        <v>1835</v>
      </c>
      <c r="M58" s="4254"/>
      <c r="N58" s="4255"/>
      <c r="O58" s="4255"/>
      <c r="P58" s="4342"/>
      <c r="Q58" s="418"/>
    </row>
    <row r="59" spans="1:31" ht="12.75" customHeight="1">
      <c r="A59" s="40" t="s">
        <v>1837</v>
      </c>
      <c r="B59" s="29" t="s">
        <v>3817</v>
      </c>
      <c r="D59" s="103"/>
      <c r="E59" s="103"/>
      <c r="F59" s="103"/>
      <c r="L59" s="48" t="s">
        <v>1837</v>
      </c>
      <c r="M59" s="4377"/>
      <c r="N59" s="4378"/>
      <c r="O59" s="4378"/>
      <c r="P59" s="4379"/>
      <c r="Q59" s="419"/>
    </row>
    <row r="60" spans="1:31" ht="12.75" customHeight="1">
      <c r="A60" s="40" t="s">
        <v>697</v>
      </c>
      <c r="B60" s="29" t="s">
        <v>2549</v>
      </c>
      <c r="D60" s="103"/>
      <c r="E60" s="103"/>
      <c r="F60" s="103"/>
      <c r="L60" s="48" t="s">
        <v>697</v>
      </c>
      <c r="M60" s="4373"/>
      <c r="N60" s="4374"/>
      <c r="O60" s="4374"/>
      <c r="P60" s="4375"/>
      <c r="Q60" s="419"/>
    </row>
    <row r="61" spans="1:31" ht="12.75" customHeight="1">
      <c r="A61" s="40" t="s">
        <v>1956</v>
      </c>
      <c r="B61" s="29" t="s">
        <v>3217</v>
      </c>
      <c r="D61" s="103"/>
      <c r="E61" s="103"/>
      <c r="F61" s="103"/>
      <c r="J61" s="48" t="s">
        <v>3218</v>
      </c>
      <c r="K61" s="1437"/>
      <c r="L61" s="1434"/>
      <c r="M61" s="1436"/>
      <c r="N61" s="1435"/>
      <c r="O61" s="860" t="s">
        <v>3299</v>
      </c>
      <c r="P61" s="861"/>
      <c r="Q61" s="1433"/>
    </row>
    <row r="62" spans="1:31" ht="12.75" customHeight="1">
      <c r="A62" s="40" t="s">
        <v>1609</v>
      </c>
      <c r="B62" s="29" t="s">
        <v>3818</v>
      </c>
      <c r="D62" s="108"/>
      <c r="E62" s="108"/>
      <c r="F62" s="108"/>
      <c r="G62" s="108"/>
      <c r="H62" s="108"/>
      <c r="I62" s="108"/>
      <c r="J62" s="108"/>
      <c r="K62" s="108"/>
      <c r="L62" s="108"/>
      <c r="M62" s="108"/>
      <c r="N62" s="108"/>
      <c r="O62" s="108"/>
      <c r="P62" s="108"/>
      <c r="Q62" s="108"/>
    </row>
    <row r="63" spans="1:31" ht="12.75" customHeight="1">
      <c r="B63" s="40"/>
      <c r="C63" s="29"/>
      <c r="D63" s="874" t="s">
        <v>2186</v>
      </c>
      <c r="E63" s="33" t="s">
        <v>573</v>
      </c>
      <c r="F63" s="33"/>
      <c r="H63" s="29"/>
      <c r="I63" s="874" t="s">
        <v>2186</v>
      </c>
      <c r="J63" s="33" t="s">
        <v>573</v>
      </c>
      <c r="K63" s="33"/>
      <c r="M63" s="29"/>
      <c r="N63" s="874" t="s">
        <v>2186</v>
      </c>
      <c r="O63" s="33" t="s">
        <v>573</v>
      </c>
      <c r="P63" s="33"/>
      <c r="Q63" s="48"/>
    </row>
    <row r="64" spans="1:31" ht="12.75" customHeight="1">
      <c r="C64" s="48" t="s">
        <v>1611</v>
      </c>
      <c r="D64" s="383"/>
      <c r="E64" s="4269"/>
      <c r="F64" s="4269"/>
      <c r="G64" s="4269"/>
      <c r="H64" s="48" t="s">
        <v>2175</v>
      </c>
      <c r="I64" s="383"/>
      <c r="J64" s="4269"/>
      <c r="K64" s="4269"/>
      <c r="L64" s="4269"/>
      <c r="M64" s="48" t="s">
        <v>93</v>
      </c>
      <c r="N64" s="383"/>
      <c r="O64" s="4269"/>
      <c r="P64" s="4269"/>
      <c r="Q64" s="4269"/>
    </row>
    <row r="65" spans="1:31" ht="12.75" customHeight="1">
      <c r="C65" s="49" t="s">
        <v>1612</v>
      </c>
      <c r="D65" s="1664"/>
      <c r="E65" s="4270"/>
      <c r="F65" s="4270"/>
      <c r="G65" s="4270"/>
      <c r="H65" s="48" t="s">
        <v>1446</v>
      </c>
      <c r="I65" s="1664"/>
      <c r="J65" s="4270"/>
      <c r="K65" s="4270"/>
      <c r="L65" s="4270"/>
      <c r="M65" s="48" t="s">
        <v>480</v>
      </c>
      <c r="N65" s="1664"/>
      <c r="O65" s="4270"/>
      <c r="P65" s="4270"/>
      <c r="Q65" s="4270"/>
    </row>
    <row r="66" spans="1:31" ht="12.75" customHeight="1">
      <c r="C66" s="49" t="s">
        <v>1613</v>
      </c>
      <c r="D66" s="384"/>
      <c r="E66" s="4271"/>
      <c r="F66" s="4271"/>
      <c r="G66" s="4271"/>
      <c r="H66" s="48" t="s">
        <v>1447</v>
      </c>
      <c r="I66" s="384"/>
      <c r="J66" s="4271"/>
      <c r="K66" s="4271"/>
      <c r="L66" s="4271"/>
      <c r="M66" s="48" t="s">
        <v>481</v>
      </c>
      <c r="N66" s="384"/>
      <c r="O66" s="4271"/>
      <c r="P66" s="4271"/>
      <c r="Q66" s="4271"/>
    </row>
    <row r="67" spans="1:31" ht="12.75" customHeight="1">
      <c r="A67" s="40" t="s">
        <v>1610</v>
      </c>
      <c r="B67" s="29" t="s">
        <v>4000</v>
      </c>
      <c r="D67" s="103"/>
      <c r="E67" s="103"/>
      <c r="F67" s="103"/>
      <c r="G67" s="103"/>
      <c r="H67" s="103"/>
      <c r="I67" s="35"/>
      <c r="J67" s="35"/>
      <c r="K67" s="103"/>
      <c r="L67" s="872"/>
      <c r="M67" s="872"/>
      <c r="O67" s="48" t="s">
        <v>1610</v>
      </c>
      <c r="P67" s="1215"/>
      <c r="Q67" s="1216"/>
    </row>
    <row r="68" spans="1:31" ht="12.75" customHeight="1">
      <c r="A68" s="40" t="s">
        <v>1802</v>
      </c>
      <c r="B68" s="29" t="s">
        <v>4001</v>
      </c>
      <c r="D68" s="103"/>
      <c r="E68" s="103"/>
      <c r="F68" s="103"/>
      <c r="G68" s="103"/>
      <c r="H68" s="103"/>
      <c r="I68" s="35"/>
      <c r="J68" s="35"/>
      <c r="K68" s="103"/>
      <c r="L68" s="872"/>
      <c r="M68" s="872"/>
      <c r="O68" s="48" t="s">
        <v>1802</v>
      </c>
      <c r="P68" s="299"/>
      <c r="Q68" s="419"/>
    </row>
    <row r="69" spans="1:31" ht="10.5" customHeight="1">
      <c r="A69" s="40" t="s">
        <v>2931</v>
      </c>
      <c r="B69" s="29" t="s">
        <v>4002</v>
      </c>
      <c r="D69" s="103"/>
      <c r="E69" s="103"/>
      <c r="F69" s="103"/>
      <c r="G69" s="103"/>
      <c r="H69" s="103"/>
      <c r="I69" s="35"/>
      <c r="J69" s="35"/>
      <c r="K69" s="103"/>
      <c r="L69" s="872"/>
      <c r="M69" s="872"/>
      <c r="O69" s="48" t="s">
        <v>2931</v>
      </c>
      <c r="P69" s="861"/>
      <c r="Q69" s="1433"/>
    </row>
    <row r="70" spans="1:31" ht="9.75" customHeight="1">
      <c r="B70" s="109" t="s">
        <v>3154</v>
      </c>
      <c r="D70" s="109"/>
      <c r="E70" s="109"/>
      <c r="F70" s="109"/>
      <c r="G70" s="109"/>
      <c r="H70" s="33"/>
      <c r="I70" s="874"/>
      <c r="J70" s="874"/>
      <c r="K70" s="874"/>
      <c r="L70" s="671"/>
      <c r="M70" s="671"/>
      <c r="N70" s="671"/>
      <c r="O70" s="671"/>
      <c r="P70" s="671"/>
      <c r="Q70" s="671"/>
    </row>
    <row r="71" spans="1:31" ht="33" customHeight="1">
      <c r="A71" s="4241"/>
      <c r="B71" s="4242"/>
      <c r="C71" s="4242"/>
      <c r="D71" s="4242"/>
      <c r="E71" s="4242"/>
      <c r="F71" s="4242"/>
      <c r="G71" s="4242"/>
      <c r="H71" s="4242"/>
      <c r="I71" s="4242"/>
      <c r="J71" s="4242"/>
      <c r="K71" s="4242"/>
      <c r="L71" s="4242"/>
      <c r="M71" s="4242"/>
      <c r="N71" s="4242"/>
      <c r="O71" s="4242"/>
      <c r="P71" s="4242"/>
      <c r="Q71" s="4243"/>
      <c r="U71" s="104"/>
      <c r="V71" s="104"/>
      <c r="W71" s="104"/>
      <c r="X71" s="104"/>
      <c r="Y71" s="104"/>
      <c r="Z71" s="104"/>
      <c r="AA71" s="104"/>
      <c r="AB71" s="104"/>
      <c r="AC71" s="104"/>
      <c r="AD71" s="104"/>
      <c r="AE71" s="104"/>
    </row>
    <row r="72" spans="1:31" ht="9.75" customHeight="1">
      <c r="B72" s="105" t="s">
        <v>1724</v>
      </c>
      <c r="C72" s="106"/>
      <c r="D72" s="870"/>
      <c r="E72" s="870"/>
      <c r="F72" s="870"/>
      <c r="G72" s="870"/>
      <c r="H72" s="870"/>
      <c r="I72" s="870"/>
      <c r="J72" s="870"/>
      <c r="K72" s="870"/>
      <c r="L72" s="870"/>
      <c r="M72" s="870"/>
      <c r="N72" s="870"/>
      <c r="O72" s="870"/>
      <c r="P72" s="870"/>
      <c r="Q72" s="870"/>
    </row>
    <row r="73" spans="1:31" ht="33" customHeight="1">
      <c r="A73" s="4238"/>
      <c r="B73" s="4239"/>
      <c r="C73" s="4239"/>
      <c r="D73" s="4239"/>
      <c r="E73" s="4239"/>
      <c r="F73" s="4239"/>
      <c r="G73" s="4239"/>
      <c r="H73" s="4239"/>
      <c r="I73" s="4239"/>
      <c r="J73" s="4239"/>
      <c r="K73" s="4239"/>
      <c r="L73" s="4239"/>
      <c r="M73" s="4239"/>
      <c r="N73" s="4239"/>
      <c r="O73" s="4239"/>
      <c r="P73" s="4239"/>
      <c r="Q73" s="4240"/>
    </row>
    <row r="74" spans="1:31" ht="14.1" customHeight="1">
      <c r="A74" s="2" t="s">
        <v>495</v>
      </c>
      <c r="B74" s="2" t="s">
        <v>2415</v>
      </c>
      <c r="C74" s="2"/>
      <c r="D74" s="870"/>
      <c r="E74" s="870"/>
      <c r="F74" s="870"/>
      <c r="G74" s="870"/>
      <c r="H74" s="870"/>
      <c r="I74" s="870"/>
      <c r="J74" s="870"/>
      <c r="K74" s="870"/>
      <c r="L74" s="870"/>
      <c r="M74" s="870"/>
      <c r="O74" s="101" t="s">
        <v>1725</v>
      </c>
      <c r="P74" s="4233"/>
      <c r="Q74" s="4234"/>
    </row>
    <row r="75" spans="1:31" ht="3" customHeight="1"/>
    <row r="76" spans="1:31" ht="12.75" customHeight="1">
      <c r="A76" s="40" t="s">
        <v>1835</v>
      </c>
      <c r="B76" s="29" t="s">
        <v>3894</v>
      </c>
      <c r="C76" s="29"/>
      <c r="E76" s="29"/>
      <c r="F76" s="29"/>
      <c r="G76" s="29"/>
      <c r="H76" s="29"/>
      <c r="I76" s="29"/>
      <c r="J76" s="29"/>
      <c r="K76" s="29"/>
      <c r="L76" s="33"/>
      <c r="M76" s="33"/>
      <c r="O76" s="48" t="s">
        <v>1835</v>
      </c>
      <c r="P76" s="372"/>
      <c r="Q76" s="1216"/>
    </row>
    <row r="77" spans="1:31" ht="12.75" customHeight="1">
      <c r="B77" s="1155" t="s">
        <v>1611</v>
      </c>
      <c r="C77" s="32" t="s">
        <v>514</v>
      </c>
      <c r="E77" s="35"/>
      <c r="F77" s="35"/>
      <c r="G77" s="35"/>
      <c r="H77" s="35"/>
      <c r="I77" s="35"/>
      <c r="L77" s="49" t="s">
        <v>515</v>
      </c>
      <c r="M77" s="4250"/>
      <c r="N77" s="4251"/>
      <c r="O77" s="4251"/>
      <c r="P77" s="4252"/>
      <c r="Q77" s="419"/>
    </row>
    <row r="78" spans="1:31" s="35" customFormat="1" ht="12.75" customHeight="1">
      <c r="B78" s="113" t="s">
        <v>1612</v>
      </c>
      <c r="C78" s="29" t="s">
        <v>3710</v>
      </c>
      <c r="O78" s="49" t="s">
        <v>1612</v>
      </c>
      <c r="P78" s="1215"/>
      <c r="Q78" s="1216"/>
    </row>
    <row r="79" spans="1:31" s="35" customFormat="1" ht="12.75" customHeight="1">
      <c r="B79" s="1155" t="s">
        <v>1613</v>
      </c>
      <c r="C79" s="29" t="s">
        <v>3920</v>
      </c>
      <c r="O79" s="117" t="s">
        <v>1613</v>
      </c>
      <c r="P79" s="1330"/>
      <c r="Q79" s="1331"/>
    </row>
    <row r="80" spans="1:31" ht="12.75" customHeight="1">
      <c r="A80" s="874"/>
      <c r="B80" s="371" t="s">
        <v>2175</v>
      </c>
      <c r="C80" s="33" t="s">
        <v>3672</v>
      </c>
      <c r="D80" s="783"/>
      <c r="E80" s="783"/>
      <c r="F80" s="783"/>
      <c r="G80" s="783"/>
      <c r="H80" s="783"/>
      <c r="I80" s="783"/>
      <c r="J80" s="783"/>
      <c r="K80" s="783"/>
      <c r="L80" s="783"/>
      <c r="M80" s="783"/>
      <c r="O80" s="128" t="s">
        <v>2175</v>
      </c>
      <c r="P80" s="777"/>
      <c r="Q80" s="419"/>
    </row>
    <row r="81" spans="1:31" ht="12.75" customHeight="1">
      <c r="A81" s="874"/>
      <c r="B81" s="371" t="s">
        <v>1446</v>
      </c>
      <c r="C81" s="33" t="s">
        <v>2993</v>
      </c>
      <c r="D81" s="783"/>
      <c r="E81" s="783"/>
      <c r="F81" s="783"/>
      <c r="G81" s="783"/>
      <c r="H81" s="783"/>
      <c r="I81" s="783"/>
      <c r="J81" s="783"/>
      <c r="K81" s="783"/>
      <c r="L81" s="783"/>
      <c r="M81" s="783"/>
      <c r="O81" s="128" t="s">
        <v>1446</v>
      </c>
      <c r="P81" s="299"/>
      <c r="Q81" s="419"/>
    </row>
    <row r="82" spans="1:31" ht="12.75" customHeight="1">
      <c r="A82" s="874"/>
      <c r="B82" s="371" t="s">
        <v>1447</v>
      </c>
      <c r="C82" s="33" t="s">
        <v>2994</v>
      </c>
      <c r="D82" s="783"/>
      <c r="E82" s="783"/>
      <c r="F82" s="783"/>
      <c r="G82" s="783"/>
      <c r="H82" s="783"/>
      <c r="I82" s="783"/>
      <c r="J82" s="783"/>
      <c r="K82" s="783"/>
      <c r="L82" s="783"/>
      <c r="M82" s="783"/>
      <c r="O82" s="128" t="s">
        <v>1447</v>
      </c>
      <c r="P82" s="299"/>
      <c r="Q82" s="419"/>
    </row>
    <row r="83" spans="1:31" ht="12.75" customHeight="1">
      <c r="A83" s="874"/>
      <c r="B83" s="371" t="s">
        <v>93</v>
      </c>
      <c r="C83" s="33" t="s">
        <v>2550</v>
      </c>
      <c r="D83" s="33"/>
      <c r="E83" s="33"/>
      <c r="F83" s="33"/>
      <c r="G83" s="33"/>
      <c r="H83" s="33"/>
      <c r="I83" s="33"/>
      <c r="J83" s="33"/>
      <c r="K83" s="33"/>
      <c r="L83" s="33"/>
      <c r="M83" s="901"/>
      <c r="O83" s="128" t="s">
        <v>93</v>
      </c>
      <c r="P83" s="299"/>
      <c r="Q83" s="419"/>
    </row>
    <row r="84" spans="1:31" s="102" customFormat="1" ht="23.25" customHeight="1">
      <c r="A84" s="346"/>
      <c r="B84" s="371" t="s">
        <v>480</v>
      </c>
      <c r="C84" s="4227" t="s">
        <v>3820</v>
      </c>
      <c r="D84" s="4227"/>
      <c r="E84" s="4227"/>
      <c r="F84" s="4227"/>
      <c r="G84" s="4227"/>
      <c r="H84" s="4227"/>
      <c r="I84" s="4227"/>
      <c r="J84" s="4227"/>
      <c r="K84" s="4227"/>
      <c r="L84" s="4227"/>
      <c r="M84" s="4227"/>
      <c r="N84" s="4227"/>
      <c r="O84" s="128" t="s">
        <v>480</v>
      </c>
      <c r="P84" s="879"/>
      <c r="Q84" s="878"/>
    </row>
    <row r="85" spans="1:31" ht="12.75" customHeight="1">
      <c r="A85" s="40" t="s">
        <v>1837</v>
      </c>
      <c r="B85" s="29" t="s">
        <v>3819</v>
      </c>
      <c r="C85" s="29"/>
      <c r="E85" s="29"/>
      <c r="F85" s="29"/>
      <c r="G85" s="29"/>
      <c r="H85" s="29"/>
      <c r="I85" s="29"/>
      <c r="J85" s="29"/>
      <c r="K85" s="29"/>
      <c r="L85" s="29"/>
      <c r="M85" s="29"/>
      <c r="O85" s="48" t="s">
        <v>1837</v>
      </c>
      <c r="P85" s="1215"/>
      <c r="Q85" s="1216"/>
    </row>
    <row r="86" spans="1:31" ht="12.75" customHeight="1">
      <c r="B86" s="1155" t="s">
        <v>1611</v>
      </c>
      <c r="C86" s="29" t="s">
        <v>3938</v>
      </c>
      <c r="D86" s="29"/>
      <c r="E86" s="29"/>
      <c r="F86" s="29"/>
      <c r="G86" s="29"/>
      <c r="H86" s="29"/>
      <c r="I86" s="29"/>
      <c r="J86" s="29"/>
      <c r="K86" s="29"/>
      <c r="L86" s="29"/>
      <c r="M86" s="29"/>
      <c r="O86" s="117" t="s">
        <v>1611</v>
      </c>
      <c r="P86" s="1215"/>
      <c r="Q86" s="1216"/>
    </row>
    <row r="87" spans="1:31" ht="12.75" customHeight="1">
      <c r="A87" s="40"/>
      <c r="B87" s="113" t="s">
        <v>1612</v>
      </c>
      <c r="C87" s="29" t="s">
        <v>3937</v>
      </c>
      <c r="D87" s="29"/>
      <c r="E87" s="29"/>
      <c r="F87" s="29"/>
      <c r="G87" s="29"/>
      <c r="H87" s="29"/>
      <c r="I87" s="29"/>
      <c r="J87" s="29"/>
      <c r="K87" s="29"/>
      <c r="L87" s="29"/>
      <c r="M87" s="29"/>
      <c r="O87" s="49" t="s">
        <v>1612</v>
      </c>
      <c r="P87" s="1328"/>
      <c r="Q87" s="1327"/>
    </row>
    <row r="88" spans="1:31" ht="10.5" customHeight="1">
      <c r="B88" s="109" t="s">
        <v>3154</v>
      </c>
      <c r="D88" s="109"/>
      <c r="E88" s="109"/>
      <c r="F88" s="109"/>
      <c r="G88" s="109"/>
      <c r="H88" s="33"/>
      <c r="I88" s="874"/>
      <c r="J88" s="874"/>
      <c r="K88" s="874"/>
      <c r="L88" s="671"/>
      <c r="M88" s="671"/>
      <c r="N88" s="671"/>
      <c r="O88" s="671"/>
      <c r="P88" s="671"/>
      <c r="Q88" s="671"/>
    </row>
    <row r="89" spans="1:31" ht="22.5" customHeight="1">
      <c r="A89" s="4241"/>
      <c r="B89" s="4242"/>
      <c r="C89" s="4242"/>
      <c r="D89" s="4242"/>
      <c r="E89" s="4242"/>
      <c r="F89" s="4242"/>
      <c r="G89" s="4242"/>
      <c r="H89" s="4242"/>
      <c r="I89" s="4242"/>
      <c r="J89" s="4242"/>
      <c r="K89" s="4242"/>
      <c r="L89" s="4242"/>
      <c r="M89" s="4242"/>
      <c r="N89" s="4242"/>
      <c r="O89" s="4242"/>
      <c r="P89" s="4242"/>
      <c r="Q89" s="4243"/>
      <c r="U89" s="104"/>
      <c r="V89" s="104"/>
      <c r="W89" s="104"/>
      <c r="X89" s="104"/>
      <c r="Y89" s="104"/>
      <c r="Z89" s="104"/>
      <c r="AA89" s="104"/>
      <c r="AB89" s="104"/>
      <c r="AC89" s="104"/>
      <c r="AD89" s="104"/>
      <c r="AE89" s="104"/>
    </row>
    <row r="90" spans="1:31" ht="11.25" customHeight="1">
      <c r="B90" s="105" t="s">
        <v>1724</v>
      </c>
      <c r="C90" s="106"/>
      <c r="D90" s="870"/>
      <c r="E90" s="870"/>
      <c r="F90" s="870"/>
      <c r="G90" s="870"/>
      <c r="H90" s="870"/>
      <c r="I90" s="870"/>
      <c r="J90" s="870"/>
      <c r="K90" s="870"/>
      <c r="L90" s="870"/>
      <c r="M90" s="870"/>
      <c r="N90" s="870"/>
      <c r="O90" s="870"/>
      <c r="P90" s="870"/>
      <c r="Q90" s="870"/>
    </row>
    <row r="91" spans="1:31" ht="22.5" customHeight="1">
      <c r="A91" s="4238"/>
      <c r="B91" s="4239"/>
      <c r="C91" s="4239"/>
      <c r="D91" s="4239"/>
      <c r="E91" s="4239"/>
      <c r="F91" s="4239"/>
      <c r="G91" s="4239"/>
      <c r="H91" s="4239"/>
      <c r="I91" s="4239"/>
      <c r="J91" s="4239"/>
      <c r="K91" s="4239"/>
      <c r="L91" s="4239"/>
      <c r="M91" s="4239"/>
      <c r="N91" s="4239"/>
      <c r="O91" s="4239"/>
      <c r="P91" s="4239"/>
      <c r="Q91" s="4240"/>
    </row>
    <row r="92" spans="1:31" ht="14.1" customHeight="1">
      <c r="A92" s="2" t="s">
        <v>719</v>
      </c>
      <c r="B92" s="2" t="s">
        <v>2416</v>
      </c>
      <c r="C92" s="33"/>
      <c r="D92" s="870"/>
      <c r="E92" s="870"/>
      <c r="F92" s="870"/>
      <c r="G92" s="870"/>
      <c r="H92" s="870"/>
      <c r="I92" s="870"/>
      <c r="J92" s="870"/>
      <c r="K92" s="870"/>
      <c r="L92" s="870"/>
      <c r="M92" s="870"/>
      <c r="N92" s="841" t="s">
        <v>4420</v>
      </c>
      <c r="O92" s="101" t="s">
        <v>1725</v>
      </c>
      <c r="P92" s="4233"/>
      <c r="Q92" s="4234"/>
      <c r="R92" s="843" t="s">
        <v>4407</v>
      </c>
    </row>
    <row r="93" spans="1:31" ht="6.6" customHeight="1"/>
    <row r="94" spans="1:31">
      <c r="A94" s="40" t="s">
        <v>1835</v>
      </c>
      <c r="B94" s="29" t="s">
        <v>4077</v>
      </c>
      <c r="D94" s="103"/>
      <c r="E94" s="103"/>
      <c r="F94" s="103"/>
      <c r="G94" s="103"/>
      <c r="H94" s="103"/>
      <c r="I94" s="35"/>
      <c r="J94" s="35"/>
      <c r="K94" s="48" t="s">
        <v>1835</v>
      </c>
      <c r="L94" s="4272"/>
      <c r="M94" s="4272"/>
      <c r="N94" s="4272"/>
      <c r="O94" s="4272"/>
      <c r="P94" s="4273"/>
      <c r="Q94" s="1682"/>
    </row>
    <row r="95" spans="1:31" ht="12" customHeight="1">
      <c r="B95" s="44" t="s">
        <v>4514</v>
      </c>
      <c r="O95" s="49" t="s">
        <v>1612</v>
      </c>
      <c r="P95" s="299"/>
      <c r="Q95" s="419"/>
    </row>
    <row r="96" spans="1:31" ht="12" customHeight="1">
      <c r="B96" s="44" t="s">
        <v>4408</v>
      </c>
      <c r="I96" s="44" t="s">
        <v>4410</v>
      </c>
      <c r="K96" s="1690"/>
      <c r="L96" s="1691"/>
      <c r="N96" s="44" t="s">
        <v>4409</v>
      </c>
      <c r="P96" s="1688"/>
      <c r="Q96" s="1689"/>
    </row>
    <row r="97" spans="1:17" ht="12" customHeight="1">
      <c r="A97" s="40" t="s">
        <v>1837</v>
      </c>
      <c r="B97" s="29" t="s">
        <v>4519</v>
      </c>
      <c r="D97" s="103"/>
      <c r="E97" s="103"/>
      <c r="F97" s="103"/>
      <c r="G97" s="103"/>
      <c r="H97" s="103"/>
      <c r="I97" s="35"/>
      <c r="J97" s="35"/>
      <c r="K97" s="103"/>
      <c r="L97" s="872"/>
      <c r="O97" s="48" t="s">
        <v>1837</v>
      </c>
      <c r="P97" s="372"/>
      <c r="Q97" s="417"/>
    </row>
    <row r="98" spans="1:17" ht="12" customHeight="1">
      <c r="A98" s="40" t="s">
        <v>697</v>
      </c>
      <c r="B98" s="29" t="s">
        <v>144</v>
      </c>
      <c r="D98" s="103"/>
      <c r="E98" s="103"/>
      <c r="F98" s="103"/>
      <c r="G98" s="103"/>
      <c r="H98" s="103"/>
      <c r="I98" s="35"/>
      <c r="J98" s="35"/>
      <c r="K98" s="872"/>
      <c r="L98" s="154"/>
      <c r="M98" s="1685"/>
      <c r="N98" s="1685"/>
      <c r="O98" s="1686" t="s">
        <v>697</v>
      </c>
      <c r="P98" s="1684"/>
      <c r="Q98" s="1683"/>
    </row>
    <row r="99" spans="1:17" ht="12" customHeight="1">
      <c r="A99" s="40"/>
      <c r="B99" s="33" t="s">
        <v>1611</v>
      </c>
      <c r="C99" s="29" t="s">
        <v>2443</v>
      </c>
      <c r="E99" s="103"/>
      <c r="F99" s="103"/>
      <c r="G99" s="103"/>
      <c r="H99" s="103"/>
      <c r="I99" s="35"/>
      <c r="J99" s="35"/>
      <c r="K99" s="49" t="s">
        <v>1611</v>
      </c>
      <c r="L99" s="4392"/>
      <c r="M99" s="4392"/>
      <c r="N99" s="4392"/>
      <c r="O99" s="4392"/>
      <c r="P99" s="4393"/>
      <c r="Q99" s="419"/>
    </row>
    <row r="100" spans="1:17" ht="12" customHeight="1">
      <c r="A100" s="107"/>
      <c r="B100" s="113" t="s">
        <v>1612</v>
      </c>
      <c r="C100" s="29" t="s">
        <v>2995</v>
      </c>
      <c r="E100" s="35"/>
      <c r="F100" s="35"/>
      <c r="G100" s="35"/>
      <c r="H100" s="29"/>
      <c r="I100" s="35"/>
      <c r="J100" s="35"/>
      <c r="K100" s="103"/>
      <c r="L100" s="1442"/>
      <c r="M100" s="1442"/>
      <c r="N100" s="1439"/>
      <c r="O100" s="1687" t="s">
        <v>1612</v>
      </c>
      <c r="P100" s="777"/>
      <c r="Q100" s="704"/>
    </row>
    <row r="101" spans="1:17" ht="12" customHeight="1">
      <c r="A101" s="107"/>
      <c r="B101" s="33" t="s">
        <v>1613</v>
      </c>
      <c r="C101" s="29" t="s">
        <v>3659</v>
      </c>
      <c r="D101" s="115"/>
      <c r="E101" s="35"/>
      <c r="F101" s="35"/>
      <c r="G101" s="35"/>
      <c r="H101" s="29"/>
      <c r="I101" s="35"/>
      <c r="J101" s="35"/>
      <c r="K101" s="103"/>
      <c r="L101" s="872"/>
      <c r="M101" s="872"/>
      <c r="O101" s="48" t="s">
        <v>1613</v>
      </c>
      <c r="P101" s="176"/>
      <c r="Q101" s="420"/>
    </row>
    <row r="102" spans="1:17" s="115" customFormat="1" ht="12" customHeight="1">
      <c r="A102" s="40" t="s">
        <v>1956</v>
      </c>
      <c r="B102" s="29" t="s">
        <v>4507</v>
      </c>
      <c r="D102" s="103"/>
      <c r="E102" s="103"/>
      <c r="F102" s="103"/>
      <c r="G102" s="103"/>
      <c r="H102" s="103"/>
      <c r="I102" s="72"/>
      <c r="J102" s="72"/>
      <c r="K102" s="103"/>
      <c r="L102" s="872"/>
      <c r="M102" s="872"/>
      <c r="N102" s="872"/>
      <c r="O102" s="48" t="s">
        <v>1956</v>
      </c>
    </row>
    <row r="103" spans="1:17" s="115" customFormat="1" ht="12" customHeight="1">
      <c r="A103" s="40"/>
      <c r="B103" s="33" t="s">
        <v>1611</v>
      </c>
      <c r="C103" s="29" t="s">
        <v>142</v>
      </c>
      <c r="E103" s="103"/>
      <c r="F103" s="103"/>
      <c r="G103" s="103"/>
      <c r="H103" s="103"/>
      <c r="I103" s="72"/>
      <c r="J103" s="72"/>
      <c r="K103" s="103"/>
      <c r="L103" s="872"/>
      <c r="M103" s="872"/>
      <c r="O103" s="48" t="s">
        <v>1611</v>
      </c>
      <c r="P103" s="1215"/>
      <c r="Q103" s="1216"/>
    </row>
    <row r="104" spans="1:17" s="115" customFormat="1" ht="12" customHeight="1">
      <c r="A104" s="40"/>
      <c r="B104" s="33" t="s">
        <v>1612</v>
      </c>
      <c r="C104" s="29" t="s">
        <v>4508</v>
      </c>
      <c r="E104" s="103"/>
      <c r="F104" s="103"/>
      <c r="G104" s="103"/>
      <c r="H104" s="72"/>
      <c r="I104" s="72"/>
      <c r="J104" s="72"/>
      <c r="K104" s="103"/>
      <c r="L104" s="872"/>
      <c r="M104" s="872"/>
      <c r="O104" s="48" t="s">
        <v>1612</v>
      </c>
      <c r="P104" s="299"/>
      <c r="Q104" s="419"/>
    </row>
    <row r="105" spans="1:17" s="115" customFormat="1" ht="12" customHeight="1">
      <c r="A105" s="40"/>
      <c r="B105" s="33"/>
      <c r="C105" s="29" t="s">
        <v>4509</v>
      </c>
      <c r="E105" s="48" t="s">
        <v>2233</v>
      </c>
      <c r="F105" s="29" t="s">
        <v>4510</v>
      </c>
      <c r="G105" s="72"/>
      <c r="H105" s="29"/>
      <c r="I105" s="72"/>
      <c r="J105" s="72"/>
      <c r="K105" s="103"/>
      <c r="L105" s="872"/>
      <c r="M105" s="872"/>
      <c r="O105" s="48" t="s">
        <v>2233</v>
      </c>
      <c r="P105" s="1756"/>
      <c r="Q105" s="1757"/>
    </row>
    <row r="106" spans="1:17" s="115" customFormat="1" ht="12" customHeight="1">
      <c r="A106" s="40"/>
      <c r="B106" s="33"/>
      <c r="E106" s="48" t="s">
        <v>2234</v>
      </c>
      <c r="F106" s="29" t="s">
        <v>4511</v>
      </c>
      <c r="G106" s="72"/>
      <c r="H106" s="29"/>
      <c r="I106" s="72"/>
      <c r="J106" s="72"/>
      <c r="K106" s="103"/>
      <c r="L106" s="872"/>
      <c r="M106" s="872"/>
      <c r="O106" s="48" t="s">
        <v>2234</v>
      </c>
      <c r="P106" s="299"/>
      <c r="Q106" s="419"/>
    </row>
    <row r="107" spans="1:17" s="115" customFormat="1" ht="12" customHeight="1">
      <c r="A107" s="40"/>
      <c r="B107" s="33" t="s">
        <v>1613</v>
      </c>
      <c r="C107" s="29" t="s">
        <v>1184</v>
      </c>
      <c r="E107" s="103"/>
      <c r="F107" s="103"/>
      <c r="G107" s="103"/>
      <c r="H107" s="29"/>
      <c r="I107" s="72"/>
      <c r="J107" s="72"/>
      <c r="K107" s="103"/>
      <c r="L107" s="872"/>
      <c r="M107" s="872"/>
      <c r="O107" s="48" t="s">
        <v>1613</v>
      </c>
      <c r="P107" s="299"/>
      <c r="Q107" s="419"/>
    </row>
    <row r="108" spans="1:17" s="115" customFormat="1" ht="12" customHeight="1">
      <c r="A108" s="40"/>
      <c r="B108" s="48"/>
      <c r="C108" s="29" t="s">
        <v>4509</v>
      </c>
      <c r="E108" s="48" t="s">
        <v>2233</v>
      </c>
      <c r="F108" s="29" t="s">
        <v>4512</v>
      </c>
      <c r="G108" s="72"/>
      <c r="H108" s="29"/>
      <c r="I108" s="72"/>
      <c r="J108" s="72"/>
      <c r="K108" s="103"/>
      <c r="L108" s="872"/>
      <c r="O108" s="48" t="s">
        <v>2233</v>
      </c>
      <c r="P108" s="1756"/>
      <c r="Q108" s="1757"/>
    </row>
    <row r="109" spans="1:17" s="115" customFormat="1" ht="12" customHeight="1">
      <c r="A109" s="40"/>
      <c r="B109" s="48"/>
      <c r="E109" s="48" t="s">
        <v>2234</v>
      </c>
      <c r="F109" s="29" t="s">
        <v>4513</v>
      </c>
      <c r="G109" s="72"/>
      <c r="H109" s="29"/>
      <c r="I109" s="72"/>
      <c r="J109" s="72"/>
      <c r="O109" s="48" t="s">
        <v>2234</v>
      </c>
      <c r="P109" s="176"/>
      <c r="Q109" s="420"/>
    </row>
    <row r="110" spans="1:17" ht="12" customHeight="1">
      <c r="A110" s="40" t="s">
        <v>1609</v>
      </c>
      <c r="B110" s="113" t="s">
        <v>2216</v>
      </c>
      <c r="D110" s="103"/>
      <c r="E110" s="103"/>
      <c r="F110" s="103"/>
      <c r="G110" s="103"/>
      <c r="H110" s="103"/>
      <c r="I110" s="35"/>
      <c r="J110" s="35"/>
      <c r="K110" s="103"/>
      <c r="M110" s="872"/>
      <c r="N110" s="872"/>
      <c r="O110" s="872"/>
      <c r="P110" s="872"/>
      <c r="Q110" s="872"/>
    </row>
    <row r="111" spans="1:17" ht="12" customHeight="1">
      <c r="A111" s="40"/>
      <c r="B111" s="113" t="s">
        <v>1611</v>
      </c>
      <c r="C111" s="29" t="s">
        <v>1184</v>
      </c>
      <c r="D111" s="103"/>
      <c r="E111" s="113"/>
      <c r="F111" s="1215"/>
      <c r="G111" s="1216"/>
      <c r="H111" s="48" t="s">
        <v>3732</v>
      </c>
      <c r="I111" s="29" t="s">
        <v>2492</v>
      </c>
      <c r="J111" s="1215"/>
      <c r="K111" s="1216"/>
      <c r="L111" s="48" t="s">
        <v>3736</v>
      </c>
      <c r="M111" s="108" t="s">
        <v>4082</v>
      </c>
      <c r="P111" s="1215"/>
      <c r="Q111" s="1216"/>
    </row>
    <row r="112" spans="1:17" ht="12.75" customHeight="1">
      <c r="B112" s="113" t="s">
        <v>1612</v>
      </c>
      <c r="C112" s="29" t="s">
        <v>4078</v>
      </c>
      <c r="E112" s="103"/>
      <c r="F112" s="299"/>
      <c r="G112" s="419"/>
      <c r="H112" s="48" t="s">
        <v>3733</v>
      </c>
      <c r="I112" s="29" t="s">
        <v>4003</v>
      </c>
      <c r="J112" s="299"/>
      <c r="K112" s="419"/>
      <c r="L112" s="48" t="s">
        <v>3737</v>
      </c>
      <c r="M112" s="44" t="s">
        <v>3195</v>
      </c>
      <c r="O112" s="872"/>
      <c r="P112" s="299"/>
      <c r="Q112" s="419"/>
    </row>
    <row r="113" spans="1:31" ht="12" customHeight="1">
      <c r="A113" s="29"/>
      <c r="B113" s="113" t="s">
        <v>1613</v>
      </c>
      <c r="C113" s="29" t="s">
        <v>4079</v>
      </c>
      <c r="E113" s="103"/>
      <c r="F113" s="299"/>
      <c r="G113" s="419"/>
      <c r="H113" s="48" t="s">
        <v>3734</v>
      </c>
      <c r="I113" s="29" t="s">
        <v>4004</v>
      </c>
      <c r="J113" s="299"/>
      <c r="K113" s="419"/>
      <c r="L113" s="48" t="s">
        <v>3738</v>
      </c>
      <c r="M113" s="29" t="s">
        <v>1448</v>
      </c>
      <c r="P113" s="299"/>
      <c r="Q113" s="419"/>
    </row>
    <row r="114" spans="1:31" ht="12" customHeight="1">
      <c r="A114" s="29"/>
      <c r="B114" s="113" t="s">
        <v>2175</v>
      </c>
      <c r="C114" s="44" t="s">
        <v>2407</v>
      </c>
      <c r="E114" s="103"/>
      <c r="F114" s="176"/>
      <c r="G114" s="420"/>
      <c r="H114" s="48" t="s">
        <v>3735</v>
      </c>
      <c r="I114" s="44" t="s">
        <v>4080</v>
      </c>
      <c r="J114" s="176"/>
      <c r="K114" s="420"/>
      <c r="L114" s="48" t="s">
        <v>4081</v>
      </c>
      <c r="M114" s="44" t="s">
        <v>4005</v>
      </c>
      <c r="P114" s="176"/>
      <c r="Q114" s="420"/>
    </row>
    <row r="115" spans="1:31" ht="12" customHeight="1">
      <c r="A115" s="29"/>
      <c r="B115" s="48" t="s">
        <v>4411</v>
      </c>
      <c r="C115" s="29" t="s">
        <v>2493</v>
      </c>
      <c r="E115" s="103"/>
      <c r="F115" s="103"/>
      <c r="G115" s="103"/>
      <c r="H115" s="103"/>
      <c r="I115" s="103"/>
      <c r="J115" s="103"/>
      <c r="K115" s="103"/>
      <c r="L115" s="103"/>
      <c r="M115" s="29"/>
      <c r="O115" s="49"/>
      <c r="P115" s="49"/>
    </row>
    <row r="116" spans="1:31" ht="12" customHeight="1">
      <c r="A116" s="29"/>
      <c r="C116" s="4376"/>
      <c r="D116" s="4376"/>
      <c r="E116" s="4376"/>
      <c r="F116" s="4376"/>
      <c r="G116" s="4376"/>
      <c r="H116" s="4376"/>
      <c r="I116" s="4376"/>
      <c r="J116" s="4376"/>
      <c r="K116" s="4376"/>
      <c r="L116" s="4376"/>
      <c r="M116" s="4376"/>
      <c r="N116" s="4376"/>
      <c r="O116" s="4376"/>
      <c r="P116" s="4376"/>
      <c r="Q116" s="4376"/>
    </row>
    <row r="117" spans="1:31" ht="12" customHeight="1">
      <c r="A117" s="110" t="s">
        <v>1610</v>
      </c>
      <c r="B117" s="29" t="s">
        <v>3052</v>
      </c>
      <c r="D117" s="103"/>
      <c r="E117" s="103"/>
      <c r="F117" s="103"/>
      <c r="G117" s="103"/>
      <c r="H117" s="103"/>
      <c r="I117" s="35"/>
      <c r="J117" s="35"/>
      <c r="K117" s="103"/>
      <c r="L117" s="103"/>
      <c r="M117" s="872"/>
    </row>
    <row r="118" spans="1:31" ht="12.75" customHeight="1">
      <c r="A118" s="35"/>
      <c r="B118" s="113" t="s">
        <v>1611</v>
      </c>
      <c r="C118" s="29" t="s">
        <v>2494</v>
      </c>
      <c r="E118" s="103"/>
      <c r="F118" s="103"/>
      <c r="G118" s="103"/>
      <c r="H118" s="103"/>
      <c r="O118" s="48" t="s">
        <v>4515</v>
      </c>
      <c r="P118" s="175"/>
      <c r="Q118" s="418"/>
    </row>
    <row r="119" spans="1:31" ht="12.75" customHeight="1">
      <c r="A119" s="874"/>
      <c r="B119" s="113" t="s">
        <v>1612</v>
      </c>
      <c r="C119" s="29" t="s">
        <v>460</v>
      </c>
      <c r="E119" s="29"/>
      <c r="F119" s="29"/>
      <c r="G119" s="29"/>
      <c r="H119" s="29"/>
      <c r="I119" s="35"/>
      <c r="J119" s="35"/>
      <c r="K119" s="29"/>
      <c r="L119" s="29"/>
      <c r="M119" s="29"/>
      <c r="O119" s="49" t="s">
        <v>1612</v>
      </c>
      <c r="P119" s="299"/>
      <c r="Q119" s="419"/>
    </row>
    <row r="120" spans="1:31" ht="12.75" customHeight="1">
      <c r="A120" s="874"/>
      <c r="B120" s="113" t="s">
        <v>1613</v>
      </c>
      <c r="C120" s="29" t="s">
        <v>634</v>
      </c>
      <c r="E120" s="29"/>
      <c r="F120" s="29"/>
      <c r="G120" s="29"/>
      <c r="H120" s="29"/>
      <c r="I120" s="35"/>
      <c r="J120" s="35"/>
      <c r="K120" s="29"/>
      <c r="L120" s="29"/>
      <c r="M120" s="29"/>
      <c r="O120" s="49" t="s">
        <v>1613</v>
      </c>
      <c r="P120" s="299"/>
      <c r="Q120" s="419"/>
    </row>
    <row r="121" spans="1:31" ht="12.75" customHeight="1">
      <c r="A121" s="874"/>
      <c r="B121" s="33" t="s">
        <v>2175</v>
      </c>
      <c r="C121" s="29" t="s">
        <v>3720</v>
      </c>
      <c r="E121" s="29"/>
      <c r="F121" s="29"/>
      <c r="G121" s="29"/>
      <c r="H121" s="29"/>
      <c r="I121" s="35"/>
      <c r="J121" s="35"/>
      <c r="K121" s="29"/>
      <c r="L121" s="29"/>
      <c r="M121" s="29"/>
      <c r="O121" s="48" t="s">
        <v>2175</v>
      </c>
      <c r="P121" s="176"/>
      <c r="Q121" s="420"/>
    </row>
    <row r="122" spans="1:31" ht="12" customHeight="1">
      <c r="A122" s="67" t="s">
        <v>3821</v>
      </c>
      <c r="C122" s="29"/>
      <c r="D122" s="103"/>
      <c r="E122" s="103"/>
      <c r="F122" s="103"/>
      <c r="G122" s="103"/>
      <c r="H122" s="103"/>
      <c r="I122" s="35"/>
      <c r="J122" s="35"/>
      <c r="K122" s="103"/>
      <c r="L122" s="103"/>
      <c r="M122" s="872"/>
      <c r="N122" s="872"/>
      <c r="O122" s="872"/>
      <c r="P122" s="872"/>
      <c r="Q122" s="872"/>
      <c r="R122" s="872"/>
    </row>
    <row r="123" spans="1:31" s="1" customFormat="1" ht="24" customHeight="1">
      <c r="A123" s="110" t="s">
        <v>1802</v>
      </c>
      <c r="B123" s="4227" t="s">
        <v>141</v>
      </c>
      <c r="C123" s="4227"/>
      <c r="D123" s="4227"/>
      <c r="E123" s="4227"/>
      <c r="F123" s="4227"/>
      <c r="G123" s="4227"/>
      <c r="H123" s="4227"/>
      <c r="I123" s="4227"/>
      <c r="J123" s="4227"/>
      <c r="K123" s="4227"/>
      <c r="L123" s="4227"/>
      <c r="M123" s="128" t="s">
        <v>1802</v>
      </c>
      <c r="N123" s="4408" t="s">
        <v>1641</v>
      </c>
      <c r="O123" s="4409"/>
      <c r="P123" s="4410" t="s">
        <v>1641</v>
      </c>
      <c r="Q123" s="4411"/>
    </row>
    <row r="124" spans="1:31" ht="11.25" customHeight="1">
      <c r="B124" s="109" t="s">
        <v>3154</v>
      </c>
      <c r="D124" s="109"/>
      <c r="E124" s="109"/>
      <c r="F124" s="109"/>
      <c r="G124" s="109"/>
      <c r="H124" s="33"/>
      <c r="I124" s="874"/>
      <c r="J124" s="874"/>
      <c r="K124" s="874"/>
      <c r="L124" s="671"/>
      <c r="M124" s="671"/>
      <c r="N124" s="671"/>
      <c r="O124" s="671"/>
      <c r="P124" s="671"/>
      <c r="Q124" s="671"/>
    </row>
    <row r="125" spans="1:31" ht="45" customHeight="1">
      <c r="A125" s="4241"/>
      <c r="B125" s="4242"/>
      <c r="C125" s="4242"/>
      <c r="D125" s="4242"/>
      <c r="E125" s="4242"/>
      <c r="F125" s="4242"/>
      <c r="G125" s="4242"/>
      <c r="H125" s="4242"/>
      <c r="I125" s="4242"/>
      <c r="J125" s="4242"/>
      <c r="K125" s="4242"/>
      <c r="L125" s="4242"/>
      <c r="M125" s="4242"/>
      <c r="N125" s="4242"/>
      <c r="O125" s="4242"/>
      <c r="P125" s="4242"/>
      <c r="Q125" s="4243"/>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1724</v>
      </c>
      <c r="C127" s="106"/>
      <c r="D127" s="870"/>
      <c r="E127" s="870"/>
      <c r="F127" s="870"/>
      <c r="G127" s="870"/>
      <c r="H127" s="870"/>
      <c r="I127" s="870"/>
      <c r="J127" s="870"/>
      <c r="K127" s="870"/>
      <c r="L127" s="870"/>
      <c r="M127" s="870"/>
      <c r="N127" s="870"/>
      <c r="O127" s="870"/>
      <c r="P127" s="870"/>
      <c r="Q127" s="870"/>
    </row>
    <row r="128" spans="1:31" ht="45" customHeight="1">
      <c r="A128" s="4238"/>
      <c r="B128" s="4239"/>
      <c r="C128" s="4239"/>
      <c r="D128" s="4239"/>
      <c r="E128" s="4239"/>
      <c r="F128" s="4239"/>
      <c r="G128" s="4239"/>
      <c r="H128" s="4239"/>
      <c r="I128" s="4239"/>
      <c r="J128" s="4239"/>
      <c r="K128" s="4239"/>
      <c r="L128" s="4239"/>
      <c r="M128" s="4239"/>
      <c r="N128" s="4239"/>
      <c r="O128" s="4239"/>
      <c r="P128" s="4239"/>
      <c r="Q128" s="4240"/>
    </row>
    <row r="129" spans="1:31" ht="3" customHeight="1">
      <c r="A129" s="671"/>
      <c r="B129" s="874"/>
      <c r="C129" s="870"/>
      <c r="D129" s="870"/>
      <c r="E129" s="870"/>
      <c r="F129" s="870"/>
      <c r="G129" s="870"/>
      <c r="H129" s="870"/>
      <c r="I129" s="870"/>
      <c r="J129" s="870"/>
      <c r="K129" s="870"/>
      <c r="L129" s="870"/>
      <c r="M129" s="870"/>
      <c r="N129" s="870"/>
      <c r="O129" s="870"/>
      <c r="P129" s="870"/>
      <c r="Q129" s="671"/>
    </row>
    <row r="130" spans="1:31" ht="14.1" customHeight="1">
      <c r="A130" s="2" t="s">
        <v>280</v>
      </c>
      <c r="B130" s="2" t="s">
        <v>2417</v>
      </c>
      <c r="C130" s="2"/>
      <c r="D130" s="870"/>
      <c r="E130" s="870"/>
      <c r="F130" s="870"/>
      <c r="G130" s="870"/>
      <c r="H130" s="870"/>
      <c r="I130" s="870"/>
      <c r="J130" s="870"/>
      <c r="K130" s="870"/>
      <c r="N130" s="841" t="s">
        <v>4420</v>
      </c>
      <c r="O130" s="101" t="s">
        <v>1725</v>
      </c>
      <c r="P130" s="4233"/>
      <c r="Q130" s="4234"/>
      <c r="R130" s="843" t="s">
        <v>4407</v>
      </c>
    </row>
    <row r="131" spans="1:31" ht="12" customHeight="1">
      <c r="A131" s="40" t="s">
        <v>1835</v>
      </c>
      <c r="B131" s="113" t="s">
        <v>1611</v>
      </c>
      <c r="C131" s="29" t="s">
        <v>4422</v>
      </c>
      <c r="D131" s="29"/>
      <c r="E131" s="29"/>
      <c r="F131" s="29"/>
      <c r="G131" s="29"/>
      <c r="K131" s="29" t="s">
        <v>2452</v>
      </c>
      <c r="M131" s="4336"/>
      <c r="N131" s="4337"/>
      <c r="O131" s="49" t="s">
        <v>1611</v>
      </c>
      <c r="P131" s="74"/>
      <c r="Q131" s="416"/>
    </row>
    <row r="132" spans="1:31" ht="12" customHeight="1">
      <c r="A132" s="40"/>
      <c r="B132" s="113" t="s">
        <v>1612</v>
      </c>
      <c r="C132" s="29" t="s">
        <v>3921</v>
      </c>
      <c r="D132" s="29"/>
      <c r="E132" s="29"/>
      <c r="F132" s="29"/>
      <c r="G132" s="29"/>
      <c r="K132" s="29" t="s">
        <v>2452</v>
      </c>
      <c r="M132" s="4336"/>
      <c r="N132" s="4337"/>
      <c r="O132" s="49" t="s">
        <v>1612</v>
      </c>
      <c r="P132" s="74"/>
      <c r="Q132" s="416"/>
    </row>
    <row r="133" spans="1:31" ht="12" customHeight="1">
      <c r="A133" s="40" t="s">
        <v>1837</v>
      </c>
      <c r="B133" s="108" t="s">
        <v>143</v>
      </c>
      <c r="D133" s="108"/>
      <c r="E133" s="108"/>
      <c r="F133" s="29" t="str">
        <f>IF(M133="Ground lease/Option","Ground lease/Option:","")</f>
        <v>Ground lease/Option:</v>
      </c>
      <c r="H133" s="29" t="str">
        <f>IF(M133="Ground lease/Option","Annual Pymt:","")</f>
        <v>Annual Pymt:</v>
      </c>
      <c r="I133" s="1170" t="e">
        <f>IF(M133="Ground lease/Option",#REF!,"")</f>
        <v>#REF!</v>
      </c>
      <c r="J133" s="48" t="str">
        <f>IF(M133="Ground lease/Option","Term:","")</f>
        <v>Term:</v>
      </c>
      <c r="K133" s="1508" t="e">
        <f>IF(M133="Ground lease/Option",#REF!,"")</f>
        <v>#REF!</v>
      </c>
      <c r="L133" s="48" t="s">
        <v>1837</v>
      </c>
      <c r="M133" s="4338" t="s">
        <v>4675</v>
      </c>
      <c r="N133" s="4339"/>
      <c r="P133" s="4340" t="s">
        <v>1641</v>
      </c>
      <c r="Q133" s="4341"/>
    </row>
    <row r="134" spans="1:31" ht="12" customHeight="1">
      <c r="A134" s="40" t="s">
        <v>697</v>
      </c>
      <c r="B134" s="108" t="s">
        <v>635</v>
      </c>
      <c r="D134" s="108"/>
      <c r="E134" s="108"/>
      <c r="F134" s="108"/>
      <c r="G134" s="108"/>
      <c r="H134" s="108"/>
      <c r="J134" s="48" t="s">
        <v>697</v>
      </c>
      <c r="K134" s="4250"/>
      <c r="L134" s="4251"/>
      <c r="M134" s="4251"/>
      <c r="N134" s="4251"/>
      <c r="O134" s="4251"/>
      <c r="P134" s="4329"/>
      <c r="Q134" s="416"/>
    </row>
    <row r="135" spans="1:31" ht="21.75" customHeight="1">
      <c r="A135" s="110" t="s">
        <v>1956</v>
      </c>
      <c r="B135" s="4227" t="s">
        <v>4083</v>
      </c>
      <c r="C135" s="4227"/>
      <c r="D135" s="4227"/>
      <c r="E135" s="4227"/>
      <c r="F135" s="4227"/>
      <c r="G135" s="4227"/>
      <c r="H135" s="4227"/>
      <c r="I135" s="4227"/>
      <c r="J135" s="4227"/>
      <c r="K135" s="4227"/>
      <c r="L135" s="4227"/>
      <c r="M135" s="4227"/>
      <c r="N135" s="4227"/>
      <c r="O135" s="128" t="s">
        <v>1956</v>
      </c>
      <c r="P135" s="879"/>
      <c r="Q135" s="878"/>
    </row>
    <row r="136" spans="1:31" ht="12" customHeight="1">
      <c r="B136" s="109" t="s">
        <v>3154</v>
      </c>
      <c r="D136" s="109"/>
      <c r="E136" s="109"/>
      <c r="F136" s="109"/>
      <c r="G136" s="109"/>
      <c r="H136" s="33"/>
      <c r="I136" s="874"/>
      <c r="J136" s="874"/>
      <c r="K136" s="874"/>
      <c r="L136" s="671"/>
      <c r="M136" s="671"/>
      <c r="N136" s="671"/>
      <c r="O136" s="671"/>
      <c r="P136" s="671"/>
      <c r="Q136" s="671"/>
    </row>
    <row r="137" spans="1:31" ht="11.7" customHeight="1">
      <c r="A137" s="4241"/>
      <c r="B137" s="4242"/>
      <c r="C137" s="4242"/>
      <c r="D137" s="4242"/>
      <c r="E137" s="4242"/>
      <c r="F137" s="4242"/>
      <c r="G137" s="4242"/>
      <c r="H137" s="4242"/>
      <c r="I137" s="4242"/>
      <c r="J137" s="4242"/>
      <c r="K137" s="4242"/>
      <c r="L137" s="4242"/>
      <c r="M137" s="4242"/>
      <c r="N137" s="4242"/>
      <c r="O137" s="4242"/>
      <c r="P137" s="4242"/>
      <c r="Q137" s="4243"/>
      <c r="U137" s="104"/>
      <c r="V137" s="104"/>
      <c r="W137" s="104"/>
      <c r="X137" s="104"/>
      <c r="Y137" s="104"/>
      <c r="Z137" s="104"/>
      <c r="AA137" s="104"/>
      <c r="AB137" s="104"/>
      <c r="AC137" s="104"/>
      <c r="AD137" s="104"/>
      <c r="AE137" s="104"/>
    </row>
    <row r="138" spans="1:31" ht="12" customHeight="1">
      <c r="B138" s="105" t="s">
        <v>1724</v>
      </c>
      <c r="C138" s="106"/>
      <c r="D138" s="870"/>
      <c r="E138" s="870"/>
      <c r="F138" s="870"/>
      <c r="G138" s="870"/>
      <c r="H138" s="870"/>
      <c r="I138" s="870"/>
      <c r="J138" s="870"/>
      <c r="K138" s="870"/>
      <c r="L138" s="870"/>
      <c r="M138" s="870"/>
      <c r="N138" s="870"/>
      <c r="O138" s="870"/>
      <c r="P138" s="870"/>
      <c r="Q138" s="870"/>
    </row>
    <row r="139" spans="1:31" ht="11.7" customHeight="1">
      <c r="A139" s="4238"/>
      <c r="B139" s="4239"/>
      <c r="C139" s="4239"/>
      <c r="D139" s="4239"/>
      <c r="E139" s="4239"/>
      <c r="F139" s="4239"/>
      <c r="G139" s="4239"/>
      <c r="H139" s="4239"/>
      <c r="I139" s="4239"/>
      <c r="J139" s="4239"/>
      <c r="K139" s="4239"/>
      <c r="L139" s="4239"/>
      <c r="M139" s="4239"/>
      <c r="N139" s="4239"/>
      <c r="O139" s="4239"/>
      <c r="P139" s="4239"/>
      <c r="Q139" s="4240"/>
    </row>
    <row r="140" spans="1:31" ht="3" customHeight="1">
      <c r="A140" s="671"/>
      <c r="B140" s="874"/>
      <c r="C140" s="870"/>
      <c r="D140" s="870"/>
      <c r="E140" s="870"/>
      <c r="F140" s="870"/>
      <c r="G140" s="870"/>
      <c r="H140" s="870"/>
      <c r="I140" s="870"/>
      <c r="J140" s="870"/>
      <c r="K140" s="870"/>
      <c r="L140" s="870"/>
      <c r="M140" s="870"/>
      <c r="Q140" s="671"/>
    </row>
    <row r="141" spans="1:31" ht="14.1" customHeight="1">
      <c r="A141" s="2" t="s">
        <v>400</v>
      </c>
      <c r="B141" s="2" t="s">
        <v>2418</v>
      </c>
      <c r="C141" s="2"/>
      <c r="D141" s="870"/>
      <c r="E141" s="870"/>
      <c r="F141" s="870"/>
      <c r="G141" s="870"/>
      <c r="H141" s="870"/>
      <c r="I141" s="870"/>
      <c r="J141" s="870"/>
      <c r="K141" s="870"/>
      <c r="L141" s="870"/>
      <c r="M141" s="870"/>
      <c r="O141" s="101" t="s">
        <v>1725</v>
      </c>
      <c r="P141" s="4233"/>
      <c r="Q141" s="4234"/>
    </row>
    <row r="142" spans="1:31" ht="21.75" customHeight="1">
      <c r="A142" s="110" t="s">
        <v>1835</v>
      </c>
      <c r="B142" s="4227" t="s">
        <v>3147</v>
      </c>
      <c r="C142" s="4227"/>
      <c r="D142" s="4227"/>
      <c r="E142" s="4227"/>
      <c r="F142" s="4227"/>
      <c r="G142" s="4227"/>
      <c r="H142" s="4227"/>
      <c r="I142" s="4227"/>
      <c r="J142" s="4227"/>
      <c r="K142" s="4227"/>
      <c r="L142" s="4227"/>
      <c r="M142" s="4227"/>
      <c r="N142" s="4227"/>
      <c r="O142" s="128" t="s">
        <v>1835</v>
      </c>
      <c r="P142" s="877"/>
      <c r="Q142" s="876"/>
    </row>
    <row r="143" spans="1:31" ht="22.35" customHeight="1">
      <c r="A143" s="110" t="s">
        <v>1837</v>
      </c>
      <c r="B143" s="4227" t="s">
        <v>3673</v>
      </c>
      <c r="C143" s="4227"/>
      <c r="D143" s="4227"/>
      <c r="E143" s="4227"/>
      <c r="F143" s="4227"/>
      <c r="G143" s="4227"/>
      <c r="H143" s="4227"/>
      <c r="I143" s="4227"/>
      <c r="J143" s="4227"/>
      <c r="K143" s="4227"/>
      <c r="L143" s="4227"/>
      <c r="M143" s="4227"/>
      <c r="N143" s="4227"/>
      <c r="O143" s="128" t="s">
        <v>1837</v>
      </c>
      <c r="P143" s="430"/>
      <c r="Q143" s="421"/>
    </row>
    <row r="144" spans="1:31" ht="22.35" customHeight="1">
      <c r="A144" s="110" t="s">
        <v>697</v>
      </c>
      <c r="B144" s="4227" t="s">
        <v>3148</v>
      </c>
      <c r="C144" s="4227"/>
      <c r="D144" s="4227"/>
      <c r="E144" s="4227"/>
      <c r="F144" s="4227"/>
      <c r="G144" s="4227"/>
      <c r="H144" s="4227"/>
      <c r="I144" s="4227"/>
      <c r="J144" s="4227"/>
      <c r="K144" s="4227"/>
      <c r="L144" s="4227"/>
      <c r="M144" s="4227"/>
      <c r="N144" s="4227"/>
      <c r="O144" s="128" t="s">
        <v>697</v>
      </c>
      <c r="P144" s="430"/>
      <c r="Q144" s="421"/>
    </row>
    <row r="145" spans="1:44" ht="21.75" customHeight="1">
      <c r="A145" s="110" t="s">
        <v>1956</v>
      </c>
      <c r="B145" s="4227" t="s">
        <v>3706</v>
      </c>
      <c r="C145" s="4227"/>
      <c r="D145" s="4227"/>
      <c r="E145" s="4227"/>
      <c r="F145" s="4227"/>
      <c r="G145" s="4227"/>
      <c r="H145" s="4227"/>
      <c r="I145" s="4227"/>
      <c r="J145" s="4227"/>
      <c r="K145" s="4227"/>
      <c r="L145" s="4227"/>
      <c r="M145" s="4227"/>
      <c r="N145" s="4227"/>
      <c r="O145" s="128" t="s">
        <v>1956</v>
      </c>
      <c r="P145" s="879"/>
      <c r="Q145" s="878"/>
    </row>
    <row r="146" spans="1:44" ht="12" customHeight="1">
      <c r="B146" s="109" t="s">
        <v>3154</v>
      </c>
      <c r="D146" s="109"/>
      <c r="E146" s="109"/>
      <c r="F146" s="109"/>
      <c r="G146" s="109"/>
      <c r="H146" s="33"/>
      <c r="I146" s="874"/>
      <c r="J146" s="874"/>
      <c r="K146" s="874"/>
      <c r="L146" s="671"/>
      <c r="M146" s="671"/>
      <c r="N146" s="671"/>
      <c r="O146" s="671"/>
      <c r="P146" s="671"/>
      <c r="Q146" s="671"/>
    </row>
    <row r="147" spans="1:44" ht="11.7" customHeight="1">
      <c r="A147" s="4241"/>
      <c r="B147" s="4242"/>
      <c r="C147" s="4242"/>
      <c r="D147" s="4242"/>
      <c r="E147" s="4242"/>
      <c r="F147" s="4242"/>
      <c r="G147" s="4242"/>
      <c r="H147" s="4242"/>
      <c r="I147" s="4242"/>
      <c r="J147" s="4242"/>
      <c r="K147" s="4242"/>
      <c r="L147" s="4242"/>
      <c r="M147" s="4242"/>
      <c r="N147" s="4242"/>
      <c r="O147" s="4242"/>
      <c r="P147" s="4242"/>
      <c r="Q147" s="4243"/>
      <c r="U147" s="104"/>
      <c r="V147" s="104"/>
      <c r="W147" s="104"/>
      <c r="X147" s="104"/>
      <c r="Y147" s="104"/>
      <c r="Z147" s="104"/>
      <c r="AA147" s="104"/>
      <c r="AB147" s="104"/>
      <c r="AC147" s="104"/>
      <c r="AD147" s="104"/>
      <c r="AE147" s="104"/>
    </row>
    <row r="148" spans="1:44" ht="12" customHeight="1">
      <c r="B148" s="105" t="s">
        <v>1724</v>
      </c>
      <c r="C148" s="106"/>
      <c r="D148" s="870"/>
      <c r="E148" s="870"/>
      <c r="F148" s="870"/>
      <c r="G148" s="870"/>
      <c r="H148" s="870"/>
      <c r="I148" s="870"/>
      <c r="J148" s="870"/>
      <c r="K148" s="870"/>
      <c r="L148" s="870"/>
      <c r="M148" s="870"/>
      <c r="N148" s="870"/>
      <c r="O148" s="870"/>
      <c r="P148" s="870"/>
      <c r="Q148" s="870"/>
    </row>
    <row r="149" spans="1:44" ht="11.7" customHeight="1">
      <c r="A149" s="4238"/>
      <c r="B149" s="4239"/>
      <c r="C149" s="4239"/>
      <c r="D149" s="4239"/>
      <c r="E149" s="4239"/>
      <c r="F149" s="4239"/>
      <c r="G149" s="4239"/>
      <c r="H149" s="4239"/>
      <c r="I149" s="4239"/>
      <c r="J149" s="4239"/>
      <c r="K149" s="4239"/>
      <c r="L149" s="4239"/>
      <c r="M149" s="4239"/>
      <c r="N149" s="4239"/>
      <c r="O149" s="4239"/>
      <c r="P149" s="4239"/>
      <c r="Q149" s="4240"/>
    </row>
    <row r="150" spans="1:44" ht="3" customHeight="1">
      <c r="B150" s="874"/>
      <c r="C150" s="870"/>
      <c r="D150" s="870"/>
      <c r="E150" s="870"/>
      <c r="F150" s="870"/>
      <c r="G150" s="870"/>
      <c r="H150" s="870"/>
      <c r="I150" s="870"/>
      <c r="J150" s="870"/>
      <c r="K150" s="870"/>
      <c r="L150" s="870"/>
      <c r="M150" s="870"/>
      <c r="N150" s="870"/>
      <c r="O150" s="870"/>
      <c r="P150" s="870"/>
      <c r="Q150" s="671"/>
    </row>
    <row r="151" spans="1:44" ht="14.1" customHeight="1">
      <c r="A151" s="23" t="s">
        <v>342</v>
      </c>
      <c r="B151" s="3286" t="s">
        <v>2419</v>
      </c>
      <c r="C151" s="3286"/>
      <c r="D151" s="3286"/>
      <c r="E151" s="236"/>
      <c r="N151" s="841" t="s">
        <v>4420</v>
      </c>
      <c r="O151" s="101" t="s">
        <v>1725</v>
      </c>
      <c r="P151" s="4233"/>
      <c r="Q151" s="4234"/>
      <c r="R151" s="843" t="s">
        <v>4407</v>
      </c>
    </row>
    <row r="152" spans="1:44" customFormat="1" ht="11.7" customHeight="1">
      <c r="B152" s="44" t="s">
        <v>4538</v>
      </c>
      <c r="N152" s="92"/>
      <c r="O152" s="92"/>
      <c r="P152" s="92"/>
      <c r="Q152" s="92"/>
      <c r="S152" s="1338"/>
      <c r="T152" s="1338"/>
      <c r="U152" s="1338"/>
      <c r="V152" s="1338"/>
      <c r="W152" s="1338"/>
      <c r="X152" s="1338"/>
      <c r="Y152" s="1338"/>
      <c r="Z152" s="1338"/>
      <c r="AA152" s="1338"/>
      <c r="AB152" s="1338"/>
      <c r="AC152" s="1338"/>
      <c r="AD152" s="1338"/>
      <c r="AE152" s="1338"/>
      <c r="AF152" s="1338"/>
      <c r="AG152" s="1338"/>
      <c r="AH152" s="1338"/>
      <c r="AI152" s="1338"/>
      <c r="AJ152" s="1338"/>
      <c r="AK152" s="1338"/>
      <c r="AL152" s="1338"/>
      <c r="AM152" s="1338"/>
      <c r="AN152" s="1338"/>
      <c r="AO152" s="1338"/>
      <c r="AP152" s="1338"/>
      <c r="AQ152" s="1338"/>
      <c r="AR152" s="1338"/>
    </row>
    <row r="153" spans="1:44" ht="12" customHeight="1">
      <c r="A153" s="110" t="s">
        <v>1835</v>
      </c>
      <c r="B153" s="371" t="s">
        <v>440</v>
      </c>
      <c r="D153" s="371"/>
      <c r="E153" s="371"/>
      <c r="F153" s="371"/>
      <c r="G153" s="371"/>
      <c r="H153" s="371"/>
      <c r="I153" s="371"/>
      <c r="J153" s="371"/>
      <c r="K153" s="371"/>
      <c r="L153" s="371"/>
      <c r="M153" s="371"/>
      <c r="O153" s="128" t="s">
        <v>1835</v>
      </c>
      <c r="P153" s="175"/>
      <c r="Q153" s="418"/>
    </row>
    <row r="154" spans="1:44" ht="12" customHeight="1">
      <c r="A154" s="110" t="s">
        <v>1837</v>
      </c>
      <c r="B154" s="371" t="s">
        <v>4006</v>
      </c>
      <c r="D154" s="371"/>
      <c r="E154" s="371"/>
      <c r="F154" s="371"/>
      <c r="G154" s="371"/>
      <c r="H154" s="371"/>
      <c r="I154" s="371"/>
      <c r="J154" s="371"/>
      <c r="K154" s="371"/>
      <c r="L154" s="371"/>
      <c r="M154" s="371"/>
      <c r="O154" s="128" t="s">
        <v>1837</v>
      </c>
      <c r="P154" s="299"/>
      <c r="Q154" s="419"/>
    </row>
    <row r="155" spans="1:44" ht="12" customHeight="1">
      <c r="A155" s="110" t="s">
        <v>697</v>
      </c>
      <c r="B155" s="371" t="s">
        <v>2408</v>
      </c>
      <c r="D155" s="371"/>
      <c r="E155" s="371"/>
      <c r="F155" s="371"/>
      <c r="G155" s="371"/>
      <c r="H155" s="371"/>
      <c r="I155" s="371"/>
      <c r="J155" s="108" t="s">
        <v>3708</v>
      </c>
      <c r="L155" s="371"/>
      <c r="M155" s="371"/>
      <c r="O155" s="128" t="s">
        <v>697</v>
      </c>
      <c r="P155" s="299"/>
      <c r="Q155" s="419"/>
    </row>
    <row r="156" spans="1:44" ht="12" customHeight="1">
      <c r="B156" s="33" t="s">
        <v>1611</v>
      </c>
      <c r="C156" s="33" t="s">
        <v>2409</v>
      </c>
      <c r="G156" s="371"/>
      <c r="H156" s="371"/>
      <c r="J156" s="371"/>
      <c r="K156" s="371"/>
      <c r="L156" s="371"/>
      <c r="M156" s="371"/>
      <c r="O156" s="351" t="s">
        <v>1611</v>
      </c>
      <c r="P156" s="299"/>
      <c r="Q156" s="419"/>
    </row>
    <row r="157" spans="1:44" ht="12" customHeight="1">
      <c r="A157" s="108"/>
      <c r="B157" s="33" t="s">
        <v>1612</v>
      </c>
      <c r="C157" s="33" t="s">
        <v>2410</v>
      </c>
      <c r="G157" s="371"/>
      <c r="H157" s="371"/>
      <c r="I157" s="371"/>
      <c r="J157" s="371"/>
      <c r="K157" s="371"/>
      <c r="L157" s="371"/>
      <c r="M157" s="371"/>
      <c r="O157" s="351" t="s">
        <v>1612</v>
      </c>
      <c r="P157" s="299"/>
      <c r="Q157" s="419"/>
    </row>
    <row r="158" spans="1:44" s="102" customFormat="1" ht="21.75" customHeight="1">
      <c r="A158" s="110"/>
      <c r="B158" s="371" t="s">
        <v>1613</v>
      </c>
      <c r="C158" s="4227" t="s">
        <v>3149</v>
      </c>
      <c r="D158" s="4227"/>
      <c r="E158" s="4227"/>
      <c r="F158" s="4227"/>
      <c r="G158" s="4227"/>
      <c r="H158" s="4227"/>
      <c r="I158" s="4227"/>
      <c r="J158" s="4227"/>
      <c r="K158" s="4227"/>
      <c r="L158" s="4227"/>
      <c r="M158" s="4227"/>
      <c r="N158" s="4227"/>
      <c r="O158" s="128" t="s">
        <v>1613</v>
      </c>
      <c r="P158" s="430"/>
      <c r="Q158" s="421"/>
    </row>
    <row r="159" spans="1:44" ht="12" customHeight="1">
      <c r="A159" s="110"/>
      <c r="B159" s="33" t="s">
        <v>2175</v>
      </c>
      <c r="C159" s="33" t="s">
        <v>2411</v>
      </c>
      <c r="G159" s="371"/>
      <c r="H159" s="371"/>
      <c r="I159" s="371"/>
      <c r="J159" s="371"/>
      <c r="K159" s="371"/>
      <c r="L159" s="371"/>
      <c r="M159" s="371"/>
      <c r="O159" s="351" t="s">
        <v>2175</v>
      </c>
      <c r="P159" s="299"/>
      <c r="Q159" s="419"/>
    </row>
    <row r="160" spans="1:44" s="102" customFormat="1" ht="21.75" customHeight="1">
      <c r="A160" s="110"/>
      <c r="B160" s="371" t="s">
        <v>1446</v>
      </c>
      <c r="C160" s="4227" t="s">
        <v>2412</v>
      </c>
      <c r="D160" s="4227"/>
      <c r="E160" s="4227"/>
      <c r="F160" s="4227"/>
      <c r="G160" s="4227"/>
      <c r="H160" s="4227"/>
      <c r="I160" s="4227"/>
      <c r="J160" s="4227"/>
      <c r="K160" s="4227"/>
      <c r="L160" s="4227"/>
      <c r="M160" s="4227"/>
      <c r="N160" s="4227"/>
      <c r="O160" s="128" t="s">
        <v>1446</v>
      </c>
      <c r="P160" s="430"/>
      <c r="Q160" s="421"/>
    </row>
    <row r="161" spans="1:44" s="102" customFormat="1" ht="21.75" customHeight="1">
      <c r="A161" s="110"/>
      <c r="B161" s="371" t="s">
        <v>1447</v>
      </c>
      <c r="C161" s="4227" t="s">
        <v>3219</v>
      </c>
      <c r="D161" s="4227"/>
      <c r="E161" s="4227"/>
      <c r="F161" s="4227"/>
      <c r="G161" s="4227"/>
      <c r="H161" s="4227"/>
      <c r="I161" s="4227"/>
      <c r="J161" s="4227"/>
      <c r="K161" s="4227"/>
      <c r="L161" s="4227"/>
      <c r="M161" s="4227"/>
      <c r="N161" s="4227"/>
      <c r="O161" s="128" t="s">
        <v>1447</v>
      </c>
      <c r="P161" s="430"/>
      <c r="Q161" s="421"/>
    </row>
    <row r="162" spans="1:44" ht="21.75" customHeight="1">
      <c r="A162" s="110" t="s">
        <v>1956</v>
      </c>
      <c r="B162" s="4227" t="s">
        <v>2413</v>
      </c>
      <c r="C162" s="4227"/>
      <c r="D162" s="4227"/>
      <c r="E162" s="4227"/>
      <c r="F162" s="4227"/>
      <c r="G162" s="4227"/>
      <c r="H162" s="4227"/>
      <c r="I162" s="4227"/>
      <c r="J162" s="4227"/>
      <c r="K162" s="4227"/>
      <c r="L162" s="4227"/>
      <c r="M162" s="4227"/>
      <c r="N162" s="4227"/>
      <c r="O162" s="128" t="s">
        <v>1956</v>
      </c>
      <c r="P162" s="430"/>
      <c r="Q162" s="421"/>
    </row>
    <row r="163" spans="1:44" ht="12" customHeight="1">
      <c r="A163" s="110" t="s">
        <v>1609</v>
      </c>
      <c r="B163" s="371" t="s">
        <v>2187</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4"/>
      <c r="J164" s="874"/>
      <c r="K164" s="874"/>
      <c r="L164" s="671"/>
      <c r="M164" s="671"/>
      <c r="N164" s="671"/>
      <c r="O164" s="671"/>
      <c r="P164" s="671"/>
      <c r="Q164" s="671"/>
    </row>
    <row r="165" spans="1:44" ht="11.7" customHeight="1">
      <c r="A165" s="4241"/>
      <c r="B165" s="4242"/>
      <c r="C165" s="4242"/>
      <c r="D165" s="4242"/>
      <c r="E165" s="4242"/>
      <c r="F165" s="4242"/>
      <c r="G165" s="4242"/>
      <c r="H165" s="4242"/>
      <c r="I165" s="4242"/>
      <c r="J165" s="4242"/>
      <c r="K165" s="4242"/>
      <c r="L165" s="4242"/>
      <c r="M165" s="4242"/>
      <c r="N165" s="4242"/>
      <c r="O165" s="4242"/>
      <c r="P165" s="4242"/>
      <c r="Q165" s="4243"/>
      <c r="U165" s="104"/>
      <c r="V165" s="104"/>
      <c r="W165" s="104"/>
      <c r="X165" s="104"/>
      <c r="Y165" s="104"/>
      <c r="Z165" s="104"/>
      <c r="AA165" s="104"/>
      <c r="AB165" s="104"/>
      <c r="AC165" s="104"/>
      <c r="AD165" s="104"/>
      <c r="AE165" s="104"/>
    </row>
    <row r="166" spans="1:44" ht="12" customHeight="1">
      <c r="B166" s="105" t="s">
        <v>1724</v>
      </c>
      <c r="C166" s="106"/>
      <c r="D166" s="870"/>
      <c r="E166" s="870"/>
      <c r="F166" s="870"/>
      <c r="G166" s="870"/>
      <c r="H166" s="870"/>
      <c r="I166" s="870"/>
      <c r="J166" s="870"/>
      <c r="K166" s="870"/>
      <c r="L166" s="870"/>
      <c r="M166" s="870"/>
      <c r="N166" s="870"/>
      <c r="O166" s="870"/>
      <c r="P166" s="870"/>
      <c r="Q166" s="870"/>
    </row>
    <row r="167" spans="1:44" ht="11.7" customHeight="1">
      <c r="A167" s="4238"/>
      <c r="B167" s="4239"/>
      <c r="C167" s="4239"/>
      <c r="D167" s="4239"/>
      <c r="E167" s="4239"/>
      <c r="F167" s="4239"/>
      <c r="G167" s="4239"/>
      <c r="H167" s="4239"/>
      <c r="I167" s="4239"/>
      <c r="J167" s="4239"/>
      <c r="K167" s="4239"/>
      <c r="L167" s="4239"/>
      <c r="M167" s="4239"/>
      <c r="N167" s="4239"/>
      <c r="O167" s="4239"/>
      <c r="P167" s="4239"/>
      <c r="Q167" s="4240"/>
    </row>
    <row r="168" spans="1:44" ht="3" customHeight="1">
      <c r="A168" s="671"/>
      <c r="B168" s="874"/>
      <c r="C168" s="870"/>
      <c r="D168" s="870"/>
      <c r="E168" s="870"/>
      <c r="F168" s="870"/>
      <c r="G168" s="870"/>
      <c r="H168" s="870"/>
      <c r="I168" s="870"/>
      <c r="J168" s="870"/>
      <c r="K168" s="870"/>
      <c r="L168" s="870"/>
      <c r="M168" s="870"/>
      <c r="N168" s="870"/>
      <c r="O168" s="870"/>
      <c r="P168" s="870"/>
      <c r="Q168" s="671"/>
    </row>
    <row r="169" spans="1:44" ht="14.1" customHeight="1">
      <c r="A169" s="2" t="s">
        <v>343</v>
      </c>
      <c r="B169" s="2" t="s">
        <v>2420</v>
      </c>
      <c r="C169" s="2"/>
      <c r="D169" s="870"/>
      <c r="E169" s="114"/>
      <c r="F169" s="236"/>
      <c r="G169" s="870"/>
      <c r="J169" s="456"/>
      <c r="K169" s="456"/>
      <c r="L169" s="456"/>
      <c r="M169" s="456"/>
      <c r="N169" s="841" t="s">
        <v>4420</v>
      </c>
      <c r="O169" s="101" t="s">
        <v>1725</v>
      </c>
      <c r="P169" s="4233"/>
      <c r="Q169" s="4234"/>
      <c r="R169" s="843" t="s">
        <v>4407</v>
      </c>
    </row>
    <row r="170" spans="1:44" customFormat="1" ht="12.75" customHeight="1">
      <c r="B170" s="44" t="s">
        <v>4538</v>
      </c>
      <c r="N170" s="92"/>
      <c r="O170" s="92"/>
      <c r="P170" s="92"/>
      <c r="Q170" s="92"/>
      <c r="S170" s="1338"/>
      <c r="T170" s="1338"/>
      <c r="U170" s="1338"/>
      <c r="V170" s="1338"/>
      <c r="W170" s="1338"/>
      <c r="X170" s="1338"/>
      <c r="Y170" s="1338"/>
      <c r="Z170" s="1338"/>
      <c r="AA170" s="1338"/>
      <c r="AB170" s="1338"/>
      <c r="AC170" s="1338"/>
      <c r="AD170" s="1338"/>
      <c r="AE170" s="1338"/>
      <c r="AF170" s="1338"/>
      <c r="AG170" s="1338"/>
      <c r="AH170" s="1338"/>
      <c r="AI170" s="1338"/>
      <c r="AJ170" s="1338"/>
      <c r="AK170" s="1338"/>
      <c r="AL170" s="1338"/>
      <c r="AM170" s="1338"/>
      <c r="AN170" s="1338"/>
      <c r="AO170" s="1338"/>
      <c r="AP170" s="1338"/>
      <c r="AQ170" s="1338"/>
      <c r="AR170" s="1338"/>
    </row>
    <row r="171" spans="1:44" ht="12.75" customHeight="1">
      <c r="A171" s="107"/>
      <c r="B171" s="108" t="s">
        <v>92</v>
      </c>
      <c r="D171" s="108"/>
      <c r="E171" s="108"/>
      <c r="F171" s="108"/>
      <c r="G171" s="108"/>
      <c r="H171" s="49" t="s">
        <v>1611</v>
      </c>
      <c r="I171" s="29" t="s">
        <v>145</v>
      </c>
      <c r="J171" s="4254" t="s">
        <v>1704</v>
      </c>
      <c r="K171" s="4255"/>
      <c r="L171" s="4255"/>
      <c r="M171" s="4255"/>
      <c r="N171" s="4256"/>
      <c r="O171" s="49" t="s">
        <v>1611</v>
      </c>
      <c r="P171" s="175"/>
      <c r="Q171" s="418"/>
    </row>
    <row r="172" spans="1:44" ht="12.75" customHeight="1">
      <c r="A172" s="107"/>
      <c r="B172" s="109" t="s">
        <v>3154</v>
      </c>
      <c r="C172" s="82"/>
      <c r="D172" s="82"/>
      <c r="E172" s="82"/>
      <c r="F172" s="82"/>
      <c r="H172" s="49" t="s">
        <v>1612</v>
      </c>
      <c r="I172" s="29" t="s">
        <v>1489</v>
      </c>
      <c r="J172" s="4281" t="s">
        <v>1704</v>
      </c>
      <c r="K172" s="4282"/>
      <c r="L172" s="4282"/>
      <c r="M172" s="4282"/>
      <c r="N172" s="4283"/>
      <c r="O172" s="49" t="s">
        <v>1612</v>
      </c>
      <c r="P172" s="176"/>
      <c r="Q172" s="420"/>
    </row>
    <row r="173" spans="1:44" ht="12.75" customHeight="1">
      <c r="A173" s="4241"/>
      <c r="B173" s="4242"/>
      <c r="C173" s="4242"/>
      <c r="D173" s="4242"/>
      <c r="E173" s="4242"/>
      <c r="F173" s="4242"/>
      <c r="G173" s="4242"/>
      <c r="H173" s="4242"/>
      <c r="I173" s="4242"/>
      <c r="J173" s="4242"/>
      <c r="K173" s="4242"/>
      <c r="L173" s="4242"/>
      <c r="M173" s="4242"/>
      <c r="N173" s="4242"/>
      <c r="O173" s="4242"/>
      <c r="P173" s="4242"/>
      <c r="Q173" s="4243"/>
      <c r="U173" s="104"/>
      <c r="V173" s="104"/>
      <c r="W173" s="104"/>
      <c r="X173" s="104"/>
      <c r="Y173" s="104"/>
      <c r="Z173" s="104"/>
      <c r="AA173" s="104"/>
      <c r="AB173" s="104"/>
      <c r="AC173" s="104"/>
      <c r="AD173" s="104"/>
      <c r="AE173" s="104"/>
    </row>
    <row r="174" spans="1:44" ht="12.75" customHeight="1">
      <c r="B174" s="105" t="s">
        <v>1724</v>
      </c>
      <c r="C174" s="106"/>
      <c r="D174" s="870"/>
      <c r="E174" s="870"/>
      <c r="F174" s="870"/>
      <c r="G174" s="870"/>
      <c r="H174" s="870"/>
      <c r="I174" s="870"/>
      <c r="J174" s="870"/>
      <c r="K174" s="870"/>
      <c r="L174" s="870"/>
      <c r="M174" s="870"/>
      <c r="N174" s="870"/>
      <c r="O174" s="870"/>
      <c r="P174" s="870"/>
      <c r="Q174" s="870"/>
    </row>
    <row r="175" spans="1:44" ht="12.75" customHeight="1">
      <c r="A175" s="4238"/>
      <c r="B175" s="4239"/>
      <c r="C175" s="4239"/>
      <c r="D175" s="4239"/>
      <c r="E175" s="4239"/>
      <c r="F175" s="4239"/>
      <c r="G175" s="4239"/>
      <c r="H175" s="4239"/>
      <c r="I175" s="4239"/>
      <c r="J175" s="4239"/>
      <c r="K175" s="4239"/>
      <c r="L175" s="4239"/>
      <c r="M175" s="4239"/>
      <c r="N175" s="4239"/>
      <c r="O175" s="4239"/>
      <c r="P175" s="4239"/>
      <c r="Q175" s="4240"/>
    </row>
    <row r="176" spans="1:44" ht="4.3499999999999996" customHeight="1">
      <c r="B176" s="874"/>
      <c r="C176" s="870"/>
      <c r="D176" s="870"/>
      <c r="E176" s="870"/>
      <c r="F176" s="870"/>
      <c r="G176" s="870"/>
      <c r="H176" s="870"/>
      <c r="I176" s="870"/>
      <c r="J176" s="870"/>
      <c r="K176" s="870"/>
      <c r="L176" s="870"/>
      <c r="M176" s="870"/>
      <c r="Q176" s="671"/>
    </row>
    <row r="177" spans="1:44" ht="14.1" customHeight="1">
      <c r="A177" s="2" t="s">
        <v>344</v>
      </c>
      <c r="B177" s="4" t="s">
        <v>2421</v>
      </c>
      <c r="C177" s="4"/>
      <c r="D177" s="66"/>
      <c r="E177" s="66"/>
      <c r="F177" s="66"/>
      <c r="G177" s="870"/>
      <c r="H177" s="870"/>
      <c r="I177" s="1450"/>
      <c r="J177" s="870"/>
      <c r="K177" s="870"/>
      <c r="L177" s="870"/>
      <c r="M177" s="870"/>
      <c r="N177" s="841" t="s">
        <v>4420</v>
      </c>
      <c r="O177" s="101" t="s">
        <v>1725</v>
      </c>
      <c r="P177" s="4233"/>
      <c r="Q177" s="4234"/>
      <c r="R177" s="843" t="s">
        <v>4407</v>
      </c>
    </row>
    <row r="178" spans="1:44" customFormat="1" ht="12.75" customHeight="1">
      <c r="B178" s="44" t="s">
        <v>4538</v>
      </c>
      <c r="N178" s="92"/>
      <c r="O178" s="92"/>
      <c r="P178" s="92"/>
      <c r="Q178" s="92"/>
      <c r="S178" s="1338"/>
      <c r="T178" s="1338"/>
      <c r="U178" s="1338"/>
      <c r="V178" s="1338"/>
      <c r="W178" s="1338"/>
      <c r="X178" s="1338"/>
      <c r="Y178" s="1338"/>
      <c r="Z178" s="1338"/>
      <c r="AA178" s="1338"/>
      <c r="AB178" s="1338"/>
      <c r="AC178" s="1338"/>
      <c r="AD178" s="1338"/>
      <c r="AE178" s="1338"/>
      <c r="AF178" s="1338"/>
      <c r="AG178" s="1338"/>
      <c r="AH178" s="1338"/>
      <c r="AI178" s="1338"/>
      <c r="AJ178" s="1338"/>
      <c r="AK178" s="1338"/>
      <c r="AL178" s="1338"/>
      <c r="AM178" s="1338"/>
      <c r="AN178" s="1338"/>
      <c r="AO178" s="1338"/>
      <c r="AP178" s="1338"/>
      <c r="AQ178" s="1338"/>
      <c r="AR178" s="1338"/>
    </row>
    <row r="179" spans="1:44" ht="12.75" customHeight="1">
      <c r="A179" s="110" t="s">
        <v>1835</v>
      </c>
      <c r="B179" s="4227" t="s">
        <v>1707</v>
      </c>
      <c r="C179" s="4227"/>
      <c r="D179" s="4227"/>
      <c r="E179" s="4227"/>
      <c r="F179" s="4227"/>
      <c r="G179" s="4227"/>
      <c r="H179" s="49" t="s">
        <v>1611</v>
      </c>
      <c r="I179" s="29" t="s">
        <v>591</v>
      </c>
      <c r="J179" s="4254" t="s">
        <v>1704</v>
      </c>
      <c r="K179" s="4255"/>
      <c r="L179" s="4255"/>
      <c r="M179" s="4255"/>
      <c r="N179" s="4256"/>
      <c r="O179" s="128" t="s">
        <v>1389</v>
      </c>
      <c r="P179" s="1215"/>
      <c r="Q179" s="1216"/>
    </row>
    <row r="180" spans="1:44" ht="12.75" customHeight="1">
      <c r="A180" s="118"/>
      <c r="B180" s="4227"/>
      <c r="C180" s="4227"/>
      <c r="D180" s="4227"/>
      <c r="E180" s="4227"/>
      <c r="F180" s="4227"/>
      <c r="G180" s="4227"/>
      <c r="H180" s="49" t="s">
        <v>1612</v>
      </c>
      <c r="I180" s="29" t="s">
        <v>110</v>
      </c>
      <c r="J180" s="4281" t="s">
        <v>1704</v>
      </c>
      <c r="K180" s="4282"/>
      <c r="L180" s="4282"/>
      <c r="M180" s="4282"/>
      <c r="N180" s="4283"/>
      <c r="O180" s="128" t="s">
        <v>1612</v>
      </c>
      <c r="P180" s="1651"/>
      <c r="Q180" s="672"/>
    </row>
    <row r="181" spans="1:44" ht="12.75" customHeight="1">
      <c r="A181" s="40" t="s">
        <v>1837</v>
      </c>
      <c r="B181" s="113" t="s">
        <v>1611</v>
      </c>
      <c r="C181" s="29" t="s">
        <v>4394</v>
      </c>
      <c r="E181" s="29"/>
      <c r="F181" s="29"/>
      <c r="G181" s="29"/>
      <c r="H181" s="29"/>
      <c r="I181" s="29"/>
      <c r="J181" s="29"/>
      <c r="K181" s="35"/>
      <c r="L181" s="29"/>
      <c r="M181" s="29"/>
      <c r="O181" s="128" t="s">
        <v>4395</v>
      </c>
      <c r="P181" s="1215"/>
      <c r="Q181" s="1216"/>
    </row>
    <row r="182" spans="1:44" ht="12.75" customHeight="1">
      <c r="A182" s="40"/>
      <c r="B182" s="113" t="s">
        <v>1612</v>
      </c>
      <c r="C182" s="29" t="s">
        <v>4393</v>
      </c>
      <c r="D182" s="29"/>
      <c r="E182" s="29"/>
      <c r="F182" s="29"/>
      <c r="G182" s="29"/>
      <c r="H182" s="29"/>
      <c r="I182" s="29"/>
      <c r="J182" s="29"/>
      <c r="K182" s="35"/>
      <c r="L182" s="29"/>
      <c r="M182" s="29"/>
      <c r="O182" s="128" t="s">
        <v>1612</v>
      </c>
      <c r="P182" s="176"/>
      <c r="Q182" s="420"/>
    </row>
    <row r="183" spans="1:44" ht="12.75" customHeight="1">
      <c r="A183" s="40" t="s">
        <v>697</v>
      </c>
      <c r="B183" s="29" t="s">
        <v>4414</v>
      </c>
      <c r="D183" s="29"/>
      <c r="E183" s="29"/>
      <c r="F183" s="29"/>
      <c r="G183" s="29"/>
      <c r="H183" s="29"/>
      <c r="I183" s="29"/>
      <c r="J183" s="29"/>
      <c r="K183" s="35"/>
      <c r="L183" s="29"/>
      <c r="M183" s="29"/>
      <c r="O183" s="48" t="s">
        <v>697</v>
      </c>
      <c r="P183" s="1328"/>
      <c r="Q183" s="1327"/>
    </row>
    <row r="184" spans="1:44" ht="12.75" customHeight="1">
      <c r="B184" s="109" t="s">
        <v>3154</v>
      </c>
      <c r="D184" s="109"/>
      <c r="E184" s="109"/>
      <c r="F184" s="109"/>
      <c r="G184" s="109"/>
      <c r="H184" s="33"/>
      <c r="I184" s="874"/>
      <c r="J184" s="874"/>
      <c r="K184" s="874"/>
      <c r="L184" s="671"/>
      <c r="M184" s="671"/>
      <c r="N184" s="671"/>
      <c r="O184" s="671"/>
      <c r="P184" s="671"/>
      <c r="Q184" s="671"/>
    </row>
    <row r="185" spans="1:44" ht="12.75" customHeight="1">
      <c r="A185" s="4241"/>
      <c r="B185" s="4242"/>
      <c r="C185" s="4242"/>
      <c r="D185" s="4242"/>
      <c r="E185" s="4242"/>
      <c r="F185" s="4242"/>
      <c r="G185" s="4242"/>
      <c r="H185" s="4242"/>
      <c r="I185" s="4242"/>
      <c r="J185" s="4242"/>
      <c r="K185" s="4242"/>
      <c r="L185" s="4242"/>
      <c r="M185" s="4242"/>
      <c r="N185" s="4242"/>
      <c r="O185" s="4242"/>
      <c r="P185" s="4242"/>
      <c r="Q185" s="4243"/>
      <c r="U185" s="104"/>
      <c r="V185" s="104"/>
      <c r="W185" s="104"/>
      <c r="X185" s="104"/>
      <c r="Y185" s="104"/>
      <c r="Z185" s="104"/>
      <c r="AA185" s="104"/>
      <c r="AB185" s="104"/>
      <c r="AC185" s="104"/>
      <c r="AD185" s="104"/>
      <c r="AE185" s="104"/>
    </row>
    <row r="186" spans="1:44" ht="12.75" customHeight="1">
      <c r="B186" s="105" t="s">
        <v>1724</v>
      </c>
      <c r="C186" s="106"/>
      <c r="D186" s="870"/>
      <c r="E186" s="870"/>
      <c r="F186" s="870"/>
      <c r="G186" s="870"/>
      <c r="H186" s="870"/>
      <c r="I186" s="870"/>
      <c r="J186" s="870"/>
      <c r="K186" s="870"/>
      <c r="L186" s="870"/>
      <c r="M186" s="870"/>
      <c r="N186" s="870"/>
      <c r="O186" s="870"/>
      <c r="P186" s="870"/>
      <c r="Q186" s="870"/>
    </row>
    <row r="187" spans="1:44" ht="12.75" customHeight="1">
      <c r="A187" s="4238"/>
      <c r="B187" s="4239"/>
      <c r="C187" s="4239"/>
      <c r="D187" s="4239"/>
      <c r="E187" s="4239"/>
      <c r="F187" s="4239"/>
      <c r="G187" s="4239"/>
      <c r="H187" s="4239"/>
      <c r="I187" s="4239"/>
      <c r="J187" s="4239"/>
      <c r="K187" s="4239"/>
      <c r="L187" s="4239"/>
      <c r="M187" s="4239"/>
      <c r="N187" s="4239"/>
      <c r="O187" s="4239"/>
      <c r="P187" s="4239"/>
      <c r="Q187" s="4240"/>
      <c r="S187" s="1337"/>
      <c r="T187" s="1337"/>
      <c r="U187" s="1337"/>
      <c r="V187" s="1337"/>
      <c r="W187" s="1337"/>
      <c r="X187" s="1337"/>
      <c r="Y187" s="1337"/>
      <c r="Z187" s="1337"/>
      <c r="AA187" s="1337"/>
      <c r="AB187" s="1337"/>
      <c r="AC187" s="1337"/>
      <c r="AD187" s="1337"/>
      <c r="AE187" s="1337"/>
      <c r="AF187" s="1337"/>
      <c r="AG187" s="1337"/>
      <c r="AH187" s="1337"/>
      <c r="AI187" s="1337"/>
      <c r="AJ187" s="1337"/>
      <c r="AK187" s="1337"/>
      <c r="AL187" s="1337"/>
      <c r="AM187" s="1337"/>
      <c r="AN187" s="1337"/>
      <c r="AO187" s="1337"/>
      <c r="AP187" s="1337"/>
      <c r="AQ187" s="1337"/>
      <c r="AR187" s="1337"/>
    </row>
    <row r="188" spans="1:44" ht="3" customHeight="1">
      <c r="A188" s="671"/>
      <c r="B188" s="874"/>
      <c r="C188" s="870"/>
      <c r="D188" s="870"/>
      <c r="E188" s="870"/>
      <c r="F188" s="870"/>
      <c r="G188" s="870"/>
      <c r="H188" s="870"/>
      <c r="I188" s="870"/>
      <c r="J188" s="870"/>
      <c r="K188" s="870"/>
      <c r="L188" s="870"/>
      <c r="M188" s="870"/>
      <c r="Q188" s="671"/>
      <c r="S188" s="1337"/>
      <c r="T188" s="1337"/>
      <c r="U188" s="1337"/>
      <c r="V188" s="1337"/>
      <c r="W188" s="1337"/>
      <c r="X188" s="1337"/>
      <c r="Y188" s="1337"/>
      <c r="Z188" s="1337"/>
      <c r="AA188" s="1337"/>
      <c r="AB188" s="1337"/>
      <c r="AC188" s="1337"/>
      <c r="AD188" s="1337"/>
      <c r="AE188" s="1337"/>
      <c r="AF188" s="1337"/>
      <c r="AG188" s="1337"/>
      <c r="AH188" s="1337"/>
      <c r="AI188" s="1337"/>
      <c r="AJ188" s="1337"/>
      <c r="AK188" s="1337"/>
      <c r="AL188" s="1337"/>
      <c r="AM188" s="1337"/>
      <c r="AN188" s="1337"/>
      <c r="AO188" s="1337"/>
      <c r="AP188" s="1337"/>
      <c r="AQ188" s="1337"/>
      <c r="AR188" s="1337"/>
    </row>
    <row r="189" spans="1:44" ht="14.1" customHeight="1">
      <c r="A189" s="2" t="s">
        <v>1602</v>
      </c>
      <c r="B189" s="2" t="s">
        <v>2422</v>
      </c>
      <c r="C189" s="89"/>
      <c r="D189" s="870"/>
      <c r="E189" s="870"/>
      <c r="F189" s="870"/>
      <c r="G189" s="870"/>
      <c r="H189" s="870"/>
      <c r="I189" s="870"/>
      <c r="J189" s="870"/>
      <c r="K189" s="870"/>
      <c r="L189" s="870"/>
      <c r="M189" s="870"/>
      <c r="O189" s="101" t="s">
        <v>1725</v>
      </c>
      <c r="P189" s="4233"/>
      <c r="Q189" s="4234"/>
      <c r="S189" s="1337"/>
      <c r="T189" s="1337"/>
      <c r="U189" s="1337"/>
      <c r="V189" s="1337"/>
      <c r="W189" s="1337"/>
      <c r="X189" s="1337"/>
      <c r="Y189" s="1337"/>
      <c r="Z189" s="1337"/>
      <c r="AA189" s="1337"/>
      <c r="AB189" s="1337"/>
      <c r="AC189" s="1337"/>
      <c r="AD189" s="1337"/>
      <c r="AE189" s="1337"/>
      <c r="AF189" s="1337"/>
      <c r="AG189" s="1337"/>
      <c r="AH189" s="1337"/>
      <c r="AI189" s="1337"/>
      <c r="AJ189" s="1337"/>
      <c r="AK189" s="1337"/>
      <c r="AL189" s="1337"/>
      <c r="AM189" s="1337"/>
      <c r="AN189" s="1337"/>
      <c r="AO189" s="1337"/>
      <c r="AP189" s="1337"/>
      <c r="AQ189" s="1337"/>
      <c r="AR189" s="1337"/>
    </row>
    <row r="190" spans="1:44" customFormat="1" ht="12.75" customHeight="1">
      <c r="B190" s="79" t="s">
        <v>1118</v>
      </c>
      <c r="N190" s="92"/>
      <c r="P190" s="74"/>
      <c r="Q190" s="416"/>
      <c r="S190" s="1338"/>
      <c r="T190" s="1338"/>
      <c r="U190" s="1338"/>
      <c r="V190" s="1338"/>
      <c r="W190" s="1338"/>
      <c r="X190" s="1338"/>
      <c r="Y190" s="1338"/>
      <c r="Z190" s="1338"/>
      <c r="AA190" s="1338"/>
      <c r="AB190" s="1338"/>
      <c r="AC190" s="1338"/>
      <c r="AD190" s="1338"/>
      <c r="AE190" s="1338"/>
      <c r="AF190" s="1338"/>
      <c r="AG190" s="1338"/>
      <c r="AH190" s="1338"/>
      <c r="AI190" s="1338"/>
      <c r="AJ190" s="1338"/>
      <c r="AK190" s="1338"/>
      <c r="AL190" s="1338"/>
      <c r="AM190" s="1338"/>
      <c r="AN190" s="1338"/>
      <c r="AO190" s="1338"/>
      <c r="AP190" s="1338"/>
      <c r="AQ190" s="1338"/>
      <c r="AR190" s="1338"/>
    </row>
    <row r="191" spans="1:44" ht="12.75" customHeight="1">
      <c r="A191" s="40" t="s">
        <v>1835</v>
      </c>
      <c r="B191" s="29" t="s">
        <v>3895</v>
      </c>
      <c r="D191" s="35"/>
      <c r="E191" s="35"/>
      <c r="F191" s="35"/>
      <c r="G191" s="35"/>
      <c r="H191" s="35"/>
      <c r="I191" s="35"/>
      <c r="J191" s="35"/>
      <c r="K191" s="35"/>
      <c r="L191" s="35"/>
      <c r="M191" s="35"/>
      <c r="O191" s="48" t="s">
        <v>1835</v>
      </c>
      <c r="P191" s="74"/>
      <c r="Q191" s="418"/>
      <c r="S191" s="1337"/>
      <c r="T191" s="1337"/>
      <c r="U191" s="1337"/>
      <c r="V191" s="1337"/>
      <c r="W191" s="1337"/>
      <c r="X191" s="1337"/>
      <c r="Y191" s="1337"/>
      <c r="Z191" s="1337"/>
      <c r="AA191" s="1337"/>
      <c r="AB191" s="1337"/>
      <c r="AC191" s="1337"/>
      <c r="AD191" s="1337"/>
      <c r="AE191" s="1337"/>
      <c r="AF191" s="1337"/>
      <c r="AG191" s="1337"/>
      <c r="AH191" s="1337"/>
      <c r="AI191" s="1337"/>
      <c r="AJ191" s="1337"/>
      <c r="AK191" s="1337"/>
      <c r="AL191" s="1337"/>
      <c r="AM191" s="1337"/>
      <c r="AN191" s="1337"/>
      <c r="AO191" s="1337"/>
      <c r="AP191" s="1337"/>
      <c r="AQ191" s="1337"/>
      <c r="AR191" s="1337"/>
    </row>
    <row r="192" spans="1:44" ht="12.75" customHeight="1">
      <c r="A192" s="40"/>
      <c r="B192" s="113" t="s">
        <v>1611</v>
      </c>
      <c r="C192" s="29" t="s">
        <v>1786</v>
      </c>
      <c r="E192" s="29"/>
      <c r="F192" s="29"/>
      <c r="G192" s="29"/>
      <c r="H192" s="29"/>
      <c r="I192" s="35"/>
      <c r="J192" s="49" t="s">
        <v>1389</v>
      </c>
      <c r="K192" s="4254" t="s">
        <v>1641</v>
      </c>
      <c r="L192" s="4256"/>
      <c r="Q192" s="419"/>
      <c r="S192" s="1337"/>
      <c r="T192" s="1337"/>
      <c r="U192" s="1337"/>
      <c r="V192" s="1337"/>
      <c r="W192" s="1337"/>
      <c r="X192" s="1337"/>
      <c r="Y192" s="1337"/>
      <c r="Z192" s="1337"/>
      <c r="AA192" s="1337"/>
      <c r="AB192" s="1337"/>
      <c r="AC192" s="1337"/>
      <c r="AD192" s="1337"/>
      <c r="AE192" s="1337"/>
      <c r="AF192" s="1337"/>
      <c r="AG192" s="1337"/>
      <c r="AH192" s="1337"/>
      <c r="AI192" s="1337"/>
      <c r="AJ192" s="1337"/>
      <c r="AK192" s="1337"/>
      <c r="AL192" s="1337"/>
      <c r="AM192" s="1337"/>
      <c r="AN192" s="1337"/>
      <c r="AO192" s="1337"/>
      <c r="AP192" s="1337"/>
      <c r="AQ192" s="1337"/>
      <c r="AR192" s="1337"/>
    </row>
    <row r="193" spans="1:44" ht="12.75" customHeight="1">
      <c r="A193" s="40"/>
      <c r="B193" s="113" t="s">
        <v>1612</v>
      </c>
      <c r="C193" s="33" t="s">
        <v>4599</v>
      </c>
      <c r="E193" s="33"/>
      <c r="F193" s="33"/>
      <c r="G193" s="33"/>
      <c r="H193" s="33"/>
      <c r="I193" s="35"/>
      <c r="J193" s="49" t="s">
        <v>1390</v>
      </c>
      <c r="K193" s="4388" t="s">
        <v>1641</v>
      </c>
      <c r="L193" s="4389"/>
      <c r="Q193" s="4397"/>
      <c r="S193" s="1337"/>
      <c r="T193" s="1337"/>
      <c r="U193" s="1337"/>
      <c r="V193" s="1337"/>
      <c r="W193" s="1337"/>
      <c r="X193" s="1337"/>
      <c r="Y193" s="1337"/>
      <c r="Z193" s="1337"/>
      <c r="AA193" s="1337"/>
      <c r="AB193" s="1337"/>
      <c r="AC193" s="1337"/>
      <c r="AD193" s="1337"/>
      <c r="AE193" s="1337"/>
      <c r="AF193" s="1337"/>
      <c r="AG193" s="1337"/>
      <c r="AH193" s="1337"/>
      <c r="AI193" s="1337"/>
      <c r="AJ193" s="1337"/>
      <c r="AK193" s="1337"/>
      <c r="AL193" s="1337"/>
      <c r="AM193" s="1337"/>
      <c r="AN193" s="1337"/>
      <c r="AO193" s="1337"/>
      <c r="AP193" s="1337"/>
      <c r="AQ193" s="1337"/>
      <c r="AR193" s="1337"/>
    </row>
    <row r="194" spans="1:44" ht="12.75" customHeight="1">
      <c r="A194" s="40"/>
      <c r="B194" s="113"/>
      <c r="C194" s="4394" t="s">
        <v>4084</v>
      </c>
      <c r="D194" s="4395"/>
      <c r="E194" s="4395"/>
      <c r="F194" s="4395"/>
      <c r="G194" s="4395"/>
      <c r="H194" s="4395"/>
      <c r="I194" s="4395"/>
      <c r="J194" s="4395"/>
      <c r="K194" s="4395"/>
      <c r="L194" s="4395"/>
      <c r="M194" s="4395"/>
      <c r="N194" s="4395"/>
      <c r="O194" s="4396"/>
      <c r="Q194" s="4398"/>
      <c r="S194" s="1337"/>
      <c r="T194" s="1337"/>
      <c r="U194" s="1337"/>
      <c r="V194" s="1337"/>
      <c r="W194" s="1337"/>
      <c r="X194" s="1337"/>
      <c r="Y194" s="1337"/>
      <c r="Z194" s="1337"/>
      <c r="AA194" s="1337"/>
      <c r="AB194" s="1337"/>
      <c r="AC194" s="1337"/>
      <c r="AD194" s="1337"/>
      <c r="AE194" s="1337"/>
      <c r="AF194" s="1337"/>
      <c r="AG194" s="1337"/>
      <c r="AH194" s="1337"/>
      <c r="AI194" s="1337"/>
      <c r="AJ194" s="1337"/>
      <c r="AK194" s="1337"/>
      <c r="AL194" s="1337"/>
      <c r="AM194" s="1337"/>
      <c r="AN194" s="1337"/>
      <c r="AO194" s="1337"/>
      <c r="AP194" s="1337"/>
      <c r="AQ194" s="1337"/>
      <c r="AR194" s="1337"/>
    </row>
    <row r="195" spans="1:44" ht="12.75" customHeight="1">
      <c r="A195" s="40"/>
      <c r="B195" s="33" t="s">
        <v>1613</v>
      </c>
      <c r="C195" s="33" t="s">
        <v>3660</v>
      </c>
      <c r="D195" s="115"/>
      <c r="E195" s="33"/>
      <c r="F195" s="33"/>
      <c r="G195" s="33"/>
      <c r="H195" s="33"/>
      <c r="I195" s="72"/>
      <c r="J195" s="48" t="s">
        <v>1391</v>
      </c>
      <c r="K195" s="4382" t="s">
        <v>1641</v>
      </c>
      <c r="L195" s="4383"/>
      <c r="M195" s="4383"/>
      <c r="N195" s="4384"/>
      <c r="O195" s="1829"/>
      <c r="P195" s="1830"/>
      <c r="Q195" s="1327"/>
      <c r="R195" s="35"/>
      <c r="S195" s="1337"/>
      <c r="T195" s="1337"/>
      <c r="U195" s="1337"/>
      <c r="V195" s="1337"/>
      <c r="W195" s="1337"/>
      <c r="X195" s="1337"/>
      <c r="Y195" s="1337"/>
      <c r="Z195" s="1337"/>
      <c r="AA195" s="1337"/>
      <c r="AB195" s="1337"/>
      <c r="AC195" s="1337"/>
      <c r="AD195" s="1337"/>
      <c r="AE195" s="1337"/>
      <c r="AF195" s="1337"/>
      <c r="AG195" s="1337"/>
      <c r="AH195" s="1337"/>
      <c r="AI195" s="1337"/>
      <c r="AJ195" s="1337"/>
      <c r="AK195" s="1337"/>
      <c r="AL195" s="1337"/>
      <c r="AM195" s="1337"/>
      <c r="AN195" s="1337"/>
      <c r="AO195" s="1337"/>
      <c r="AP195" s="1337"/>
      <c r="AQ195" s="1337"/>
      <c r="AR195" s="1337"/>
    </row>
    <row r="196" spans="1:44" ht="12.75" customHeight="1">
      <c r="A196" s="40" t="s">
        <v>1837</v>
      </c>
      <c r="B196" s="29" t="s">
        <v>3896</v>
      </c>
      <c r="D196" s="29"/>
      <c r="E196" s="29"/>
      <c r="F196" s="29"/>
      <c r="G196" s="29"/>
      <c r="H196" s="29"/>
      <c r="I196" s="29"/>
      <c r="J196" s="29"/>
      <c r="K196" s="35"/>
      <c r="L196" s="35"/>
      <c r="M196" s="35"/>
      <c r="N196" s="35"/>
      <c r="O196" s="48" t="s">
        <v>1837</v>
      </c>
      <c r="P196" s="74"/>
      <c r="Q196" s="416"/>
      <c r="S196" s="1337"/>
      <c r="T196" s="1337"/>
      <c r="U196" s="1337"/>
      <c r="V196" s="1337"/>
      <c r="W196" s="1337"/>
      <c r="X196" s="1337"/>
      <c r="Y196" s="1337"/>
      <c r="Z196" s="1337"/>
      <c r="AA196" s="1337"/>
      <c r="AB196" s="1337"/>
      <c r="AC196" s="1337"/>
      <c r="AD196" s="1337"/>
      <c r="AE196" s="1337"/>
      <c r="AF196" s="1337"/>
      <c r="AG196" s="1337"/>
      <c r="AH196" s="1337"/>
      <c r="AI196" s="1337"/>
      <c r="AJ196" s="1337"/>
      <c r="AK196" s="1337"/>
      <c r="AL196" s="1337"/>
      <c r="AM196" s="1337"/>
      <c r="AN196" s="1337"/>
      <c r="AO196" s="1337"/>
      <c r="AP196" s="1337"/>
      <c r="AQ196" s="1337"/>
      <c r="AR196" s="1337"/>
    </row>
    <row r="197" spans="1:44" ht="12.75" customHeight="1">
      <c r="A197" s="40"/>
      <c r="B197" s="29" t="s">
        <v>3727</v>
      </c>
      <c r="D197" s="29"/>
      <c r="E197" s="29"/>
      <c r="F197" s="29"/>
      <c r="G197" s="29"/>
      <c r="H197" s="29"/>
      <c r="I197" s="29"/>
      <c r="J197" s="29"/>
      <c r="K197" s="35"/>
      <c r="L197" s="35"/>
      <c r="M197" s="35"/>
      <c r="N197" s="48" t="s">
        <v>3065</v>
      </c>
      <c r="O197" s="1167" t="e">
        <f>#REF!</f>
        <v>#REF!</v>
      </c>
      <c r="P197" s="4261" t="s">
        <v>3729</v>
      </c>
      <c r="Q197" s="4366"/>
      <c r="S197" s="1337"/>
      <c r="T197" s="1337"/>
      <c r="U197" s="1337"/>
      <c r="V197" s="1337"/>
      <c r="W197" s="1337"/>
      <c r="X197" s="1337"/>
      <c r="Y197" s="1337"/>
      <c r="Z197" s="1337"/>
      <c r="AA197" s="1337"/>
      <c r="AB197" s="1337"/>
      <c r="AC197" s="1337"/>
      <c r="AD197" s="1337"/>
      <c r="AE197" s="1337"/>
      <c r="AF197" s="1337"/>
      <c r="AG197" s="1337"/>
      <c r="AH197" s="1337"/>
      <c r="AI197" s="1337"/>
      <c r="AJ197" s="1337"/>
      <c r="AK197" s="1337"/>
      <c r="AL197" s="1337"/>
      <c r="AM197" s="1337"/>
      <c r="AN197" s="1337"/>
      <c r="AO197" s="1337"/>
      <c r="AP197" s="1337"/>
      <c r="AQ197" s="1337"/>
      <c r="AR197" s="1337"/>
    </row>
    <row r="198" spans="1:44" ht="12.75" customHeight="1">
      <c r="A198" s="40"/>
      <c r="B198" s="113" t="s">
        <v>1611</v>
      </c>
      <c r="C198" s="29" t="s">
        <v>3730</v>
      </c>
      <c r="D198" s="29"/>
      <c r="E198" s="29"/>
      <c r="F198" s="29"/>
      <c r="H198" s="48" t="s">
        <v>3731</v>
      </c>
      <c r="I198" s="29" t="s">
        <v>3740</v>
      </c>
      <c r="M198" s="35"/>
      <c r="N198" s="35"/>
      <c r="O198" s="231"/>
      <c r="P198" s="859" t="s">
        <v>720</v>
      </c>
      <c r="Q198" s="1154" t="s">
        <v>3728</v>
      </c>
      <c r="S198" s="1337"/>
      <c r="T198" s="1337"/>
      <c r="U198" s="1337"/>
      <c r="V198" s="1337"/>
      <c r="W198" s="1337"/>
      <c r="X198" s="1337"/>
      <c r="Y198" s="1337"/>
      <c r="Z198" s="1337"/>
      <c r="AA198" s="1337"/>
      <c r="AB198" s="1337"/>
      <c r="AC198" s="1337"/>
      <c r="AD198" s="1337"/>
      <c r="AE198" s="1337"/>
      <c r="AF198" s="1337"/>
      <c r="AG198" s="1337"/>
      <c r="AH198" s="1337"/>
      <c r="AI198" s="1337"/>
      <c r="AJ198" s="1337"/>
      <c r="AK198" s="1337"/>
      <c r="AL198" s="1337"/>
      <c r="AM198" s="1337"/>
      <c r="AN198" s="1337"/>
      <c r="AO198" s="1337"/>
      <c r="AP198" s="1337"/>
      <c r="AQ198" s="1337"/>
      <c r="AR198" s="1337"/>
    </row>
    <row r="199" spans="1:44" s="36" customFormat="1" ht="12.75" customHeight="1">
      <c r="A199" s="43"/>
      <c r="B199" s="48" t="s">
        <v>1957</v>
      </c>
      <c r="C199" s="4367" t="s">
        <v>949</v>
      </c>
      <c r="D199" s="4368"/>
      <c r="E199" s="4368"/>
      <c r="F199" s="4368"/>
      <c r="G199" s="4369"/>
      <c r="H199" s="48" t="s">
        <v>1957</v>
      </c>
      <c r="I199" s="4370" t="s">
        <v>3310</v>
      </c>
      <c r="J199" s="4371"/>
      <c r="K199" s="4371"/>
      <c r="L199" s="4371"/>
      <c r="M199" s="4371"/>
      <c r="N199" s="4371"/>
      <c r="O199" s="4372"/>
      <c r="P199" s="418"/>
      <c r="Q199" s="423"/>
      <c r="S199" s="1339"/>
      <c r="T199" s="1339"/>
      <c r="U199" s="1339"/>
      <c r="V199" s="1339"/>
      <c r="W199" s="1339"/>
      <c r="X199" s="1339"/>
      <c r="Y199" s="1339"/>
      <c r="Z199" s="1339"/>
      <c r="AA199" s="1339"/>
      <c r="AB199" s="1339"/>
      <c r="AC199" s="1339"/>
      <c r="AD199" s="1339"/>
      <c r="AE199" s="1339"/>
      <c r="AF199" s="1339"/>
      <c r="AG199" s="1339"/>
      <c r="AH199" s="1339"/>
      <c r="AI199" s="1339"/>
      <c r="AJ199" s="1339"/>
      <c r="AK199" s="1339"/>
      <c r="AL199" s="1339"/>
      <c r="AM199" s="1339"/>
      <c r="AN199" s="1339"/>
      <c r="AO199" s="1339"/>
      <c r="AP199" s="1339"/>
      <c r="AQ199" s="1339"/>
      <c r="AR199" s="1339"/>
    </row>
    <row r="200" spans="1:44" s="36" customFormat="1" ht="12.75" customHeight="1">
      <c r="A200" s="43"/>
      <c r="B200" s="48" t="s">
        <v>1958</v>
      </c>
      <c r="C200" s="4385" t="s">
        <v>949</v>
      </c>
      <c r="D200" s="4386"/>
      <c r="E200" s="4386"/>
      <c r="F200" s="4386"/>
      <c r="G200" s="4387"/>
      <c r="H200" s="48" t="s">
        <v>1958</v>
      </c>
      <c r="I200" s="3149"/>
      <c r="J200" s="3091"/>
      <c r="K200" s="3091"/>
      <c r="L200" s="3091"/>
      <c r="M200" s="3091"/>
      <c r="N200" s="3091"/>
      <c r="O200" s="3092"/>
      <c r="P200" s="419"/>
      <c r="Q200" s="1143"/>
      <c r="S200" s="1339"/>
      <c r="T200" s="1339"/>
      <c r="U200" s="1339"/>
      <c r="V200" s="1339"/>
      <c r="W200" s="1339"/>
      <c r="X200" s="1339"/>
      <c r="Y200" s="1339"/>
      <c r="Z200" s="1339"/>
      <c r="AA200" s="1339"/>
      <c r="AB200" s="1339"/>
      <c r="AC200" s="1339"/>
      <c r="AD200" s="1339"/>
      <c r="AE200" s="1339"/>
      <c r="AF200" s="1339"/>
      <c r="AG200" s="1339"/>
      <c r="AH200" s="1339"/>
      <c r="AI200" s="1339"/>
      <c r="AJ200" s="1339"/>
      <c r="AK200" s="1339"/>
      <c r="AL200" s="1339"/>
      <c r="AM200" s="1339"/>
      <c r="AN200" s="1339"/>
      <c r="AO200" s="1339"/>
      <c r="AP200" s="1339"/>
      <c r="AQ200" s="1339"/>
      <c r="AR200" s="1339"/>
    </row>
    <row r="201" spans="1:44" s="36" customFormat="1" ht="12.75" customHeight="1">
      <c r="A201" s="43"/>
      <c r="B201" s="48" t="s">
        <v>1608</v>
      </c>
      <c r="C201" s="4385" t="s">
        <v>949</v>
      </c>
      <c r="D201" s="4386"/>
      <c r="E201" s="4386"/>
      <c r="F201" s="4386"/>
      <c r="G201" s="4387"/>
      <c r="H201" s="48" t="s">
        <v>1608</v>
      </c>
      <c r="I201" s="3149" t="s">
        <v>3310</v>
      </c>
      <c r="J201" s="3091"/>
      <c r="K201" s="3091"/>
      <c r="L201" s="3091"/>
      <c r="M201" s="3091"/>
      <c r="N201" s="3091"/>
      <c r="O201" s="3092"/>
      <c r="P201" s="419"/>
      <c r="Q201" s="1143"/>
      <c r="S201" s="1339"/>
      <c r="T201" s="1339"/>
      <c r="U201" s="1339"/>
      <c r="V201" s="1339"/>
      <c r="W201" s="1339"/>
      <c r="X201" s="1339"/>
      <c r="Y201" s="1339"/>
      <c r="Z201" s="1339"/>
      <c r="AA201" s="1339"/>
      <c r="AB201" s="1339"/>
      <c r="AC201" s="1339"/>
      <c r="AD201" s="1339"/>
      <c r="AE201" s="1339"/>
      <c r="AF201" s="1339"/>
      <c r="AG201" s="1339"/>
      <c r="AH201" s="1339"/>
      <c r="AI201" s="1339"/>
      <c r="AJ201" s="1339"/>
      <c r="AK201" s="1339"/>
      <c r="AL201" s="1339"/>
      <c r="AM201" s="1339"/>
      <c r="AN201" s="1339"/>
      <c r="AO201" s="1339"/>
      <c r="AP201" s="1339"/>
      <c r="AQ201" s="1339"/>
      <c r="AR201" s="1339"/>
    </row>
    <row r="202" spans="1:44" s="36" customFormat="1" ht="12.75" customHeight="1">
      <c r="A202" s="43"/>
      <c r="B202" s="48" t="s">
        <v>3739</v>
      </c>
      <c r="C202" s="4320" t="s">
        <v>949</v>
      </c>
      <c r="D202" s="4321"/>
      <c r="E202" s="4321"/>
      <c r="F202" s="4321"/>
      <c r="G202" s="4322"/>
      <c r="H202" s="48" t="s">
        <v>3739</v>
      </c>
      <c r="I202" s="3138"/>
      <c r="J202" s="3088"/>
      <c r="K202" s="3088"/>
      <c r="L202" s="3088"/>
      <c r="M202" s="3088"/>
      <c r="N202" s="3088"/>
      <c r="O202" s="3089"/>
      <c r="P202" s="420"/>
      <c r="Q202" s="424"/>
      <c r="S202" s="1339"/>
      <c r="T202" s="1339"/>
      <c r="U202" s="1339"/>
      <c r="V202" s="1339"/>
      <c r="W202" s="1339"/>
      <c r="X202" s="1339"/>
      <c r="Y202" s="1339"/>
      <c r="Z202" s="1339"/>
      <c r="AA202" s="1339"/>
      <c r="AB202" s="1339"/>
      <c r="AC202" s="1339"/>
      <c r="AD202" s="1339"/>
      <c r="AE202" s="1339"/>
      <c r="AF202" s="1339"/>
      <c r="AG202" s="1339"/>
      <c r="AH202" s="1339"/>
      <c r="AI202" s="1339"/>
      <c r="AJ202" s="1339"/>
      <c r="AK202" s="1339"/>
      <c r="AL202" s="1339"/>
      <c r="AM202" s="1339"/>
      <c r="AN202" s="1339"/>
      <c r="AO202" s="1339"/>
      <c r="AP202" s="1339"/>
      <c r="AQ202" s="1339"/>
      <c r="AR202" s="1339"/>
    </row>
    <row r="203" spans="1:44" ht="12.75" customHeight="1">
      <c r="A203" s="40" t="s">
        <v>697</v>
      </c>
      <c r="B203" s="29" t="s">
        <v>1301</v>
      </c>
      <c r="C203" s="29"/>
      <c r="E203" s="29"/>
      <c r="F203" s="29"/>
      <c r="G203" s="29"/>
      <c r="H203" s="29"/>
      <c r="I203" s="29"/>
      <c r="J203" s="29"/>
      <c r="K203" s="35"/>
      <c r="L203" s="29"/>
      <c r="M203" s="29"/>
      <c r="O203" s="48" t="s">
        <v>697</v>
      </c>
      <c r="P203" s="175"/>
      <c r="Q203" s="418"/>
      <c r="S203" s="1337"/>
      <c r="T203" s="1337"/>
      <c r="U203" s="1337"/>
      <c r="V203" s="1337"/>
      <c r="W203" s="1337"/>
      <c r="X203" s="1337"/>
      <c r="Y203" s="1337"/>
      <c r="Z203" s="1337"/>
      <c r="AA203" s="1337"/>
      <c r="AB203" s="1337"/>
      <c r="AC203" s="1337"/>
      <c r="AD203" s="1337"/>
      <c r="AE203" s="1337"/>
      <c r="AF203" s="1337"/>
      <c r="AG203" s="1337"/>
      <c r="AH203" s="1337"/>
      <c r="AI203" s="1337"/>
      <c r="AJ203" s="1337"/>
      <c r="AK203" s="1337"/>
      <c r="AL203" s="1337"/>
      <c r="AM203" s="1337"/>
      <c r="AN203" s="1337"/>
      <c r="AO203" s="1337"/>
      <c r="AP203" s="1337"/>
      <c r="AQ203" s="1337"/>
      <c r="AR203" s="1337"/>
    </row>
    <row r="204" spans="1:44" ht="12.75" customHeight="1">
      <c r="A204" s="40"/>
      <c r="B204" s="113" t="s">
        <v>1611</v>
      </c>
      <c r="C204" s="29" t="s">
        <v>2988</v>
      </c>
      <c r="E204" s="29"/>
      <c r="F204" s="29"/>
      <c r="L204" s="26"/>
      <c r="M204" s="26"/>
      <c r="O204" s="49" t="s">
        <v>1611</v>
      </c>
      <c r="P204" s="299"/>
      <c r="Q204" s="419"/>
      <c r="S204" s="1337"/>
      <c r="T204" s="1337"/>
      <c r="U204" s="1337"/>
      <c r="V204" s="1337"/>
      <c r="W204" s="1337"/>
      <c r="X204" s="1337"/>
      <c r="Y204" s="1337"/>
      <c r="Z204" s="1337"/>
      <c r="AA204" s="1337"/>
      <c r="AB204" s="1337"/>
      <c r="AC204" s="1337"/>
      <c r="AD204" s="1337"/>
      <c r="AE204" s="1337"/>
      <c r="AF204" s="1337"/>
      <c r="AG204" s="1337"/>
      <c r="AH204" s="1337"/>
      <c r="AI204" s="1337"/>
      <c r="AJ204" s="1337"/>
      <c r="AK204" s="1337"/>
      <c r="AL204" s="1337"/>
      <c r="AM204" s="1337"/>
      <c r="AN204" s="1337"/>
      <c r="AO204" s="1337"/>
      <c r="AP204" s="1337"/>
      <c r="AQ204" s="1337"/>
      <c r="AR204" s="1337"/>
    </row>
    <row r="205" spans="1:44" ht="12.75" customHeight="1">
      <c r="B205" s="113" t="s">
        <v>1612</v>
      </c>
      <c r="C205" s="33" t="s">
        <v>2495</v>
      </c>
      <c r="E205" s="33"/>
      <c r="F205" s="33"/>
      <c r="L205" s="26"/>
      <c r="M205" s="26"/>
      <c r="O205" s="49" t="s">
        <v>1612</v>
      </c>
      <c r="P205" s="299"/>
      <c r="Q205" s="419"/>
      <c r="S205" s="1337"/>
      <c r="T205" s="1337"/>
      <c r="U205" s="1337"/>
      <c r="V205" s="1337"/>
      <c r="W205" s="1337"/>
      <c r="X205" s="1337"/>
      <c r="Y205" s="1337"/>
      <c r="Z205" s="1337"/>
      <c r="AA205" s="1337"/>
      <c r="AB205" s="1337"/>
      <c r="AC205" s="1337"/>
      <c r="AD205" s="1337"/>
      <c r="AE205" s="1337"/>
      <c r="AF205" s="1337"/>
      <c r="AG205" s="1337"/>
      <c r="AH205" s="1337"/>
      <c r="AI205" s="1337"/>
      <c r="AJ205" s="1337"/>
      <c r="AK205" s="1337"/>
      <c r="AL205" s="1337"/>
      <c r="AM205" s="1337"/>
      <c r="AN205" s="1337"/>
      <c r="AO205" s="1337"/>
      <c r="AP205" s="1337"/>
      <c r="AQ205" s="1337"/>
      <c r="AR205" s="1337"/>
    </row>
    <row r="206" spans="1:44" ht="12.75" customHeight="1">
      <c r="B206" s="113" t="s">
        <v>1613</v>
      </c>
      <c r="C206" s="33" t="s">
        <v>4007</v>
      </c>
      <c r="E206" s="33"/>
      <c r="F206" s="33"/>
      <c r="G206" s="33"/>
      <c r="H206" s="33"/>
      <c r="I206" s="35"/>
      <c r="J206" s="26"/>
      <c r="K206" s="35"/>
      <c r="L206" s="26"/>
      <c r="M206" s="26"/>
      <c r="O206" s="49" t="s">
        <v>1613</v>
      </c>
      <c r="P206" s="299"/>
      <c r="Q206" s="419"/>
      <c r="S206" s="1337"/>
      <c r="T206" s="1337"/>
      <c r="U206" s="1337"/>
      <c r="V206" s="1337"/>
      <c r="W206" s="1337"/>
      <c r="X206" s="1337"/>
      <c r="Y206" s="1337"/>
      <c r="Z206" s="1337"/>
      <c r="AA206" s="1337"/>
      <c r="AB206" s="1337"/>
      <c r="AC206" s="1337"/>
      <c r="AD206" s="1337"/>
      <c r="AE206" s="1337"/>
      <c r="AF206" s="1337"/>
      <c r="AG206" s="1337"/>
      <c r="AH206" s="1337"/>
      <c r="AI206" s="1337"/>
      <c r="AJ206" s="1337"/>
      <c r="AK206" s="1337"/>
      <c r="AL206" s="1337"/>
      <c r="AM206" s="1337"/>
      <c r="AN206" s="1337"/>
      <c r="AO206" s="1337"/>
      <c r="AP206" s="1337"/>
      <c r="AQ206" s="1337"/>
      <c r="AR206" s="1337"/>
    </row>
    <row r="207" spans="1:44" ht="12.75" customHeight="1">
      <c r="A207" s="40"/>
      <c r="B207" s="113" t="s">
        <v>2175</v>
      </c>
      <c r="C207" s="33" t="s">
        <v>2496</v>
      </c>
      <c r="E207" s="33"/>
      <c r="F207" s="33"/>
      <c r="G207" s="33"/>
      <c r="H207" s="33"/>
      <c r="I207" s="35"/>
      <c r="J207" s="26"/>
      <c r="K207" s="35"/>
      <c r="L207" s="26"/>
      <c r="M207" s="26"/>
      <c r="O207" s="49" t="s">
        <v>2175</v>
      </c>
      <c r="P207" s="299"/>
      <c r="Q207" s="419"/>
      <c r="S207" s="1337"/>
      <c r="T207" s="1337"/>
      <c r="U207" s="1337"/>
      <c r="V207" s="1337"/>
      <c r="W207" s="1337"/>
      <c r="X207" s="1337"/>
      <c r="Y207" s="1337"/>
      <c r="Z207" s="1337"/>
      <c r="AA207" s="1337"/>
      <c r="AB207" s="1337"/>
      <c r="AC207" s="1337"/>
      <c r="AD207" s="1337"/>
      <c r="AE207" s="1337"/>
      <c r="AF207" s="1337"/>
      <c r="AG207" s="1337"/>
      <c r="AH207" s="1337"/>
      <c r="AI207" s="1337"/>
      <c r="AJ207" s="1337"/>
      <c r="AK207" s="1337"/>
      <c r="AL207" s="1337"/>
      <c r="AM207" s="1337"/>
      <c r="AN207" s="1337"/>
      <c r="AO207" s="1337"/>
      <c r="AP207" s="1337"/>
      <c r="AQ207" s="1337"/>
      <c r="AR207" s="1337"/>
    </row>
    <row r="208" spans="1:44" ht="12.75" customHeight="1">
      <c r="A208" s="40"/>
      <c r="B208" s="113" t="s">
        <v>1446</v>
      </c>
      <c r="C208" s="33" t="s">
        <v>2497</v>
      </c>
      <c r="E208" s="33"/>
      <c r="F208" s="33"/>
      <c r="G208" s="33"/>
      <c r="H208" s="33"/>
      <c r="I208" s="35"/>
      <c r="J208" s="26"/>
      <c r="K208" s="35"/>
      <c r="L208" s="26"/>
      <c r="M208" s="26"/>
      <c r="O208" s="49" t="s">
        <v>1446</v>
      </c>
      <c r="P208" s="299"/>
      <c r="Q208" s="419"/>
      <c r="S208" s="1337"/>
      <c r="T208" s="1337"/>
      <c r="U208" s="1337"/>
      <c r="V208" s="1337"/>
      <c r="W208" s="1337"/>
      <c r="X208" s="1337"/>
      <c r="Y208" s="1337"/>
      <c r="Z208" s="1337"/>
      <c r="AA208" s="1337"/>
      <c r="AB208" s="1337"/>
      <c r="AC208" s="1337"/>
      <c r="AD208" s="1337"/>
      <c r="AE208" s="1337"/>
      <c r="AF208" s="1337"/>
      <c r="AG208" s="1337"/>
      <c r="AH208" s="1337"/>
      <c r="AI208" s="1337"/>
      <c r="AJ208" s="1337"/>
      <c r="AK208" s="1337"/>
      <c r="AL208" s="1337"/>
      <c r="AM208" s="1337"/>
      <c r="AN208" s="1337"/>
      <c r="AO208" s="1337"/>
      <c r="AP208" s="1337"/>
      <c r="AQ208" s="1337"/>
      <c r="AR208" s="1337"/>
    </row>
    <row r="209" spans="1:44">
      <c r="A209" s="40"/>
      <c r="B209" s="371" t="s">
        <v>1447</v>
      </c>
      <c r="C209" s="4227" t="s">
        <v>4624</v>
      </c>
      <c r="D209" s="4227"/>
      <c r="E209" s="4227"/>
      <c r="F209" s="4227"/>
      <c r="G209" s="4227"/>
      <c r="H209" s="4227"/>
      <c r="I209" s="4227"/>
      <c r="J209" s="4227"/>
      <c r="K209" s="4227"/>
      <c r="L209" s="4227"/>
      <c r="M209" s="4227"/>
      <c r="N209" s="4227"/>
      <c r="O209" s="128" t="s">
        <v>1447</v>
      </c>
      <c r="P209" s="879"/>
      <c r="Q209" s="878"/>
      <c r="S209" s="1337"/>
      <c r="T209" s="1337"/>
      <c r="U209" s="1337"/>
      <c r="V209" s="1337"/>
      <c r="W209" s="1337"/>
      <c r="X209" s="1337"/>
      <c r="Y209" s="1337"/>
      <c r="Z209" s="1337"/>
      <c r="AA209" s="1337"/>
      <c r="AB209" s="1337"/>
      <c r="AC209" s="1337"/>
      <c r="AD209" s="1337"/>
      <c r="AE209" s="1337"/>
      <c r="AF209" s="1337"/>
      <c r="AG209" s="1337"/>
      <c r="AH209" s="1337"/>
      <c r="AI209" s="1337"/>
      <c r="AJ209" s="1337"/>
      <c r="AK209" s="1337"/>
      <c r="AL209" s="1337"/>
      <c r="AM209" s="1337"/>
      <c r="AN209" s="1337"/>
      <c r="AO209" s="1337"/>
      <c r="AP209" s="1337"/>
      <c r="AQ209" s="1337"/>
      <c r="AR209" s="1337"/>
    </row>
    <row r="210" spans="1:44" ht="12" customHeight="1">
      <c r="A210" s="40" t="s">
        <v>1956</v>
      </c>
      <c r="B210" s="29" t="s">
        <v>3993</v>
      </c>
      <c r="C210" s="29"/>
      <c r="E210" s="29"/>
      <c r="F210" s="29"/>
      <c r="G210" s="29"/>
      <c r="H210" s="29"/>
      <c r="I210" s="29"/>
      <c r="J210" s="29"/>
      <c r="K210" s="35"/>
      <c r="N210" s="395" t="str">
        <f>'Part VII-Threshold Criteria OLD'!J35</f>
        <v>&lt;&lt; Select PROPOSED Tenancy &gt;&gt;</v>
      </c>
      <c r="O210" s="48" t="s">
        <v>1956</v>
      </c>
      <c r="P210" s="175"/>
      <c r="Q210" s="418"/>
      <c r="S210" s="1337"/>
      <c r="T210" s="1337"/>
      <c r="U210" s="1337"/>
      <c r="V210" s="1337"/>
      <c r="W210" s="1337"/>
      <c r="X210" s="1337"/>
      <c r="Y210" s="1337"/>
      <c r="Z210" s="1337"/>
      <c r="AA210" s="1337"/>
      <c r="AB210" s="1337"/>
      <c r="AC210" s="1337"/>
      <c r="AD210" s="1337"/>
      <c r="AE210" s="1337"/>
      <c r="AF210" s="1337"/>
      <c r="AG210" s="1337"/>
      <c r="AH210" s="1337"/>
      <c r="AI210" s="1337"/>
      <c r="AJ210" s="1337"/>
      <c r="AK210" s="1337"/>
      <c r="AL210" s="1337"/>
      <c r="AM210" s="1337"/>
      <c r="AN210" s="1337"/>
      <c r="AO210" s="1337"/>
      <c r="AP210" s="1337"/>
      <c r="AQ210" s="1337"/>
      <c r="AR210" s="1337"/>
    </row>
    <row r="211" spans="1:44" ht="12" customHeight="1">
      <c r="B211" s="113" t="s">
        <v>1611</v>
      </c>
      <c r="C211" s="32" t="s">
        <v>1180</v>
      </c>
      <c r="E211" s="35"/>
      <c r="F211" s="35"/>
      <c r="G211" s="32"/>
      <c r="H211" s="33"/>
      <c r="I211" s="35"/>
      <c r="J211" s="33"/>
      <c r="K211" s="35"/>
      <c r="L211" s="33"/>
      <c r="M211" s="33"/>
      <c r="O211" s="49" t="s">
        <v>1611</v>
      </c>
      <c r="P211" s="299"/>
      <c r="Q211" s="419"/>
      <c r="S211" s="1337"/>
      <c r="T211" s="1337"/>
      <c r="U211" s="1337"/>
      <c r="V211" s="1337"/>
      <c r="W211" s="1337"/>
      <c r="X211" s="1337"/>
      <c r="Y211" s="1337"/>
      <c r="Z211" s="1337"/>
      <c r="AA211" s="1337"/>
      <c r="AB211" s="1337"/>
      <c r="AC211" s="1337"/>
      <c r="AD211" s="1337"/>
      <c r="AE211" s="1337"/>
      <c r="AF211" s="1337"/>
      <c r="AG211" s="1337"/>
      <c r="AH211" s="1337"/>
      <c r="AI211" s="1337"/>
      <c r="AJ211" s="1337"/>
      <c r="AK211" s="1337"/>
      <c r="AL211" s="1337"/>
      <c r="AM211" s="1337"/>
      <c r="AN211" s="1337"/>
      <c r="AO211" s="1337"/>
      <c r="AP211" s="1337"/>
      <c r="AQ211" s="1337"/>
      <c r="AR211" s="1337"/>
    </row>
    <row r="212" spans="1:44" ht="12" customHeight="1">
      <c r="B212" s="113" t="s">
        <v>1612</v>
      </c>
      <c r="C212" s="29" t="s">
        <v>3674</v>
      </c>
      <c r="E212" s="35"/>
      <c r="F212" s="35"/>
      <c r="G212" s="33"/>
      <c r="H212" s="33"/>
      <c r="I212" s="35"/>
      <c r="J212" s="33"/>
      <c r="K212" s="35"/>
      <c r="L212" s="33"/>
      <c r="M212" s="33"/>
      <c r="O212" s="49" t="s">
        <v>1612</v>
      </c>
      <c r="P212" s="176"/>
      <c r="Q212" s="420"/>
      <c r="S212" s="1337"/>
      <c r="T212" s="1337"/>
      <c r="U212" s="1337"/>
      <c r="V212" s="1337"/>
      <c r="W212" s="1337"/>
      <c r="X212" s="1337"/>
      <c r="Y212" s="1337"/>
      <c r="Z212" s="1337"/>
      <c r="AA212" s="1337"/>
      <c r="AB212" s="1337"/>
      <c r="AC212" s="1337"/>
      <c r="AD212" s="1337"/>
      <c r="AE212" s="1337"/>
      <c r="AF212" s="1337"/>
      <c r="AG212" s="1337"/>
      <c r="AH212" s="1337"/>
      <c r="AI212" s="1337"/>
      <c r="AJ212" s="1337"/>
      <c r="AK212" s="1337"/>
      <c r="AL212" s="1337"/>
      <c r="AM212" s="1337"/>
      <c r="AN212" s="1337"/>
      <c r="AO212" s="1337"/>
      <c r="AP212" s="1337"/>
      <c r="AQ212" s="1337"/>
      <c r="AR212" s="1337"/>
    </row>
    <row r="213" spans="1:44" ht="11.25" customHeight="1">
      <c r="B213" s="109" t="s">
        <v>3154</v>
      </c>
      <c r="D213" s="109"/>
      <c r="E213" s="109"/>
      <c r="F213" s="109"/>
      <c r="G213" s="109"/>
      <c r="H213" s="33"/>
      <c r="I213" s="874"/>
      <c r="J213" s="874"/>
      <c r="K213" s="874"/>
      <c r="L213" s="671"/>
      <c r="M213" s="671"/>
      <c r="N213" s="671"/>
      <c r="O213" s="671"/>
      <c r="P213" s="671"/>
      <c r="Q213" s="671"/>
      <c r="S213" s="1337"/>
      <c r="T213" s="1337"/>
      <c r="U213" s="1337"/>
      <c r="V213" s="1337"/>
      <c r="W213" s="1337"/>
      <c r="X213" s="1337"/>
      <c r="Y213" s="1337"/>
      <c r="Z213" s="1337"/>
      <c r="AA213" s="1337"/>
      <c r="AB213" s="1337"/>
      <c r="AC213" s="1337"/>
      <c r="AD213" s="1337"/>
      <c r="AE213" s="1337"/>
      <c r="AF213" s="1337"/>
      <c r="AG213" s="1337"/>
      <c r="AH213" s="1337"/>
      <c r="AI213" s="1337"/>
      <c r="AJ213" s="1337"/>
      <c r="AK213" s="1337"/>
      <c r="AL213" s="1337"/>
      <c r="AM213" s="1337"/>
      <c r="AN213" s="1337"/>
      <c r="AO213" s="1337"/>
      <c r="AP213" s="1337"/>
      <c r="AQ213" s="1337"/>
      <c r="AR213" s="1337"/>
    </row>
    <row r="214" spans="1:44" ht="12" customHeight="1">
      <c r="A214" s="4241"/>
      <c r="B214" s="4242"/>
      <c r="C214" s="4242"/>
      <c r="D214" s="4242"/>
      <c r="E214" s="4242"/>
      <c r="F214" s="4242"/>
      <c r="G214" s="4242"/>
      <c r="H214" s="4242"/>
      <c r="I214" s="4242"/>
      <c r="J214" s="4242"/>
      <c r="K214" s="4242"/>
      <c r="L214" s="4242"/>
      <c r="M214" s="4242"/>
      <c r="N214" s="4242"/>
      <c r="O214" s="4242"/>
      <c r="P214" s="4242"/>
      <c r="Q214" s="4243"/>
      <c r="R214" s="353" t="s">
        <v>1179</v>
      </c>
      <c r="S214" s="1340"/>
      <c r="T214" s="1337"/>
      <c r="U214" s="1341"/>
      <c r="V214" s="1341"/>
      <c r="W214" s="1341"/>
      <c r="X214" s="1341"/>
      <c r="Y214" s="1341"/>
      <c r="Z214" s="1341"/>
      <c r="AA214" s="1341"/>
      <c r="AB214" s="1341"/>
      <c r="AC214" s="1341"/>
      <c r="AD214" s="1341"/>
      <c r="AE214" s="1341"/>
      <c r="AF214" s="1337"/>
      <c r="AG214" s="1337"/>
      <c r="AH214" s="1337"/>
      <c r="AI214" s="1337"/>
      <c r="AJ214" s="1337"/>
      <c r="AK214" s="1337"/>
      <c r="AL214" s="1337"/>
      <c r="AM214" s="1337"/>
      <c r="AN214" s="1337"/>
      <c r="AO214" s="1337"/>
      <c r="AP214" s="1337"/>
      <c r="AQ214" s="1337"/>
      <c r="AR214" s="1337"/>
    </row>
    <row r="215" spans="1:44" ht="11.25" customHeight="1">
      <c r="B215" s="105" t="s">
        <v>1724</v>
      </c>
      <c r="C215" s="106"/>
      <c r="D215" s="870"/>
      <c r="E215" s="870"/>
      <c r="F215" s="870"/>
      <c r="G215" s="870"/>
      <c r="H215" s="870"/>
      <c r="I215" s="870"/>
      <c r="J215" s="870"/>
      <c r="K215" s="870"/>
      <c r="L215" s="870"/>
      <c r="M215" s="870"/>
      <c r="N215" s="870"/>
      <c r="O215" s="870"/>
      <c r="P215" s="870"/>
      <c r="Q215" s="870"/>
      <c r="S215" s="1337"/>
      <c r="T215" s="1337"/>
      <c r="U215" s="1337"/>
      <c r="V215" s="1337"/>
      <c r="W215" s="1337"/>
      <c r="X215" s="1337"/>
      <c r="Y215" s="1337"/>
      <c r="Z215" s="1337"/>
      <c r="AA215" s="1337"/>
      <c r="AB215" s="1337"/>
      <c r="AC215" s="1337"/>
      <c r="AD215" s="1337"/>
      <c r="AE215" s="1337"/>
      <c r="AF215" s="1337"/>
      <c r="AG215" s="1337"/>
      <c r="AH215" s="1337"/>
      <c r="AI215" s="1337"/>
      <c r="AJ215" s="1337"/>
      <c r="AK215" s="1337"/>
      <c r="AL215" s="1337"/>
      <c r="AM215" s="1337"/>
      <c r="AN215" s="1337"/>
      <c r="AO215" s="1337"/>
      <c r="AP215" s="1337"/>
      <c r="AQ215" s="1337"/>
      <c r="AR215" s="1337"/>
    </row>
    <row r="216" spans="1:44" ht="12" customHeight="1">
      <c r="A216" s="4238"/>
      <c r="B216" s="4239"/>
      <c r="C216" s="4239"/>
      <c r="D216" s="4239"/>
      <c r="E216" s="4239"/>
      <c r="F216" s="4239"/>
      <c r="G216" s="4239"/>
      <c r="H216" s="4239"/>
      <c r="I216" s="4239"/>
      <c r="J216" s="4239"/>
      <c r="K216" s="4239"/>
      <c r="L216" s="4239"/>
      <c r="M216" s="4239"/>
      <c r="N216" s="4239"/>
      <c r="O216" s="4239"/>
      <c r="P216" s="4239"/>
      <c r="Q216" s="4240"/>
      <c r="S216" s="1337"/>
      <c r="T216" s="1337"/>
      <c r="U216" s="1337"/>
      <c r="V216" s="1337"/>
      <c r="W216" s="1337"/>
      <c r="X216" s="1337"/>
      <c r="Y216" s="1337"/>
      <c r="Z216" s="1337"/>
      <c r="AA216" s="1337"/>
      <c r="AB216" s="1337"/>
      <c r="AC216" s="1337"/>
      <c r="AD216" s="1337"/>
      <c r="AE216" s="1337"/>
      <c r="AF216" s="1337"/>
      <c r="AG216" s="1337"/>
      <c r="AH216" s="1337"/>
      <c r="AI216" s="1337"/>
      <c r="AJ216" s="1337"/>
      <c r="AK216" s="1337"/>
      <c r="AL216" s="1337"/>
      <c r="AM216" s="1337"/>
      <c r="AN216" s="1337"/>
      <c r="AO216" s="1337"/>
      <c r="AP216" s="1337"/>
      <c r="AQ216" s="1337"/>
      <c r="AR216" s="1337"/>
    </row>
    <row r="217" spans="1:44" ht="14.1" customHeight="1">
      <c r="A217" s="2" t="s">
        <v>2487</v>
      </c>
      <c r="B217" s="2" t="s">
        <v>4008</v>
      </c>
      <c r="C217" s="33"/>
      <c r="D217" s="870"/>
      <c r="E217" s="870"/>
      <c r="F217" s="870"/>
      <c r="G217" s="870"/>
      <c r="H217" s="870"/>
      <c r="I217" s="870"/>
      <c r="J217" s="870"/>
      <c r="K217" s="395" t="s">
        <v>4620</v>
      </c>
      <c r="L217" s="1254" t="e">
        <f>#REF!</f>
        <v>#REF!</v>
      </c>
      <c r="M217" s="870"/>
      <c r="O217" s="101" t="s">
        <v>1725</v>
      </c>
      <c r="P217" s="4233"/>
      <c r="Q217" s="4234"/>
    </row>
    <row r="218" spans="1:44" ht="11.25" customHeight="1">
      <c r="A218" s="110" t="s">
        <v>1835</v>
      </c>
      <c r="B218" s="108" t="s">
        <v>4011</v>
      </c>
    </row>
    <row r="219" spans="1:44" ht="10.5" customHeight="1">
      <c r="A219" s="110"/>
      <c r="B219" s="29" t="s">
        <v>4013</v>
      </c>
      <c r="C219" s="35"/>
      <c r="D219" s="35"/>
      <c r="E219" s="35"/>
      <c r="F219" s="35"/>
      <c r="G219" s="35"/>
      <c r="H219" s="35"/>
      <c r="I219" s="35"/>
      <c r="J219" s="1422" t="s">
        <v>4012</v>
      </c>
      <c r="K219" s="29" t="s">
        <v>4013</v>
      </c>
      <c r="L219" s="35"/>
      <c r="M219" s="35"/>
      <c r="N219" s="35"/>
      <c r="O219" s="35"/>
      <c r="P219" s="35"/>
      <c r="Q219" s="1422" t="s">
        <v>4012</v>
      </c>
    </row>
    <row r="220" spans="1:44" s="102" customFormat="1" ht="11.25" customHeight="1">
      <c r="B220" s="4370"/>
      <c r="C220" s="4371"/>
      <c r="D220" s="4371"/>
      <c r="E220" s="4371"/>
      <c r="F220" s="4371"/>
      <c r="G220" s="4371"/>
      <c r="H220" s="4371"/>
      <c r="I220" s="4371"/>
      <c r="J220" s="1860"/>
      <c r="K220" s="4370"/>
      <c r="L220" s="4371"/>
      <c r="M220" s="4371"/>
      <c r="N220" s="4371"/>
      <c r="O220" s="4371"/>
      <c r="P220" s="4371"/>
      <c r="Q220" s="1860"/>
    </row>
    <row r="221" spans="1:44" s="102" customFormat="1" ht="11.25" customHeight="1">
      <c r="A221" s="110"/>
      <c r="B221" s="3149"/>
      <c r="C221" s="3091"/>
      <c r="D221" s="3091"/>
      <c r="E221" s="3091"/>
      <c r="F221" s="3091"/>
      <c r="G221" s="3091"/>
      <c r="H221" s="3091"/>
      <c r="I221" s="3091"/>
      <c r="J221" s="1861"/>
      <c r="K221" s="3149"/>
      <c r="L221" s="3091"/>
      <c r="M221" s="3091"/>
      <c r="N221" s="3091"/>
      <c r="O221" s="3091"/>
      <c r="P221" s="3091"/>
      <c r="Q221" s="1861"/>
    </row>
    <row r="222" spans="1:44" s="102" customFormat="1" ht="11.25" customHeight="1">
      <c r="A222" s="110"/>
      <c r="B222" s="3149"/>
      <c r="C222" s="3091"/>
      <c r="D222" s="3091"/>
      <c r="E222" s="3091"/>
      <c r="F222" s="3091"/>
      <c r="G222" s="3091"/>
      <c r="H222" s="3091"/>
      <c r="I222" s="3091"/>
      <c r="J222" s="1861"/>
      <c r="K222" s="3149"/>
      <c r="L222" s="3091"/>
      <c r="M222" s="3091"/>
      <c r="N222" s="3091"/>
      <c r="O222" s="3091"/>
      <c r="P222" s="3091"/>
      <c r="Q222" s="1861"/>
    </row>
    <row r="223" spans="1:44" s="102" customFormat="1" ht="11.25" customHeight="1">
      <c r="A223" s="110"/>
      <c r="B223" s="3149"/>
      <c r="C223" s="3091"/>
      <c r="D223" s="3091"/>
      <c r="E223" s="3091"/>
      <c r="F223" s="3091"/>
      <c r="G223" s="3091"/>
      <c r="H223" s="3091"/>
      <c r="I223" s="3091"/>
      <c r="J223" s="1861"/>
      <c r="K223" s="3149"/>
      <c r="L223" s="3091"/>
      <c r="M223" s="3091"/>
      <c r="N223" s="3091"/>
      <c r="O223" s="3091"/>
      <c r="P223" s="3091"/>
      <c r="Q223" s="1861"/>
    </row>
    <row r="224" spans="1:44" s="102" customFormat="1" ht="11.25" customHeight="1">
      <c r="A224" s="110"/>
      <c r="B224" s="3149"/>
      <c r="C224" s="3091"/>
      <c r="D224" s="3091"/>
      <c r="E224" s="3091"/>
      <c r="F224" s="3091"/>
      <c r="G224" s="3091"/>
      <c r="H224" s="3091"/>
      <c r="I224" s="3091"/>
      <c r="J224" s="1861"/>
      <c r="K224" s="3149"/>
      <c r="L224" s="3091"/>
      <c r="M224" s="3091"/>
      <c r="N224" s="3091"/>
      <c r="O224" s="3091"/>
      <c r="P224" s="3091"/>
      <c r="Q224" s="1861"/>
    </row>
    <row r="225" spans="1:44" s="102" customFormat="1" ht="11.25" customHeight="1">
      <c r="A225" s="110"/>
      <c r="B225" s="3149"/>
      <c r="C225" s="3091"/>
      <c r="D225" s="3091"/>
      <c r="E225" s="3091"/>
      <c r="F225" s="3091"/>
      <c r="G225" s="3091"/>
      <c r="H225" s="3091"/>
      <c r="I225" s="3091"/>
      <c r="J225" s="1861"/>
      <c r="K225" s="3149"/>
      <c r="L225" s="3091"/>
      <c r="M225" s="3091"/>
      <c r="N225" s="3091"/>
      <c r="O225" s="3091"/>
      <c r="P225" s="3091"/>
      <c r="Q225" s="1861"/>
    </row>
    <row r="226" spans="1:44" s="102" customFormat="1" ht="11.25" customHeight="1">
      <c r="A226" s="110"/>
      <c r="B226" s="3149"/>
      <c r="C226" s="3091"/>
      <c r="D226" s="3091"/>
      <c r="E226" s="3091"/>
      <c r="F226" s="3091"/>
      <c r="G226" s="3091"/>
      <c r="H226" s="3091"/>
      <c r="I226" s="3091"/>
      <c r="J226" s="1861"/>
      <c r="K226" s="3149"/>
      <c r="L226" s="3091"/>
      <c r="M226" s="3091"/>
      <c r="N226" s="3091"/>
      <c r="O226" s="3091"/>
      <c r="P226" s="3091"/>
      <c r="Q226" s="1861"/>
    </row>
    <row r="227" spans="1:44" s="102" customFormat="1" ht="11.25" customHeight="1">
      <c r="B227" s="3138"/>
      <c r="C227" s="3088"/>
      <c r="D227" s="3088"/>
      <c r="E227" s="3088"/>
      <c r="F227" s="3088"/>
      <c r="G227" s="3088"/>
      <c r="H227" s="3088"/>
      <c r="I227" s="3088"/>
      <c r="J227" s="1862"/>
      <c r="K227" s="3138"/>
      <c r="L227" s="3088"/>
      <c r="M227" s="3088"/>
      <c r="N227" s="3088"/>
      <c r="O227" s="3088"/>
      <c r="P227" s="3088"/>
      <c r="Q227" s="1862"/>
    </row>
    <row r="228" spans="1:44" ht="12" customHeight="1">
      <c r="A228" s="110" t="s">
        <v>1837</v>
      </c>
      <c r="B228" s="1438" t="s">
        <v>4014</v>
      </c>
      <c r="C228" s="1439"/>
      <c r="D228" s="1440"/>
      <c r="E228" s="1440"/>
      <c r="F228" s="1440"/>
      <c r="G228" s="1440"/>
      <c r="H228" s="1440"/>
      <c r="I228" s="1441"/>
      <c r="J228" s="1441"/>
      <c r="K228" s="1440"/>
      <c r="L228" s="1442"/>
      <c r="M228" s="1439"/>
      <c r="N228" s="1439"/>
      <c r="O228" s="128" t="s">
        <v>1837</v>
      </c>
      <c r="P228" s="1215"/>
      <c r="Q228" s="1216"/>
    </row>
    <row r="229" spans="1:44" s="333" customFormat="1">
      <c r="A229" s="110" t="s">
        <v>697</v>
      </c>
      <c r="B229" s="4227" t="s">
        <v>4010</v>
      </c>
      <c r="C229" s="4227"/>
      <c r="D229" s="4227"/>
      <c r="E229" s="4227"/>
      <c r="F229" s="4227"/>
      <c r="G229" s="4227"/>
      <c r="H229" s="4227"/>
      <c r="I229" s="4227"/>
      <c r="J229" s="4227"/>
      <c r="K229" s="4227"/>
      <c r="L229" s="4227"/>
      <c r="M229" s="4227"/>
      <c r="N229" s="4227"/>
      <c r="O229" s="128" t="s">
        <v>697</v>
      </c>
      <c r="P229" s="430"/>
      <c r="Q229" s="421"/>
      <c r="S229" s="1343"/>
      <c r="T229" s="1343"/>
      <c r="U229" s="1343"/>
      <c r="V229" s="1343"/>
      <c r="W229" s="1343"/>
      <c r="X229" s="1343"/>
      <c r="Y229" s="1343"/>
      <c r="Z229" s="1343"/>
      <c r="AA229" s="1343"/>
      <c r="AB229" s="1343"/>
      <c r="AC229" s="1343"/>
      <c r="AD229" s="1343"/>
      <c r="AE229" s="1343"/>
      <c r="AF229" s="1343"/>
      <c r="AG229" s="1343"/>
      <c r="AH229" s="1343"/>
      <c r="AI229" s="1343"/>
      <c r="AJ229" s="1343"/>
      <c r="AK229" s="1343"/>
      <c r="AL229" s="1343"/>
      <c r="AM229" s="1343"/>
      <c r="AN229" s="1343"/>
      <c r="AO229" s="1343"/>
      <c r="AP229" s="1343"/>
      <c r="AQ229" s="1343"/>
      <c r="AR229" s="1343"/>
    </row>
    <row r="230" spans="1:44" s="333" customFormat="1" ht="12" customHeight="1">
      <c r="A230" s="40" t="s">
        <v>1956</v>
      </c>
      <c r="B230" s="108" t="s">
        <v>4009</v>
      </c>
      <c r="D230" s="108"/>
      <c r="E230" s="108"/>
      <c r="F230" s="108"/>
      <c r="G230" s="108"/>
      <c r="H230" s="108"/>
      <c r="I230" s="108"/>
      <c r="J230" s="108"/>
      <c r="K230" s="108"/>
      <c r="L230" s="108"/>
      <c r="M230" s="108"/>
      <c r="O230" s="48" t="s">
        <v>1956</v>
      </c>
      <c r="P230" s="879"/>
      <c r="Q230" s="878"/>
      <c r="S230" s="1343"/>
      <c r="T230" s="1343"/>
      <c r="U230" s="1343"/>
      <c r="V230" s="1343"/>
      <c r="W230" s="1343"/>
      <c r="X230" s="1343"/>
      <c r="Y230" s="1343"/>
      <c r="Z230" s="1343"/>
      <c r="AA230" s="1343"/>
      <c r="AB230" s="1343"/>
      <c r="AC230" s="1343"/>
      <c r="AD230" s="1343"/>
      <c r="AE230" s="1343"/>
      <c r="AF230" s="1343"/>
      <c r="AG230" s="1343"/>
      <c r="AH230" s="1343"/>
      <c r="AI230" s="1343"/>
      <c r="AJ230" s="1343"/>
      <c r="AK230" s="1343"/>
      <c r="AL230" s="1343"/>
      <c r="AM230" s="1343"/>
      <c r="AN230" s="1343"/>
      <c r="AO230" s="1343"/>
      <c r="AP230" s="1343"/>
      <c r="AQ230" s="1343"/>
      <c r="AR230" s="1343"/>
    </row>
    <row r="231" spans="1:44" ht="11.25" customHeight="1">
      <c r="B231" s="109" t="s">
        <v>3154</v>
      </c>
      <c r="D231" s="109"/>
      <c r="E231" s="109"/>
      <c r="F231" s="109"/>
      <c r="G231" s="109"/>
      <c r="H231" s="33"/>
      <c r="I231" s="874"/>
      <c r="J231" s="874"/>
      <c r="K231" s="874"/>
      <c r="L231" s="671"/>
      <c r="M231" s="671"/>
      <c r="N231" s="671"/>
      <c r="O231" s="671"/>
      <c r="P231" s="671"/>
      <c r="Q231" s="671"/>
      <c r="S231" s="1337"/>
      <c r="T231" s="1337"/>
      <c r="U231" s="1337"/>
      <c r="V231" s="1337"/>
      <c r="W231" s="1337"/>
      <c r="X231" s="1337"/>
      <c r="Y231" s="1337"/>
      <c r="Z231" s="1337"/>
      <c r="AA231" s="1337"/>
      <c r="AB231" s="1337"/>
      <c r="AC231" s="1337"/>
      <c r="AD231" s="1337"/>
      <c r="AE231" s="1337"/>
      <c r="AF231" s="1337"/>
      <c r="AG231" s="1337"/>
      <c r="AH231" s="1337"/>
      <c r="AI231" s="1337"/>
      <c r="AJ231" s="1337"/>
      <c r="AK231" s="1337"/>
      <c r="AL231" s="1337"/>
      <c r="AM231" s="1337"/>
      <c r="AN231" s="1337"/>
      <c r="AO231" s="1337"/>
      <c r="AP231" s="1337"/>
      <c r="AQ231" s="1337"/>
      <c r="AR231" s="1337"/>
    </row>
    <row r="232" spans="1:44" ht="12" customHeight="1">
      <c r="A232" s="4241"/>
      <c r="B232" s="4242"/>
      <c r="C232" s="4242"/>
      <c r="D232" s="4242"/>
      <c r="E232" s="4242"/>
      <c r="F232" s="4242"/>
      <c r="G232" s="4242"/>
      <c r="H232" s="4242"/>
      <c r="I232" s="4242"/>
      <c r="J232" s="4242"/>
      <c r="K232" s="4242"/>
      <c r="L232" s="4242"/>
      <c r="M232" s="4242"/>
      <c r="N232" s="4242"/>
      <c r="O232" s="4242"/>
      <c r="P232" s="4242"/>
      <c r="Q232" s="4243"/>
      <c r="R232" s="353" t="s">
        <v>1179</v>
      </c>
      <c r="S232" s="1340"/>
      <c r="T232" s="1337"/>
      <c r="U232" s="1341"/>
      <c r="V232" s="1341"/>
      <c r="W232" s="1341"/>
      <c r="X232" s="1341"/>
      <c r="Y232" s="1341"/>
      <c r="Z232" s="1341"/>
      <c r="AA232" s="1341"/>
      <c r="AB232" s="1341"/>
      <c r="AC232" s="1341"/>
      <c r="AD232" s="1341"/>
      <c r="AE232" s="1341"/>
      <c r="AF232" s="1337"/>
      <c r="AG232" s="1337"/>
      <c r="AH232" s="1337"/>
      <c r="AI232" s="1337"/>
      <c r="AJ232" s="1337"/>
      <c r="AK232" s="1337"/>
      <c r="AL232" s="1337"/>
      <c r="AM232" s="1337"/>
      <c r="AN232" s="1337"/>
      <c r="AO232" s="1337"/>
      <c r="AP232" s="1337"/>
      <c r="AQ232" s="1337"/>
      <c r="AR232" s="1337"/>
    </row>
    <row r="233" spans="1:44" ht="11.25" customHeight="1">
      <c r="B233" s="105" t="s">
        <v>1724</v>
      </c>
      <c r="C233" s="106"/>
      <c r="D233" s="870"/>
      <c r="E233" s="870"/>
      <c r="F233" s="870"/>
      <c r="G233" s="870"/>
      <c r="H233" s="870"/>
      <c r="I233" s="870"/>
      <c r="J233" s="870"/>
      <c r="K233" s="870"/>
      <c r="L233" s="870"/>
      <c r="M233" s="870"/>
      <c r="N233" s="870"/>
      <c r="O233" s="870"/>
      <c r="P233" s="870"/>
      <c r="Q233" s="870"/>
      <c r="S233" s="1337"/>
      <c r="T233" s="1337"/>
      <c r="U233" s="1337"/>
      <c r="V233" s="1337"/>
      <c r="W233" s="1337"/>
      <c r="X233" s="1337"/>
      <c r="Y233" s="1337"/>
      <c r="Z233" s="1337"/>
      <c r="AA233" s="1337"/>
      <c r="AB233" s="1337"/>
      <c r="AC233" s="1337"/>
      <c r="AD233" s="1337"/>
      <c r="AE233" s="1337"/>
      <c r="AF233" s="1337"/>
      <c r="AG233" s="1337"/>
      <c r="AH233" s="1337"/>
      <c r="AI233" s="1337"/>
      <c r="AJ233" s="1337"/>
      <c r="AK233" s="1337"/>
      <c r="AL233" s="1337"/>
      <c r="AM233" s="1337"/>
      <c r="AN233" s="1337"/>
      <c r="AO233" s="1337"/>
      <c r="AP233" s="1337"/>
      <c r="AQ233" s="1337"/>
      <c r="AR233" s="1337"/>
    </row>
    <row r="234" spans="1:44" ht="12" customHeight="1">
      <c r="A234" s="4238"/>
      <c r="B234" s="4239"/>
      <c r="C234" s="4239"/>
      <c r="D234" s="4239"/>
      <c r="E234" s="4239"/>
      <c r="F234" s="4239"/>
      <c r="G234" s="4239"/>
      <c r="H234" s="4239"/>
      <c r="I234" s="4239"/>
      <c r="J234" s="4239"/>
      <c r="K234" s="4239"/>
      <c r="L234" s="4239"/>
      <c r="M234" s="4239"/>
      <c r="N234" s="4239"/>
      <c r="O234" s="4239"/>
      <c r="P234" s="4239"/>
      <c r="Q234" s="4240"/>
      <c r="S234" s="1337"/>
      <c r="T234" s="1337"/>
      <c r="U234" s="1337"/>
      <c r="V234" s="1337"/>
      <c r="W234" s="1337"/>
      <c r="X234" s="1337"/>
      <c r="Y234" s="1337"/>
      <c r="Z234" s="1337"/>
      <c r="AA234" s="1337"/>
      <c r="AB234" s="1337"/>
      <c r="AC234" s="1337"/>
      <c r="AD234" s="1337"/>
      <c r="AE234" s="1337"/>
      <c r="AF234" s="1337"/>
      <c r="AG234" s="1337"/>
      <c r="AH234" s="1337"/>
      <c r="AI234" s="1337"/>
      <c r="AJ234" s="1337"/>
      <c r="AK234" s="1337"/>
      <c r="AL234" s="1337"/>
      <c r="AM234" s="1337"/>
      <c r="AN234" s="1337"/>
      <c r="AO234" s="1337"/>
      <c r="AP234" s="1337"/>
      <c r="AQ234" s="1337"/>
      <c r="AR234" s="1337"/>
    </row>
    <row r="235" spans="1:44" ht="3" customHeight="1">
      <c r="A235" s="671"/>
      <c r="B235" s="874"/>
      <c r="C235" s="870"/>
      <c r="D235" s="870"/>
      <c r="E235" s="870"/>
      <c r="F235" s="870"/>
      <c r="G235" s="870"/>
      <c r="H235" s="870"/>
      <c r="I235" s="870"/>
      <c r="J235" s="870"/>
      <c r="K235" s="870"/>
      <c r="L235" s="870"/>
      <c r="M235" s="870"/>
      <c r="Q235" s="671"/>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AL235" s="1337"/>
      <c r="AM235" s="1337"/>
      <c r="AN235" s="1337"/>
      <c r="AO235" s="1337"/>
      <c r="AP235" s="1337"/>
      <c r="AQ235" s="1337"/>
      <c r="AR235" s="1337"/>
    </row>
    <row r="236" spans="1:44" ht="14.1" customHeight="1">
      <c r="A236" s="2" t="s">
        <v>2074</v>
      </c>
      <c r="B236" s="4" t="s">
        <v>3822</v>
      </c>
      <c r="C236" s="4"/>
      <c r="D236" s="66"/>
      <c r="E236" s="66"/>
      <c r="F236" s="66"/>
      <c r="G236" s="66"/>
      <c r="H236" s="870"/>
      <c r="I236" s="870"/>
      <c r="J236" s="870"/>
      <c r="K236" s="870"/>
      <c r="L236" s="655"/>
      <c r="M236" s="1191"/>
      <c r="O236" s="101" t="s">
        <v>1725</v>
      </c>
      <c r="P236" s="4233"/>
      <c r="Q236" s="4234"/>
      <c r="S236" s="1337"/>
      <c r="T236" s="1337"/>
      <c r="U236" s="1337"/>
      <c r="V236" s="1337"/>
      <c r="W236" s="1337"/>
      <c r="X236" s="1337"/>
      <c r="Y236" s="1337"/>
      <c r="Z236" s="1337"/>
      <c r="AA236" s="1337"/>
      <c r="AB236" s="1337"/>
      <c r="AC236" s="1337"/>
      <c r="AD236" s="1337"/>
      <c r="AE236" s="1337"/>
      <c r="AF236" s="1337"/>
      <c r="AG236" s="1337"/>
      <c r="AH236" s="1337"/>
      <c r="AI236" s="1337"/>
      <c r="AJ236" s="1337"/>
      <c r="AK236" s="1337"/>
      <c r="AL236" s="1337"/>
      <c r="AM236" s="1337"/>
      <c r="AN236" s="1337"/>
      <c r="AO236" s="1337"/>
      <c r="AP236" s="1337"/>
      <c r="AQ236" s="1337"/>
      <c r="AR236" s="1337"/>
    </row>
    <row r="237" spans="1:44" customFormat="1" ht="12" customHeight="1">
      <c r="B237" s="44" t="s">
        <v>4085</v>
      </c>
      <c r="N237" s="92"/>
      <c r="P237" s="74"/>
      <c r="Q237" s="416"/>
      <c r="S237" s="1338"/>
      <c r="T237" s="1338"/>
      <c r="U237" s="1338"/>
      <c r="V237" s="1338"/>
      <c r="W237" s="1338"/>
      <c r="X237" s="1338"/>
      <c r="Y237" s="1338"/>
      <c r="Z237" s="1338"/>
      <c r="AA237" s="1338"/>
      <c r="AB237" s="1338"/>
      <c r="AC237" s="1338"/>
      <c r="AD237" s="1338"/>
      <c r="AE237" s="1338"/>
      <c r="AF237" s="1338"/>
      <c r="AG237" s="1338"/>
      <c r="AH237" s="1338"/>
      <c r="AI237" s="1338"/>
      <c r="AJ237" s="1338"/>
      <c r="AK237" s="1338"/>
      <c r="AL237" s="1338"/>
      <c r="AM237" s="1338"/>
      <c r="AN237" s="1338"/>
      <c r="AO237" s="1338"/>
      <c r="AP237" s="1338"/>
      <c r="AQ237" s="1338"/>
      <c r="AR237" s="1338"/>
    </row>
    <row r="238" spans="1:44" ht="11.7" customHeight="1">
      <c r="A238" s="40" t="s">
        <v>1835</v>
      </c>
      <c r="B238" s="29" t="s">
        <v>1190</v>
      </c>
      <c r="D238" s="35"/>
      <c r="E238" s="29"/>
      <c r="F238" s="29"/>
      <c r="J238" s="48" t="s">
        <v>1835</v>
      </c>
      <c r="K238" s="4250" t="s">
        <v>1641</v>
      </c>
      <c r="L238" s="4251"/>
      <c r="M238" s="4251"/>
      <c r="N238" s="4251"/>
      <c r="O238" s="4329"/>
      <c r="P238" s="4358" t="s">
        <v>1641</v>
      </c>
      <c r="Q238" s="4359"/>
      <c r="S238" s="1337"/>
      <c r="T238" s="1337"/>
      <c r="U238" s="1337"/>
      <c r="V238" s="1337"/>
      <c r="W238" s="1337"/>
      <c r="X238" s="1337"/>
      <c r="Y238" s="1337"/>
      <c r="Z238" s="1337"/>
      <c r="AA238" s="1337"/>
      <c r="AB238" s="1337"/>
      <c r="AC238" s="1337"/>
      <c r="AD238" s="1337"/>
      <c r="AE238" s="1337"/>
      <c r="AF238" s="1337"/>
      <c r="AG238" s="1337"/>
      <c r="AH238" s="1337"/>
      <c r="AI238" s="1337"/>
      <c r="AJ238" s="1337"/>
      <c r="AK238" s="1337"/>
      <c r="AL238" s="1337"/>
      <c r="AM238" s="1337"/>
      <c r="AN238" s="1337"/>
      <c r="AO238" s="1337"/>
      <c r="AP238" s="1337"/>
      <c r="AQ238" s="1337"/>
      <c r="AR238" s="1337"/>
    </row>
    <row r="239" spans="1:44" customFormat="1" ht="34.5" customHeight="1">
      <c r="B239" s="4227" t="s">
        <v>4086</v>
      </c>
      <c r="C239" s="4227"/>
      <c r="D239" s="4227"/>
      <c r="E239" s="4227"/>
      <c r="F239" s="4227"/>
      <c r="G239" s="4227"/>
      <c r="H239" s="4227"/>
      <c r="I239" s="4227"/>
      <c r="J239" s="4227"/>
      <c r="K239" s="4227"/>
      <c r="L239" s="4227"/>
      <c r="M239" s="4227"/>
      <c r="N239" s="4227"/>
      <c r="O239" s="4319"/>
      <c r="P239" s="127"/>
      <c r="Q239" s="422"/>
      <c r="S239" s="1338"/>
      <c r="T239" s="1338"/>
      <c r="U239" s="1338"/>
      <c r="V239" s="1338"/>
      <c r="W239" s="1338"/>
      <c r="X239" s="1338"/>
      <c r="Y239" s="1338"/>
      <c r="Z239" s="1338"/>
      <c r="AA239" s="1338"/>
      <c r="AB239" s="1338"/>
      <c r="AC239" s="1338"/>
      <c r="AD239" s="1338"/>
      <c r="AE239" s="1338"/>
      <c r="AF239" s="1338"/>
      <c r="AG239" s="1338"/>
      <c r="AH239" s="1338"/>
      <c r="AI239" s="1338"/>
      <c r="AJ239" s="1338"/>
      <c r="AK239" s="1338"/>
      <c r="AL239" s="1338"/>
      <c r="AM239" s="1338"/>
      <c r="AN239" s="1338"/>
      <c r="AO239" s="1338"/>
      <c r="AP239" s="1338"/>
      <c r="AQ239" s="1338"/>
      <c r="AR239" s="1338"/>
    </row>
    <row r="240" spans="1:44" ht="12" customHeight="1">
      <c r="A240" s="40" t="s">
        <v>1837</v>
      </c>
      <c r="B240" s="29" t="s">
        <v>2498</v>
      </c>
      <c r="D240" s="29"/>
      <c r="E240" s="29"/>
      <c r="F240" s="29"/>
      <c r="J240" s="48" t="s">
        <v>1837</v>
      </c>
      <c r="K240" s="4316"/>
      <c r="L240" s="4317"/>
      <c r="M240" s="4317"/>
      <c r="N240" s="4317"/>
      <c r="O240" s="4318"/>
      <c r="P240" s="4312"/>
      <c r="Q240" s="4313"/>
      <c r="S240" s="1337"/>
      <c r="T240" s="1337"/>
      <c r="U240" s="1337"/>
      <c r="V240" s="1337"/>
      <c r="W240" s="1337"/>
      <c r="X240" s="1337"/>
      <c r="Y240" s="1337"/>
      <c r="Z240" s="1337"/>
      <c r="AA240" s="1337"/>
      <c r="AB240" s="1337"/>
      <c r="AC240" s="1337"/>
      <c r="AD240" s="1337"/>
      <c r="AE240" s="1337"/>
      <c r="AF240" s="1337"/>
      <c r="AG240" s="1337"/>
      <c r="AH240" s="1337"/>
      <c r="AI240" s="1337"/>
      <c r="AJ240" s="1337"/>
      <c r="AK240" s="1337"/>
      <c r="AL240" s="1337"/>
      <c r="AM240" s="1337"/>
      <c r="AN240" s="1337"/>
      <c r="AO240" s="1337"/>
      <c r="AP240" s="1337"/>
      <c r="AQ240" s="1337"/>
      <c r="AR240" s="1337"/>
    </row>
    <row r="241" spans="1:44" s="115" customFormat="1" ht="12" customHeight="1">
      <c r="A241" s="40"/>
      <c r="B241" s="870" t="s">
        <v>1611</v>
      </c>
      <c r="C241" s="29" t="s">
        <v>1800</v>
      </c>
      <c r="D241" s="29"/>
      <c r="E241" s="29"/>
      <c r="F241" s="29"/>
      <c r="J241" s="49" t="s">
        <v>1611</v>
      </c>
      <c r="K241" s="4281"/>
      <c r="L241" s="4282"/>
      <c r="M241" s="4282"/>
      <c r="N241" s="4282"/>
      <c r="O241" s="4283"/>
      <c r="P241" s="4314"/>
      <c r="Q241" s="4315"/>
      <c r="S241" s="1342"/>
      <c r="T241" s="1342"/>
      <c r="U241" s="1342"/>
      <c r="V241" s="1342"/>
      <c r="W241" s="1342"/>
      <c r="X241" s="1342"/>
      <c r="Y241" s="1342"/>
      <c r="Z241" s="1342"/>
      <c r="AA241" s="1342"/>
      <c r="AB241" s="1342"/>
      <c r="AC241" s="1342"/>
      <c r="AD241" s="1342"/>
      <c r="AE241" s="1342"/>
      <c r="AF241" s="1342"/>
      <c r="AG241" s="1342"/>
      <c r="AH241" s="1342"/>
      <c r="AI241" s="1342"/>
      <c r="AJ241" s="1342"/>
      <c r="AK241" s="1342"/>
      <c r="AL241" s="1342"/>
      <c r="AM241" s="1342"/>
      <c r="AN241" s="1342"/>
      <c r="AO241" s="1342"/>
      <c r="AP241" s="1342"/>
      <c r="AQ241" s="1342"/>
      <c r="AR241" s="1342"/>
    </row>
    <row r="242" spans="1:44" s="115" customFormat="1" ht="12" customHeight="1">
      <c r="A242" s="40"/>
      <c r="B242" s="870" t="s">
        <v>1612</v>
      </c>
      <c r="C242" s="29" t="s">
        <v>4087</v>
      </c>
      <c r="D242" s="29"/>
      <c r="E242" s="29"/>
      <c r="F242" s="29"/>
      <c r="G242" s="29"/>
      <c r="H242" s="29"/>
      <c r="I242" s="72"/>
      <c r="J242" s="72"/>
      <c r="M242" s="29"/>
      <c r="N242" s="782"/>
      <c r="O242" s="49" t="s">
        <v>1612</v>
      </c>
      <c r="P242" s="777"/>
      <c r="Q242" s="704"/>
      <c r="S242" s="1342"/>
      <c r="T242" s="1342"/>
      <c r="U242" s="1342"/>
      <c r="V242" s="1342"/>
      <c r="W242" s="1342"/>
      <c r="X242" s="1342"/>
      <c r="Y242" s="1342"/>
      <c r="Z242" s="1342"/>
      <c r="AA242" s="1342"/>
      <c r="AB242" s="1342"/>
      <c r="AC242" s="1342"/>
      <c r="AD242" s="1342"/>
      <c r="AE242" s="1342"/>
      <c r="AF242" s="1342"/>
      <c r="AG242" s="1342"/>
      <c r="AH242" s="1342"/>
      <c r="AI242" s="1342"/>
      <c r="AJ242" s="1342"/>
      <c r="AK242" s="1342"/>
      <c r="AL242" s="1342"/>
      <c r="AM242" s="1342"/>
      <c r="AN242" s="1342"/>
      <c r="AO242" s="1342"/>
      <c r="AP242" s="1342"/>
      <c r="AQ242" s="1342"/>
      <c r="AR242" s="1342"/>
    </row>
    <row r="243" spans="1:44" s="115" customFormat="1" ht="34.5" customHeight="1">
      <c r="A243" s="40"/>
      <c r="B243" s="870" t="s">
        <v>1613</v>
      </c>
      <c r="C243" s="4227" t="s">
        <v>4097</v>
      </c>
      <c r="D243" s="4227"/>
      <c r="E243" s="4227"/>
      <c r="F243" s="4227"/>
      <c r="G243" s="4227"/>
      <c r="H243" s="4227"/>
      <c r="I243" s="4227"/>
      <c r="J243" s="4227"/>
      <c r="K243" s="4227"/>
      <c r="L243" s="4227"/>
      <c r="M243" s="4227"/>
      <c r="N243" s="4227"/>
      <c r="O243" s="117" t="s">
        <v>1613</v>
      </c>
      <c r="P243" s="821"/>
      <c r="Q243" s="1493"/>
      <c r="S243" s="1342"/>
      <c r="T243" s="1342"/>
      <c r="U243" s="1342"/>
      <c r="V243" s="1342"/>
      <c r="W243" s="1342"/>
      <c r="X243" s="1342"/>
      <c r="Y243" s="1342"/>
      <c r="Z243" s="1342"/>
      <c r="AA243" s="1342"/>
      <c r="AB243" s="1342"/>
      <c r="AC243" s="1342"/>
      <c r="AD243" s="1342"/>
      <c r="AE243" s="1342"/>
      <c r="AF243" s="1342"/>
      <c r="AG243" s="1342"/>
      <c r="AH243" s="1342"/>
      <c r="AI243" s="1342"/>
      <c r="AJ243" s="1342"/>
      <c r="AK243" s="1342"/>
      <c r="AL243" s="1342"/>
      <c r="AM243" s="1342"/>
      <c r="AN243" s="1342"/>
      <c r="AO243" s="1342"/>
      <c r="AP243" s="1342"/>
      <c r="AQ243" s="1342"/>
      <c r="AR243" s="1342"/>
    </row>
    <row r="244" spans="1:44" s="115" customFormat="1" ht="24" customHeight="1">
      <c r="A244" s="40"/>
      <c r="B244" s="870" t="s">
        <v>2175</v>
      </c>
      <c r="C244" s="4227" t="s">
        <v>4098</v>
      </c>
      <c r="D244" s="4227"/>
      <c r="E244" s="4227"/>
      <c r="F244" s="4227"/>
      <c r="G244" s="4227"/>
      <c r="H244" s="4227"/>
      <c r="I244" s="4227"/>
      <c r="J244" s="4227"/>
      <c r="K244" s="4227"/>
      <c r="L244" s="4227"/>
      <c r="M244" s="4227"/>
      <c r="N244" s="4227"/>
      <c r="O244" s="128" t="s">
        <v>2175</v>
      </c>
      <c r="P244" s="879"/>
      <c r="Q244" s="878"/>
      <c r="S244" s="1342"/>
      <c r="T244" s="1342"/>
      <c r="U244" s="1342"/>
      <c r="V244" s="1342"/>
      <c r="W244" s="1342"/>
      <c r="X244" s="1342"/>
      <c r="Y244" s="1342"/>
      <c r="Z244" s="1342"/>
      <c r="AA244" s="1342"/>
      <c r="AB244" s="1342"/>
      <c r="AC244" s="1342"/>
      <c r="AD244" s="1342"/>
      <c r="AE244" s="1342"/>
      <c r="AF244" s="1342"/>
      <c r="AG244" s="1342"/>
      <c r="AH244" s="1342"/>
      <c r="AI244" s="1342"/>
      <c r="AJ244" s="1342"/>
      <c r="AK244" s="1342"/>
      <c r="AL244" s="1342"/>
      <c r="AM244" s="1342"/>
      <c r="AN244" s="1342"/>
      <c r="AO244" s="1342"/>
      <c r="AP244" s="1342"/>
      <c r="AQ244" s="1342"/>
      <c r="AR244" s="1342"/>
    </row>
    <row r="245" spans="1:44" s="115" customFormat="1" ht="12" customHeight="1">
      <c r="A245" s="40" t="s">
        <v>697</v>
      </c>
      <c r="B245" s="29" t="s">
        <v>3221</v>
      </c>
      <c r="D245" s="29"/>
      <c r="E245" s="29"/>
      <c r="F245" s="29"/>
      <c r="G245" s="29"/>
      <c r="H245" s="29"/>
      <c r="I245" s="72"/>
      <c r="J245" s="72"/>
      <c r="K245" s="72"/>
      <c r="M245" s="29"/>
      <c r="N245" s="782"/>
      <c r="P245" s="175"/>
      <c r="Q245" s="418"/>
      <c r="S245" s="1342"/>
      <c r="T245" s="1342"/>
      <c r="U245" s="1342"/>
      <c r="V245" s="1342"/>
      <c r="W245" s="1342"/>
      <c r="X245" s="1342"/>
      <c r="Y245" s="1342"/>
      <c r="Z245" s="1342"/>
      <c r="AA245" s="1342"/>
      <c r="AB245" s="1342"/>
      <c r="AC245" s="1342"/>
      <c r="AD245" s="1342"/>
      <c r="AE245" s="1342"/>
      <c r="AF245" s="1342"/>
      <c r="AG245" s="1342"/>
      <c r="AH245" s="1342"/>
      <c r="AI245" s="1342"/>
      <c r="AJ245" s="1342"/>
      <c r="AK245" s="1342"/>
      <c r="AL245" s="1342"/>
      <c r="AM245" s="1342"/>
      <c r="AN245" s="1342"/>
      <c r="AO245" s="1342"/>
      <c r="AP245" s="1342"/>
      <c r="AQ245" s="1342"/>
      <c r="AR245" s="1342"/>
    </row>
    <row r="246" spans="1:44" s="115" customFormat="1" ht="12" customHeight="1">
      <c r="A246" s="40"/>
      <c r="B246" s="4257" t="s">
        <v>3159</v>
      </c>
      <c r="C246" s="4257"/>
      <c r="D246" s="4257"/>
      <c r="E246" s="44" t="s">
        <v>3291</v>
      </c>
      <c r="F246" s="456"/>
      <c r="G246" s="456"/>
      <c r="K246" s="72"/>
      <c r="M246" s="29"/>
      <c r="N246" s="782"/>
      <c r="O246" s="49" t="s">
        <v>1611</v>
      </c>
      <c r="P246" s="299"/>
      <c r="Q246" s="419"/>
      <c r="S246" s="1342"/>
      <c r="T246" s="1342"/>
      <c r="U246" s="1342"/>
      <c r="V246" s="1342"/>
      <c r="W246" s="1342"/>
      <c r="X246" s="1342"/>
      <c r="Y246" s="1342"/>
      <c r="Z246" s="1342"/>
      <c r="AA246" s="1342"/>
      <c r="AB246" s="1342"/>
      <c r="AC246" s="1342"/>
      <c r="AD246" s="1342"/>
      <c r="AE246" s="1342"/>
      <c r="AF246" s="1342"/>
      <c r="AG246" s="1342"/>
      <c r="AH246" s="1342"/>
      <c r="AI246" s="1342"/>
      <c r="AJ246" s="1342"/>
      <c r="AK246" s="1342"/>
      <c r="AL246" s="1342"/>
      <c r="AM246" s="1342"/>
      <c r="AN246" s="1342"/>
      <c r="AO246" s="1342"/>
      <c r="AP246" s="1342"/>
      <c r="AQ246" s="1342"/>
      <c r="AR246" s="1342"/>
    </row>
    <row r="247" spans="1:44" s="115" customFormat="1" ht="12" customHeight="1">
      <c r="A247" s="40"/>
      <c r="B247" s="4257"/>
      <c r="C247" s="4257"/>
      <c r="D247" s="4257"/>
      <c r="E247" s="44" t="s">
        <v>3292</v>
      </c>
      <c r="F247" s="456"/>
      <c r="G247" s="456"/>
      <c r="K247" s="72"/>
      <c r="M247" s="29"/>
      <c r="N247" s="782"/>
      <c r="O247" s="49" t="s">
        <v>1612</v>
      </c>
      <c r="P247" s="299"/>
      <c r="Q247" s="419"/>
      <c r="S247" s="1342"/>
      <c r="T247" s="1342"/>
      <c r="U247" s="1342"/>
      <c r="V247" s="1342"/>
      <c r="W247" s="1342"/>
      <c r="X247" s="1342"/>
      <c r="Y247" s="1342"/>
      <c r="Z247" s="1342"/>
      <c r="AA247" s="1342"/>
      <c r="AB247" s="1342"/>
      <c r="AC247" s="1342"/>
      <c r="AD247" s="1342"/>
      <c r="AE247" s="1342"/>
      <c r="AF247" s="1342"/>
      <c r="AG247" s="1342"/>
      <c r="AH247" s="1342"/>
      <c r="AI247" s="1342"/>
      <c r="AJ247" s="1342"/>
      <c r="AK247" s="1342"/>
      <c r="AL247" s="1342"/>
      <c r="AM247" s="1342"/>
      <c r="AN247" s="1342"/>
      <c r="AO247" s="1342"/>
      <c r="AP247" s="1342"/>
      <c r="AQ247" s="1342"/>
      <c r="AR247" s="1342"/>
    </row>
    <row r="248" spans="1:44" s="115" customFormat="1" ht="12" customHeight="1">
      <c r="A248" s="40"/>
      <c r="B248" s="4257"/>
      <c r="C248" s="4257"/>
      <c r="D248" s="4257"/>
      <c r="E248" s="44" t="s">
        <v>3293</v>
      </c>
      <c r="F248" s="29"/>
      <c r="G248" s="29"/>
      <c r="K248" s="72"/>
      <c r="M248" s="29"/>
      <c r="N248" s="782"/>
      <c r="O248" s="49" t="s">
        <v>1613</v>
      </c>
      <c r="P248" s="299"/>
      <c r="Q248" s="419"/>
      <c r="S248" s="1342"/>
      <c r="T248" s="1342"/>
      <c r="U248" s="1342"/>
      <c r="V248" s="1342"/>
      <c r="W248" s="1342"/>
      <c r="X248" s="1342"/>
      <c r="Y248" s="1342"/>
      <c r="Z248" s="1342"/>
      <c r="AA248" s="1342"/>
      <c r="AB248" s="1342"/>
      <c r="AC248" s="1342"/>
      <c r="AD248" s="1342"/>
      <c r="AE248" s="1342"/>
      <c r="AF248" s="1342"/>
      <c r="AG248" s="1342"/>
      <c r="AH248" s="1342"/>
      <c r="AI248" s="1342"/>
      <c r="AJ248" s="1342"/>
      <c r="AK248" s="1342"/>
      <c r="AL248" s="1342"/>
      <c r="AM248" s="1342"/>
      <c r="AN248" s="1342"/>
      <c r="AO248" s="1342"/>
      <c r="AP248" s="1342"/>
      <c r="AQ248" s="1342"/>
      <c r="AR248" s="1342"/>
    </row>
    <row r="249" spans="1:44" s="115" customFormat="1" ht="12" customHeight="1">
      <c r="A249" s="40"/>
      <c r="B249" s="4257"/>
      <c r="C249" s="4257"/>
      <c r="D249" s="4257"/>
      <c r="E249" s="44" t="s">
        <v>3294</v>
      </c>
      <c r="F249" s="29"/>
      <c r="G249" s="29"/>
      <c r="K249" s="72"/>
      <c r="M249" s="29"/>
      <c r="N249" s="782"/>
      <c r="O249" s="48" t="s">
        <v>2175</v>
      </c>
      <c r="P249" s="299"/>
      <c r="Q249" s="419"/>
      <c r="S249" s="1342"/>
      <c r="T249" s="1342"/>
      <c r="U249" s="1342"/>
      <c r="V249" s="1342"/>
      <c r="W249" s="1342"/>
      <c r="X249" s="1342"/>
      <c r="Y249" s="1342"/>
      <c r="Z249" s="1342"/>
      <c r="AA249" s="1342"/>
      <c r="AB249" s="1342"/>
      <c r="AC249" s="1342"/>
      <c r="AD249" s="1342"/>
      <c r="AE249" s="1342"/>
      <c r="AF249" s="1342"/>
      <c r="AG249" s="1342"/>
      <c r="AH249" s="1342"/>
      <c r="AI249" s="1342"/>
      <c r="AJ249" s="1342"/>
      <c r="AK249" s="1342"/>
      <c r="AL249" s="1342"/>
      <c r="AM249" s="1342"/>
      <c r="AN249" s="1342"/>
      <c r="AO249" s="1342"/>
      <c r="AP249" s="1342"/>
      <c r="AQ249" s="1342"/>
      <c r="AR249" s="1342"/>
    </row>
    <row r="250" spans="1:44" s="115" customFormat="1" ht="23.25" customHeight="1">
      <c r="D250" s="1332"/>
      <c r="E250" s="4227" t="s">
        <v>4392</v>
      </c>
      <c r="F250" s="4227"/>
      <c r="G250" s="4227"/>
      <c r="H250" s="4227"/>
      <c r="I250" s="4227"/>
      <c r="J250" s="4227"/>
      <c r="K250" s="4227"/>
      <c r="L250" s="4227"/>
      <c r="M250" s="4227"/>
      <c r="N250" s="4227"/>
      <c r="O250" s="128" t="s">
        <v>1446</v>
      </c>
      <c r="P250" s="879"/>
      <c r="Q250" s="878"/>
      <c r="S250" s="1342"/>
      <c r="T250" s="1342"/>
      <c r="U250" s="1342"/>
      <c r="V250" s="1342"/>
      <c r="W250" s="1342"/>
      <c r="X250" s="1342"/>
      <c r="Y250" s="1342"/>
      <c r="Z250" s="1342"/>
      <c r="AA250" s="1342"/>
      <c r="AB250" s="1342"/>
      <c r="AC250" s="1342"/>
      <c r="AD250" s="1342"/>
      <c r="AE250" s="1342"/>
      <c r="AF250" s="1342"/>
      <c r="AG250" s="1342"/>
      <c r="AH250" s="1342"/>
      <c r="AI250" s="1342"/>
      <c r="AJ250" s="1342"/>
      <c r="AK250" s="1342"/>
      <c r="AL250" s="1342"/>
      <c r="AM250" s="1342"/>
      <c r="AN250" s="1342"/>
      <c r="AO250" s="1342"/>
      <c r="AP250" s="1342"/>
      <c r="AQ250" s="1342"/>
      <c r="AR250" s="1342"/>
    </row>
    <row r="251" spans="1:44" ht="12" customHeight="1">
      <c r="B251" s="109" t="s">
        <v>3154</v>
      </c>
      <c r="D251" s="109"/>
      <c r="E251" s="109"/>
      <c r="F251" s="109"/>
      <c r="G251" s="109"/>
      <c r="H251" s="33"/>
      <c r="I251" s="874"/>
      <c r="J251" s="874"/>
      <c r="K251" s="874"/>
      <c r="L251" s="671"/>
      <c r="M251" s="671"/>
      <c r="N251" s="671"/>
      <c r="O251" s="671"/>
      <c r="P251" s="671"/>
      <c r="Q251" s="671"/>
      <c r="S251" s="1337"/>
      <c r="T251" s="1337"/>
      <c r="U251" s="1337"/>
      <c r="V251" s="1337"/>
      <c r="W251" s="1337"/>
      <c r="X251" s="1337"/>
      <c r="Y251" s="1337"/>
      <c r="Z251" s="1337"/>
      <c r="AA251" s="1337"/>
      <c r="AB251" s="1337"/>
      <c r="AC251" s="1337"/>
      <c r="AD251" s="1337"/>
      <c r="AE251" s="1337"/>
      <c r="AF251" s="1337"/>
      <c r="AG251" s="1337"/>
      <c r="AH251" s="1337"/>
      <c r="AI251" s="1337"/>
      <c r="AJ251" s="1337"/>
      <c r="AK251" s="1337"/>
      <c r="AL251" s="1337"/>
      <c r="AM251" s="1337"/>
      <c r="AN251" s="1337"/>
      <c r="AO251" s="1337"/>
      <c r="AP251" s="1337"/>
      <c r="AQ251" s="1337"/>
      <c r="AR251" s="1337"/>
    </row>
    <row r="252" spans="1:44" ht="12" customHeight="1">
      <c r="A252" s="4241"/>
      <c r="B252" s="4242"/>
      <c r="C252" s="4242"/>
      <c r="D252" s="4242"/>
      <c r="E252" s="4242"/>
      <c r="F252" s="4242"/>
      <c r="G252" s="4242"/>
      <c r="H252" s="4242"/>
      <c r="I252" s="4242"/>
      <c r="J252" s="4242"/>
      <c r="K252" s="4242"/>
      <c r="L252" s="4242"/>
      <c r="M252" s="4242"/>
      <c r="N252" s="4242"/>
      <c r="O252" s="4242"/>
      <c r="P252" s="4242"/>
      <c r="Q252" s="4243"/>
      <c r="R252" s="353" t="s">
        <v>1179</v>
      </c>
      <c r="S252" s="1340"/>
      <c r="T252" s="1337"/>
      <c r="U252" s="1341"/>
      <c r="V252" s="1341"/>
      <c r="W252" s="1341"/>
      <c r="X252" s="1341"/>
      <c r="Y252" s="1341"/>
      <c r="Z252" s="1341"/>
      <c r="AA252" s="1341"/>
      <c r="AB252" s="1341"/>
      <c r="AC252" s="1341"/>
      <c r="AD252" s="1341"/>
      <c r="AE252" s="1341"/>
      <c r="AF252" s="1337"/>
      <c r="AG252" s="1337"/>
      <c r="AH252" s="1337"/>
      <c r="AI252" s="1337"/>
      <c r="AJ252" s="1337"/>
      <c r="AK252" s="1337"/>
      <c r="AL252" s="1337"/>
      <c r="AM252" s="1337"/>
      <c r="AN252" s="1337"/>
      <c r="AO252" s="1337"/>
      <c r="AP252" s="1337"/>
      <c r="AQ252" s="1337"/>
      <c r="AR252" s="1337"/>
    </row>
    <row r="253" spans="1:44" ht="12" customHeight="1">
      <c r="B253" s="105" t="s">
        <v>1724</v>
      </c>
      <c r="C253" s="106"/>
      <c r="D253" s="870"/>
      <c r="E253" s="870"/>
      <c r="F253" s="870"/>
      <c r="G253" s="870"/>
      <c r="H253" s="870"/>
      <c r="I253" s="870"/>
      <c r="J253" s="870"/>
      <c r="K253" s="870"/>
      <c r="L253" s="870"/>
      <c r="M253" s="870"/>
      <c r="N253" s="870"/>
      <c r="O253" s="870"/>
      <c r="P253" s="870"/>
      <c r="Q253" s="870"/>
      <c r="S253" s="1337"/>
      <c r="T253" s="1337"/>
      <c r="U253" s="1337"/>
      <c r="V253" s="1337"/>
      <c r="W253" s="1337"/>
      <c r="X253" s="1337"/>
      <c r="Y253" s="1337"/>
      <c r="Z253" s="1337"/>
      <c r="AA253" s="1337"/>
      <c r="AB253" s="1337"/>
      <c r="AC253" s="1337"/>
      <c r="AD253" s="1337"/>
      <c r="AE253" s="1337"/>
      <c r="AF253" s="1337"/>
      <c r="AG253" s="1337"/>
      <c r="AH253" s="1337"/>
      <c r="AI253" s="1337"/>
      <c r="AJ253" s="1337"/>
      <c r="AK253" s="1337"/>
      <c r="AL253" s="1337"/>
      <c r="AM253" s="1337"/>
      <c r="AN253" s="1337"/>
      <c r="AO253" s="1337"/>
      <c r="AP253" s="1337"/>
      <c r="AQ253" s="1337"/>
      <c r="AR253" s="1337"/>
    </row>
    <row r="254" spans="1:44" ht="12" customHeight="1">
      <c r="A254" s="4238"/>
      <c r="B254" s="4239"/>
      <c r="C254" s="4239"/>
      <c r="D254" s="4239"/>
      <c r="E254" s="4239"/>
      <c r="F254" s="4239"/>
      <c r="G254" s="4239"/>
      <c r="H254" s="4239"/>
      <c r="I254" s="4239"/>
      <c r="J254" s="4239"/>
      <c r="K254" s="4239"/>
      <c r="L254" s="4239"/>
      <c r="M254" s="4239"/>
      <c r="N254" s="4239"/>
      <c r="O254" s="4239"/>
      <c r="P254" s="4239"/>
      <c r="Q254" s="4240"/>
      <c r="S254" s="1337"/>
      <c r="T254" s="1337"/>
      <c r="U254" s="1337"/>
      <c r="V254" s="1337"/>
      <c r="W254" s="1337"/>
      <c r="X254" s="1337"/>
      <c r="Y254" s="1337"/>
      <c r="Z254" s="1337"/>
      <c r="AA254" s="1337"/>
      <c r="AB254" s="1337"/>
      <c r="AC254" s="1337"/>
      <c r="AD254" s="1337"/>
      <c r="AE254" s="1337"/>
      <c r="AF254" s="1337"/>
      <c r="AG254" s="1337"/>
      <c r="AH254" s="1337"/>
      <c r="AI254" s="1337"/>
      <c r="AJ254" s="1337"/>
      <c r="AK254" s="1337"/>
      <c r="AL254" s="1337"/>
      <c r="AM254" s="1337"/>
      <c r="AN254" s="1337"/>
      <c r="AO254" s="1337"/>
      <c r="AP254" s="1337"/>
      <c r="AQ254" s="1337"/>
      <c r="AR254" s="1337"/>
    </row>
    <row r="255" spans="1:44" ht="3" customHeight="1">
      <c r="A255" s="671"/>
      <c r="B255" s="874"/>
      <c r="C255" s="870"/>
      <c r="D255" s="870"/>
      <c r="E255" s="870"/>
      <c r="F255" s="870"/>
      <c r="G255" s="870"/>
      <c r="H255" s="870"/>
      <c r="I255" s="870"/>
      <c r="J255" s="870"/>
      <c r="K255" s="870"/>
      <c r="L255" s="870"/>
      <c r="M255" s="870"/>
      <c r="Q255" s="671"/>
      <c r="S255" s="1337"/>
      <c r="T255" s="1337"/>
      <c r="U255" s="1337"/>
      <c r="V255" s="1337"/>
      <c r="W255" s="1337"/>
      <c r="X255" s="1337"/>
      <c r="Y255" s="1337"/>
      <c r="Z255" s="1337"/>
      <c r="AA255" s="1337"/>
      <c r="AB255" s="1337"/>
      <c r="AC255" s="1337"/>
      <c r="AD255" s="1337"/>
      <c r="AE255" s="1337"/>
      <c r="AF255" s="1337"/>
      <c r="AG255" s="1337"/>
      <c r="AH255" s="1337"/>
      <c r="AI255" s="1337"/>
      <c r="AJ255" s="1337"/>
      <c r="AK255" s="1337"/>
      <c r="AL255" s="1337"/>
      <c r="AM255" s="1337"/>
      <c r="AN255" s="1337"/>
      <c r="AO255" s="1337"/>
      <c r="AP255" s="1337"/>
      <c r="AQ255" s="1337"/>
      <c r="AR255" s="1337"/>
    </row>
    <row r="256" spans="1:44" ht="14.1" customHeight="1">
      <c r="A256" s="2" t="s">
        <v>3279</v>
      </c>
      <c r="B256" s="4" t="s">
        <v>2423</v>
      </c>
      <c r="C256" s="4"/>
      <c r="D256" s="66"/>
      <c r="E256" s="66"/>
      <c r="F256" s="66"/>
      <c r="G256" s="66"/>
      <c r="H256" s="870"/>
      <c r="I256" s="870"/>
      <c r="J256" s="870"/>
      <c r="K256" s="870"/>
      <c r="L256" s="870"/>
      <c r="M256" s="870"/>
      <c r="O256" s="101" t="s">
        <v>1725</v>
      </c>
      <c r="P256" s="4233"/>
      <c r="Q256" s="4234"/>
      <c r="S256" s="1337"/>
      <c r="T256" s="1337"/>
      <c r="U256" s="1337"/>
      <c r="V256" s="1337"/>
      <c r="W256" s="1337"/>
      <c r="X256" s="1337"/>
      <c r="Y256" s="1337"/>
      <c r="Z256" s="1337"/>
      <c r="AA256" s="1337"/>
      <c r="AB256" s="1337"/>
      <c r="AC256" s="1337"/>
      <c r="AD256" s="1337"/>
      <c r="AE256" s="1337"/>
      <c r="AF256" s="1337"/>
      <c r="AG256" s="1337"/>
      <c r="AH256" s="1337"/>
      <c r="AI256" s="1337"/>
      <c r="AJ256" s="1337"/>
      <c r="AK256" s="1337"/>
      <c r="AL256" s="1337"/>
      <c r="AM256" s="1337"/>
      <c r="AN256" s="1337"/>
      <c r="AO256" s="1337"/>
      <c r="AP256" s="1337"/>
      <c r="AQ256" s="1337"/>
      <c r="AR256" s="1337"/>
    </row>
    <row r="257" spans="1:44" s="333" customFormat="1" ht="21.75" customHeight="1">
      <c r="A257" s="110" t="s">
        <v>1835</v>
      </c>
      <c r="B257" s="870" t="s">
        <v>1611</v>
      </c>
      <c r="C257" s="4227" t="s">
        <v>3897</v>
      </c>
      <c r="D257" s="4227"/>
      <c r="E257" s="4227"/>
      <c r="F257" s="4227"/>
      <c r="G257" s="4227"/>
      <c r="H257" s="4227"/>
      <c r="I257" s="4227"/>
      <c r="J257" s="4227"/>
      <c r="K257" s="4227"/>
      <c r="L257" s="4227"/>
      <c r="M257" s="4227"/>
      <c r="N257" s="4227"/>
      <c r="O257" s="1332" t="s">
        <v>1389</v>
      </c>
      <c r="P257" s="877"/>
      <c r="Q257" s="876"/>
      <c r="S257" s="1343"/>
      <c r="T257" s="1343"/>
      <c r="U257" s="1343"/>
      <c r="V257" s="1343"/>
      <c r="W257" s="1343"/>
      <c r="X257" s="1343"/>
      <c r="Y257" s="1343"/>
      <c r="Z257" s="1343"/>
      <c r="AA257" s="1343"/>
      <c r="AB257" s="1343"/>
      <c r="AC257" s="1343"/>
      <c r="AD257" s="1343"/>
      <c r="AE257" s="1343"/>
      <c r="AF257" s="1343"/>
      <c r="AG257" s="1343"/>
      <c r="AH257" s="1343"/>
      <c r="AI257" s="1343"/>
      <c r="AJ257" s="1343"/>
      <c r="AK257" s="1343"/>
      <c r="AL257" s="1343"/>
      <c r="AM257" s="1343"/>
      <c r="AN257" s="1343"/>
      <c r="AO257" s="1343"/>
      <c r="AP257" s="1343"/>
      <c r="AQ257" s="1343"/>
      <c r="AR257" s="1343"/>
    </row>
    <row r="258" spans="1:44" s="115" customFormat="1" ht="11.7" customHeight="1">
      <c r="A258" s="40"/>
      <c r="B258" s="870" t="s">
        <v>1612</v>
      </c>
      <c r="C258" s="29" t="s">
        <v>3156</v>
      </c>
      <c r="D258" s="29"/>
      <c r="E258" s="29"/>
      <c r="F258" s="29"/>
      <c r="G258" s="29"/>
      <c r="H258" s="29"/>
      <c r="I258" s="29"/>
      <c r="J258" s="29"/>
      <c r="K258" s="29"/>
      <c r="L258" s="29"/>
      <c r="M258" s="29"/>
      <c r="O258" s="1332" t="s">
        <v>1612</v>
      </c>
      <c r="P258" s="176"/>
      <c r="Q258" s="420"/>
      <c r="S258" s="1342"/>
      <c r="T258" s="1342"/>
      <c r="U258" s="1342"/>
      <c r="V258" s="1342"/>
      <c r="W258" s="1342"/>
      <c r="X258" s="1342"/>
      <c r="Y258" s="1342"/>
      <c r="Z258" s="1342"/>
      <c r="AA258" s="1342"/>
      <c r="AB258" s="1342"/>
      <c r="AC258" s="1342"/>
      <c r="AD258" s="1342"/>
      <c r="AE258" s="1342"/>
      <c r="AF258" s="1342"/>
      <c r="AG258" s="1342"/>
      <c r="AH258" s="1342"/>
      <c r="AI258" s="1342"/>
      <c r="AJ258" s="1342"/>
      <c r="AK258" s="1342"/>
      <c r="AL258" s="1342"/>
      <c r="AM258" s="1342"/>
      <c r="AN258" s="1342"/>
      <c r="AO258" s="1342"/>
      <c r="AP258" s="1342"/>
      <c r="AQ258" s="1342"/>
      <c r="AR258" s="1342"/>
    </row>
    <row r="259" spans="1:44" s="115" customFormat="1" ht="11.7" customHeight="1">
      <c r="A259" s="40" t="s">
        <v>1837</v>
      </c>
      <c r="B259" s="29" t="s">
        <v>3157</v>
      </c>
      <c r="D259" s="29"/>
      <c r="E259" s="29"/>
      <c r="F259" s="29"/>
      <c r="G259" s="29"/>
      <c r="H259" s="29"/>
      <c r="I259" s="29"/>
      <c r="J259" s="29"/>
      <c r="K259" s="29"/>
      <c r="L259" s="29"/>
      <c r="M259" s="29"/>
      <c r="O259" s="48" t="s">
        <v>1837</v>
      </c>
      <c r="P259" s="176"/>
      <c r="Q259" s="420"/>
      <c r="S259" s="1342"/>
      <c r="T259" s="1342"/>
      <c r="U259" s="1342"/>
      <c r="V259" s="1342"/>
      <c r="W259" s="1342"/>
      <c r="X259" s="1342"/>
      <c r="Y259" s="1342"/>
      <c r="Z259" s="1342"/>
      <c r="AA259" s="1342"/>
      <c r="AB259" s="1342"/>
      <c r="AC259" s="1342"/>
      <c r="AD259" s="1342"/>
      <c r="AE259" s="1342"/>
      <c r="AF259" s="1342"/>
      <c r="AG259" s="1342"/>
      <c r="AH259" s="1342"/>
      <c r="AI259" s="1342"/>
      <c r="AJ259" s="1342"/>
      <c r="AK259" s="1342"/>
      <c r="AL259" s="1342"/>
      <c r="AM259" s="1342"/>
      <c r="AN259" s="1342"/>
      <c r="AO259" s="1342"/>
      <c r="AP259" s="1342"/>
      <c r="AQ259" s="1342"/>
      <c r="AR259" s="1342"/>
    </row>
    <row r="260" spans="1:44" s="333" customFormat="1" ht="23.25" customHeight="1">
      <c r="A260" s="110" t="s">
        <v>697</v>
      </c>
      <c r="B260" s="870" t="s">
        <v>1611</v>
      </c>
      <c r="C260" s="4227" t="s">
        <v>3922</v>
      </c>
      <c r="D260" s="4227"/>
      <c r="E260" s="4227"/>
      <c r="F260" s="4227"/>
      <c r="G260" s="4227"/>
      <c r="H260" s="4227"/>
      <c r="I260" s="4227"/>
      <c r="J260" s="4227"/>
      <c r="K260" s="4227"/>
      <c r="L260" s="4227"/>
      <c r="M260" s="4227"/>
      <c r="N260" s="4227"/>
      <c r="O260" s="1332" t="s">
        <v>3923</v>
      </c>
      <c r="P260" s="877"/>
      <c r="Q260" s="876"/>
      <c r="S260" s="1343"/>
      <c r="T260" s="1343"/>
      <c r="U260" s="1343"/>
      <c r="V260" s="1343"/>
      <c r="W260" s="1343"/>
      <c r="X260" s="1343"/>
      <c r="Y260" s="1343"/>
      <c r="Z260" s="1343"/>
      <c r="AA260" s="1343"/>
      <c r="AB260" s="1343"/>
      <c r="AC260" s="1343"/>
      <c r="AD260" s="1343"/>
      <c r="AE260" s="1343"/>
      <c r="AF260" s="1343"/>
      <c r="AG260" s="1343"/>
      <c r="AH260" s="1343"/>
      <c r="AI260" s="1343"/>
      <c r="AJ260" s="1343"/>
      <c r="AK260" s="1343"/>
      <c r="AL260" s="1343"/>
      <c r="AM260" s="1343"/>
      <c r="AN260" s="1343"/>
      <c r="AO260" s="1343"/>
      <c r="AP260" s="1343"/>
      <c r="AQ260" s="1343"/>
      <c r="AR260" s="1343"/>
    </row>
    <row r="261" spans="1:44" s="115" customFormat="1" ht="11.7" customHeight="1">
      <c r="A261" s="40"/>
      <c r="B261" s="870" t="s">
        <v>1612</v>
      </c>
      <c r="C261" s="29" t="s">
        <v>3158</v>
      </c>
      <c r="D261" s="29"/>
      <c r="E261" s="29"/>
      <c r="F261" s="29"/>
      <c r="G261" s="29"/>
      <c r="H261" s="29"/>
      <c r="I261" s="29"/>
      <c r="J261" s="29"/>
      <c r="K261" s="29"/>
      <c r="L261" s="29"/>
      <c r="M261" s="29"/>
      <c r="O261" s="1332" t="s">
        <v>1612</v>
      </c>
      <c r="P261" s="176"/>
      <c r="Q261" s="420"/>
      <c r="S261" s="1342"/>
      <c r="T261" s="1342"/>
      <c r="U261" s="1342"/>
      <c r="V261" s="1342"/>
      <c r="W261" s="1342"/>
      <c r="X261" s="1342"/>
      <c r="Y261" s="1342"/>
      <c r="Z261" s="1342"/>
      <c r="AA261" s="1342"/>
      <c r="AB261" s="1342"/>
      <c r="AC261" s="1342"/>
      <c r="AD261" s="1342"/>
      <c r="AE261" s="1342"/>
      <c r="AF261" s="1342"/>
      <c r="AG261" s="1342"/>
      <c r="AH261" s="1342"/>
      <c r="AI261" s="1342"/>
      <c r="AJ261" s="1342"/>
      <c r="AK261" s="1342"/>
      <c r="AL261" s="1342"/>
      <c r="AM261" s="1342"/>
      <c r="AN261" s="1342"/>
      <c r="AO261" s="1342"/>
      <c r="AP261" s="1342"/>
      <c r="AQ261" s="1342"/>
      <c r="AR261" s="1342"/>
    </row>
    <row r="262" spans="1:44" s="115" customFormat="1" ht="22.5" customHeight="1">
      <c r="A262" s="110" t="s">
        <v>1956</v>
      </c>
      <c r="B262" s="4227" t="s">
        <v>4015</v>
      </c>
      <c r="C262" s="4227"/>
      <c r="D262" s="4227"/>
      <c r="E262" s="4227"/>
      <c r="F262" s="4227"/>
      <c r="G262" s="4227"/>
      <c r="H262" s="4227"/>
      <c r="I262" s="4227"/>
      <c r="J262" s="4227"/>
      <c r="K262" s="4227"/>
      <c r="L262" s="4227"/>
      <c r="M262" s="4227"/>
      <c r="N262" s="4227"/>
      <c r="O262" s="128" t="s">
        <v>1956</v>
      </c>
      <c r="P262" s="879"/>
      <c r="Q262" s="878"/>
      <c r="S262" s="1342"/>
      <c r="T262" s="1342"/>
      <c r="U262" s="1342"/>
      <c r="V262" s="1342"/>
      <c r="W262" s="1342"/>
      <c r="X262" s="1342"/>
      <c r="Y262" s="1342"/>
      <c r="Z262" s="1342"/>
      <c r="AA262" s="1342"/>
      <c r="AB262" s="1342"/>
      <c r="AC262" s="1342"/>
      <c r="AD262" s="1342"/>
      <c r="AE262" s="1342"/>
      <c r="AF262" s="1342"/>
      <c r="AG262" s="1342"/>
      <c r="AH262" s="1342"/>
      <c r="AI262" s="1342"/>
      <c r="AJ262" s="1342"/>
      <c r="AK262" s="1342"/>
      <c r="AL262" s="1342"/>
      <c r="AM262" s="1342"/>
      <c r="AN262" s="1342"/>
      <c r="AO262" s="1342"/>
      <c r="AP262" s="1342"/>
      <c r="AQ262" s="1342"/>
      <c r="AR262" s="1342"/>
    </row>
    <row r="263" spans="1:44" ht="11.25" customHeight="1">
      <c r="B263" s="109" t="s">
        <v>3154</v>
      </c>
      <c r="D263" s="109"/>
      <c r="E263" s="109"/>
      <c r="F263" s="109"/>
      <c r="G263" s="109"/>
      <c r="H263" s="33"/>
      <c r="I263" s="874"/>
      <c r="J263" s="874"/>
      <c r="K263" s="874"/>
      <c r="L263" s="671"/>
      <c r="M263" s="671"/>
      <c r="N263" s="671"/>
      <c r="O263" s="671"/>
      <c r="P263" s="671"/>
      <c r="Q263" s="671"/>
      <c r="S263" s="1337"/>
      <c r="T263" s="1337"/>
      <c r="U263" s="1337"/>
      <c r="V263" s="1337"/>
      <c r="W263" s="1337"/>
      <c r="X263" s="1337"/>
      <c r="Y263" s="1337"/>
      <c r="Z263" s="1337"/>
      <c r="AA263" s="1337"/>
      <c r="AB263" s="1337"/>
      <c r="AC263" s="1337"/>
      <c r="AD263" s="1337"/>
      <c r="AE263" s="1337"/>
      <c r="AF263" s="1337"/>
      <c r="AG263" s="1337"/>
      <c r="AH263" s="1337"/>
      <c r="AI263" s="1337"/>
      <c r="AJ263" s="1337"/>
      <c r="AK263" s="1337"/>
      <c r="AL263" s="1337"/>
      <c r="AM263" s="1337"/>
      <c r="AN263" s="1337"/>
      <c r="AO263" s="1337"/>
      <c r="AP263" s="1337"/>
      <c r="AQ263" s="1337"/>
      <c r="AR263" s="1337"/>
    </row>
    <row r="264" spans="1:44" ht="13.35" customHeight="1">
      <c r="A264" s="4241"/>
      <c r="B264" s="4242"/>
      <c r="C264" s="4242"/>
      <c r="D264" s="4242"/>
      <c r="E264" s="4242"/>
      <c r="F264" s="4242"/>
      <c r="G264" s="4242"/>
      <c r="H264" s="4242"/>
      <c r="I264" s="4242"/>
      <c r="J264" s="4242"/>
      <c r="K264" s="4242"/>
      <c r="L264" s="4242"/>
      <c r="M264" s="4242"/>
      <c r="N264" s="4242"/>
      <c r="O264" s="4242"/>
      <c r="P264" s="4242"/>
      <c r="Q264" s="4243"/>
      <c r="R264" s="353" t="s">
        <v>1179</v>
      </c>
      <c r="S264" s="1340"/>
      <c r="T264" s="1337"/>
      <c r="U264" s="1341"/>
      <c r="V264" s="1341"/>
      <c r="W264" s="1341"/>
      <c r="X264" s="1341"/>
      <c r="Y264" s="1341"/>
      <c r="Z264" s="1341"/>
      <c r="AA264" s="1341"/>
      <c r="AB264" s="1341"/>
      <c r="AC264" s="1341"/>
      <c r="AD264" s="1341"/>
      <c r="AE264" s="1341"/>
      <c r="AF264" s="1337"/>
      <c r="AG264" s="1337"/>
      <c r="AH264" s="1337"/>
      <c r="AI264" s="1337"/>
      <c r="AJ264" s="1337"/>
      <c r="AK264" s="1337"/>
      <c r="AL264" s="1337"/>
      <c r="AM264" s="1337"/>
      <c r="AN264" s="1337"/>
      <c r="AO264" s="1337"/>
      <c r="AP264" s="1337"/>
      <c r="AQ264" s="1337"/>
      <c r="AR264" s="1337"/>
    </row>
    <row r="265" spans="1:44" ht="11.25" customHeight="1">
      <c r="B265" s="105" t="s">
        <v>1724</v>
      </c>
      <c r="C265" s="106"/>
      <c r="D265" s="870"/>
      <c r="E265" s="870"/>
      <c r="F265" s="870"/>
      <c r="G265" s="870"/>
      <c r="H265" s="870"/>
      <c r="I265" s="870"/>
      <c r="J265" s="870"/>
      <c r="K265" s="870"/>
      <c r="L265" s="870"/>
      <c r="M265" s="870"/>
      <c r="N265" s="870"/>
      <c r="O265" s="870"/>
      <c r="P265" s="870"/>
      <c r="Q265" s="870"/>
      <c r="S265" s="1337"/>
      <c r="T265" s="1337"/>
      <c r="U265" s="1337"/>
      <c r="V265" s="1337"/>
      <c r="W265" s="1337"/>
      <c r="X265" s="1337"/>
      <c r="Y265" s="1337"/>
      <c r="Z265" s="1337"/>
      <c r="AA265" s="1337"/>
      <c r="AB265" s="1337"/>
      <c r="AC265" s="1337"/>
      <c r="AD265" s="1337"/>
      <c r="AE265" s="1337"/>
      <c r="AF265" s="1337"/>
      <c r="AG265" s="1337"/>
      <c r="AH265" s="1337"/>
      <c r="AI265" s="1337"/>
      <c r="AJ265" s="1337"/>
      <c r="AK265" s="1337"/>
      <c r="AL265" s="1337"/>
      <c r="AM265" s="1337"/>
      <c r="AN265" s="1337"/>
      <c r="AO265" s="1337"/>
      <c r="AP265" s="1337"/>
      <c r="AQ265" s="1337"/>
      <c r="AR265" s="1337"/>
    </row>
    <row r="266" spans="1:44" ht="13.35" customHeight="1">
      <c r="A266" s="4238"/>
      <c r="B266" s="4239"/>
      <c r="C266" s="4239"/>
      <c r="D266" s="4239"/>
      <c r="E266" s="4239"/>
      <c r="F266" s="4239"/>
      <c r="G266" s="4239"/>
      <c r="H266" s="4239"/>
      <c r="I266" s="4239"/>
      <c r="J266" s="4239"/>
      <c r="K266" s="4239"/>
      <c r="L266" s="4239"/>
      <c r="M266" s="4239"/>
      <c r="N266" s="4239"/>
      <c r="O266" s="4239"/>
      <c r="P266" s="4239"/>
      <c r="Q266" s="4240"/>
      <c r="S266" s="1337"/>
      <c r="T266" s="1337"/>
      <c r="U266" s="1337"/>
      <c r="V266" s="1337"/>
      <c r="W266" s="1337"/>
      <c r="X266" s="1337"/>
      <c r="Y266" s="1337"/>
      <c r="Z266" s="1337"/>
      <c r="AA266" s="1337"/>
      <c r="AB266" s="1337"/>
      <c r="AC266" s="1337"/>
      <c r="AD266" s="1337"/>
      <c r="AE266" s="1337"/>
      <c r="AF266" s="1337"/>
      <c r="AG266" s="1337"/>
      <c r="AH266" s="1337"/>
      <c r="AI266" s="1337"/>
      <c r="AJ266" s="1337"/>
      <c r="AK266" s="1337"/>
      <c r="AL266" s="1337"/>
      <c r="AM266" s="1337"/>
      <c r="AN266" s="1337"/>
      <c r="AO266" s="1337"/>
      <c r="AP266" s="1337"/>
      <c r="AQ266" s="1337"/>
      <c r="AR266" s="1337"/>
    </row>
    <row r="267" spans="1:44" ht="3" customHeight="1">
      <c r="S267" s="1337"/>
      <c r="T267" s="1337"/>
      <c r="U267" s="1337"/>
      <c r="V267" s="1337"/>
      <c r="W267" s="1337"/>
      <c r="X267" s="1337"/>
      <c r="Y267" s="1337"/>
      <c r="Z267" s="1337"/>
      <c r="AA267" s="1337"/>
      <c r="AB267" s="1337"/>
      <c r="AC267" s="1337"/>
      <c r="AD267" s="1337"/>
      <c r="AE267" s="1337"/>
      <c r="AF267" s="1337"/>
      <c r="AG267" s="1337"/>
      <c r="AH267" s="1337"/>
      <c r="AI267" s="1337"/>
      <c r="AJ267" s="1337"/>
      <c r="AK267" s="1337"/>
      <c r="AL267" s="1337"/>
      <c r="AM267" s="1337"/>
      <c r="AN267" s="1337"/>
      <c r="AO267" s="1337"/>
      <c r="AP267" s="1337"/>
      <c r="AQ267" s="1337"/>
      <c r="AR267" s="1337"/>
    </row>
    <row r="268" spans="1:44" ht="14.1" customHeight="1">
      <c r="A268" s="2" t="s">
        <v>3280</v>
      </c>
      <c r="B268" s="2" t="s">
        <v>2424</v>
      </c>
      <c r="C268" s="2"/>
      <c r="D268" s="870"/>
      <c r="E268" s="870"/>
      <c r="F268" s="870"/>
      <c r="G268" s="870"/>
      <c r="H268" s="870"/>
      <c r="I268" s="870"/>
      <c r="J268" s="870"/>
      <c r="K268" s="870"/>
      <c r="L268" s="870"/>
      <c r="M268" s="870"/>
      <c r="O268" s="101" t="s">
        <v>1725</v>
      </c>
      <c r="P268" s="4233"/>
      <c r="Q268" s="4234"/>
      <c r="S268" s="1337"/>
      <c r="T268" s="1337"/>
      <c r="U268" s="1337"/>
      <c r="V268" s="1337"/>
      <c r="W268" s="1337"/>
      <c r="X268" s="1337"/>
      <c r="Y268" s="1337"/>
      <c r="Z268" s="1337"/>
      <c r="AA268" s="1337"/>
      <c r="AB268" s="1337"/>
      <c r="AC268" s="1337"/>
      <c r="AD268" s="1337"/>
      <c r="AE268" s="1337"/>
      <c r="AF268" s="1337"/>
      <c r="AG268" s="1337"/>
      <c r="AH268" s="1337"/>
      <c r="AI268" s="1337"/>
      <c r="AJ268" s="1337"/>
      <c r="AK268" s="1337"/>
      <c r="AL268" s="1337"/>
      <c r="AM268" s="1337"/>
      <c r="AN268" s="1337"/>
      <c r="AO268" s="1337"/>
      <c r="AP268" s="1337"/>
      <c r="AQ268" s="1337"/>
      <c r="AR268" s="1337"/>
    </row>
    <row r="269" spans="1:44" customFormat="1" ht="11.7" customHeight="1">
      <c r="B269" s="44" t="s">
        <v>4085</v>
      </c>
      <c r="N269" s="92"/>
      <c r="P269" s="74"/>
      <c r="Q269" s="416"/>
      <c r="S269" s="1338"/>
      <c r="T269" s="1338"/>
      <c r="U269" s="1338"/>
      <c r="V269" s="1338"/>
      <c r="W269" s="1338"/>
      <c r="X269" s="1338"/>
      <c r="Y269" s="1338"/>
      <c r="Z269" s="1338"/>
      <c r="AA269" s="1338"/>
      <c r="AB269" s="1338"/>
      <c r="AC269" s="1338"/>
      <c r="AD269" s="1338"/>
      <c r="AE269" s="1338"/>
      <c r="AF269" s="1338"/>
      <c r="AG269" s="1338"/>
      <c r="AH269" s="1338"/>
      <c r="AI269" s="1338"/>
      <c r="AJ269" s="1338"/>
      <c r="AK269" s="1338"/>
      <c r="AL269" s="1338"/>
      <c r="AM269" s="1338"/>
      <c r="AN269" s="1338"/>
      <c r="AO269" s="1338"/>
      <c r="AP269" s="1338"/>
      <c r="AQ269" s="1338"/>
      <c r="AR269" s="1338"/>
    </row>
    <row r="270" spans="1:44" s="26" customFormat="1" ht="11.7" customHeight="1">
      <c r="A270" s="40" t="s">
        <v>1835</v>
      </c>
      <c r="B270" s="141" t="s">
        <v>4089</v>
      </c>
      <c r="C270" s="72"/>
      <c r="D270" s="72"/>
      <c r="E270" s="72"/>
      <c r="F270" s="72"/>
      <c r="H270" s="72"/>
      <c r="I270" s="72"/>
      <c r="O270" s="128" t="s">
        <v>1835</v>
      </c>
      <c r="R270" s="1147"/>
      <c r="S270" s="1496"/>
      <c r="T270" s="1496"/>
      <c r="U270" s="1496"/>
      <c r="V270" s="1496"/>
      <c r="W270" s="1496"/>
      <c r="X270" s="1496"/>
      <c r="Y270" s="1496"/>
      <c r="Z270" s="1496"/>
      <c r="AA270" s="1496"/>
      <c r="AB270" s="1496"/>
      <c r="AC270" s="1496"/>
      <c r="AD270" s="1496"/>
      <c r="AE270" s="1496"/>
      <c r="AF270" s="1496"/>
      <c r="AG270" s="1496"/>
      <c r="AH270" s="1496"/>
      <c r="AI270" s="1496"/>
      <c r="AJ270" s="1496"/>
      <c r="AK270" s="1496"/>
      <c r="AL270" s="1496"/>
      <c r="AM270" s="1496"/>
      <c r="AN270" s="1496"/>
      <c r="AO270" s="1496"/>
      <c r="AP270" s="1496"/>
      <c r="AQ270" s="1496"/>
      <c r="AR270" s="1496"/>
    </row>
    <row r="271" spans="1:44" s="333" customFormat="1" ht="33" customHeight="1">
      <c r="B271" s="456" t="s">
        <v>1611</v>
      </c>
      <c r="C271" s="4227" t="s">
        <v>3721</v>
      </c>
      <c r="D271" s="4227"/>
      <c r="E271" s="4227"/>
      <c r="F271" s="4227"/>
      <c r="G271" s="4227"/>
      <c r="H271" s="4227"/>
      <c r="I271" s="4227"/>
      <c r="J271" s="4227"/>
      <c r="K271" s="4227"/>
      <c r="L271" s="4227"/>
      <c r="M271" s="4227"/>
      <c r="N271" s="4227"/>
      <c r="O271" s="1332" t="s">
        <v>1611</v>
      </c>
      <c r="P271" s="877"/>
      <c r="Q271" s="876"/>
      <c r="S271" s="1343"/>
      <c r="T271" s="1343"/>
      <c r="U271" s="1343"/>
      <c r="V271" s="1343"/>
      <c r="W271" s="1343"/>
      <c r="X271" s="1343"/>
      <c r="Y271" s="1343"/>
      <c r="Z271" s="1343"/>
      <c r="AA271" s="1343"/>
      <c r="AB271" s="1343"/>
      <c r="AC271" s="1343"/>
      <c r="AD271" s="1343"/>
      <c r="AE271" s="1343"/>
      <c r="AF271" s="1343"/>
      <c r="AG271" s="1343"/>
      <c r="AH271" s="1343"/>
      <c r="AI271" s="1343"/>
      <c r="AJ271" s="1343"/>
      <c r="AK271" s="1343"/>
      <c r="AL271" s="1343"/>
      <c r="AM271" s="1343"/>
      <c r="AN271" s="1343"/>
      <c r="AO271" s="1343"/>
      <c r="AP271" s="1343"/>
      <c r="AQ271" s="1343"/>
      <c r="AR271" s="1343"/>
    </row>
    <row r="272" spans="1:44" s="333" customFormat="1" ht="21.75" customHeight="1">
      <c r="A272" s="110"/>
      <c r="B272" s="456" t="s">
        <v>1612</v>
      </c>
      <c r="C272" s="4227" t="s">
        <v>2499</v>
      </c>
      <c r="D272" s="4227"/>
      <c r="E272" s="4227"/>
      <c r="F272" s="4227"/>
      <c r="G272" s="4227"/>
      <c r="H272" s="4227"/>
      <c r="I272" s="4227"/>
      <c r="J272" s="4227"/>
      <c r="K272" s="4227"/>
      <c r="L272" s="4227"/>
      <c r="M272" s="4227"/>
      <c r="N272" s="4227"/>
      <c r="O272" s="1332" t="s">
        <v>1612</v>
      </c>
      <c r="P272" s="879"/>
      <c r="Q272" s="878"/>
      <c r="S272" s="1343"/>
      <c r="T272" s="1343"/>
      <c r="U272" s="1343"/>
      <c r="V272" s="1343"/>
      <c r="W272" s="1343"/>
      <c r="X272" s="1343"/>
      <c r="Y272" s="1343"/>
      <c r="Z272" s="1343"/>
      <c r="AA272" s="1343"/>
      <c r="AB272" s="1343"/>
      <c r="AC272" s="1343"/>
      <c r="AD272" s="1343"/>
      <c r="AE272" s="1343"/>
      <c r="AF272" s="1343"/>
      <c r="AG272" s="1343"/>
      <c r="AH272" s="1343"/>
      <c r="AI272" s="1343"/>
      <c r="AJ272" s="1343"/>
      <c r="AK272" s="1343"/>
      <c r="AL272" s="1343"/>
      <c r="AM272" s="1343"/>
      <c r="AN272" s="1343"/>
      <c r="AO272" s="1343"/>
      <c r="AP272" s="1343"/>
      <c r="AQ272" s="1343"/>
      <c r="AR272" s="1343"/>
    </row>
    <row r="273" spans="1:44" customFormat="1" ht="12.75" customHeight="1">
      <c r="A273" s="107" t="s">
        <v>1837</v>
      </c>
      <c r="B273" s="141" t="s">
        <v>297</v>
      </c>
      <c r="C273" s="115"/>
      <c r="D273" s="72"/>
      <c r="E273" s="72"/>
      <c r="F273" s="115"/>
      <c r="K273" s="48" t="s">
        <v>1837</v>
      </c>
      <c r="L273" s="4258" t="s">
        <v>3246</v>
      </c>
      <c r="M273" s="4259"/>
      <c r="N273" s="4259"/>
      <c r="O273" s="4259"/>
      <c r="P273" s="4260"/>
      <c r="Q273" s="889"/>
      <c r="X273" s="1338"/>
      <c r="Y273" s="1338"/>
      <c r="Z273" s="1338"/>
      <c r="AA273" s="1338"/>
      <c r="AB273" s="1338"/>
      <c r="AC273" s="1338"/>
      <c r="AD273" s="1338"/>
      <c r="AE273" s="1338"/>
      <c r="AF273" s="1338"/>
      <c r="AG273" s="1338"/>
      <c r="AH273" s="1338"/>
      <c r="AI273" s="1338"/>
      <c r="AJ273" s="1338"/>
      <c r="AK273" s="1338"/>
      <c r="AL273" s="1338"/>
      <c r="AM273" s="1338"/>
      <c r="AN273" s="1338"/>
      <c r="AO273" s="1338"/>
      <c r="AP273" s="1338"/>
      <c r="AQ273" s="1338"/>
      <c r="AR273" s="1338"/>
    </row>
    <row r="274" spans="1:44" s="26" customFormat="1" ht="11.7" customHeight="1">
      <c r="A274" s="107" t="s">
        <v>697</v>
      </c>
      <c r="B274" s="141" t="s">
        <v>4088</v>
      </c>
      <c r="C274" s="72"/>
      <c r="D274" s="72"/>
      <c r="E274" s="72"/>
      <c r="F274" s="72"/>
      <c r="H274" s="72"/>
      <c r="I274" s="72"/>
      <c r="R274" s="1147"/>
      <c r="S274" s="1496"/>
      <c r="T274" s="1496"/>
      <c r="U274" s="1496"/>
      <c r="V274" s="1496"/>
      <c r="W274" s="1496"/>
      <c r="X274" s="1496"/>
      <c r="Y274" s="1496"/>
      <c r="Z274" s="1496"/>
      <c r="AA274" s="1496"/>
      <c r="AB274" s="1496"/>
      <c r="AC274" s="1496"/>
      <c r="AD274" s="1496"/>
      <c r="AE274" s="1496"/>
      <c r="AF274" s="1496"/>
      <c r="AG274" s="1496"/>
      <c r="AH274" s="1496"/>
      <c r="AI274" s="1496"/>
      <c r="AJ274" s="1496"/>
      <c r="AK274" s="1496"/>
      <c r="AL274" s="1496"/>
      <c r="AM274" s="1496"/>
      <c r="AN274" s="1496"/>
      <c r="AO274" s="1496"/>
      <c r="AP274" s="1496"/>
      <c r="AQ274" s="1496"/>
      <c r="AR274" s="1496"/>
    </row>
    <row r="275" spans="1:44" customFormat="1" ht="11.7" customHeight="1">
      <c r="A275" s="107"/>
      <c r="B275" s="29" t="s">
        <v>4090</v>
      </c>
      <c r="C275" s="115"/>
      <c r="D275" s="72"/>
      <c r="E275" s="72"/>
      <c r="F275" s="115"/>
      <c r="H275" s="115"/>
      <c r="I275" s="115"/>
      <c r="N275" s="1694" t="s">
        <v>4091</v>
      </c>
      <c r="O275" s="48" t="s">
        <v>697</v>
      </c>
      <c r="P275" s="888"/>
      <c r="Q275" s="889"/>
      <c r="R275" s="48"/>
      <c r="S275" s="1338"/>
      <c r="T275" s="1338"/>
      <c r="U275" s="1338"/>
      <c r="V275" s="1338"/>
      <c r="W275" s="1338"/>
      <c r="X275" s="1338"/>
      <c r="Y275" s="1338"/>
      <c r="Z275" s="1338"/>
      <c r="AA275" s="1338"/>
      <c r="AB275" s="1338"/>
      <c r="AC275" s="1338"/>
      <c r="AD275" s="1338"/>
      <c r="AE275" s="1338"/>
      <c r="AF275" s="1338"/>
      <c r="AG275" s="1338"/>
      <c r="AH275" s="1338"/>
      <c r="AI275" s="1338"/>
      <c r="AJ275" s="1338"/>
      <c r="AK275" s="1338"/>
      <c r="AL275" s="1338"/>
      <c r="AM275" s="1338"/>
      <c r="AN275" s="1338"/>
      <c r="AO275" s="1338"/>
      <c r="AP275" s="1338"/>
      <c r="AQ275" s="1338"/>
      <c r="AR275" s="1338"/>
    </row>
    <row r="276" spans="1:44" s="70" customFormat="1" ht="11.7" customHeight="1">
      <c r="A276" s="35"/>
      <c r="B276" s="109" t="s">
        <v>3154</v>
      </c>
      <c r="C276" s="35"/>
      <c r="D276" s="41"/>
      <c r="E276" s="41"/>
      <c r="F276" s="41"/>
      <c r="G276" s="41"/>
      <c r="K276" s="29"/>
      <c r="M276" s="39"/>
      <c r="N276" s="5"/>
      <c r="O276" s="3"/>
      <c r="P276" s="119"/>
      <c r="S276" s="1344"/>
      <c r="T276" s="1344"/>
      <c r="U276" s="1344"/>
      <c r="V276" s="1344"/>
      <c r="W276" s="1344"/>
      <c r="X276" s="1344"/>
      <c r="Y276" s="1344"/>
      <c r="Z276" s="1344"/>
      <c r="AA276" s="1344"/>
      <c r="AB276" s="1344"/>
      <c r="AC276" s="1344"/>
      <c r="AD276" s="1344"/>
      <c r="AE276" s="1344"/>
      <c r="AF276" s="1344"/>
      <c r="AG276" s="1344"/>
      <c r="AH276" s="1344"/>
      <c r="AI276" s="1344"/>
      <c r="AJ276" s="1344"/>
      <c r="AK276" s="1344"/>
      <c r="AL276" s="1344"/>
      <c r="AM276" s="1344"/>
      <c r="AN276" s="1344"/>
      <c r="AO276" s="1344"/>
      <c r="AP276" s="1344"/>
      <c r="AQ276" s="1344"/>
      <c r="AR276" s="1344"/>
    </row>
    <row r="277" spans="1:44" s="36" customFormat="1" ht="21.75" customHeight="1">
      <c r="A277" s="4241"/>
      <c r="B277" s="4242"/>
      <c r="C277" s="4242"/>
      <c r="D277" s="4242"/>
      <c r="E277" s="4242"/>
      <c r="F277" s="4242"/>
      <c r="G277" s="4242"/>
      <c r="H277" s="4242"/>
      <c r="I277" s="4242"/>
      <c r="J277" s="4242"/>
      <c r="K277" s="4242"/>
      <c r="L277" s="4242"/>
      <c r="M277" s="4242"/>
      <c r="N277" s="4242"/>
      <c r="O277" s="4242"/>
      <c r="P277" s="4242"/>
      <c r="Q277" s="4243"/>
      <c r="R277" s="353" t="s">
        <v>1179</v>
      </c>
      <c r="S277" s="1339"/>
      <c r="T277" s="1339"/>
      <c r="U277" s="1339"/>
      <c r="V277" s="1339"/>
      <c r="W277" s="1339"/>
      <c r="X277" s="1339"/>
      <c r="Y277" s="1339"/>
      <c r="Z277" s="1339"/>
      <c r="AA277" s="1339"/>
      <c r="AB277" s="1339"/>
      <c r="AC277" s="1339"/>
      <c r="AD277" s="1339"/>
      <c r="AE277" s="1339"/>
      <c r="AF277" s="1339"/>
      <c r="AG277" s="1339"/>
      <c r="AH277" s="1339"/>
      <c r="AI277" s="1339"/>
      <c r="AJ277" s="1339"/>
      <c r="AK277" s="1339"/>
      <c r="AL277" s="1339"/>
      <c r="AM277" s="1339"/>
      <c r="AN277" s="1339"/>
      <c r="AO277" s="1339"/>
      <c r="AP277" s="1339"/>
      <c r="AQ277" s="1339"/>
      <c r="AR277" s="1339"/>
    </row>
    <row r="278" spans="1:44" s="36" customFormat="1" ht="11.25" customHeight="1">
      <c r="A278" s="28"/>
      <c r="B278" s="105" t="s">
        <v>1724</v>
      </c>
      <c r="C278" s="106"/>
      <c r="D278" s="870"/>
      <c r="E278" s="870"/>
      <c r="F278" s="870"/>
      <c r="G278" s="870"/>
      <c r="H278" s="870"/>
      <c r="I278" s="870"/>
      <c r="J278" s="870"/>
      <c r="K278" s="870"/>
      <c r="L278" s="870"/>
      <c r="M278" s="870"/>
      <c r="N278" s="870"/>
      <c r="O278" s="870"/>
      <c r="P278" s="870"/>
      <c r="Q278" s="870"/>
      <c r="R278" s="28"/>
      <c r="S278" s="1339"/>
      <c r="T278" s="1339"/>
      <c r="U278" s="1339"/>
      <c r="V278" s="1339"/>
      <c r="W278" s="1339"/>
      <c r="X278" s="1339"/>
      <c r="Y278" s="1339"/>
      <c r="Z278" s="1339"/>
      <c r="AA278" s="1339"/>
      <c r="AB278" s="1339"/>
      <c r="AC278" s="1339"/>
      <c r="AD278" s="1339"/>
      <c r="AE278" s="1339"/>
      <c r="AF278" s="1339"/>
      <c r="AG278" s="1339"/>
      <c r="AH278" s="1339"/>
      <c r="AI278" s="1339"/>
      <c r="AJ278" s="1339"/>
      <c r="AK278" s="1339"/>
      <c r="AL278" s="1339"/>
      <c r="AM278" s="1339"/>
      <c r="AN278" s="1339"/>
      <c r="AO278" s="1339"/>
      <c r="AP278" s="1339"/>
      <c r="AQ278" s="1339"/>
      <c r="AR278" s="1339"/>
    </row>
    <row r="279" spans="1:44" s="36" customFormat="1" ht="11.25" customHeight="1">
      <c r="A279" s="4238"/>
      <c r="B279" s="4239"/>
      <c r="C279" s="4239"/>
      <c r="D279" s="4239"/>
      <c r="E279" s="4239"/>
      <c r="F279" s="4239"/>
      <c r="G279" s="4239"/>
      <c r="H279" s="4239"/>
      <c r="I279" s="4239"/>
      <c r="J279" s="4239"/>
      <c r="K279" s="4239"/>
      <c r="L279" s="4239"/>
      <c r="M279" s="4239"/>
      <c r="N279" s="4239"/>
      <c r="O279" s="4239"/>
      <c r="P279" s="4239"/>
      <c r="Q279" s="4240"/>
      <c r="R279" s="28"/>
      <c r="S279" s="1339"/>
      <c r="T279" s="1339"/>
      <c r="U279" s="1339"/>
      <c r="V279" s="1339"/>
      <c r="W279" s="1339"/>
      <c r="X279" s="1339"/>
      <c r="Y279" s="1339"/>
      <c r="Z279" s="1339"/>
      <c r="AA279" s="1339"/>
      <c r="AB279" s="1339"/>
      <c r="AC279" s="1339"/>
      <c r="AD279" s="1339"/>
      <c r="AE279" s="1339"/>
      <c r="AF279" s="1339"/>
      <c r="AG279" s="1339"/>
      <c r="AH279" s="1339"/>
      <c r="AI279" s="1339"/>
      <c r="AJ279" s="1339"/>
      <c r="AK279" s="1339"/>
      <c r="AL279" s="1339"/>
      <c r="AM279" s="1339"/>
      <c r="AN279" s="1339"/>
      <c r="AO279" s="1339"/>
      <c r="AP279" s="1339"/>
      <c r="AQ279" s="1339"/>
      <c r="AR279" s="1339"/>
    </row>
    <row r="280" spans="1:44" s="36" customFormat="1" ht="3" customHeight="1">
      <c r="A280" s="35"/>
      <c r="D280" s="32"/>
      <c r="E280" s="29"/>
      <c r="F280" s="119"/>
      <c r="G280" s="119"/>
      <c r="H280" s="119"/>
      <c r="I280" s="119"/>
      <c r="J280" s="33"/>
      <c r="K280" s="33"/>
      <c r="L280" s="33"/>
      <c r="M280" s="31"/>
      <c r="N280" s="119"/>
      <c r="O280" s="24"/>
      <c r="P280" s="3"/>
      <c r="S280" s="1339"/>
      <c r="T280" s="1339"/>
      <c r="U280" s="1339"/>
      <c r="V280" s="1339"/>
      <c r="W280" s="1339"/>
      <c r="X280" s="1339"/>
      <c r="Y280" s="1339"/>
      <c r="Z280" s="1339"/>
      <c r="AA280" s="1339"/>
      <c r="AB280" s="1339"/>
      <c r="AC280" s="1339"/>
      <c r="AD280" s="1339"/>
      <c r="AE280" s="1339"/>
      <c r="AF280" s="1339"/>
      <c r="AG280" s="1339"/>
      <c r="AH280" s="1339"/>
      <c r="AI280" s="1339"/>
      <c r="AJ280" s="1339"/>
      <c r="AK280" s="1339"/>
      <c r="AL280" s="1339"/>
      <c r="AM280" s="1339"/>
      <c r="AN280" s="1339"/>
      <c r="AO280" s="1339"/>
      <c r="AP280" s="1339"/>
      <c r="AQ280" s="1339"/>
      <c r="AR280" s="1339"/>
    </row>
    <row r="281" spans="1:44" ht="14.1" customHeight="1">
      <c r="A281" s="2" t="s">
        <v>3278</v>
      </c>
      <c r="B281" s="2" t="s">
        <v>2425</v>
      </c>
      <c r="C281" s="116"/>
      <c r="D281" s="873"/>
      <c r="E281" s="870"/>
      <c r="F281" s="870"/>
      <c r="G281" s="870"/>
      <c r="H281" s="870"/>
      <c r="I281" s="870"/>
      <c r="J281" s="870"/>
      <c r="K281" s="870"/>
      <c r="L281" s="870"/>
      <c r="M281" s="870"/>
      <c r="O281" s="101" t="s">
        <v>1725</v>
      </c>
      <c r="P281" s="4233"/>
      <c r="Q281" s="4234"/>
      <c r="S281" s="1337"/>
      <c r="T281" s="1337"/>
      <c r="U281" s="1337"/>
      <c r="V281" s="1337"/>
      <c r="W281" s="1337"/>
      <c r="X281" s="1337"/>
      <c r="Y281" s="1337"/>
      <c r="Z281" s="1337"/>
      <c r="AA281" s="1337"/>
      <c r="AB281" s="1337"/>
      <c r="AC281" s="1337"/>
      <c r="AD281" s="1337"/>
      <c r="AE281" s="1337"/>
      <c r="AF281" s="1337"/>
      <c r="AG281" s="1337"/>
      <c r="AH281" s="1337"/>
      <c r="AI281" s="1337"/>
      <c r="AJ281" s="1337"/>
      <c r="AK281" s="1337"/>
      <c r="AL281" s="1337"/>
      <c r="AM281" s="1337"/>
      <c r="AN281" s="1337"/>
      <c r="AO281" s="1337"/>
      <c r="AP281" s="1337"/>
      <c r="AQ281" s="1337"/>
      <c r="AR281" s="1337"/>
    </row>
    <row r="282" spans="1:44" customFormat="1" ht="11.7" customHeight="1">
      <c r="B282" s="44" t="s">
        <v>4085</v>
      </c>
      <c r="N282" s="92"/>
      <c r="P282" s="74"/>
      <c r="Q282" s="416"/>
      <c r="S282" s="1338"/>
      <c r="T282" s="1338"/>
      <c r="U282" s="1338"/>
      <c r="V282" s="1338"/>
      <c r="W282" s="1338"/>
      <c r="X282" s="1338"/>
      <c r="Y282" s="1338"/>
      <c r="Z282" s="1338"/>
      <c r="AA282" s="1338"/>
      <c r="AB282" s="1338"/>
      <c r="AC282" s="1338"/>
      <c r="AD282" s="1338"/>
      <c r="AE282" s="1338"/>
      <c r="AF282" s="1338"/>
      <c r="AG282" s="1338"/>
      <c r="AH282" s="1338"/>
      <c r="AI282" s="1338"/>
      <c r="AJ282" s="1338"/>
      <c r="AK282" s="1338"/>
      <c r="AL282" s="1338"/>
      <c r="AM282" s="1338"/>
      <c r="AN282" s="1338"/>
      <c r="AO282" s="1338"/>
      <c r="AP282" s="1338"/>
      <c r="AQ282" s="1338"/>
      <c r="AR282" s="1338"/>
    </row>
    <row r="283" spans="1:44" ht="12.75" customHeight="1">
      <c r="A283" s="107" t="s">
        <v>1835</v>
      </c>
      <c r="B283" s="153" t="s">
        <v>3295</v>
      </c>
      <c r="S283" s="1337"/>
      <c r="T283" s="1337"/>
      <c r="U283" s="1337"/>
      <c r="V283" s="1337"/>
      <c r="W283" s="1337"/>
      <c r="X283" s="1337"/>
      <c r="Y283" s="1337"/>
      <c r="Z283" s="1337"/>
      <c r="AA283" s="1337"/>
      <c r="AB283" s="1337"/>
      <c r="AC283" s="1337"/>
      <c r="AD283" s="1337"/>
      <c r="AE283" s="1337"/>
      <c r="AF283" s="1337"/>
      <c r="AG283" s="1337"/>
      <c r="AH283" s="1337"/>
      <c r="AI283" s="1337"/>
      <c r="AJ283" s="1337"/>
      <c r="AK283" s="1337"/>
      <c r="AL283" s="1337"/>
      <c r="AM283" s="1337"/>
      <c r="AN283" s="1337"/>
      <c r="AO283" s="1337"/>
      <c r="AP283" s="1337"/>
      <c r="AQ283" s="1337"/>
      <c r="AR283" s="1337"/>
    </row>
    <row r="284" spans="1:44" s="115" customFormat="1" ht="44.25" customHeight="1">
      <c r="A284" s="110"/>
      <c r="B284" s="1155" t="s">
        <v>1611</v>
      </c>
      <c r="C284" s="4227" t="s">
        <v>4539</v>
      </c>
      <c r="D284" s="4227"/>
      <c r="E284" s="4227"/>
      <c r="F284" s="4227"/>
      <c r="G284" s="4227"/>
      <c r="H284" s="4227"/>
      <c r="I284" s="4227"/>
      <c r="J284" s="4227"/>
      <c r="K284" s="4227"/>
      <c r="L284" s="4227"/>
      <c r="M284" s="4227"/>
      <c r="N284" s="4227"/>
      <c r="O284" s="128" t="s">
        <v>2462</v>
      </c>
      <c r="P284" s="877"/>
      <c r="Q284" s="876"/>
      <c r="S284" s="1342"/>
      <c r="T284" s="1342"/>
      <c r="U284" s="1342"/>
      <c r="V284" s="1342"/>
      <c r="W284" s="1342"/>
      <c r="X284" s="1342"/>
      <c r="Y284" s="1342"/>
      <c r="Z284" s="1342"/>
      <c r="AA284" s="1342"/>
      <c r="AB284" s="1342"/>
      <c r="AC284" s="1342"/>
      <c r="AD284" s="1342"/>
      <c r="AE284" s="1342"/>
      <c r="AF284" s="1342"/>
      <c r="AG284" s="1342"/>
      <c r="AH284" s="1342"/>
      <c r="AI284" s="1342"/>
      <c r="AJ284" s="1342"/>
      <c r="AK284" s="1342"/>
      <c r="AL284" s="1342"/>
      <c r="AM284" s="1342"/>
      <c r="AN284" s="1342"/>
      <c r="AO284" s="1342"/>
      <c r="AP284" s="1342"/>
      <c r="AQ284" s="1342"/>
      <c r="AR284" s="1342"/>
    </row>
    <row r="285" spans="1:44" s="333" customFormat="1" ht="12" customHeight="1">
      <c r="A285" s="110"/>
      <c r="B285" s="1155" t="s">
        <v>1612</v>
      </c>
      <c r="C285" s="4227" t="s">
        <v>4540</v>
      </c>
      <c r="D285" s="4227"/>
      <c r="E285" s="4227"/>
      <c r="F285" s="4227"/>
      <c r="G285" s="4227"/>
      <c r="H285" s="4227"/>
      <c r="I285" s="4227"/>
      <c r="J285" s="4227"/>
      <c r="K285" s="4227"/>
      <c r="L285" s="4227"/>
      <c r="M285" s="4227"/>
      <c r="N285" s="4227"/>
      <c r="O285" s="117" t="s">
        <v>1612</v>
      </c>
      <c r="P285" s="430"/>
      <c r="Q285" s="421"/>
      <c r="S285" s="1343"/>
      <c r="T285" s="1343"/>
      <c r="U285" s="1343"/>
      <c r="V285" s="1343"/>
      <c r="W285" s="1343"/>
      <c r="X285" s="1343"/>
      <c r="Y285" s="1343"/>
      <c r="Z285" s="1343"/>
      <c r="AA285" s="1343"/>
      <c r="AB285" s="1343"/>
      <c r="AC285" s="1343"/>
      <c r="AD285" s="1343"/>
      <c r="AE285" s="1343"/>
      <c r="AF285" s="1343"/>
      <c r="AG285" s="1343"/>
      <c r="AH285" s="1343"/>
      <c r="AI285" s="1343"/>
      <c r="AJ285" s="1343"/>
      <c r="AK285" s="1343"/>
      <c r="AL285" s="1343"/>
      <c r="AM285" s="1343"/>
      <c r="AN285" s="1343"/>
      <c r="AO285" s="1343"/>
      <c r="AP285" s="1343"/>
      <c r="AQ285" s="1343"/>
      <c r="AR285" s="1343"/>
    </row>
    <row r="286" spans="1:44" s="333" customFormat="1" ht="22.5" customHeight="1">
      <c r="A286" s="110"/>
      <c r="B286" s="371" t="s">
        <v>1613</v>
      </c>
      <c r="C286" s="4227" t="s">
        <v>4092</v>
      </c>
      <c r="D286" s="4227"/>
      <c r="E286" s="4227"/>
      <c r="F286" s="4227"/>
      <c r="G286" s="4227"/>
      <c r="H286" s="4227"/>
      <c r="I286" s="4227"/>
      <c r="J286" s="4227"/>
      <c r="K286" s="4227"/>
      <c r="L286" s="4227"/>
      <c r="M286" s="4227"/>
      <c r="N286" s="4227"/>
      <c r="O286" s="128" t="s">
        <v>1613</v>
      </c>
      <c r="P286" s="879"/>
      <c r="Q286" s="878"/>
      <c r="S286" s="1343"/>
      <c r="T286" s="1343"/>
      <c r="U286" s="1343"/>
      <c r="V286" s="1343"/>
      <c r="W286" s="1343"/>
      <c r="X286" s="1343"/>
      <c r="Y286" s="1343"/>
      <c r="Z286" s="1343"/>
      <c r="AA286" s="1343"/>
      <c r="AB286" s="1343"/>
      <c r="AC286" s="1343"/>
      <c r="AD286" s="1343"/>
      <c r="AE286" s="1343"/>
      <c r="AF286" s="1343"/>
      <c r="AG286" s="1343"/>
      <c r="AH286" s="1343"/>
      <c r="AI286" s="1343"/>
      <c r="AJ286" s="1343"/>
      <c r="AK286" s="1343"/>
      <c r="AL286" s="1343"/>
      <c r="AM286" s="1343"/>
      <c r="AN286" s="1343"/>
      <c r="AO286" s="1343"/>
      <c r="AP286" s="1343"/>
      <c r="AQ286" s="1343"/>
      <c r="AR286" s="1343"/>
    </row>
    <row r="287" spans="1:44" s="72" customFormat="1" ht="12.75" customHeight="1">
      <c r="A287" s="107" t="s">
        <v>1837</v>
      </c>
      <c r="B287" s="153" t="s">
        <v>3206</v>
      </c>
      <c r="D287" s="875"/>
      <c r="E287" s="875"/>
      <c r="F287" s="875"/>
      <c r="G287" s="875"/>
      <c r="H287" s="875"/>
      <c r="I287" s="875"/>
      <c r="J287" s="875"/>
      <c r="K287" s="875"/>
      <c r="L287" s="875"/>
      <c r="M287" s="875"/>
      <c r="N287" s="875"/>
      <c r="O287" s="48"/>
      <c r="P287" s="48"/>
      <c r="Q287" s="48"/>
      <c r="S287" s="1345"/>
      <c r="T287" s="1345"/>
      <c r="U287" s="1345"/>
      <c r="V287" s="1345"/>
      <c r="W287" s="1345"/>
      <c r="X287" s="1345"/>
      <c r="Y287" s="1345"/>
      <c r="Z287" s="1345"/>
      <c r="AA287" s="1345"/>
      <c r="AB287" s="1345"/>
      <c r="AC287" s="1345"/>
      <c r="AD287" s="1345"/>
      <c r="AE287" s="1345"/>
      <c r="AF287" s="1345"/>
      <c r="AG287" s="1345"/>
      <c r="AH287" s="1345"/>
      <c r="AI287" s="1345"/>
      <c r="AJ287" s="1345"/>
      <c r="AK287" s="1345"/>
      <c r="AL287" s="1345"/>
      <c r="AM287" s="1345"/>
      <c r="AN287" s="1345"/>
      <c r="AO287" s="1345"/>
      <c r="AP287" s="1345"/>
      <c r="AQ287" s="1345"/>
      <c r="AR287" s="1345"/>
    </row>
    <row r="288" spans="1:44" s="72" customFormat="1" ht="11.25" customHeight="1">
      <c r="A288" s="151"/>
      <c r="B288" s="1155" t="s">
        <v>1611</v>
      </c>
      <c r="C288" s="29" t="s">
        <v>1957</v>
      </c>
      <c r="D288" s="4227" t="s">
        <v>4095</v>
      </c>
      <c r="E288" s="4227"/>
      <c r="F288" s="4227"/>
      <c r="G288" s="4227"/>
      <c r="H288" s="4227"/>
      <c r="I288" s="108"/>
      <c r="J288" s="4235" t="s">
        <v>3180</v>
      </c>
      <c r="K288" s="4261"/>
      <c r="L288" s="4261"/>
      <c r="M288" s="4365" t="s">
        <v>3161</v>
      </c>
      <c r="N288" s="4365"/>
      <c r="S288" s="1345"/>
      <c r="T288" s="1345"/>
      <c r="U288" s="1345"/>
      <c r="V288" s="1345"/>
      <c r="W288" s="1345"/>
      <c r="X288" s="1345"/>
      <c r="Y288" s="1345"/>
      <c r="Z288" s="1345"/>
      <c r="AA288" s="1345"/>
      <c r="AB288" s="1345"/>
      <c r="AC288" s="1345"/>
      <c r="AD288" s="1345"/>
      <c r="AE288" s="1345"/>
      <c r="AF288" s="1345"/>
      <c r="AG288" s="1345"/>
      <c r="AH288" s="1345"/>
      <c r="AI288" s="1345"/>
      <c r="AJ288" s="1345"/>
      <c r="AK288" s="1345"/>
      <c r="AL288" s="1345"/>
      <c r="AM288" s="1345"/>
      <c r="AN288" s="1345"/>
      <c r="AO288" s="1345"/>
      <c r="AP288" s="1345"/>
      <c r="AQ288" s="1345"/>
      <c r="AR288" s="1345"/>
    </row>
    <row r="289" spans="1:44" s="144" customFormat="1" ht="10.5" customHeight="1">
      <c r="A289" s="249"/>
      <c r="B289" s="246"/>
      <c r="D289" s="4227"/>
      <c r="E289" s="4227"/>
      <c r="F289" s="4227"/>
      <c r="G289" s="4227"/>
      <c r="H289" s="4227"/>
      <c r="I289" s="248"/>
      <c r="J289" s="4261"/>
      <c r="K289" s="4261"/>
      <c r="L289" s="4261"/>
      <c r="M289" s="29" t="s">
        <v>3162</v>
      </c>
      <c r="N289" s="874"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7"/>
      <c r="E290" s="4227"/>
      <c r="F290" s="4227"/>
      <c r="G290" s="4227"/>
      <c r="H290" s="4227"/>
      <c r="I290" s="29" t="s">
        <v>3296</v>
      </c>
      <c r="K290" s="1498"/>
      <c r="L290" s="778" t="e">
        <f>IF(K290&lt;M290,"Check!!!","")</f>
        <v>#REF!</v>
      </c>
      <c r="M290" s="1500" t="e">
        <f>ROUNDUP(#REF!*'Part VII-Threshold Criteria OLD'!N290,0)</f>
        <v>#REF!</v>
      </c>
      <c r="N290" s="1141" t="e">
        <f>#REF!</f>
        <v>#REF!</v>
      </c>
      <c r="O290" s="48" t="s">
        <v>3080</v>
      </c>
      <c r="P290" s="1215"/>
      <c r="Q290" s="1216"/>
      <c r="S290" s="261"/>
      <c r="T290" s="261"/>
      <c r="U290" s="261"/>
      <c r="V290" s="1346"/>
      <c r="W290" s="261"/>
      <c r="X290" s="1346"/>
      <c r="Y290" s="261"/>
      <c r="Z290" s="1347" t="str">
        <f>IF(AA290="","",IF(AA290&lt;AC290,"Check!!!",""))</f>
        <v/>
      </c>
      <c r="AA290" s="1347" t="str">
        <f t="shared" ref="AA290:AG290" si="0">IF(AB290="","",IF(AB290&lt;AD290,"Check!!!",""))</f>
        <v/>
      </c>
      <c r="AB290" s="1347" t="str">
        <f t="shared" si="0"/>
        <v/>
      </c>
      <c r="AC290" s="1347" t="str">
        <f t="shared" si="0"/>
        <v/>
      </c>
      <c r="AD290" s="1347" t="str">
        <f t="shared" si="0"/>
        <v/>
      </c>
      <c r="AE290" s="1347" t="str">
        <f t="shared" si="0"/>
        <v/>
      </c>
      <c r="AF290" s="1347" t="str">
        <f t="shared" si="0"/>
        <v/>
      </c>
      <c r="AG290" s="1347" t="str">
        <f t="shared" si="0"/>
        <v/>
      </c>
      <c r="AH290" s="261"/>
      <c r="AI290" s="261"/>
      <c r="AJ290" s="261"/>
      <c r="AK290" s="261"/>
      <c r="AL290" s="261"/>
      <c r="AM290" s="261"/>
      <c r="AN290" s="261"/>
      <c r="AO290" s="261"/>
      <c r="AP290" s="261"/>
      <c r="AQ290" s="261"/>
      <c r="AR290" s="261"/>
    </row>
    <row r="291" spans="1:44" s="72" customFormat="1" ht="12.75" customHeight="1">
      <c r="A291" s="110"/>
      <c r="B291" s="1155"/>
      <c r="C291" s="29" t="s">
        <v>1958</v>
      </c>
      <c r="D291" s="4227" t="s">
        <v>4096</v>
      </c>
      <c r="E291" s="4227"/>
      <c r="F291" s="4227"/>
      <c r="G291" s="4227"/>
      <c r="H291" s="4227"/>
      <c r="I291" s="369" t="s">
        <v>3297</v>
      </c>
      <c r="J291" s="144"/>
      <c r="K291" s="1499"/>
      <c r="L291" s="778" t="e">
        <f>IF(K291&lt;M291,"Check!!!","")</f>
        <v>#REF!</v>
      </c>
      <c r="M291" s="1501" t="e">
        <f>ROUNDUP(K290*'Part VII-Threshold Criteria OLD'!N291,0)</f>
        <v>#REF!</v>
      </c>
      <c r="N291" s="1141" t="e">
        <f>#REF!</f>
        <v>#REF!</v>
      </c>
      <c r="O291" s="48" t="s">
        <v>1958</v>
      </c>
      <c r="P291" s="4264"/>
      <c r="Q291" s="4262"/>
      <c r="S291" s="1345"/>
      <c r="T291" s="1348"/>
      <c r="U291" s="1348"/>
      <c r="V291" s="1348"/>
      <c r="W291" s="1348"/>
      <c r="X291" s="1348"/>
      <c r="Y291" s="1348"/>
      <c r="Z291" s="1348"/>
      <c r="AA291" s="1348"/>
      <c r="AB291" s="1348"/>
      <c r="AC291" s="1348"/>
      <c r="AD291" s="1348"/>
      <c r="AE291" s="1348"/>
      <c r="AF291" s="1348"/>
      <c r="AG291" s="1348"/>
      <c r="AH291" s="1345"/>
      <c r="AI291" s="1345"/>
      <c r="AJ291" s="1345"/>
      <c r="AK291" s="1345"/>
      <c r="AL291" s="1345"/>
      <c r="AM291" s="1345"/>
      <c r="AN291" s="1345"/>
      <c r="AO291" s="1345"/>
      <c r="AP291" s="1345"/>
      <c r="AQ291" s="1345"/>
      <c r="AR291" s="1345"/>
    </row>
    <row r="292" spans="1:44" s="144" customFormat="1" ht="10.5" customHeight="1">
      <c r="A292" s="249"/>
      <c r="B292" s="246"/>
      <c r="C292" s="456"/>
      <c r="D292" s="4227"/>
      <c r="E292" s="4227"/>
      <c r="F292" s="4227"/>
      <c r="G292" s="4227"/>
      <c r="H292" s="4227"/>
      <c r="O292" s="33"/>
      <c r="P292" s="4265"/>
      <c r="Q292" s="4263"/>
      <c r="S292" s="261"/>
      <c r="T292" s="261"/>
      <c r="U292" s="261"/>
      <c r="V292" s="1346"/>
      <c r="W292" s="1349"/>
      <c r="X292" s="1346"/>
      <c r="Y292" s="261"/>
      <c r="Z292" s="1347" t="str">
        <f>IF(AA292="","",IF(AA292&lt;AC292,"Check!!!",""))</f>
        <v/>
      </c>
      <c r="AA292" s="1347" t="str">
        <f t="shared" ref="AA292:AG292" si="1">IF(AB292="","",IF(AB292&lt;AD292,"Check!!!",""))</f>
        <v/>
      </c>
      <c r="AB292" s="1347" t="str">
        <f t="shared" si="1"/>
        <v/>
      </c>
      <c r="AC292" s="1347" t="str">
        <f t="shared" si="1"/>
        <v/>
      </c>
      <c r="AD292" s="1347" t="str">
        <f t="shared" si="1"/>
        <v/>
      </c>
      <c r="AE292" s="1347" t="str">
        <f t="shared" si="1"/>
        <v/>
      </c>
      <c r="AF292" s="1347" t="str">
        <f t="shared" si="1"/>
        <v/>
      </c>
      <c r="AG292" s="1347" t="str">
        <f t="shared" si="1"/>
        <v/>
      </c>
      <c r="AH292" s="261"/>
      <c r="AI292" s="261"/>
      <c r="AJ292" s="261"/>
      <c r="AK292" s="261"/>
      <c r="AL292" s="261"/>
      <c r="AM292" s="261"/>
      <c r="AN292" s="261"/>
      <c r="AO292" s="261"/>
      <c r="AP292" s="261"/>
      <c r="AQ292" s="261"/>
      <c r="AR292" s="261"/>
    </row>
    <row r="293" spans="1:44" s="72" customFormat="1" ht="12.75" customHeight="1">
      <c r="A293" s="110"/>
      <c r="B293" s="1155" t="s">
        <v>1612</v>
      </c>
      <c r="C293" s="4227" t="s">
        <v>4621</v>
      </c>
      <c r="D293" s="4227"/>
      <c r="E293" s="4227"/>
      <c r="F293" s="4227"/>
      <c r="G293" s="4227"/>
      <c r="H293" s="4227"/>
      <c r="I293" s="29" t="s">
        <v>3298</v>
      </c>
      <c r="J293" s="144"/>
      <c r="K293" s="776"/>
      <c r="L293" s="778" t="e">
        <f>IF(K293&lt;M293,"Check!!!","")</f>
        <v>#REF!</v>
      </c>
      <c r="M293" s="779" t="e">
        <f>ROUNDUP(#REF!*'Part VII-Threshold Criteria OLD'!N293,0)</f>
        <v>#REF!</v>
      </c>
      <c r="N293" s="1141" t="e">
        <f>#REF!</f>
        <v>#REF!</v>
      </c>
      <c r="O293" s="48" t="s">
        <v>1612</v>
      </c>
      <c r="P293" s="1328"/>
      <c r="Q293" s="1327"/>
      <c r="S293" s="1345"/>
      <c r="T293" s="1348"/>
      <c r="U293" s="1348"/>
      <c r="V293" s="1348"/>
      <c r="W293" s="1348"/>
      <c r="X293" s="1348"/>
      <c r="Y293" s="1348"/>
      <c r="Z293" s="1348"/>
      <c r="AA293" s="1348"/>
      <c r="AB293" s="1348"/>
      <c r="AC293" s="1348"/>
      <c r="AD293" s="1348"/>
      <c r="AE293" s="1348"/>
      <c r="AF293" s="1348"/>
      <c r="AG293" s="1348"/>
      <c r="AH293" s="1345"/>
      <c r="AI293" s="1345"/>
      <c r="AJ293" s="1345"/>
      <c r="AK293" s="1345"/>
      <c r="AL293" s="1345"/>
      <c r="AM293" s="1345"/>
      <c r="AN293" s="1345"/>
      <c r="AO293" s="1345"/>
      <c r="AP293" s="1345"/>
      <c r="AQ293" s="1345"/>
      <c r="AR293" s="1345"/>
    </row>
    <row r="294" spans="1:44" s="144" customFormat="1" ht="3" customHeight="1">
      <c r="A294" s="249"/>
      <c r="C294" s="4227"/>
      <c r="D294" s="4227"/>
      <c r="E294" s="4227"/>
      <c r="F294" s="4227"/>
      <c r="G294" s="4227"/>
      <c r="H294" s="4227"/>
      <c r="J294" s="29"/>
      <c r="K294" s="29"/>
      <c r="L294" s="33"/>
      <c r="M294" s="874"/>
      <c r="O294" s="29"/>
      <c r="P294" s="874"/>
      <c r="Q294" s="29"/>
      <c r="S294" s="261"/>
      <c r="T294" s="1346"/>
      <c r="U294" s="1349"/>
      <c r="V294" s="1346"/>
      <c r="W294" s="1349"/>
      <c r="X294" s="1346"/>
      <c r="Y294" s="1346"/>
      <c r="Z294" s="1346"/>
      <c r="AA294" s="1346"/>
      <c r="AB294" s="1346"/>
      <c r="AC294" s="1346"/>
      <c r="AD294" s="1346"/>
      <c r="AE294" s="1346"/>
      <c r="AF294" s="1346"/>
      <c r="AG294" s="1346"/>
      <c r="AH294" s="261"/>
      <c r="AI294" s="261"/>
      <c r="AJ294" s="261"/>
      <c r="AK294" s="261"/>
      <c r="AL294" s="261"/>
      <c r="AM294" s="261"/>
      <c r="AN294" s="261"/>
      <c r="AO294" s="261"/>
      <c r="AP294" s="261"/>
      <c r="AQ294" s="261"/>
      <c r="AR294" s="261"/>
    </row>
    <row r="295" spans="1:44" s="144" customFormat="1" ht="10.5" customHeight="1">
      <c r="A295" s="249"/>
      <c r="C295" s="4227"/>
      <c r="D295" s="4227"/>
      <c r="E295" s="4227"/>
      <c r="F295" s="4227"/>
      <c r="G295" s="4227"/>
      <c r="H295" s="4227"/>
      <c r="O295" s="33"/>
      <c r="P295" s="48"/>
      <c r="S295" s="261"/>
      <c r="T295" s="261"/>
      <c r="U295" s="261"/>
      <c r="V295" s="1346"/>
      <c r="W295" s="1349"/>
      <c r="X295" s="1346"/>
      <c r="Y295" s="261"/>
      <c r="Z295" s="1347" t="str">
        <f>IF(AA295="","",IF(AA295&lt;AC295,"Check!!!",""))</f>
        <v/>
      </c>
      <c r="AA295" s="1347" t="str">
        <f t="shared" ref="AA295:AG295" si="2">IF(AB295="","",IF(AB295&lt;AD295,"Check!!!",""))</f>
        <v/>
      </c>
      <c r="AB295" s="1347" t="str">
        <f t="shared" si="2"/>
        <v/>
      </c>
      <c r="AC295" s="1347" t="str">
        <f t="shared" si="2"/>
        <v/>
      </c>
      <c r="AD295" s="1347" t="str">
        <f t="shared" si="2"/>
        <v/>
      </c>
      <c r="AE295" s="1347" t="str">
        <f t="shared" si="2"/>
        <v/>
      </c>
      <c r="AF295" s="1347" t="str">
        <f t="shared" si="2"/>
        <v/>
      </c>
      <c r="AG295" s="1347"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3207</v>
      </c>
      <c r="D296" s="870"/>
      <c r="E296" s="870"/>
      <c r="F296" s="870"/>
      <c r="G296" s="870"/>
      <c r="H296" s="870"/>
      <c r="O296" s="33"/>
      <c r="P296" s="48"/>
      <c r="S296" s="261"/>
      <c r="T296" s="261"/>
      <c r="U296" s="261"/>
      <c r="V296" s="1346"/>
      <c r="W296" s="1349"/>
      <c r="X296" s="1346"/>
      <c r="Y296" s="261"/>
      <c r="Z296" s="1347"/>
      <c r="AA296" s="1347"/>
      <c r="AB296" s="1347"/>
      <c r="AC296" s="1347"/>
      <c r="AD296" s="1347"/>
      <c r="AE296" s="1347"/>
      <c r="AF296" s="1347"/>
      <c r="AG296" s="1347"/>
      <c r="AH296" s="261"/>
      <c r="AI296" s="261"/>
      <c r="AJ296" s="261"/>
      <c r="AK296" s="261"/>
      <c r="AL296" s="261"/>
      <c r="AM296" s="261"/>
      <c r="AN296" s="261"/>
      <c r="AO296" s="261"/>
      <c r="AP296" s="261"/>
      <c r="AQ296" s="261"/>
      <c r="AR296" s="261"/>
    </row>
    <row r="297" spans="1:44" s="72" customFormat="1" ht="22.5" customHeight="1">
      <c r="B297" s="4227" t="s">
        <v>4600</v>
      </c>
      <c r="C297" s="4227"/>
      <c r="D297" s="4227"/>
      <c r="E297" s="4227"/>
      <c r="F297" s="4227"/>
      <c r="G297" s="4227"/>
      <c r="H297" s="4227"/>
      <c r="I297" s="4227"/>
      <c r="J297" s="4227"/>
      <c r="K297" s="4227"/>
      <c r="L297" s="4227"/>
      <c r="M297" s="4227"/>
      <c r="N297" s="4227"/>
      <c r="O297" s="128" t="s">
        <v>697</v>
      </c>
      <c r="P297" s="888"/>
      <c r="Q297" s="889"/>
      <c r="S297" s="1345"/>
      <c r="T297" s="1345"/>
      <c r="U297" s="1345"/>
      <c r="V297" s="1345"/>
      <c r="W297" s="1345"/>
      <c r="X297" s="1345"/>
      <c r="Y297" s="1345"/>
      <c r="Z297" s="1345"/>
      <c r="AA297" s="1345"/>
      <c r="AB297" s="1345"/>
      <c r="AC297" s="1345"/>
      <c r="AD297" s="1345"/>
      <c r="AE297" s="1345"/>
      <c r="AF297" s="1345"/>
      <c r="AG297" s="1345"/>
      <c r="AH297" s="1345"/>
      <c r="AI297" s="1345"/>
      <c r="AJ297" s="1345"/>
      <c r="AK297" s="1345"/>
      <c r="AL297" s="1345"/>
      <c r="AM297" s="1345"/>
      <c r="AN297" s="1345"/>
      <c r="AO297" s="1345"/>
      <c r="AP297" s="1345"/>
      <c r="AQ297" s="1345"/>
      <c r="AR297" s="1345"/>
    </row>
    <row r="298" spans="1:44" s="72" customFormat="1" ht="11.25" customHeight="1">
      <c r="B298" s="108" t="s">
        <v>3081</v>
      </c>
      <c r="D298" s="108"/>
      <c r="E298" s="108"/>
      <c r="F298" s="108"/>
      <c r="G298" s="108"/>
      <c r="H298" s="108"/>
      <c r="I298" s="108" t="s">
        <v>3160</v>
      </c>
      <c r="J298" s="108"/>
      <c r="K298" s="108"/>
      <c r="L298" s="4309"/>
      <c r="M298" s="4310"/>
      <c r="N298" s="4310"/>
      <c r="O298" s="4310"/>
      <c r="P298" s="4310"/>
      <c r="Q298" s="4311"/>
      <c r="R298" s="108"/>
      <c r="S298" s="1345"/>
      <c r="T298" s="1345"/>
      <c r="U298" s="1345"/>
      <c r="V298" s="1345"/>
      <c r="W298" s="1345"/>
      <c r="X298" s="1345"/>
      <c r="Y298" s="1345"/>
      <c r="Z298" s="1345"/>
      <c r="AA298" s="1345"/>
      <c r="AB298" s="1345"/>
      <c r="AC298" s="1345"/>
      <c r="AD298" s="1345"/>
      <c r="AE298" s="1345"/>
      <c r="AF298" s="1345"/>
      <c r="AG298" s="1345"/>
      <c r="AH298" s="1345"/>
      <c r="AI298" s="1345"/>
      <c r="AJ298" s="1345"/>
      <c r="AK298" s="1345"/>
      <c r="AL298" s="1345"/>
      <c r="AM298" s="1345"/>
      <c r="AN298" s="1345"/>
      <c r="AO298" s="1345"/>
      <c r="AP298" s="1345"/>
      <c r="AQ298" s="1345"/>
      <c r="AR298" s="1345"/>
    </row>
    <row r="299" spans="1:44" s="333" customFormat="1" ht="44.25" customHeight="1">
      <c r="B299" s="1155" t="s">
        <v>1611</v>
      </c>
      <c r="C299" s="4227" t="s">
        <v>4541</v>
      </c>
      <c r="D299" s="4227"/>
      <c r="E299" s="4227"/>
      <c r="F299" s="4227"/>
      <c r="G299" s="4227"/>
      <c r="H299" s="4227"/>
      <c r="I299" s="4227"/>
      <c r="J299" s="4227"/>
      <c r="K299" s="4227"/>
      <c r="L299" s="4227"/>
      <c r="M299" s="4227"/>
      <c r="N299" s="4227"/>
      <c r="O299" s="128" t="s">
        <v>3084</v>
      </c>
      <c r="P299" s="877"/>
      <c r="Q299" s="876"/>
      <c r="S299" s="1343"/>
      <c r="T299" s="1343"/>
      <c r="U299" s="1343"/>
      <c r="V299" s="1343"/>
      <c r="W299" s="1343"/>
      <c r="X299" s="1343"/>
      <c r="Y299" s="1343"/>
      <c r="Z299" s="1343"/>
      <c r="AA299" s="1343"/>
      <c r="AB299" s="1343"/>
      <c r="AC299" s="1343"/>
      <c r="AD299" s="1343"/>
      <c r="AE299" s="1343"/>
      <c r="AF299" s="1343"/>
      <c r="AG299" s="1343"/>
      <c r="AH299" s="1343"/>
      <c r="AI299" s="1343"/>
      <c r="AJ299" s="1343"/>
      <c r="AK299" s="1343"/>
      <c r="AL299" s="1343"/>
      <c r="AM299" s="1343"/>
      <c r="AN299" s="1343"/>
      <c r="AO299" s="1343"/>
      <c r="AP299" s="1343"/>
      <c r="AQ299" s="1343"/>
      <c r="AR299" s="1343"/>
    </row>
    <row r="300" spans="1:44" s="333" customFormat="1" ht="34.5" customHeight="1">
      <c r="B300" s="1155" t="s">
        <v>1612</v>
      </c>
      <c r="C300" s="4227" t="s">
        <v>3707</v>
      </c>
      <c r="D300" s="4227"/>
      <c r="E300" s="4227"/>
      <c r="F300" s="4227"/>
      <c r="G300" s="4227"/>
      <c r="H300" s="4227"/>
      <c r="I300" s="4227"/>
      <c r="J300" s="4227"/>
      <c r="K300" s="4227"/>
      <c r="L300" s="4227"/>
      <c r="M300" s="4227"/>
      <c r="N300" s="4227"/>
      <c r="O300" s="128" t="s">
        <v>3085</v>
      </c>
      <c r="P300" s="430"/>
      <c r="Q300" s="421"/>
      <c r="S300" s="1343"/>
      <c r="T300" s="1343"/>
      <c r="U300" s="1343"/>
      <c r="V300" s="1343"/>
      <c r="W300" s="1343"/>
      <c r="X300" s="1343"/>
      <c r="Y300" s="1343"/>
      <c r="Z300" s="1343"/>
      <c r="AA300" s="1343"/>
      <c r="AB300" s="1343"/>
      <c r="AC300" s="1343"/>
      <c r="AD300" s="1343"/>
      <c r="AE300" s="1343"/>
      <c r="AF300" s="1343"/>
      <c r="AG300" s="1343"/>
      <c r="AH300" s="1343"/>
      <c r="AI300" s="1343"/>
      <c r="AJ300" s="1343"/>
      <c r="AK300" s="1343"/>
      <c r="AL300" s="1343"/>
      <c r="AM300" s="1343"/>
      <c r="AN300" s="1343"/>
      <c r="AO300" s="1343"/>
      <c r="AP300" s="1343"/>
      <c r="AQ300" s="1343"/>
      <c r="AR300" s="1343"/>
    </row>
    <row r="301" spans="1:44" s="333" customFormat="1" ht="22.5" customHeight="1">
      <c r="B301" s="371" t="s">
        <v>1613</v>
      </c>
      <c r="C301" s="4227" t="s">
        <v>3082</v>
      </c>
      <c r="D301" s="4227"/>
      <c r="E301" s="4227"/>
      <c r="F301" s="4227"/>
      <c r="G301" s="4227"/>
      <c r="H301" s="4227"/>
      <c r="I301" s="4227"/>
      <c r="J301" s="4227"/>
      <c r="K301" s="4227"/>
      <c r="L301" s="4227"/>
      <c r="M301" s="4227"/>
      <c r="N301" s="4227"/>
      <c r="O301" s="128" t="s">
        <v>3086</v>
      </c>
      <c r="P301" s="430"/>
      <c r="Q301" s="421"/>
      <c r="S301" s="1343"/>
      <c r="T301" s="1343"/>
      <c r="U301" s="1343"/>
      <c r="V301" s="1343"/>
      <c r="W301" s="1343"/>
      <c r="X301" s="1343"/>
      <c r="Y301" s="1343"/>
      <c r="Z301" s="1343"/>
      <c r="AA301" s="1343"/>
      <c r="AB301" s="1343"/>
      <c r="AC301" s="1343"/>
      <c r="AD301" s="1343"/>
      <c r="AE301" s="1343"/>
      <c r="AF301" s="1343"/>
      <c r="AG301" s="1343"/>
      <c r="AH301" s="1343"/>
      <c r="AI301" s="1343"/>
      <c r="AJ301" s="1343"/>
      <c r="AK301" s="1343"/>
      <c r="AL301" s="1343"/>
      <c r="AM301" s="1343"/>
      <c r="AN301" s="1343"/>
      <c r="AO301" s="1343"/>
      <c r="AP301" s="1343"/>
      <c r="AQ301" s="1343"/>
      <c r="AR301" s="1343"/>
    </row>
    <row r="302" spans="1:44" s="333" customFormat="1" ht="34.5" customHeight="1">
      <c r="B302" s="371" t="s">
        <v>2175</v>
      </c>
      <c r="C302" s="4227" t="s">
        <v>3083</v>
      </c>
      <c r="D302" s="4227"/>
      <c r="E302" s="4227"/>
      <c r="F302" s="4227"/>
      <c r="G302" s="4227"/>
      <c r="H302" s="4227"/>
      <c r="I302" s="4227"/>
      <c r="J302" s="4227"/>
      <c r="K302" s="4227"/>
      <c r="L302" s="4227"/>
      <c r="M302" s="4227"/>
      <c r="N302" s="4227"/>
      <c r="O302" s="128" t="s">
        <v>3087</v>
      </c>
      <c r="P302" s="879"/>
      <c r="Q302" s="878"/>
      <c r="S302" s="1343"/>
      <c r="T302" s="1343"/>
      <c r="U302" s="1343"/>
      <c r="V302" s="1343"/>
      <c r="W302" s="1343"/>
      <c r="X302" s="1343"/>
      <c r="Y302" s="1343"/>
      <c r="Z302" s="1343"/>
      <c r="AA302" s="1343"/>
      <c r="AB302" s="1343"/>
      <c r="AC302" s="1343"/>
      <c r="AD302" s="1343"/>
      <c r="AE302" s="1343"/>
      <c r="AF302" s="1343"/>
      <c r="AG302" s="1343"/>
      <c r="AH302" s="1343"/>
      <c r="AI302" s="1343"/>
      <c r="AJ302" s="1343"/>
      <c r="AK302" s="1343"/>
      <c r="AL302" s="1343"/>
      <c r="AM302" s="1343"/>
      <c r="AN302" s="1343"/>
      <c r="AO302" s="1343"/>
      <c r="AP302" s="1343"/>
      <c r="AQ302" s="1343"/>
      <c r="AR302" s="1343"/>
    </row>
    <row r="303" spans="1:44" ht="11.25" customHeight="1">
      <c r="B303" s="109" t="s">
        <v>3154</v>
      </c>
      <c r="D303" s="109"/>
      <c r="E303" s="109"/>
      <c r="F303" s="109"/>
      <c r="G303" s="109"/>
      <c r="H303" s="33"/>
      <c r="I303" s="874"/>
      <c r="J303" s="874"/>
      <c r="K303" s="874"/>
      <c r="L303" s="671"/>
      <c r="M303" s="671"/>
      <c r="N303" s="671"/>
      <c r="O303" s="671"/>
      <c r="P303" s="671"/>
      <c r="Q303" s="671"/>
      <c r="S303" s="1337"/>
      <c r="T303" s="1337"/>
      <c r="U303" s="1337"/>
      <c r="V303" s="1337"/>
      <c r="W303" s="1337"/>
      <c r="X303" s="1337"/>
      <c r="Y303" s="1337"/>
      <c r="Z303" s="1337"/>
      <c r="AA303" s="1337"/>
      <c r="AB303" s="1337"/>
      <c r="AC303" s="1337"/>
      <c r="AD303" s="1337"/>
      <c r="AE303" s="1337"/>
      <c r="AF303" s="1337"/>
      <c r="AG303" s="1337"/>
      <c r="AH303" s="1337"/>
      <c r="AI303" s="1337"/>
      <c r="AJ303" s="1337"/>
      <c r="AK303" s="1337"/>
      <c r="AL303" s="1337"/>
      <c r="AM303" s="1337"/>
      <c r="AN303" s="1337"/>
      <c r="AO303" s="1337"/>
      <c r="AP303" s="1337"/>
      <c r="AQ303" s="1337"/>
      <c r="AR303" s="1337"/>
    </row>
    <row r="304" spans="1:44" ht="32.25" customHeight="1">
      <c r="A304" s="4241"/>
      <c r="B304" s="4242"/>
      <c r="C304" s="4242"/>
      <c r="D304" s="4242"/>
      <c r="E304" s="4242"/>
      <c r="F304" s="4242"/>
      <c r="G304" s="4242"/>
      <c r="H304" s="4242"/>
      <c r="I304" s="4242"/>
      <c r="J304" s="4242"/>
      <c r="K304" s="4242"/>
      <c r="L304" s="4242"/>
      <c r="M304" s="4242"/>
      <c r="N304" s="4242"/>
      <c r="O304" s="4242"/>
      <c r="P304" s="4242"/>
      <c r="Q304" s="4243"/>
      <c r="R304" s="353" t="s">
        <v>1179</v>
      </c>
      <c r="S304" s="1340"/>
      <c r="T304" s="1337"/>
      <c r="U304" s="1341"/>
      <c r="V304" s="1341"/>
      <c r="W304" s="1341"/>
      <c r="X304" s="1341"/>
      <c r="Y304" s="1341"/>
      <c r="Z304" s="1341"/>
      <c r="AA304" s="1341"/>
      <c r="AB304" s="1341"/>
      <c r="AC304" s="1341"/>
      <c r="AD304" s="1341"/>
      <c r="AE304" s="1341"/>
      <c r="AF304" s="1337"/>
      <c r="AG304" s="1337"/>
      <c r="AH304" s="1337"/>
      <c r="AI304" s="1337"/>
      <c r="AJ304" s="1337"/>
      <c r="AK304" s="1337"/>
      <c r="AL304" s="1337"/>
      <c r="AM304" s="1337"/>
      <c r="AN304" s="1337"/>
      <c r="AO304" s="1337"/>
      <c r="AP304" s="1337"/>
      <c r="AQ304" s="1337"/>
      <c r="AR304" s="1337"/>
    </row>
    <row r="305" spans="1:256 1523:1523" ht="11.25" customHeight="1">
      <c r="B305" s="105" t="s">
        <v>1724</v>
      </c>
      <c r="C305" s="106"/>
      <c r="D305" s="870"/>
      <c r="E305" s="870"/>
      <c r="F305" s="870"/>
      <c r="G305" s="870"/>
      <c r="H305" s="870"/>
      <c r="I305" s="870"/>
      <c r="J305" s="870"/>
      <c r="K305" s="870"/>
      <c r="L305" s="870"/>
      <c r="M305" s="870"/>
      <c r="N305" s="870"/>
      <c r="O305" s="870"/>
      <c r="P305" s="870"/>
      <c r="Q305" s="870"/>
      <c r="S305" s="1337"/>
      <c r="T305" s="1337"/>
      <c r="U305" s="1337"/>
      <c r="V305" s="1337"/>
      <c r="W305" s="1337"/>
      <c r="X305" s="1337"/>
      <c r="Y305" s="1337"/>
      <c r="Z305" s="1337"/>
      <c r="AA305" s="1337"/>
      <c r="AB305" s="1337"/>
      <c r="AC305" s="1337"/>
      <c r="AD305" s="1337"/>
      <c r="AE305" s="1337"/>
      <c r="AF305" s="1337"/>
      <c r="AG305" s="1337"/>
      <c r="AH305" s="1337"/>
      <c r="AI305" s="1337"/>
      <c r="AJ305" s="1337"/>
      <c r="AK305" s="1337"/>
      <c r="AL305" s="1337"/>
      <c r="AM305" s="1337"/>
      <c r="AN305" s="1337"/>
      <c r="AO305" s="1337"/>
      <c r="AP305" s="1337"/>
      <c r="AQ305" s="1337"/>
      <c r="AR305" s="1337"/>
    </row>
    <row r="306" spans="1:256 1523:1523" ht="45.75" customHeight="1">
      <c r="A306" s="4266"/>
      <c r="B306" s="4267"/>
      <c r="C306" s="4267"/>
      <c r="D306" s="4267"/>
      <c r="E306" s="4267"/>
      <c r="F306" s="4267"/>
      <c r="G306" s="4267"/>
      <c r="H306" s="4267"/>
      <c r="I306" s="4267"/>
      <c r="J306" s="4267"/>
      <c r="K306" s="4267"/>
      <c r="L306" s="4267"/>
      <c r="M306" s="4267"/>
      <c r="N306" s="4267"/>
      <c r="O306" s="4267"/>
      <c r="P306" s="4267"/>
      <c r="Q306" s="4268"/>
      <c r="S306" s="1337"/>
      <c r="T306" s="1337"/>
      <c r="U306" s="1337"/>
      <c r="V306" s="1337"/>
      <c r="W306" s="1337"/>
      <c r="X306" s="1337"/>
      <c r="Y306" s="1337"/>
      <c r="Z306" s="1337"/>
      <c r="AA306" s="1337"/>
      <c r="AB306" s="1337"/>
      <c r="AC306" s="1337"/>
      <c r="AD306" s="1337"/>
      <c r="AE306" s="1337"/>
      <c r="AF306" s="1337"/>
      <c r="AG306" s="1337"/>
      <c r="AH306" s="1337"/>
      <c r="AI306" s="1337"/>
      <c r="AJ306" s="1337"/>
      <c r="AK306" s="1337"/>
      <c r="AL306" s="1337"/>
      <c r="AM306" s="1337"/>
      <c r="AN306" s="1337"/>
      <c r="AO306" s="1337"/>
      <c r="AP306" s="1337"/>
      <c r="AQ306" s="1337"/>
      <c r="AR306" s="1337"/>
    </row>
    <row r="307" spans="1:256 1523:1523" ht="14.1" customHeight="1">
      <c r="A307" s="2" t="s">
        <v>3281</v>
      </c>
      <c r="B307" s="4" t="s">
        <v>2426</v>
      </c>
      <c r="C307" s="4"/>
      <c r="D307" s="4"/>
      <c r="E307" s="4"/>
      <c r="F307" s="4"/>
      <c r="G307" s="4"/>
      <c r="H307" s="870"/>
      <c r="I307" s="870"/>
      <c r="J307" s="870"/>
      <c r="K307" s="870"/>
      <c r="L307" s="870"/>
      <c r="M307" s="870"/>
      <c r="O307" s="101" t="s">
        <v>1725</v>
      </c>
      <c r="P307" s="4360"/>
      <c r="Q307" s="4361"/>
      <c r="S307" s="1337"/>
      <c r="T307" s="1337"/>
      <c r="U307" s="1337"/>
      <c r="V307" s="1337"/>
      <c r="W307" s="1337"/>
      <c r="X307" s="1337"/>
      <c r="Y307" s="1337"/>
      <c r="Z307" s="1337"/>
      <c r="AA307" s="1337"/>
      <c r="AB307" s="1337"/>
      <c r="AC307" s="1337"/>
      <c r="AD307" s="1337"/>
      <c r="AE307" s="1337"/>
      <c r="AF307" s="1337"/>
      <c r="AG307" s="1337"/>
      <c r="AH307" s="1337"/>
      <c r="AI307" s="1337"/>
      <c r="AJ307" s="1337"/>
      <c r="AK307" s="1337"/>
      <c r="AL307" s="1337"/>
      <c r="AM307" s="1337"/>
      <c r="AN307" s="1337"/>
      <c r="AO307" s="1337"/>
      <c r="AP307" s="1337"/>
      <c r="AQ307" s="1337"/>
      <c r="AR307" s="1337"/>
    </row>
    <row r="308" spans="1:256 1523:1523" ht="11.7" customHeight="1">
      <c r="B308" s="79" t="s">
        <v>2075</v>
      </c>
      <c r="P308" s="175"/>
      <c r="Q308" s="418"/>
      <c r="S308" s="1337"/>
      <c r="T308" s="1337"/>
      <c r="U308" s="1337"/>
      <c r="V308" s="1337"/>
      <c r="W308" s="1337"/>
      <c r="X308" s="1337"/>
      <c r="Y308" s="1337"/>
      <c r="Z308" s="1337"/>
      <c r="AA308" s="1337"/>
      <c r="AB308" s="1337"/>
      <c r="AC308" s="1337"/>
      <c r="AD308" s="1337"/>
      <c r="AE308" s="1337"/>
      <c r="AF308" s="1337"/>
      <c r="AG308" s="1337"/>
      <c r="AH308" s="1337"/>
      <c r="AI308" s="1337"/>
      <c r="AJ308" s="1337"/>
      <c r="AK308" s="1337"/>
      <c r="AL308" s="1337"/>
      <c r="AM308" s="1337"/>
      <c r="AN308" s="1337"/>
      <c r="AO308" s="1337"/>
      <c r="AP308" s="1337"/>
      <c r="AQ308" s="1337"/>
      <c r="AR308" s="1337"/>
    </row>
    <row r="309" spans="1:256 1523:1523" ht="12" customHeight="1">
      <c r="B309" s="371" t="s">
        <v>2039</v>
      </c>
      <c r="C309" s="371"/>
      <c r="D309" s="371"/>
      <c r="E309" s="371"/>
      <c r="F309" s="371"/>
      <c r="G309" s="371"/>
      <c r="H309" s="371"/>
      <c r="I309" s="371"/>
      <c r="J309" s="371"/>
      <c r="K309" s="371"/>
      <c r="L309" s="371"/>
      <c r="P309" s="176"/>
      <c r="Q309" s="420"/>
      <c r="S309" s="1337"/>
      <c r="T309" s="1337"/>
      <c r="U309" s="1337"/>
      <c r="V309" s="1337"/>
      <c r="W309" s="1337"/>
      <c r="X309" s="1337"/>
      <c r="Y309" s="1337"/>
      <c r="Z309" s="1337"/>
      <c r="AA309" s="1337"/>
      <c r="AB309" s="1337"/>
      <c r="AC309" s="1337"/>
      <c r="AD309" s="1337"/>
      <c r="AE309" s="1337"/>
      <c r="AF309" s="1337"/>
      <c r="AG309" s="1337"/>
      <c r="AH309" s="1337"/>
      <c r="AI309" s="1337"/>
      <c r="AJ309" s="1337"/>
      <c r="AK309" s="1337"/>
      <c r="AL309" s="1337"/>
      <c r="AM309" s="1337"/>
      <c r="AN309" s="1337"/>
      <c r="AO309" s="1337"/>
      <c r="AP309" s="1337"/>
      <c r="AQ309" s="1337"/>
      <c r="AR309" s="1337"/>
    </row>
    <row r="310" spans="1:256 1523:1523" s="115" customFormat="1" ht="11.7" customHeight="1">
      <c r="A310" s="40"/>
      <c r="B310" s="33" t="s">
        <v>3661</v>
      </c>
      <c r="E310" s="33"/>
      <c r="F310" s="33"/>
      <c r="G310" s="33"/>
      <c r="H310" s="33"/>
      <c r="I310" s="72"/>
      <c r="J310" s="48"/>
      <c r="K310" s="4250" t="s">
        <v>1641</v>
      </c>
      <c r="L310" s="4251"/>
      <c r="M310" s="4251"/>
      <c r="N310" s="4329"/>
      <c r="O310" s="66"/>
      <c r="P310" s="1497"/>
      <c r="Q310" s="417"/>
      <c r="R310" s="72"/>
      <c r="S310" s="1342"/>
      <c r="T310" s="1342"/>
      <c r="U310" s="1342"/>
      <c r="V310" s="1342"/>
      <c r="W310" s="1342"/>
      <c r="X310" s="1342"/>
      <c r="Y310" s="1342"/>
      <c r="Z310" s="1342"/>
      <c r="AA310" s="1342"/>
      <c r="AB310" s="1342"/>
      <c r="AC310" s="1342"/>
      <c r="AD310" s="1342"/>
      <c r="AE310" s="1342"/>
      <c r="AF310" s="1342"/>
      <c r="AG310" s="1342"/>
      <c r="AH310" s="1342"/>
      <c r="AI310" s="1342"/>
      <c r="AJ310" s="1342"/>
      <c r="AK310" s="1342"/>
      <c r="AL310" s="1342"/>
      <c r="AM310" s="1342"/>
      <c r="AN310" s="1342"/>
      <c r="AO310" s="1342"/>
      <c r="AP310" s="1342"/>
      <c r="AQ310" s="1342"/>
      <c r="AR310" s="1342"/>
    </row>
    <row r="311" spans="1:256 1523:1523" ht="11.7" customHeight="1">
      <c r="A311" s="110" t="s">
        <v>1835</v>
      </c>
      <c r="B311" s="89" t="s">
        <v>4550</v>
      </c>
      <c r="D311" s="33"/>
      <c r="E311" s="33"/>
      <c r="F311" s="33"/>
      <c r="G311" s="33"/>
      <c r="H311" s="33"/>
      <c r="I311" s="33"/>
      <c r="J311" s="33"/>
      <c r="K311" s="33"/>
      <c r="L311" s="33"/>
      <c r="M311" s="33"/>
      <c r="N311" s="128"/>
      <c r="S311" s="1337"/>
      <c r="T311" s="1337"/>
      <c r="U311" s="1337"/>
      <c r="V311" s="1337"/>
      <c r="W311" s="1337"/>
      <c r="X311" s="1337"/>
      <c r="Y311" s="1337"/>
      <c r="Z311" s="1337"/>
      <c r="AA311" s="1337"/>
      <c r="AB311" s="1337"/>
      <c r="AC311" s="1337"/>
      <c r="AD311" s="1337"/>
      <c r="AE311" s="1337"/>
      <c r="AF311" s="1337"/>
      <c r="AG311" s="1337"/>
      <c r="AH311" s="1337"/>
      <c r="AI311" s="1337"/>
      <c r="AJ311" s="1337"/>
      <c r="AK311" s="1337"/>
      <c r="AL311" s="1337"/>
      <c r="AM311" s="1337"/>
      <c r="AN311" s="1337"/>
      <c r="AO311" s="1337"/>
      <c r="AP311" s="1337"/>
      <c r="AQ311" s="1337"/>
      <c r="AR311" s="1337"/>
    </row>
    <row r="312" spans="1:256 1523:1523" ht="56.25" customHeight="1">
      <c r="B312" s="4227" t="s">
        <v>4549</v>
      </c>
      <c r="C312" s="4227"/>
      <c r="D312" s="4227"/>
      <c r="E312" s="4227"/>
      <c r="F312" s="4227"/>
      <c r="G312" s="4227"/>
      <c r="H312" s="4227"/>
      <c r="I312" s="4227"/>
      <c r="J312" s="4227"/>
      <c r="K312" s="4227"/>
      <c r="L312" s="4227"/>
      <c r="M312" s="4227"/>
      <c r="N312" s="4227"/>
      <c r="O312" s="128" t="s">
        <v>1835</v>
      </c>
      <c r="P312" s="127"/>
      <c r="Q312" s="422"/>
      <c r="S312" s="1337"/>
      <c r="T312" s="1337"/>
      <c r="U312" s="1337"/>
      <c r="V312" s="1337"/>
      <c r="W312" s="1337"/>
      <c r="X312" s="1337"/>
      <c r="Y312" s="1337"/>
      <c r="Z312" s="1337"/>
      <c r="AA312" s="1337"/>
      <c r="AB312" s="1337"/>
      <c r="AC312" s="1337"/>
      <c r="AD312" s="1337"/>
      <c r="AE312" s="1337"/>
      <c r="AF312" s="1337"/>
      <c r="AG312" s="1337"/>
      <c r="AH312" s="1337"/>
      <c r="AI312" s="1337"/>
      <c r="AJ312" s="1337"/>
      <c r="AK312" s="1337"/>
      <c r="AL312" s="1337"/>
      <c r="AM312" s="1337"/>
      <c r="AN312" s="1337"/>
      <c r="AO312" s="1337"/>
      <c r="AP312" s="1337"/>
      <c r="AQ312" s="1337"/>
      <c r="AR312" s="1337"/>
    </row>
    <row r="313" spans="1:256 1523:1523" ht="12.6" customHeight="1">
      <c r="A313" s="110" t="s">
        <v>1837</v>
      </c>
      <c r="B313" s="66" t="s">
        <v>432</v>
      </c>
      <c r="D313" s="66"/>
      <c r="E313" s="66"/>
      <c r="F313" s="66"/>
      <c r="G313" s="66"/>
      <c r="H313" s="66"/>
      <c r="I313" s="66"/>
      <c r="J313" s="66"/>
      <c r="K313" s="66"/>
      <c r="L313" s="66"/>
      <c r="M313" s="66"/>
      <c r="O313" s="128" t="s">
        <v>1837</v>
      </c>
      <c r="P313" s="671"/>
      <c r="Q313" s="671"/>
      <c r="S313" s="1337"/>
      <c r="T313" s="1337"/>
      <c r="U313" s="1337"/>
      <c r="V313" s="1337"/>
      <c r="W313" s="1337"/>
      <c r="X313" s="1337"/>
      <c r="Y313" s="1337"/>
      <c r="Z313" s="1337"/>
      <c r="AA313" s="1337"/>
      <c r="AB313" s="1337"/>
      <c r="AC313" s="1337"/>
      <c r="AD313" s="1337"/>
      <c r="AE313" s="1337"/>
      <c r="AF313" s="1337"/>
      <c r="AG313" s="1337"/>
      <c r="AH313" s="1337"/>
      <c r="AI313" s="1337"/>
      <c r="AJ313" s="1337"/>
      <c r="AK313" s="1337"/>
      <c r="AL313" s="1337"/>
      <c r="AM313" s="1337"/>
      <c r="AN313" s="1337"/>
      <c r="AO313" s="1337"/>
      <c r="AP313" s="1337"/>
      <c r="AQ313" s="1337"/>
      <c r="AR313" s="1337"/>
    </row>
    <row r="314" spans="1:256 1523:1523" ht="38.25" customHeight="1">
      <c r="B314" s="371" t="s">
        <v>1611</v>
      </c>
      <c r="C314" s="108" t="s">
        <v>1064</v>
      </c>
      <c r="E314" s="102"/>
      <c r="F314" s="102"/>
      <c r="G314" s="4299" t="s">
        <v>2140</v>
      </c>
      <c r="H314" s="4300"/>
      <c r="I314" s="4300"/>
      <c r="J314" s="4300"/>
      <c r="K314" s="4300"/>
      <c r="L314" s="4300"/>
      <c r="M314" s="4300"/>
      <c r="N314" s="4301"/>
      <c r="O314" s="128" t="s">
        <v>1611</v>
      </c>
      <c r="P314" s="877"/>
      <c r="Q314" s="876"/>
      <c r="S314" s="1337"/>
      <c r="T314" s="1337"/>
      <c r="U314" s="1337"/>
      <c r="V314" s="1337"/>
      <c r="W314" s="1337"/>
      <c r="X314" s="1337"/>
      <c r="Y314" s="1337"/>
      <c r="Z314" s="1337"/>
      <c r="AA314" s="1337"/>
      <c r="AB314" s="1337"/>
      <c r="AC314" s="1337"/>
      <c r="AD314" s="1337"/>
      <c r="AE314" s="1337"/>
      <c r="AF314" s="1337"/>
      <c r="AG314" s="1337"/>
      <c r="AH314" s="1337"/>
      <c r="AI314" s="1337"/>
      <c r="AJ314" s="1337"/>
      <c r="AK314" s="1337"/>
      <c r="AL314" s="1337"/>
      <c r="AM314" s="1337"/>
      <c r="AN314" s="1337"/>
      <c r="AO314" s="1337"/>
      <c r="AP314" s="1337"/>
      <c r="AQ314" s="1337"/>
      <c r="AR314" s="1337"/>
      <c r="BFO314" s="115" t="s">
        <v>2463</v>
      </c>
    </row>
    <row r="315" spans="1:256 1523:1523" ht="23.25" customHeight="1">
      <c r="B315" s="371" t="s">
        <v>1612</v>
      </c>
      <c r="C315" s="4227" t="s">
        <v>1065</v>
      </c>
      <c r="D315" s="4227"/>
      <c r="E315" s="4227"/>
      <c r="F315" s="4319"/>
      <c r="G315" s="3138" t="s">
        <v>1017</v>
      </c>
      <c r="H315" s="4323"/>
      <c r="I315" s="4323"/>
      <c r="J315" s="4323"/>
      <c r="K315" s="4323"/>
      <c r="L315" s="4323"/>
      <c r="M315" s="4323"/>
      <c r="N315" s="4324"/>
      <c r="O315" s="128" t="s">
        <v>1612</v>
      </c>
      <c r="P315" s="879"/>
      <c r="Q315" s="878"/>
      <c r="S315" s="1337"/>
      <c r="T315" s="1337"/>
      <c r="U315" s="1337"/>
      <c r="V315" s="1337"/>
      <c r="W315" s="1337"/>
      <c r="X315" s="1337"/>
      <c r="Y315" s="1337"/>
      <c r="Z315" s="1337"/>
      <c r="AA315" s="1337"/>
      <c r="AB315" s="1337"/>
      <c r="AC315" s="1337"/>
      <c r="AD315" s="1337"/>
      <c r="AE315" s="1337"/>
      <c r="AF315" s="1337"/>
      <c r="AG315" s="1337"/>
      <c r="AH315" s="1337"/>
      <c r="AI315" s="1337"/>
      <c r="AJ315" s="1337"/>
      <c r="AK315" s="1337"/>
      <c r="AL315" s="1337"/>
      <c r="AM315" s="1337"/>
      <c r="AN315" s="1337"/>
      <c r="AO315" s="1337"/>
      <c r="AP315" s="1337"/>
      <c r="AQ315" s="1337"/>
      <c r="AR315" s="1337"/>
    </row>
    <row r="316" spans="1:256 1523:1523" ht="3" customHeight="1">
      <c r="A316" s="671"/>
      <c r="B316" s="901"/>
      <c r="C316" s="671"/>
      <c r="D316" s="671"/>
      <c r="E316" s="671"/>
      <c r="F316" s="671"/>
      <c r="G316" s="671"/>
      <c r="H316" s="671"/>
      <c r="I316" s="671"/>
      <c r="J316" s="671"/>
      <c r="K316" s="671"/>
      <c r="L316" s="671"/>
      <c r="M316" s="671"/>
      <c r="N316" s="671"/>
      <c r="O316" s="671"/>
      <c r="P316" s="671"/>
      <c r="Q316" s="671"/>
      <c r="R316" s="671"/>
      <c r="S316" s="1350"/>
      <c r="T316" s="1350"/>
      <c r="U316" s="1350"/>
      <c r="V316" s="1350"/>
      <c r="W316" s="1350"/>
      <c r="X316" s="1350"/>
      <c r="Y316" s="1350"/>
      <c r="Z316" s="1350"/>
      <c r="AA316" s="1350"/>
      <c r="AB316" s="1350"/>
      <c r="AC316" s="1350"/>
      <c r="AD316" s="1350"/>
      <c r="AE316" s="1350"/>
      <c r="AF316" s="1350"/>
      <c r="AG316" s="1350"/>
      <c r="AH316" s="1350"/>
      <c r="AI316" s="1350"/>
      <c r="AJ316" s="1350"/>
      <c r="AK316" s="1350"/>
      <c r="AL316" s="1350"/>
      <c r="AM316" s="1350"/>
      <c r="AN316" s="1350"/>
      <c r="AO316" s="1350"/>
      <c r="AP316" s="1350"/>
      <c r="AQ316" s="1350"/>
      <c r="AR316" s="1350"/>
      <c r="AS316" s="671"/>
      <c r="AT316" s="671"/>
      <c r="AU316" s="671"/>
      <c r="AV316" s="671"/>
      <c r="AW316" s="671"/>
      <c r="AX316" s="671"/>
      <c r="AY316" s="671"/>
      <c r="AZ316" s="671"/>
      <c r="BA316" s="671"/>
      <c r="BB316" s="671"/>
      <c r="BC316" s="671"/>
      <c r="BD316" s="671"/>
      <c r="BE316" s="671"/>
      <c r="BF316" s="671"/>
      <c r="BG316" s="671"/>
      <c r="BH316" s="671"/>
      <c r="BI316" s="671"/>
      <c r="BJ316" s="671"/>
      <c r="BK316" s="671"/>
      <c r="BL316" s="671"/>
      <c r="BM316" s="671"/>
      <c r="BN316" s="671"/>
      <c r="BO316" s="671"/>
      <c r="BP316" s="671"/>
      <c r="BQ316" s="671"/>
      <c r="BR316" s="671"/>
      <c r="BS316" s="671"/>
      <c r="BT316" s="671"/>
      <c r="BU316" s="671"/>
      <c r="BV316" s="671"/>
      <c r="BW316" s="671"/>
      <c r="BX316" s="671"/>
      <c r="BY316" s="671"/>
      <c r="BZ316" s="671"/>
      <c r="CA316" s="671"/>
      <c r="CB316" s="671"/>
      <c r="CC316" s="671"/>
      <c r="CD316" s="671"/>
      <c r="CE316" s="671"/>
      <c r="CF316" s="671"/>
      <c r="CG316" s="671"/>
      <c r="CH316" s="671"/>
      <c r="CI316" s="671"/>
      <c r="CJ316" s="671"/>
      <c r="CK316" s="671"/>
      <c r="CL316" s="671"/>
      <c r="CM316" s="671"/>
      <c r="CN316" s="671"/>
      <c r="CO316" s="671"/>
      <c r="CP316" s="671"/>
      <c r="CQ316" s="671"/>
      <c r="CR316" s="671"/>
      <c r="CS316" s="671"/>
      <c r="CT316" s="671"/>
      <c r="CU316" s="671"/>
      <c r="CV316" s="671"/>
      <c r="CW316" s="671"/>
      <c r="CX316" s="671"/>
      <c r="CY316" s="671"/>
      <c r="CZ316" s="671"/>
      <c r="DA316" s="671"/>
      <c r="DB316" s="671"/>
      <c r="DC316" s="671"/>
      <c r="DD316" s="671"/>
      <c r="DE316" s="671"/>
      <c r="DF316" s="671"/>
      <c r="DG316" s="671"/>
      <c r="DH316" s="671"/>
      <c r="DI316" s="671"/>
      <c r="DJ316" s="671"/>
      <c r="DK316" s="671"/>
      <c r="DL316" s="671"/>
      <c r="DM316" s="671"/>
      <c r="DN316" s="671"/>
      <c r="DO316" s="671"/>
      <c r="DP316" s="671"/>
      <c r="DQ316" s="671"/>
      <c r="DR316" s="671"/>
      <c r="DS316" s="671"/>
      <c r="DT316" s="671"/>
      <c r="DU316" s="671"/>
      <c r="DV316" s="671"/>
      <c r="DW316" s="671"/>
      <c r="DX316" s="671"/>
      <c r="DY316" s="671"/>
      <c r="DZ316" s="671"/>
      <c r="EA316" s="671"/>
      <c r="EB316" s="671"/>
      <c r="EC316" s="671"/>
      <c r="ED316" s="671"/>
      <c r="EE316" s="671"/>
      <c r="EF316" s="671"/>
      <c r="EG316" s="671"/>
      <c r="EH316" s="671"/>
      <c r="EI316" s="671"/>
      <c r="EJ316" s="671"/>
      <c r="EK316" s="671"/>
      <c r="EL316" s="671"/>
      <c r="EM316" s="671"/>
      <c r="EN316" s="671"/>
      <c r="EO316" s="671"/>
      <c r="EP316" s="671"/>
      <c r="EQ316" s="671"/>
      <c r="ER316" s="671"/>
      <c r="ES316" s="671"/>
      <c r="ET316" s="671"/>
      <c r="EU316" s="671"/>
      <c r="EV316" s="671"/>
      <c r="EW316" s="671"/>
      <c r="EX316" s="671"/>
      <c r="EY316" s="671"/>
      <c r="EZ316" s="671"/>
      <c r="FA316" s="671"/>
      <c r="FB316" s="671"/>
      <c r="FC316" s="671"/>
      <c r="FD316" s="671"/>
      <c r="FE316" s="671"/>
      <c r="FF316" s="671"/>
      <c r="FG316" s="671"/>
      <c r="FH316" s="671"/>
      <c r="FI316" s="671"/>
      <c r="FJ316" s="671"/>
      <c r="FK316" s="671"/>
      <c r="FL316" s="671"/>
      <c r="FM316" s="671"/>
      <c r="FN316" s="671"/>
      <c r="FO316" s="671"/>
      <c r="FP316" s="671"/>
      <c r="FQ316" s="671"/>
      <c r="FR316" s="671"/>
      <c r="FS316" s="671"/>
      <c r="FT316" s="671"/>
      <c r="FU316" s="671"/>
      <c r="FV316" s="671"/>
      <c r="FW316" s="671"/>
      <c r="FX316" s="671"/>
      <c r="FY316" s="671"/>
      <c r="FZ316" s="671"/>
      <c r="GA316" s="671"/>
      <c r="GB316" s="671"/>
      <c r="GC316" s="671"/>
      <c r="GD316" s="671"/>
      <c r="GE316" s="671"/>
      <c r="GF316" s="671"/>
      <c r="GG316" s="671"/>
      <c r="GH316" s="671"/>
      <c r="GI316" s="671"/>
      <c r="GJ316" s="671"/>
      <c r="GK316" s="671"/>
      <c r="GL316" s="671"/>
      <c r="GM316" s="671"/>
      <c r="GN316" s="671"/>
      <c r="GO316" s="671"/>
      <c r="GP316" s="671"/>
      <c r="GQ316" s="671"/>
      <c r="GR316" s="671"/>
      <c r="GS316" s="671"/>
      <c r="GT316" s="671"/>
      <c r="GU316" s="671"/>
      <c r="GV316" s="671"/>
      <c r="GW316" s="671"/>
      <c r="GX316" s="671"/>
      <c r="GY316" s="671"/>
      <c r="GZ316" s="671"/>
      <c r="HA316" s="671"/>
      <c r="HB316" s="671"/>
      <c r="HC316" s="671"/>
      <c r="HD316" s="671"/>
      <c r="HE316" s="671"/>
      <c r="HF316" s="671"/>
      <c r="HG316" s="671"/>
      <c r="HH316" s="671"/>
      <c r="HI316" s="671"/>
      <c r="HJ316" s="671"/>
      <c r="HK316" s="671"/>
      <c r="HL316" s="671"/>
      <c r="HM316" s="671"/>
      <c r="HN316" s="671"/>
      <c r="HO316" s="671"/>
      <c r="HP316" s="671"/>
      <c r="HQ316" s="671"/>
      <c r="HR316" s="671"/>
      <c r="HS316" s="671"/>
      <c r="HT316" s="671"/>
      <c r="HU316" s="671"/>
      <c r="HV316" s="671"/>
      <c r="HW316" s="671"/>
      <c r="HX316" s="671"/>
      <c r="HY316" s="671"/>
      <c r="HZ316" s="671"/>
      <c r="IA316" s="671"/>
      <c r="IB316" s="671"/>
      <c r="IC316" s="671"/>
      <c r="ID316" s="671"/>
      <c r="IE316" s="671"/>
      <c r="IF316" s="671"/>
      <c r="IG316" s="671"/>
      <c r="IH316" s="671"/>
      <c r="II316" s="671"/>
      <c r="IJ316" s="671"/>
      <c r="IK316" s="671"/>
      <c r="IL316" s="671"/>
      <c r="IM316" s="671"/>
      <c r="IN316" s="671"/>
      <c r="IO316" s="671"/>
      <c r="IP316" s="671"/>
      <c r="IQ316" s="671"/>
      <c r="IR316" s="671"/>
      <c r="IS316" s="671"/>
      <c r="IT316" s="671"/>
      <c r="IU316" s="671"/>
      <c r="IV316" s="671"/>
    </row>
    <row r="317" spans="1:256 1523:1523" s="102" customFormat="1" ht="22.5" customHeight="1">
      <c r="A317" s="110"/>
      <c r="B317" s="371" t="s">
        <v>1613</v>
      </c>
      <c r="C317" s="1444" t="s">
        <v>4016</v>
      </c>
      <c r="D317" s="1443"/>
      <c r="E317" s="1443"/>
      <c r="F317" s="1443"/>
      <c r="G317" s="4253" t="s">
        <v>4017</v>
      </c>
      <c r="H317" s="4253"/>
      <c r="I317" s="4253"/>
      <c r="J317" s="4253"/>
      <c r="K317" s="4253"/>
      <c r="L317" s="4253"/>
      <c r="M317" s="4253"/>
      <c r="N317" s="4253"/>
      <c r="O317" s="351"/>
      <c r="P317" s="671"/>
      <c r="Q317" s="671"/>
      <c r="S317" s="1351"/>
      <c r="T317" s="1351"/>
      <c r="U317" s="1351"/>
      <c r="V317" s="1351"/>
      <c r="W317" s="1351"/>
      <c r="X317" s="1351"/>
      <c r="Y317" s="1351"/>
      <c r="Z317" s="1351"/>
      <c r="AA317" s="1351"/>
      <c r="AB317" s="1351"/>
      <c r="AC317" s="1351"/>
      <c r="AD317" s="1351"/>
      <c r="AE317" s="1351"/>
      <c r="AF317" s="1351"/>
      <c r="AG317" s="1351"/>
      <c r="AH317" s="1351"/>
      <c r="AI317" s="1351"/>
      <c r="AJ317" s="1351"/>
      <c r="AK317" s="1351"/>
      <c r="AL317" s="1351"/>
      <c r="AM317" s="1351"/>
      <c r="AN317" s="1351"/>
      <c r="AO317" s="1351"/>
      <c r="AP317" s="1351"/>
      <c r="AQ317" s="1351"/>
      <c r="AR317" s="1351"/>
    </row>
    <row r="318" spans="1:256 1523:1523" s="102" customFormat="1" ht="11.25" customHeight="1">
      <c r="A318" s="112"/>
      <c r="B318" s="128" t="s">
        <v>2233</v>
      </c>
      <c r="C318" s="4306"/>
      <c r="D318" s="4307"/>
      <c r="E318" s="4307"/>
      <c r="F318" s="4307"/>
      <c r="G318" s="4307"/>
      <c r="H318" s="4307"/>
      <c r="I318" s="4307"/>
      <c r="J318" s="4307"/>
      <c r="K318" s="4307"/>
      <c r="L318" s="4307"/>
      <c r="M318" s="4307"/>
      <c r="N318" s="4308"/>
      <c r="O318" s="128" t="s">
        <v>4192</v>
      </c>
      <c r="P318" s="877"/>
      <c r="Q318" s="876"/>
      <c r="S318" s="1351"/>
      <c r="T318" s="1351"/>
      <c r="U318" s="1351"/>
      <c r="V318" s="1351"/>
      <c r="W318" s="1351"/>
      <c r="X318" s="1351"/>
      <c r="Y318" s="1351"/>
      <c r="Z318" s="1351"/>
      <c r="AA318" s="1351"/>
      <c r="AB318" s="1351"/>
      <c r="AC318" s="1351"/>
      <c r="AD318" s="1351"/>
      <c r="AE318" s="1351"/>
      <c r="AF318" s="1351"/>
      <c r="AG318" s="1351"/>
      <c r="AH318" s="1351"/>
      <c r="AI318" s="1351"/>
      <c r="AJ318" s="1351"/>
      <c r="AK318" s="1351"/>
      <c r="AL318" s="1351"/>
      <c r="AM318" s="1351"/>
      <c r="AN318" s="1351"/>
      <c r="AO318" s="1351"/>
      <c r="AP318" s="1351"/>
      <c r="AQ318" s="1351"/>
      <c r="AR318" s="1351"/>
    </row>
    <row r="319" spans="1:256 1523:1523" s="102" customFormat="1" ht="11.25" customHeight="1">
      <c r="A319" s="112"/>
      <c r="B319" s="128" t="s">
        <v>2234</v>
      </c>
      <c r="C319" s="4320"/>
      <c r="D319" s="4321"/>
      <c r="E319" s="4321"/>
      <c r="F319" s="4321"/>
      <c r="G319" s="4321"/>
      <c r="H319" s="4321"/>
      <c r="I319" s="4321"/>
      <c r="J319" s="4321"/>
      <c r="K319" s="4321"/>
      <c r="L319" s="4321"/>
      <c r="M319" s="4321"/>
      <c r="N319" s="4322"/>
      <c r="O319" s="128" t="s">
        <v>4193</v>
      </c>
      <c r="P319" s="879"/>
      <c r="Q319" s="878"/>
      <c r="S319" s="1351"/>
      <c r="T319" s="1351"/>
      <c r="U319" s="1351"/>
      <c r="V319" s="1351"/>
      <c r="W319" s="1351"/>
      <c r="X319" s="1351"/>
      <c r="Y319" s="1351"/>
      <c r="Z319" s="1351"/>
      <c r="AA319" s="1351"/>
      <c r="AB319" s="1351"/>
      <c r="AC319" s="1351"/>
      <c r="AD319" s="1351"/>
      <c r="AE319" s="1351"/>
      <c r="AF319" s="1351"/>
      <c r="AG319" s="1351"/>
      <c r="AH319" s="1351"/>
      <c r="AI319" s="1351"/>
      <c r="AJ319" s="1351"/>
      <c r="AK319" s="1351"/>
      <c r="AL319" s="1351"/>
      <c r="AM319" s="1351"/>
      <c r="AN319" s="1351"/>
      <c r="AO319" s="1351"/>
      <c r="AP319" s="1351"/>
      <c r="AQ319" s="1351"/>
      <c r="AR319" s="1351"/>
    </row>
    <row r="320" spans="1:256 1523:1523" ht="22.5" customHeight="1">
      <c r="A320" s="110" t="s">
        <v>1956</v>
      </c>
      <c r="B320" s="4227" t="s">
        <v>4018</v>
      </c>
      <c r="C320" s="4227"/>
      <c r="D320" s="4227"/>
      <c r="E320" s="4227"/>
      <c r="F320" s="4227"/>
      <c r="G320" s="4227"/>
      <c r="H320" s="4227"/>
      <c r="I320" s="4227"/>
      <c r="J320" s="4227"/>
      <c r="K320" s="4227"/>
      <c r="L320" s="4227"/>
      <c r="M320" s="4227"/>
      <c r="N320" s="4227"/>
      <c r="O320" s="128" t="s">
        <v>1956</v>
      </c>
      <c r="P320" s="879"/>
      <c r="Q320" s="878"/>
    </row>
    <row r="321" spans="1:256" ht="3" customHeight="1">
      <c r="A321" s="671"/>
      <c r="B321" s="671"/>
      <c r="C321" s="671"/>
      <c r="D321" s="671"/>
      <c r="E321" s="671"/>
      <c r="F321" s="671"/>
      <c r="G321" s="671"/>
      <c r="H321" s="671"/>
      <c r="I321" s="671"/>
      <c r="J321" s="671"/>
      <c r="K321" s="671"/>
      <c r="L321" s="671"/>
      <c r="M321" s="671"/>
      <c r="N321" s="671"/>
      <c r="O321" s="671"/>
      <c r="P321" s="671"/>
      <c r="Q321" s="671"/>
      <c r="R321" s="671"/>
      <c r="S321" s="1350"/>
      <c r="T321" s="1350"/>
      <c r="U321" s="1350"/>
      <c r="V321" s="1350"/>
      <c r="W321" s="1350"/>
      <c r="X321" s="1350"/>
      <c r="Y321" s="1350"/>
      <c r="Z321" s="1350"/>
      <c r="AA321" s="1350"/>
      <c r="AB321" s="1350"/>
      <c r="AC321" s="1350"/>
      <c r="AD321" s="1350"/>
      <c r="AE321" s="1350"/>
      <c r="AF321" s="1350"/>
      <c r="AG321" s="1350"/>
      <c r="AH321" s="1350"/>
      <c r="AI321" s="1350"/>
      <c r="AJ321" s="1350"/>
      <c r="AK321" s="1350"/>
      <c r="AL321" s="1350"/>
      <c r="AM321" s="1350"/>
      <c r="AN321" s="1350"/>
      <c r="AO321" s="1350"/>
      <c r="AP321" s="1350"/>
      <c r="AQ321" s="1350"/>
      <c r="AR321" s="1350"/>
      <c r="AS321" s="671"/>
      <c r="AT321" s="671"/>
      <c r="AU321" s="671"/>
      <c r="AV321" s="671"/>
      <c r="AW321" s="671"/>
      <c r="AX321" s="671"/>
      <c r="AY321" s="671"/>
      <c r="AZ321" s="671"/>
      <c r="BA321" s="671"/>
      <c r="BB321" s="671"/>
      <c r="BC321" s="671"/>
      <c r="BD321" s="671"/>
      <c r="BE321" s="671"/>
      <c r="BF321" s="671"/>
      <c r="BG321" s="671"/>
      <c r="BH321" s="671"/>
      <c r="BI321" s="671"/>
      <c r="BJ321" s="671"/>
      <c r="BK321" s="671"/>
      <c r="BL321" s="671"/>
      <c r="BM321" s="671"/>
      <c r="BN321" s="671"/>
      <c r="BO321" s="671"/>
      <c r="BP321" s="671"/>
      <c r="BQ321" s="671"/>
      <c r="BR321" s="671"/>
      <c r="BS321" s="671"/>
      <c r="BT321" s="671"/>
      <c r="BU321" s="671"/>
      <c r="BV321" s="671"/>
      <c r="BW321" s="671"/>
      <c r="BX321" s="671"/>
      <c r="BY321" s="671"/>
      <c r="BZ321" s="671"/>
      <c r="CA321" s="671"/>
      <c r="CB321" s="671"/>
      <c r="CC321" s="671"/>
      <c r="CD321" s="671"/>
      <c r="CE321" s="671"/>
      <c r="CF321" s="671"/>
      <c r="CG321" s="671"/>
      <c r="CH321" s="671"/>
      <c r="CI321" s="671"/>
      <c r="CJ321" s="671"/>
      <c r="CK321" s="671"/>
      <c r="CL321" s="671"/>
      <c r="CM321" s="671"/>
      <c r="CN321" s="671"/>
      <c r="CO321" s="671"/>
      <c r="CP321" s="671"/>
      <c r="CQ321" s="671"/>
      <c r="CR321" s="671"/>
      <c r="CS321" s="671"/>
      <c r="CT321" s="671"/>
      <c r="CU321" s="671"/>
      <c r="CV321" s="671"/>
      <c r="CW321" s="671"/>
      <c r="CX321" s="671"/>
      <c r="CY321" s="671"/>
      <c r="CZ321" s="671"/>
      <c r="DA321" s="671"/>
      <c r="DB321" s="671"/>
      <c r="DC321" s="671"/>
      <c r="DD321" s="671"/>
      <c r="DE321" s="671"/>
      <c r="DF321" s="671"/>
      <c r="DG321" s="671"/>
      <c r="DH321" s="671"/>
      <c r="DI321" s="671"/>
      <c r="DJ321" s="671"/>
      <c r="DK321" s="671"/>
      <c r="DL321" s="671"/>
      <c r="DM321" s="671"/>
      <c r="DN321" s="671"/>
      <c r="DO321" s="671"/>
      <c r="DP321" s="671"/>
      <c r="DQ321" s="671"/>
      <c r="DR321" s="671"/>
      <c r="DS321" s="671"/>
      <c r="DT321" s="671"/>
      <c r="DU321" s="671"/>
      <c r="DV321" s="671"/>
      <c r="DW321" s="671"/>
      <c r="DX321" s="671"/>
      <c r="DY321" s="671"/>
      <c r="DZ321" s="671"/>
      <c r="EA321" s="671"/>
      <c r="EB321" s="671"/>
      <c r="EC321" s="671"/>
      <c r="ED321" s="671"/>
      <c r="EE321" s="671"/>
      <c r="EF321" s="671"/>
      <c r="EG321" s="671"/>
      <c r="EH321" s="671"/>
      <c r="EI321" s="671"/>
      <c r="EJ321" s="671"/>
      <c r="EK321" s="671"/>
      <c r="EL321" s="671"/>
      <c r="EM321" s="671"/>
      <c r="EN321" s="671"/>
      <c r="EO321" s="671"/>
      <c r="EP321" s="671"/>
      <c r="EQ321" s="671"/>
      <c r="ER321" s="671"/>
      <c r="ES321" s="671"/>
      <c r="ET321" s="671"/>
      <c r="EU321" s="671"/>
      <c r="EV321" s="671"/>
      <c r="EW321" s="671"/>
      <c r="EX321" s="671"/>
      <c r="EY321" s="671"/>
      <c r="EZ321" s="671"/>
      <c r="FA321" s="671"/>
      <c r="FB321" s="671"/>
      <c r="FC321" s="671"/>
      <c r="FD321" s="671"/>
      <c r="FE321" s="671"/>
      <c r="FF321" s="671"/>
      <c r="FG321" s="671"/>
      <c r="FH321" s="671"/>
      <c r="FI321" s="671"/>
      <c r="FJ321" s="671"/>
      <c r="FK321" s="671"/>
      <c r="FL321" s="671"/>
      <c r="FM321" s="671"/>
      <c r="FN321" s="671"/>
      <c r="FO321" s="671"/>
      <c r="FP321" s="671"/>
      <c r="FQ321" s="671"/>
      <c r="FR321" s="671"/>
      <c r="FS321" s="671"/>
      <c r="FT321" s="671"/>
      <c r="FU321" s="671"/>
      <c r="FV321" s="671"/>
      <c r="FW321" s="671"/>
      <c r="FX321" s="671"/>
      <c r="FY321" s="671"/>
      <c r="FZ321" s="671"/>
      <c r="GA321" s="671"/>
      <c r="GB321" s="671"/>
      <c r="GC321" s="671"/>
      <c r="GD321" s="671"/>
      <c r="GE321" s="671"/>
      <c r="GF321" s="671"/>
      <c r="GG321" s="671"/>
      <c r="GH321" s="671"/>
      <c r="GI321" s="671"/>
      <c r="GJ321" s="671"/>
      <c r="GK321" s="671"/>
      <c r="GL321" s="671"/>
      <c r="GM321" s="671"/>
      <c r="GN321" s="671"/>
      <c r="GO321" s="671"/>
      <c r="GP321" s="671"/>
      <c r="GQ321" s="671"/>
      <c r="GR321" s="671"/>
      <c r="GS321" s="671"/>
      <c r="GT321" s="671"/>
      <c r="GU321" s="671"/>
      <c r="GV321" s="671"/>
      <c r="GW321" s="671"/>
      <c r="GX321" s="671"/>
      <c r="GY321" s="671"/>
      <c r="GZ321" s="671"/>
      <c r="HA321" s="671"/>
      <c r="HB321" s="671"/>
      <c r="HC321" s="671"/>
      <c r="HD321" s="671"/>
      <c r="HE321" s="671"/>
      <c r="HF321" s="671"/>
      <c r="HG321" s="671"/>
      <c r="HH321" s="671"/>
      <c r="HI321" s="671"/>
      <c r="HJ321" s="671"/>
      <c r="HK321" s="671"/>
      <c r="HL321" s="671"/>
      <c r="HM321" s="671"/>
      <c r="HN321" s="671"/>
      <c r="HO321" s="671"/>
      <c r="HP321" s="671"/>
      <c r="HQ321" s="671"/>
      <c r="HR321" s="671"/>
      <c r="HS321" s="671"/>
      <c r="HT321" s="671"/>
      <c r="HU321" s="671"/>
      <c r="HV321" s="671"/>
      <c r="HW321" s="671"/>
      <c r="HX321" s="671"/>
      <c r="HY321" s="671"/>
      <c r="HZ321" s="671"/>
      <c r="IA321" s="671"/>
      <c r="IB321" s="671"/>
      <c r="IC321" s="671"/>
      <c r="ID321" s="671"/>
      <c r="IE321" s="671"/>
      <c r="IF321" s="671"/>
      <c r="IG321" s="671"/>
      <c r="IH321" s="671"/>
      <c r="II321" s="671"/>
      <c r="IJ321" s="671"/>
      <c r="IK321" s="671"/>
      <c r="IL321" s="671"/>
      <c r="IM321" s="671"/>
      <c r="IN321" s="671"/>
      <c r="IO321" s="671"/>
      <c r="IP321" s="671"/>
      <c r="IQ321" s="671"/>
      <c r="IR321" s="671"/>
      <c r="IS321" s="671"/>
      <c r="IT321" s="671"/>
      <c r="IU321" s="671"/>
      <c r="IV321" s="671"/>
    </row>
    <row r="322" spans="1:256" ht="11.25" customHeight="1">
      <c r="B322" s="109" t="s">
        <v>3154</v>
      </c>
      <c r="D322" s="109"/>
      <c r="E322" s="109"/>
      <c r="F322" s="109"/>
      <c r="G322" s="109"/>
      <c r="H322" s="33"/>
      <c r="I322" s="874"/>
      <c r="J322" s="874"/>
      <c r="K322" s="874"/>
      <c r="L322" s="671"/>
      <c r="M322" s="671"/>
      <c r="N322" s="671"/>
      <c r="O322" s="671"/>
      <c r="P322" s="671"/>
      <c r="Q322" s="671"/>
      <c r="S322" s="1337"/>
      <c r="T322" s="1337"/>
      <c r="U322" s="1337"/>
      <c r="V322" s="1337"/>
      <c r="W322" s="1337"/>
      <c r="X322" s="1337"/>
      <c r="Y322" s="1337"/>
      <c r="Z322" s="1337"/>
      <c r="AA322" s="1337"/>
      <c r="AB322" s="1337"/>
      <c r="AC322" s="1337"/>
      <c r="AD322" s="1337"/>
      <c r="AE322" s="1337"/>
      <c r="AF322" s="1337"/>
      <c r="AG322" s="1337"/>
      <c r="AH322" s="1337"/>
      <c r="AI322" s="1337"/>
      <c r="AJ322" s="1337"/>
      <c r="AK322" s="1337"/>
      <c r="AL322" s="1337"/>
      <c r="AM322" s="1337"/>
      <c r="AN322" s="1337"/>
      <c r="AO322" s="1337"/>
      <c r="AP322" s="1337"/>
      <c r="AQ322" s="1337"/>
      <c r="AR322" s="1337"/>
    </row>
    <row r="323" spans="1:256" ht="11.7" customHeight="1">
      <c r="A323" s="4241"/>
      <c r="B323" s="4242"/>
      <c r="C323" s="4242"/>
      <c r="D323" s="4242"/>
      <c r="E323" s="4242"/>
      <c r="F323" s="4242"/>
      <c r="G323" s="4242"/>
      <c r="H323" s="4242"/>
      <c r="I323" s="4242"/>
      <c r="J323" s="4242"/>
      <c r="K323" s="4242"/>
      <c r="L323" s="4242"/>
      <c r="M323" s="4242"/>
      <c r="N323" s="4242"/>
      <c r="O323" s="4242"/>
      <c r="P323" s="4242"/>
      <c r="Q323" s="4243"/>
      <c r="R323" s="365" t="s">
        <v>1179</v>
      </c>
      <c r="S323" s="1352"/>
      <c r="T323" s="1337"/>
      <c r="U323" s="1341"/>
      <c r="V323" s="1341"/>
      <c r="W323" s="1341"/>
      <c r="X323" s="1341"/>
      <c r="Y323" s="1341"/>
      <c r="Z323" s="1341"/>
      <c r="AA323" s="1341"/>
      <c r="AB323" s="1341"/>
      <c r="AC323" s="1341"/>
      <c r="AD323" s="1341"/>
      <c r="AE323" s="1341"/>
      <c r="AF323" s="1337"/>
      <c r="AG323" s="1337"/>
      <c r="AH323" s="1337"/>
      <c r="AI323" s="1337"/>
      <c r="AJ323" s="1337"/>
      <c r="AK323" s="1337"/>
      <c r="AL323" s="1337"/>
      <c r="AM323" s="1337"/>
      <c r="AN323" s="1337"/>
      <c r="AO323" s="1337"/>
      <c r="AP323" s="1337"/>
      <c r="AQ323" s="1337"/>
      <c r="AR323" s="1337"/>
    </row>
    <row r="324" spans="1:256" ht="11.25" customHeight="1">
      <c r="B324" s="105" t="s">
        <v>1724</v>
      </c>
      <c r="C324" s="106"/>
      <c r="D324" s="870"/>
      <c r="E324" s="870"/>
      <c r="F324" s="870"/>
      <c r="G324" s="870"/>
      <c r="H324" s="870"/>
      <c r="I324" s="870"/>
      <c r="J324" s="870"/>
      <c r="K324" s="870"/>
      <c r="L324" s="870"/>
      <c r="M324" s="870"/>
      <c r="N324" s="870"/>
      <c r="O324" s="870"/>
      <c r="P324" s="870"/>
      <c r="Q324" s="870"/>
      <c r="S324" s="1337"/>
      <c r="T324" s="1337"/>
      <c r="U324" s="1337"/>
      <c r="V324" s="1337"/>
      <c r="W324" s="1337"/>
      <c r="X324" s="1337"/>
      <c r="Y324" s="1337"/>
      <c r="Z324" s="1337"/>
      <c r="AA324" s="1337"/>
      <c r="AB324" s="1337"/>
      <c r="AC324" s="1337"/>
      <c r="AD324" s="1337"/>
      <c r="AE324" s="1337"/>
      <c r="AF324" s="1337"/>
      <c r="AG324" s="1337"/>
      <c r="AH324" s="1337"/>
      <c r="AI324" s="1337"/>
      <c r="AJ324" s="1337"/>
      <c r="AK324" s="1337"/>
      <c r="AL324" s="1337"/>
      <c r="AM324" s="1337"/>
      <c r="AN324" s="1337"/>
      <c r="AO324" s="1337"/>
      <c r="AP324" s="1337"/>
      <c r="AQ324" s="1337"/>
      <c r="AR324" s="1337"/>
    </row>
    <row r="325" spans="1:256" ht="11.7" customHeight="1">
      <c r="A325" s="4238"/>
      <c r="B325" s="4239"/>
      <c r="C325" s="4239"/>
      <c r="D325" s="4239"/>
      <c r="E325" s="4239"/>
      <c r="F325" s="4239"/>
      <c r="G325" s="4239"/>
      <c r="H325" s="4239"/>
      <c r="I325" s="4239"/>
      <c r="J325" s="4239"/>
      <c r="K325" s="4239"/>
      <c r="L325" s="4239"/>
      <c r="M325" s="4239"/>
      <c r="N325" s="4239"/>
      <c r="O325" s="4239"/>
      <c r="P325" s="4239"/>
      <c r="Q325" s="4240"/>
      <c r="S325" s="1337"/>
      <c r="T325" s="1337"/>
      <c r="U325" s="1337"/>
      <c r="V325" s="1337"/>
      <c r="W325" s="1337"/>
      <c r="X325" s="1337"/>
      <c r="Y325" s="1337"/>
      <c r="Z325" s="1337"/>
      <c r="AA325" s="1337"/>
      <c r="AB325" s="1337"/>
      <c r="AC325" s="1337"/>
      <c r="AD325" s="1337"/>
      <c r="AE325" s="1337"/>
      <c r="AF325" s="1337"/>
      <c r="AG325" s="1337"/>
      <c r="AH325" s="1337"/>
      <c r="AI325" s="1337"/>
      <c r="AJ325" s="1337"/>
      <c r="AK325" s="1337"/>
      <c r="AL325" s="1337"/>
      <c r="AM325" s="1337"/>
      <c r="AN325" s="1337"/>
      <c r="AO325" s="1337"/>
      <c r="AP325" s="1337"/>
      <c r="AQ325" s="1337"/>
      <c r="AR325" s="1337"/>
    </row>
    <row r="326" spans="1:256" ht="14.1" customHeight="1">
      <c r="A326" s="2" t="s">
        <v>3282</v>
      </c>
      <c r="B326" s="153" t="s">
        <v>4421</v>
      </c>
      <c r="C326" s="2"/>
      <c r="D326" s="870"/>
      <c r="E326" s="870"/>
      <c r="F326" s="870"/>
      <c r="G326" s="870"/>
      <c r="H326" s="870"/>
      <c r="N326" s="841" t="s">
        <v>4420</v>
      </c>
      <c r="O326" s="101" t="s">
        <v>1725</v>
      </c>
      <c r="P326" s="4233"/>
      <c r="Q326" s="4234"/>
      <c r="R326" s="843" t="s">
        <v>4407</v>
      </c>
    </row>
    <row r="327" spans="1:256" ht="11.7" customHeight="1">
      <c r="A327" s="40" t="s">
        <v>1835</v>
      </c>
      <c r="B327" s="44" t="s">
        <v>4416</v>
      </c>
      <c r="O327" s="128" t="s">
        <v>1835</v>
      </c>
      <c r="P327" s="175"/>
      <c r="Q327" s="418"/>
    </row>
    <row r="328" spans="1:256" ht="11.7" customHeight="1">
      <c r="A328" s="110" t="s">
        <v>1837</v>
      </c>
      <c r="B328" s="44" t="s">
        <v>4423</v>
      </c>
      <c r="O328" s="128" t="s">
        <v>1837</v>
      </c>
      <c r="P328" s="1651"/>
      <c r="Q328" s="672"/>
    </row>
    <row r="329" spans="1:256" ht="11.7" customHeight="1">
      <c r="A329" s="110" t="s">
        <v>697</v>
      </c>
      <c r="B329" s="44" t="s">
        <v>4424</v>
      </c>
      <c r="K329" s="231"/>
      <c r="M329" s="128" t="s">
        <v>697</v>
      </c>
      <c r="N329" s="4302" t="s">
        <v>1641</v>
      </c>
      <c r="O329" s="4303"/>
      <c r="P329" s="4304" t="s">
        <v>1641</v>
      </c>
      <c r="Q329" s="4305"/>
    </row>
    <row r="330" spans="1:256" ht="11.7" customHeight="1">
      <c r="A330" s="40" t="s">
        <v>1956</v>
      </c>
      <c r="B330" s="44" t="s">
        <v>4425</v>
      </c>
      <c r="O330" s="48" t="s">
        <v>1956</v>
      </c>
      <c r="P330" s="1328"/>
      <c r="Q330" s="1327"/>
    </row>
    <row r="331" spans="1:256" ht="11.7" customHeight="1">
      <c r="A331" s="110" t="s">
        <v>1609</v>
      </c>
      <c r="B331" s="44" t="s">
        <v>4426</v>
      </c>
      <c r="N331" s="128" t="s">
        <v>1609</v>
      </c>
      <c r="O331" s="4296" t="s">
        <v>2551</v>
      </c>
      <c r="P331" s="4297"/>
      <c r="Q331" s="4298"/>
    </row>
    <row r="332" spans="1:256" ht="11.7" customHeight="1">
      <c r="A332" s="110" t="s">
        <v>1610</v>
      </c>
      <c r="B332" s="67" t="s">
        <v>2163</v>
      </c>
      <c r="N332" s="128" t="s">
        <v>1610</v>
      </c>
      <c r="O332" s="4362" t="s">
        <v>2551</v>
      </c>
      <c r="P332" s="4363"/>
      <c r="Q332" s="4364"/>
    </row>
    <row r="333" spans="1:256" ht="11.25" customHeight="1">
      <c r="B333" s="109" t="s">
        <v>3154</v>
      </c>
      <c r="D333" s="109"/>
      <c r="E333" s="109"/>
      <c r="F333" s="109"/>
      <c r="G333" s="109"/>
      <c r="H333" s="33"/>
      <c r="I333" s="874"/>
      <c r="J333" s="874"/>
      <c r="K333" s="874"/>
      <c r="L333" s="671"/>
      <c r="M333" s="671"/>
      <c r="N333" s="671"/>
      <c r="O333" s="671"/>
      <c r="P333" s="671"/>
      <c r="Q333" s="671"/>
    </row>
    <row r="334" spans="1:256" ht="13.35" customHeight="1">
      <c r="A334" s="4241"/>
      <c r="B334" s="4242"/>
      <c r="C334" s="4242"/>
      <c r="D334" s="4242"/>
      <c r="E334" s="4242"/>
      <c r="F334" s="4242"/>
      <c r="G334" s="4242"/>
      <c r="H334" s="4242"/>
      <c r="I334" s="4242"/>
      <c r="J334" s="4242"/>
      <c r="K334" s="4242"/>
      <c r="L334" s="4242"/>
      <c r="M334" s="4242"/>
      <c r="N334" s="4242"/>
      <c r="O334" s="4242"/>
      <c r="P334" s="4242"/>
      <c r="Q334" s="4243"/>
      <c r="R334" s="353" t="s">
        <v>1179</v>
      </c>
      <c r="S334" s="354"/>
      <c r="U334" s="104"/>
      <c r="V334" s="104"/>
      <c r="W334" s="104"/>
      <c r="X334" s="104"/>
      <c r="Y334" s="104"/>
      <c r="Z334" s="104"/>
      <c r="AA334" s="104"/>
      <c r="AB334" s="104"/>
      <c r="AC334" s="104"/>
      <c r="AD334" s="104"/>
      <c r="AE334" s="104"/>
    </row>
    <row r="335" spans="1:256" ht="11.25" customHeight="1">
      <c r="B335" s="105" t="s">
        <v>1724</v>
      </c>
      <c r="C335" s="106"/>
      <c r="D335" s="870"/>
      <c r="E335" s="870"/>
      <c r="F335" s="870"/>
      <c r="G335" s="870"/>
      <c r="H335" s="870"/>
      <c r="I335" s="870"/>
      <c r="J335" s="870"/>
      <c r="K335" s="870"/>
      <c r="L335" s="870"/>
      <c r="M335" s="870"/>
      <c r="N335" s="870"/>
      <c r="O335" s="870"/>
      <c r="P335" s="870"/>
      <c r="Q335" s="870"/>
    </row>
    <row r="336" spans="1:256" ht="13.35" customHeight="1">
      <c r="A336" s="4238"/>
      <c r="B336" s="4239"/>
      <c r="C336" s="4239"/>
      <c r="D336" s="4239"/>
      <c r="E336" s="4239"/>
      <c r="F336" s="4239"/>
      <c r="G336" s="4239"/>
      <c r="H336" s="4239"/>
      <c r="I336" s="4239"/>
      <c r="J336" s="4239"/>
      <c r="K336" s="4239"/>
      <c r="L336" s="4239"/>
      <c r="M336" s="4239"/>
      <c r="N336" s="4239"/>
      <c r="O336" s="4239"/>
      <c r="P336" s="4239"/>
      <c r="Q336" s="4240"/>
    </row>
    <row r="337" spans="1:44" ht="2.25" customHeight="1">
      <c r="A337" s="671"/>
      <c r="B337" s="874"/>
      <c r="C337" s="870"/>
      <c r="D337" s="870"/>
      <c r="E337" s="870"/>
      <c r="F337" s="870"/>
      <c r="G337" s="870"/>
      <c r="H337" s="870"/>
      <c r="I337" s="870"/>
      <c r="J337" s="870"/>
      <c r="K337" s="870"/>
      <c r="L337" s="870"/>
      <c r="M337" s="870"/>
      <c r="N337" s="870"/>
      <c r="O337" s="870"/>
      <c r="P337" s="870"/>
      <c r="Q337" s="671"/>
      <c r="R337" s="6"/>
      <c r="S337" s="6"/>
    </row>
    <row r="338" spans="1:44" ht="14.1" customHeight="1">
      <c r="A338" s="2" t="s">
        <v>3285</v>
      </c>
      <c r="B338" s="4" t="s">
        <v>4427</v>
      </c>
      <c r="C338" s="4"/>
      <c r="D338" s="4"/>
      <c r="E338" s="4"/>
      <c r="F338" s="4"/>
      <c r="G338" s="4"/>
      <c r="H338" s="870"/>
      <c r="I338" s="870"/>
      <c r="J338" s="870"/>
      <c r="K338" s="870"/>
      <c r="L338" s="870"/>
      <c r="M338" s="870"/>
      <c r="N338" s="1108"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1725</v>
      </c>
      <c r="P338" s="4247"/>
      <c r="Q338" s="4248"/>
    </row>
    <row r="339" spans="1:44" ht="14.1" customHeight="1">
      <c r="A339" s="2"/>
      <c r="B339" s="29" t="s">
        <v>4428</v>
      </c>
      <c r="C339" s="4"/>
      <c r="D339" s="4"/>
      <c r="E339" s="4"/>
      <c r="F339" s="4"/>
      <c r="G339" s="4"/>
      <c r="H339" s="870"/>
      <c r="I339" s="870"/>
      <c r="J339" s="870"/>
      <c r="K339" s="870"/>
      <c r="L339" s="870"/>
      <c r="M339" s="870"/>
      <c r="N339" s="395"/>
      <c r="P339" s="101"/>
      <c r="Q339" s="1806" t="str">
        <f>IF(OR(AND(P341="Agree",P344="Agree",P346="Agree"),AND(P341="Agree",P344="Agree"),AND(P344="Agree",P346="Agree"),AND(P341="Agree",P346="Agree")), "PLEASE CHOOSE NO MORE THAN ONE PRESERVATION SET-ASIDE!","")</f>
        <v/>
      </c>
    </row>
    <row r="340" spans="1:44" ht="14.1" customHeight="1">
      <c r="A340" s="2"/>
      <c r="B340" s="29" t="s">
        <v>4429</v>
      </c>
      <c r="C340" s="4"/>
      <c r="D340" s="4"/>
      <c r="E340" s="4"/>
      <c r="F340" s="4"/>
      <c r="G340" s="4"/>
      <c r="H340" s="870"/>
      <c r="I340" s="870"/>
      <c r="J340" s="870"/>
      <c r="K340" s="870"/>
      <c r="L340" s="870"/>
      <c r="M340" s="870"/>
      <c r="N340" s="395"/>
      <c r="O340" s="101"/>
      <c r="P340" s="372"/>
      <c r="Q340" s="417"/>
    </row>
    <row r="341" spans="1:44" ht="21.75" customHeight="1">
      <c r="A341" s="110" t="s">
        <v>1835</v>
      </c>
      <c r="B341" s="4227" t="s">
        <v>4567</v>
      </c>
      <c r="C341" s="4227"/>
      <c r="D341" s="4227"/>
      <c r="E341" s="4227"/>
      <c r="F341" s="4227"/>
      <c r="G341" s="4227"/>
      <c r="H341" s="4227"/>
      <c r="I341" s="4227"/>
      <c r="J341" s="4227"/>
      <c r="K341" s="4227"/>
      <c r="L341" s="4227"/>
      <c r="M341" s="4227"/>
      <c r="N341" s="4227"/>
      <c r="O341" s="128" t="s">
        <v>1835</v>
      </c>
      <c r="P341" s="1705"/>
      <c r="Q341" s="1706"/>
    </row>
    <row r="342" spans="1:44" s="35" customFormat="1" ht="12.75" customHeight="1">
      <c r="A342" s="40"/>
      <c r="B342" s="33" t="s">
        <v>1611</v>
      </c>
      <c r="C342" s="29" t="s">
        <v>4019</v>
      </c>
      <c r="D342" s="29"/>
      <c r="E342" s="29"/>
      <c r="F342" s="29"/>
      <c r="G342" s="29"/>
      <c r="H342" s="29"/>
      <c r="I342" s="29"/>
      <c r="J342" s="29"/>
      <c r="O342" s="48" t="s">
        <v>1389</v>
      </c>
      <c r="P342" s="1707"/>
      <c r="Q342" s="1708"/>
    </row>
    <row r="343" spans="1:44" s="115" customFormat="1">
      <c r="A343" s="110"/>
      <c r="B343" s="1155"/>
      <c r="C343" s="29" t="s">
        <v>1662</v>
      </c>
      <c r="D343" s="29"/>
      <c r="E343" s="1446" t="e">
        <f>#REF!</f>
        <v>#REF!</v>
      </c>
      <c r="F343" s="29" t="s">
        <v>3768</v>
      </c>
      <c r="G343" s="1447" t="e">
        <f>#REF!</f>
        <v>#REF!</v>
      </c>
      <c r="H343" s="72"/>
      <c r="I343" s="29" t="s">
        <v>831</v>
      </c>
      <c r="J343" s="72"/>
      <c r="K343" s="72"/>
      <c r="L343" s="1446" t="e">
        <f>#REF!</f>
        <v>#REF!</v>
      </c>
      <c r="M343" s="48" t="s">
        <v>4622</v>
      </c>
      <c r="N343" s="1445" t="e">
        <f>IF(E343=0,"",(G343+L343)/E343)</f>
        <v>#REF!</v>
      </c>
      <c r="P343" s="108"/>
      <c r="Q343" s="108"/>
      <c r="S343" s="1342"/>
      <c r="T343" s="1342"/>
      <c r="U343" s="1342"/>
      <c r="V343" s="1342"/>
      <c r="W343" s="1342"/>
      <c r="X343" s="1342"/>
      <c r="Y343" s="1342"/>
      <c r="Z343" s="1342"/>
      <c r="AA343" s="1342"/>
      <c r="AB343" s="1342"/>
      <c r="AC343" s="1342"/>
      <c r="AD343" s="1342"/>
      <c r="AE343" s="1342"/>
      <c r="AF343" s="1342"/>
      <c r="AG343" s="1342"/>
      <c r="AH343" s="1342"/>
      <c r="AI343" s="1342"/>
      <c r="AJ343" s="1342"/>
      <c r="AK343" s="1342"/>
      <c r="AL343" s="1342"/>
      <c r="AM343" s="1342"/>
      <c r="AN343" s="1342"/>
      <c r="AO343" s="1342"/>
      <c r="AP343" s="1342"/>
      <c r="AQ343" s="1342"/>
      <c r="AR343" s="1342"/>
    </row>
    <row r="344" spans="1:44">
      <c r="A344" s="110" t="s">
        <v>1837</v>
      </c>
      <c r="B344" s="4227" t="s">
        <v>4568</v>
      </c>
      <c r="C344" s="4227"/>
      <c r="D344" s="4227"/>
      <c r="E344" s="4227"/>
      <c r="F344" s="4227"/>
      <c r="G344" s="4227"/>
      <c r="H344" s="4227"/>
      <c r="I344" s="4227"/>
      <c r="J344" s="4227"/>
      <c r="K344" s="4227"/>
      <c r="L344" s="4227"/>
      <c r="M344" s="4227"/>
      <c r="N344" s="4227"/>
      <c r="O344" s="128" t="s">
        <v>1837</v>
      </c>
      <c r="P344" s="888"/>
      <c r="Q344" s="889"/>
    </row>
    <row r="345" spans="1:44" s="115" customFormat="1">
      <c r="A345" s="110"/>
      <c r="B345" s="1155"/>
      <c r="C345" s="29" t="s">
        <v>1662</v>
      </c>
      <c r="D345" s="29"/>
      <c r="E345" s="1446" t="e">
        <f>#REF!</f>
        <v>#REF!</v>
      </c>
      <c r="F345" s="29" t="s">
        <v>4570</v>
      </c>
      <c r="H345" s="72"/>
      <c r="L345" s="1827"/>
      <c r="M345" s="48" t="s">
        <v>4622</v>
      </c>
      <c r="N345" s="1445" t="e">
        <f>IF(E345=0,"",L345/E345)</f>
        <v>#REF!</v>
      </c>
      <c r="P345" s="108"/>
      <c r="Q345" s="108"/>
      <c r="S345" s="1342"/>
      <c r="T345" s="1342"/>
      <c r="U345" s="1342"/>
      <c r="V345" s="1342"/>
      <c r="W345" s="1342"/>
      <c r="X345" s="1342"/>
      <c r="Y345" s="1342"/>
      <c r="Z345" s="1342"/>
      <c r="AA345" s="1342"/>
      <c r="AB345" s="1342"/>
      <c r="AC345" s="1342"/>
      <c r="AD345" s="1342"/>
      <c r="AE345" s="1342"/>
      <c r="AF345" s="1342"/>
      <c r="AG345" s="1342"/>
      <c r="AH345" s="1342"/>
      <c r="AI345" s="1342"/>
      <c r="AJ345" s="1342"/>
      <c r="AK345" s="1342"/>
      <c r="AL345" s="1342"/>
      <c r="AM345" s="1342"/>
      <c r="AN345" s="1342"/>
      <c r="AO345" s="1342"/>
      <c r="AP345" s="1342"/>
      <c r="AQ345" s="1342"/>
      <c r="AR345" s="1342"/>
    </row>
    <row r="346" spans="1:44" ht="21.75" customHeight="1">
      <c r="A346" s="110" t="s">
        <v>697</v>
      </c>
      <c r="B346" s="4227" t="s">
        <v>4569</v>
      </c>
      <c r="C346" s="4227"/>
      <c r="D346" s="4227"/>
      <c r="E346" s="4227"/>
      <c r="F346" s="4227"/>
      <c r="G346" s="4227"/>
      <c r="H346" s="4227"/>
      <c r="I346" s="4227"/>
      <c r="J346" s="4227"/>
      <c r="K346" s="4227"/>
      <c r="L346" s="4227"/>
      <c r="M346" s="4227"/>
      <c r="N346" s="4227"/>
      <c r="O346" s="128" t="s">
        <v>697</v>
      </c>
      <c r="P346" s="1705"/>
      <c r="Q346" s="1706"/>
    </row>
    <row r="347" spans="1:44" ht="14.1" customHeight="1">
      <c r="A347" s="23"/>
      <c r="B347" s="369" t="s">
        <v>1611</v>
      </c>
      <c r="C347" s="44" t="s">
        <v>4430</v>
      </c>
      <c r="D347" s="10"/>
      <c r="E347" s="10"/>
      <c r="F347" s="10"/>
      <c r="G347" s="10"/>
      <c r="H347" s="1703"/>
      <c r="I347" s="1703"/>
      <c r="J347" s="1703"/>
      <c r="K347" s="1703"/>
      <c r="L347" s="1703"/>
      <c r="M347" s="1703"/>
      <c r="N347" s="1704"/>
      <c r="O347" s="48" t="s">
        <v>3923</v>
      </c>
      <c r="P347" s="1709"/>
      <c r="Q347" s="1710"/>
    </row>
    <row r="348" spans="1:44" s="115" customFormat="1">
      <c r="A348" s="110"/>
      <c r="B348" s="1155"/>
      <c r="C348" s="29" t="s">
        <v>1662</v>
      </c>
      <c r="D348" s="29"/>
      <c r="E348" s="1446" t="e">
        <f>#REF!</f>
        <v>#REF!</v>
      </c>
      <c r="F348" s="29" t="s">
        <v>3768</v>
      </c>
      <c r="G348" s="1447" t="e">
        <f>#REF!</f>
        <v>#REF!</v>
      </c>
      <c r="H348" s="72"/>
      <c r="I348" s="29" t="s">
        <v>831</v>
      </c>
      <c r="J348" s="72"/>
      <c r="K348" s="72"/>
      <c r="L348" s="1446" t="e">
        <f>#REF!</f>
        <v>#REF!</v>
      </c>
      <c r="M348" s="48" t="s">
        <v>4622</v>
      </c>
      <c r="N348" s="1445" t="e">
        <f>IF(E348=0,"",(G348+L348)/E348)</f>
        <v>#REF!</v>
      </c>
      <c r="P348" s="108"/>
      <c r="Q348" s="108"/>
      <c r="S348" s="1342"/>
      <c r="T348" s="1342"/>
      <c r="U348" s="1342"/>
      <c r="V348" s="1342"/>
      <c r="W348" s="1342"/>
      <c r="X348" s="1342"/>
      <c r="Y348" s="1342"/>
      <c r="Z348" s="1342"/>
      <c r="AA348" s="1342"/>
      <c r="AB348" s="1342"/>
      <c r="AC348" s="1342"/>
      <c r="AD348" s="1342"/>
      <c r="AE348" s="1342"/>
      <c r="AF348" s="1342"/>
      <c r="AG348" s="1342"/>
      <c r="AH348" s="1342"/>
      <c r="AI348" s="1342"/>
      <c r="AJ348" s="1342"/>
      <c r="AK348" s="1342"/>
      <c r="AL348" s="1342"/>
      <c r="AM348" s="1342"/>
      <c r="AN348" s="1342"/>
      <c r="AO348" s="1342"/>
      <c r="AP348" s="1342"/>
      <c r="AQ348" s="1342"/>
      <c r="AR348" s="1342"/>
    </row>
    <row r="349" spans="1:44" ht="10.5" customHeight="1">
      <c r="B349" s="109" t="s">
        <v>3154</v>
      </c>
      <c r="D349" s="109"/>
      <c r="E349" s="109"/>
      <c r="F349" s="109"/>
      <c r="G349" s="109"/>
      <c r="H349" s="33"/>
      <c r="I349" s="874"/>
      <c r="J349" s="874"/>
      <c r="K349" s="874"/>
      <c r="L349" s="671"/>
      <c r="M349" s="671"/>
      <c r="N349" s="671"/>
      <c r="O349" s="671"/>
      <c r="P349" s="671"/>
      <c r="Q349" s="671"/>
    </row>
    <row r="350" spans="1:44" ht="12" customHeight="1">
      <c r="A350" s="4241"/>
      <c r="B350" s="4242"/>
      <c r="C350" s="4242"/>
      <c r="D350" s="4242"/>
      <c r="E350" s="4242"/>
      <c r="F350" s="4242"/>
      <c r="G350" s="4242"/>
      <c r="H350" s="4242"/>
      <c r="I350" s="4242"/>
      <c r="J350" s="4242"/>
      <c r="K350" s="4242"/>
      <c r="L350" s="4242"/>
      <c r="M350" s="4242"/>
      <c r="N350" s="4242"/>
      <c r="O350" s="4242"/>
      <c r="P350" s="4242"/>
      <c r="Q350" s="4243"/>
      <c r="U350" s="104"/>
      <c r="V350" s="104"/>
      <c r="W350" s="104"/>
      <c r="X350" s="104"/>
      <c r="Y350" s="104"/>
      <c r="Z350" s="104"/>
      <c r="AA350" s="104"/>
      <c r="AB350" s="104"/>
      <c r="AC350" s="104"/>
      <c r="AD350" s="104"/>
      <c r="AE350" s="104"/>
    </row>
    <row r="351" spans="1:44" ht="10.5" customHeight="1">
      <c r="B351" s="105" t="s">
        <v>1724</v>
      </c>
      <c r="C351" s="106"/>
      <c r="D351" s="870"/>
      <c r="E351" s="870"/>
      <c r="F351" s="870"/>
      <c r="G351" s="870"/>
      <c r="H351" s="870"/>
      <c r="I351" s="870"/>
      <c r="J351" s="870"/>
      <c r="K351" s="870"/>
      <c r="L351" s="870"/>
      <c r="M351" s="870"/>
      <c r="N351" s="870"/>
      <c r="O351" s="870"/>
      <c r="P351" s="870"/>
      <c r="Q351" s="870"/>
    </row>
    <row r="352" spans="1:44" ht="12" customHeight="1">
      <c r="A352" s="4238"/>
      <c r="B352" s="4239"/>
      <c r="C352" s="4239"/>
      <c r="D352" s="4239"/>
      <c r="E352" s="4239"/>
      <c r="F352" s="4239"/>
      <c r="G352" s="4239"/>
      <c r="H352" s="4239"/>
      <c r="I352" s="4239"/>
      <c r="J352" s="4239"/>
      <c r="K352" s="4239"/>
      <c r="L352" s="4239"/>
      <c r="M352" s="4239"/>
      <c r="N352" s="4239"/>
      <c r="O352" s="4239"/>
      <c r="P352" s="4239"/>
      <c r="Q352" s="4240"/>
    </row>
    <row r="353" spans="1:31" ht="2.25" customHeight="1">
      <c r="A353" s="671"/>
      <c r="B353" s="874"/>
      <c r="C353" s="870"/>
      <c r="D353" s="870"/>
      <c r="E353" s="870"/>
      <c r="F353" s="870"/>
      <c r="G353" s="870"/>
      <c r="H353" s="870"/>
      <c r="I353" s="870"/>
      <c r="J353" s="870"/>
      <c r="K353" s="870"/>
      <c r="L353" s="870"/>
      <c r="M353" s="870"/>
      <c r="N353" s="870"/>
      <c r="O353" s="870"/>
      <c r="P353" s="870"/>
      <c r="Q353" s="671"/>
      <c r="R353" s="6"/>
      <c r="S353" s="6"/>
    </row>
    <row r="354" spans="1:31" ht="14.1" customHeight="1">
      <c r="A354" s="2" t="s">
        <v>3286</v>
      </c>
      <c r="B354" s="4" t="s">
        <v>3267</v>
      </c>
      <c r="C354" s="4"/>
      <c r="D354" s="4"/>
      <c r="E354" s="4"/>
      <c r="F354" s="4"/>
      <c r="G354" s="4"/>
      <c r="H354" s="870"/>
      <c r="I354" s="870"/>
      <c r="J354" s="870"/>
      <c r="K354" s="870"/>
      <c r="L354" s="870"/>
      <c r="M354" s="870"/>
      <c r="N354" s="395" t="str">
        <f>IF('Part VIII Scoring Criteria OLD'!$P$42="yes","Applicant has applied for Nonprofit Setaside.","Applicant has NOT applied for Nonprofit Setaside.")</f>
        <v>Applicant has NOT applied for Nonprofit Setaside.</v>
      </c>
      <c r="O354" s="101" t="s">
        <v>1725</v>
      </c>
      <c r="P354" s="4404"/>
      <c r="Q354" s="4234"/>
    </row>
    <row r="355" spans="1:31" ht="10.5" customHeight="1">
      <c r="A355" s="40" t="s">
        <v>1835</v>
      </c>
      <c r="B355" s="29" t="s">
        <v>3268</v>
      </c>
      <c r="D355" s="118"/>
      <c r="E355" s="118"/>
      <c r="F355" s="118"/>
      <c r="G355" s="118"/>
      <c r="H355" s="48" t="s">
        <v>1835</v>
      </c>
      <c r="I355" s="4405"/>
      <c r="J355" s="4406"/>
      <c r="K355" s="4406"/>
      <c r="L355" s="4406"/>
      <c r="M355" s="4406"/>
      <c r="N355" s="4406"/>
      <c r="O355" s="4406"/>
      <c r="P355" s="4407"/>
      <c r="Q355" s="418"/>
    </row>
    <row r="356" spans="1:31" ht="10.5" customHeight="1">
      <c r="A356" s="110" t="s">
        <v>1837</v>
      </c>
      <c r="B356" s="29" t="s">
        <v>3269</v>
      </c>
      <c r="D356" s="118"/>
      <c r="E356" s="118"/>
      <c r="F356" s="118"/>
      <c r="G356" s="118"/>
      <c r="H356" s="128" t="s">
        <v>1837</v>
      </c>
      <c r="I356" s="4281"/>
      <c r="J356" s="4282"/>
      <c r="K356" s="4282"/>
      <c r="L356" s="4282"/>
      <c r="M356" s="4282"/>
      <c r="N356" s="4282"/>
      <c r="O356" s="4282"/>
      <c r="P356" s="4283"/>
      <c r="Q356" s="420"/>
    </row>
    <row r="357" spans="1:31" ht="21.75" customHeight="1">
      <c r="A357" s="110" t="s">
        <v>697</v>
      </c>
      <c r="B357" s="4249" t="s">
        <v>3260</v>
      </c>
      <c r="C357" s="4249"/>
      <c r="D357" s="4249"/>
      <c r="E357" s="4249"/>
      <c r="F357" s="4249"/>
      <c r="G357" s="4249"/>
      <c r="H357" s="4249"/>
      <c r="I357" s="4249"/>
      <c r="J357" s="4249"/>
      <c r="K357" s="4249"/>
      <c r="L357" s="4249"/>
      <c r="M357" s="4249"/>
      <c r="N357" s="4249"/>
      <c r="O357" s="128" t="s">
        <v>697</v>
      </c>
      <c r="P357" s="821"/>
      <c r="Q357" s="876"/>
    </row>
    <row r="358" spans="1:31" ht="21.75" customHeight="1">
      <c r="A358" s="110" t="s">
        <v>1956</v>
      </c>
      <c r="B358" s="4227" t="s">
        <v>3261</v>
      </c>
      <c r="C358" s="4227"/>
      <c r="D358" s="4227"/>
      <c r="E358" s="4227"/>
      <c r="F358" s="4227"/>
      <c r="G358" s="4227"/>
      <c r="H358" s="4227"/>
      <c r="I358" s="4227"/>
      <c r="J358" s="4227"/>
      <c r="K358" s="4227"/>
      <c r="L358" s="4227"/>
      <c r="M358" s="4227"/>
      <c r="N358" s="4227"/>
      <c r="O358" s="128" t="s">
        <v>1956</v>
      </c>
      <c r="P358" s="430"/>
      <c r="Q358" s="421"/>
    </row>
    <row r="359" spans="1:31" ht="10.5" customHeight="1">
      <c r="A359" s="110" t="s">
        <v>1609</v>
      </c>
      <c r="B359" s="29" t="s">
        <v>3262</v>
      </c>
      <c r="D359" s="29"/>
      <c r="E359" s="29"/>
      <c r="F359" s="29"/>
      <c r="G359" s="29"/>
      <c r="H359" s="29"/>
      <c r="I359" s="29"/>
      <c r="J359" s="29"/>
      <c r="K359" s="29"/>
      <c r="L359" s="29"/>
      <c r="M359" s="29"/>
      <c r="O359" s="128" t="s">
        <v>1609</v>
      </c>
      <c r="P359" s="299"/>
      <c r="Q359" s="419"/>
    </row>
    <row r="360" spans="1:31" s="102" customFormat="1" ht="21.75" customHeight="1">
      <c r="A360" s="110" t="s">
        <v>1610</v>
      </c>
      <c r="B360" s="4227" t="s">
        <v>3263</v>
      </c>
      <c r="C360" s="4227"/>
      <c r="D360" s="4227"/>
      <c r="E360" s="4227"/>
      <c r="F360" s="4227"/>
      <c r="G360" s="4227"/>
      <c r="H360" s="4227"/>
      <c r="I360" s="4227"/>
      <c r="J360" s="4227"/>
      <c r="K360" s="4227"/>
      <c r="L360" s="4227"/>
      <c r="M360" s="4227"/>
      <c r="N360" s="4227"/>
      <c r="O360" s="128" t="s">
        <v>1610</v>
      </c>
      <c r="P360" s="662"/>
      <c r="Q360" s="663"/>
    </row>
    <row r="361" spans="1:31" s="102" customFormat="1" ht="10.5" customHeight="1">
      <c r="A361" s="110" t="s">
        <v>1802</v>
      </c>
      <c r="B361" s="108" t="s">
        <v>3264</v>
      </c>
      <c r="D361" s="456"/>
      <c r="E361" s="456"/>
      <c r="F361" s="456"/>
      <c r="G361" s="456"/>
      <c r="H361" s="456"/>
      <c r="I361" s="456"/>
      <c r="J361" s="456"/>
      <c r="K361" s="456"/>
      <c r="L361" s="456"/>
      <c r="M361" s="456"/>
      <c r="N361" s="456"/>
      <c r="O361" s="128" t="s">
        <v>1802</v>
      </c>
      <c r="P361" s="877"/>
      <c r="Q361" s="876"/>
    </row>
    <row r="362" spans="1:31" s="102" customFormat="1" ht="10.5" customHeight="1">
      <c r="C362" s="371" t="s">
        <v>3745</v>
      </c>
      <c r="E362" s="870"/>
      <c r="F362" s="870"/>
      <c r="G362" s="870"/>
      <c r="H362" s="870"/>
      <c r="I362" s="870"/>
      <c r="J362" s="870"/>
      <c r="K362" s="870"/>
      <c r="L362" s="870"/>
      <c r="M362" s="870"/>
      <c r="N362" s="870"/>
      <c r="P362" s="879"/>
      <c r="Q362" s="878"/>
    </row>
    <row r="363" spans="1:31" ht="21.75" customHeight="1">
      <c r="A363" s="110" t="s">
        <v>2931</v>
      </c>
      <c r="B363" s="4227" t="s">
        <v>3265</v>
      </c>
      <c r="C363" s="4227"/>
      <c r="D363" s="4227"/>
      <c r="E363" s="4227"/>
      <c r="F363" s="4227"/>
      <c r="G363" s="4227"/>
      <c r="H363" s="4227"/>
      <c r="I363" s="4227"/>
      <c r="J363" s="4227"/>
      <c r="K363" s="4227"/>
      <c r="L363" s="4227"/>
      <c r="M363" s="4227"/>
      <c r="N363" s="4227"/>
      <c r="O363" s="128" t="s">
        <v>2931</v>
      </c>
      <c r="P363" s="877"/>
      <c r="Q363" s="876"/>
    </row>
    <row r="364" spans="1:31" ht="33" customHeight="1">
      <c r="A364" s="110" t="s">
        <v>572</v>
      </c>
      <c r="B364" s="4227" t="s">
        <v>3266</v>
      </c>
      <c r="C364" s="4227"/>
      <c r="D364" s="4227"/>
      <c r="E364" s="4227"/>
      <c r="F364" s="4227"/>
      <c r="G364" s="4227"/>
      <c r="H364" s="4227"/>
      <c r="I364" s="4227"/>
      <c r="J364" s="4227"/>
      <c r="K364" s="4227"/>
      <c r="L364" s="4227"/>
      <c r="M364" s="4227"/>
      <c r="N364" s="4227"/>
      <c r="O364" s="128" t="s">
        <v>572</v>
      </c>
      <c r="P364" s="879"/>
      <c r="Q364" s="878"/>
    </row>
    <row r="365" spans="1:31" ht="10.5" customHeight="1">
      <c r="B365" s="109" t="s">
        <v>3154</v>
      </c>
      <c r="D365" s="109"/>
      <c r="E365" s="109"/>
      <c r="F365" s="109"/>
      <c r="G365" s="109"/>
      <c r="H365" s="33"/>
      <c r="I365" s="874"/>
      <c r="J365" s="874"/>
      <c r="K365" s="874"/>
      <c r="L365" s="671"/>
      <c r="M365" s="671"/>
      <c r="N365" s="671"/>
      <c r="O365" s="671"/>
      <c r="P365" s="671"/>
      <c r="Q365" s="671"/>
    </row>
    <row r="366" spans="1:31" ht="31.5" customHeight="1">
      <c r="A366" s="4241"/>
      <c r="B366" s="4242"/>
      <c r="C366" s="4242"/>
      <c r="D366" s="4242"/>
      <c r="E366" s="4242"/>
      <c r="F366" s="4242"/>
      <c r="G366" s="4242"/>
      <c r="H366" s="4242"/>
      <c r="I366" s="4242"/>
      <c r="J366" s="4242"/>
      <c r="K366" s="4242"/>
      <c r="L366" s="4242"/>
      <c r="M366" s="4242"/>
      <c r="N366" s="4242"/>
      <c r="O366" s="4242"/>
      <c r="P366" s="4242"/>
      <c r="Q366" s="4243"/>
      <c r="U366" s="104"/>
      <c r="V366" s="104"/>
      <c r="W366" s="104"/>
      <c r="X366" s="104"/>
      <c r="Y366" s="104"/>
      <c r="Z366" s="104"/>
      <c r="AA366" s="104"/>
      <c r="AB366" s="104"/>
      <c r="AC366" s="104"/>
      <c r="AD366" s="104"/>
      <c r="AE366" s="104"/>
    </row>
    <row r="367" spans="1:31" ht="10.5" customHeight="1">
      <c r="B367" s="105" t="s">
        <v>1724</v>
      </c>
      <c r="C367" s="106"/>
      <c r="D367" s="870"/>
      <c r="E367" s="870"/>
      <c r="F367" s="870"/>
      <c r="G367" s="870"/>
      <c r="H367" s="870"/>
      <c r="I367" s="870"/>
      <c r="J367" s="870"/>
      <c r="K367" s="870"/>
      <c r="L367" s="870"/>
      <c r="M367" s="870"/>
      <c r="N367" s="870"/>
      <c r="O367" s="870"/>
      <c r="P367" s="870"/>
      <c r="Q367" s="870"/>
    </row>
    <row r="368" spans="1:31" ht="23.25" customHeight="1">
      <c r="A368" s="4238"/>
      <c r="B368" s="4239"/>
      <c r="C368" s="4239"/>
      <c r="D368" s="4239"/>
      <c r="E368" s="4239"/>
      <c r="F368" s="4239"/>
      <c r="G368" s="4239"/>
      <c r="H368" s="4239"/>
      <c r="I368" s="4239"/>
      <c r="J368" s="4239"/>
      <c r="K368" s="4239"/>
      <c r="L368" s="4239"/>
      <c r="M368" s="4239"/>
      <c r="N368" s="4239"/>
      <c r="O368" s="4239"/>
      <c r="P368" s="4239"/>
      <c r="Q368" s="4240"/>
    </row>
    <row r="369" spans="1:31" ht="3" customHeight="1">
      <c r="A369" s="671"/>
      <c r="B369" s="874"/>
      <c r="C369" s="870"/>
      <c r="D369" s="870"/>
      <c r="E369" s="870"/>
      <c r="F369" s="870"/>
      <c r="G369" s="870"/>
      <c r="H369" s="870"/>
      <c r="I369" s="870"/>
      <c r="J369" s="870"/>
      <c r="K369" s="870"/>
      <c r="L369" s="870"/>
      <c r="M369" s="870"/>
      <c r="Q369" s="671"/>
    </row>
    <row r="370" spans="1:31" ht="3" customHeight="1">
      <c r="A370" s="671"/>
      <c r="B370" s="874"/>
      <c r="C370" s="870"/>
      <c r="D370" s="870"/>
      <c r="E370" s="870"/>
      <c r="F370" s="870"/>
      <c r="G370" s="870"/>
      <c r="H370" s="870"/>
      <c r="I370" s="870"/>
      <c r="J370" s="870"/>
      <c r="K370" s="870"/>
      <c r="L370" s="870"/>
      <c r="M370" s="870"/>
      <c r="Q370" s="671"/>
    </row>
    <row r="371" spans="1:31" ht="14.1" customHeight="1">
      <c r="A371" s="2" t="s">
        <v>3287</v>
      </c>
      <c r="B371" s="4" t="s">
        <v>2441</v>
      </c>
      <c r="C371" s="4"/>
      <c r="D371" s="4"/>
      <c r="E371" s="4"/>
      <c r="F371" s="4"/>
      <c r="G371" s="4"/>
      <c r="H371" s="870"/>
      <c r="I371" s="870"/>
      <c r="J371" s="870"/>
      <c r="N371" s="395" t="str">
        <f>IF('Part VIII Scoring Criteria OLD'!$P$48="yes","Applicant has applied for CHDO Setaside.","Applicant has NOT applied for CHDO Setaside.")</f>
        <v>Applicant has NOT applied for CHDO Setaside.</v>
      </c>
      <c r="O371" s="101" t="s">
        <v>1725</v>
      </c>
      <c r="P371" s="4233"/>
      <c r="Q371" s="4234"/>
    </row>
    <row r="372" spans="1:31" ht="11.7" customHeight="1">
      <c r="A372" s="40" t="s">
        <v>1835</v>
      </c>
      <c r="B372" s="32" t="s">
        <v>969</v>
      </c>
      <c r="E372" s="4288"/>
      <c r="F372" s="4289"/>
      <c r="G372" s="4289"/>
      <c r="H372" s="4289"/>
      <c r="I372" s="4290"/>
      <c r="J372" s="4291" t="s">
        <v>2429</v>
      </c>
      <c r="K372" s="4292"/>
      <c r="L372" s="4293"/>
      <c r="M372" s="4288"/>
      <c r="N372" s="4289"/>
      <c r="O372" s="4289"/>
      <c r="P372" s="4289"/>
      <c r="Q372" s="4290"/>
    </row>
    <row r="373" spans="1:31" s="102" customFormat="1" ht="22.5" customHeight="1">
      <c r="A373" s="110" t="s">
        <v>1837</v>
      </c>
      <c r="B373" s="4227" t="s">
        <v>2996</v>
      </c>
      <c r="C373" s="4227"/>
      <c r="D373" s="4227"/>
      <c r="E373" s="4227"/>
      <c r="F373" s="4227"/>
      <c r="G373" s="4227"/>
      <c r="H373" s="4227"/>
      <c r="I373" s="4227"/>
      <c r="J373" s="4227"/>
      <c r="K373" s="4227"/>
      <c r="L373" s="4227"/>
      <c r="M373" s="4227"/>
      <c r="N373" s="4227"/>
      <c r="O373" s="128" t="s">
        <v>1837</v>
      </c>
      <c r="P373" s="430"/>
      <c r="Q373" s="421"/>
    </row>
    <row r="374" spans="1:31">
      <c r="A374" s="110" t="s">
        <v>697</v>
      </c>
      <c r="B374" s="44" t="s">
        <v>3115</v>
      </c>
      <c r="G374" s="872"/>
      <c r="H374" s="872"/>
      <c r="I374" s="872"/>
      <c r="J374" s="33" t="s">
        <v>3116</v>
      </c>
      <c r="L374" s="872"/>
      <c r="M374" s="4294" t="e">
        <f>#REF!</f>
        <v>#REF!</v>
      </c>
      <c r="N374" s="4295"/>
      <c r="O374" s="128" t="s">
        <v>697</v>
      </c>
      <c r="P374" s="176"/>
      <c r="Q374" s="420"/>
    </row>
    <row r="375" spans="1:31" ht="11.25" customHeight="1">
      <c r="B375" s="109" t="s">
        <v>3154</v>
      </c>
      <c r="D375" s="109"/>
      <c r="E375" s="109"/>
      <c r="F375" s="109"/>
      <c r="G375" s="109"/>
      <c r="H375" s="33"/>
      <c r="I375" s="874"/>
      <c r="J375" s="874"/>
      <c r="K375" s="874"/>
      <c r="L375" s="671"/>
      <c r="M375" s="671"/>
      <c r="N375" s="671"/>
      <c r="O375" s="671"/>
      <c r="P375" s="671"/>
      <c r="Q375" s="671"/>
    </row>
    <row r="376" spans="1:31" ht="11.7" customHeight="1">
      <c r="A376" s="4241"/>
      <c r="B376" s="4242"/>
      <c r="C376" s="4242"/>
      <c r="D376" s="4242"/>
      <c r="E376" s="4242"/>
      <c r="F376" s="4242"/>
      <c r="G376" s="4242"/>
      <c r="H376" s="4242"/>
      <c r="I376" s="4242"/>
      <c r="J376" s="4242"/>
      <c r="K376" s="4242"/>
      <c r="L376" s="4242"/>
      <c r="M376" s="4242"/>
      <c r="N376" s="4242"/>
      <c r="O376" s="4242"/>
      <c r="P376" s="4242"/>
      <c r="Q376" s="4243"/>
      <c r="U376" s="104"/>
      <c r="V376" s="104"/>
      <c r="W376" s="104"/>
      <c r="X376" s="104"/>
      <c r="Y376" s="104"/>
      <c r="Z376" s="104"/>
      <c r="AA376" s="104"/>
      <c r="AB376" s="104"/>
      <c r="AC376" s="104"/>
      <c r="AD376" s="104"/>
      <c r="AE376" s="104"/>
    </row>
    <row r="377" spans="1:31" ht="11.25" customHeight="1">
      <c r="B377" s="105" t="s">
        <v>1724</v>
      </c>
      <c r="C377" s="106"/>
      <c r="D377" s="870"/>
      <c r="E377" s="870"/>
      <c r="F377" s="870"/>
      <c r="G377" s="870"/>
      <c r="H377" s="870"/>
      <c r="I377" s="870"/>
      <c r="J377" s="870"/>
      <c r="K377" s="870"/>
      <c r="L377" s="870"/>
      <c r="M377" s="870"/>
      <c r="N377" s="870"/>
      <c r="O377" s="870"/>
      <c r="P377" s="870"/>
      <c r="Q377" s="870"/>
    </row>
    <row r="378" spans="1:31" ht="11.7" customHeight="1">
      <c r="A378" s="4238"/>
      <c r="B378" s="4239"/>
      <c r="C378" s="4239"/>
      <c r="D378" s="4239"/>
      <c r="E378" s="4239"/>
      <c r="F378" s="4239"/>
      <c r="G378" s="4239"/>
      <c r="H378" s="4239"/>
      <c r="I378" s="4239"/>
      <c r="J378" s="4239"/>
      <c r="K378" s="4239"/>
      <c r="L378" s="4239"/>
      <c r="M378" s="4239"/>
      <c r="N378" s="4239"/>
      <c r="O378" s="4239"/>
      <c r="P378" s="4239"/>
      <c r="Q378" s="4240"/>
    </row>
    <row r="379" spans="1:31" ht="3.6" customHeight="1">
      <c r="A379" s="671"/>
      <c r="B379" s="874"/>
      <c r="C379" s="870"/>
      <c r="D379" s="870"/>
      <c r="E379" s="870"/>
      <c r="F379" s="870"/>
      <c r="G379" s="870"/>
      <c r="H379" s="870"/>
      <c r="I379" s="870"/>
      <c r="J379" s="870"/>
      <c r="K379" s="870"/>
      <c r="L379" s="870"/>
      <c r="M379" s="870"/>
      <c r="Q379" s="671"/>
    </row>
    <row r="380" spans="1:31" ht="14.1" customHeight="1">
      <c r="A380" s="2" t="s">
        <v>3288</v>
      </c>
      <c r="B380" s="4" t="s">
        <v>2427</v>
      </c>
      <c r="C380" s="4"/>
      <c r="D380" s="4"/>
      <c r="E380" s="870"/>
      <c r="G380" s="108" t="s">
        <v>654</v>
      </c>
      <c r="H380" s="870"/>
      <c r="I380" s="870"/>
      <c r="J380" s="870"/>
      <c r="K380" s="870"/>
      <c r="L380" s="870"/>
      <c r="M380" s="870"/>
      <c r="O380" s="101" t="s">
        <v>1725</v>
      </c>
      <c r="P380" s="4233"/>
      <c r="Q380" s="4284"/>
    </row>
    <row r="381" spans="1:31" ht="12" customHeight="1">
      <c r="A381" s="40" t="s">
        <v>1835</v>
      </c>
      <c r="B381" s="29" t="s">
        <v>2430</v>
      </c>
      <c r="D381" s="456"/>
      <c r="E381" s="456"/>
      <c r="O381" s="48" t="s">
        <v>1835</v>
      </c>
      <c r="P381" s="175"/>
      <c r="Q381" s="418"/>
    </row>
    <row r="382" spans="1:31" ht="12" customHeight="1">
      <c r="A382" s="40" t="s">
        <v>1837</v>
      </c>
      <c r="B382" s="29" t="s">
        <v>3056</v>
      </c>
      <c r="D382" s="456"/>
      <c r="E382" s="456"/>
      <c r="O382" s="48" t="s">
        <v>1837</v>
      </c>
      <c r="P382" s="299"/>
      <c r="Q382" s="419"/>
    </row>
    <row r="383" spans="1:31" ht="12" customHeight="1">
      <c r="A383" s="40" t="s">
        <v>697</v>
      </c>
      <c r="B383" s="29" t="s">
        <v>3898</v>
      </c>
      <c r="D383" s="456"/>
      <c r="E383" s="456"/>
      <c r="O383" s="48" t="s">
        <v>697</v>
      </c>
      <c r="P383" s="299"/>
      <c r="Q383" s="419"/>
    </row>
    <row r="384" spans="1:31" ht="12" customHeight="1">
      <c r="A384" s="40" t="s">
        <v>1956</v>
      </c>
      <c r="B384" s="29" t="s">
        <v>3057</v>
      </c>
      <c r="E384" s="108"/>
      <c r="O384" s="48" t="s">
        <v>1956</v>
      </c>
      <c r="P384" s="299"/>
      <c r="Q384" s="419"/>
    </row>
    <row r="385" spans="1:31" ht="12" customHeight="1">
      <c r="A385" s="40" t="s">
        <v>1609</v>
      </c>
      <c r="B385" s="29" t="s">
        <v>1922</v>
      </c>
      <c r="E385" s="108"/>
      <c r="G385" s="48" t="s">
        <v>1609</v>
      </c>
      <c r="H385" s="4244"/>
      <c r="I385" s="4245"/>
      <c r="J385" s="4245"/>
      <c r="K385" s="4245"/>
      <c r="L385" s="4245"/>
      <c r="M385" s="4245"/>
      <c r="N385" s="4245"/>
      <c r="O385" s="4246"/>
      <c r="P385" s="176"/>
      <c r="Q385" s="420"/>
    </row>
    <row r="386" spans="1:31" ht="11.25" customHeight="1">
      <c r="B386" s="109" t="s">
        <v>3154</v>
      </c>
      <c r="D386" s="109"/>
      <c r="E386" s="109"/>
      <c r="F386" s="109"/>
      <c r="G386" s="109"/>
      <c r="H386" s="33"/>
      <c r="I386" s="874"/>
      <c r="J386" s="874"/>
      <c r="K386" s="874"/>
      <c r="L386" s="671"/>
      <c r="M386" s="671"/>
      <c r="N386" s="671"/>
      <c r="O386" s="671"/>
      <c r="P386" s="671"/>
      <c r="Q386" s="671"/>
    </row>
    <row r="387" spans="1:31" ht="11.7" customHeight="1">
      <c r="A387" s="4241"/>
      <c r="B387" s="4242"/>
      <c r="C387" s="4242"/>
      <c r="D387" s="4242"/>
      <c r="E387" s="4242"/>
      <c r="F387" s="4242"/>
      <c r="G387" s="4242"/>
      <c r="H387" s="4242"/>
      <c r="I387" s="4242"/>
      <c r="J387" s="4242"/>
      <c r="K387" s="4242"/>
      <c r="L387" s="4242"/>
      <c r="M387" s="4242"/>
      <c r="N387" s="4242"/>
      <c r="O387" s="4242"/>
      <c r="P387" s="4242"/>
      <c r="Q387" s="4243"/>
      <c r="U387" s="104"/>
      <c r="V387" s="104"/>
      <c r="W387" s="104"/>
      <c r="X387" s="104"/>
      <c r="Y387" s="104"/>
      <c r="Z387" s="104"/>
      <c r="AA387" s="104"/>
      <c r="AB387" s="104"/>
      <c r="AC387" s="104"/>
      <c r="AD387" s="104"/>
      <c r="AE387" s="104"/>
    </row>
    <row r="388" spans="1:31" ht="11.25" customHeight="1">
      <c r="B388" s="105" t="s">
        <v>1724</v>
      </c>
      <c r="C388" s="106"/>
      <c r="D388" s="870"/>
      <c r="E388" s="870"/>
      <c r="F388" s="870"/>
      <c r="G388" s="870"/>
      <c r="H388" s="870"/>
      <c r="I388" s="870"/>
      <c r="J388" s="870"/>
      <c r="K388" s="870"/>
      <c r="L388" s="870"/>
      <c r="M388" s="870"/>
      <c r="N388" s="870"/>
      <c r="O388" s="870"/>
      <c r="P388" s="870"/>
      <c r="Q388" s="870"/>
    </row>
    <row r="389" spans="1:31" ht="11.7" customHeight="1">
      <c r="A389" s="4238"/>
      <c r="B389" s="4239"/>
      <c r="C389" s="4239"/>
      <c r="D389" s="4239"/>
      <c r="E389" s="4239"/>
      <c r="F389" s="4239"/>
      <c r="G389" s="4239"/>
      <c r="H389" s="4239"/>
      <c r="I389" s="4239"/>
      <c r="J389" s="4239"/>
      <c r="K389" s="4239"/>
      <c r="L389" s="4239"/>
      <c r="M389" s="4239"/>
      <c r="N389" s="4239"/>
      <c r="O389" s="4239"/>
      <c r="P389" s="4239"/>
      <c r="Q389" s="4240"/>
    </row>
    <row r="390" spans="1:31" ht="3" customHeight="1">
      <c r="A390" s="671"/>
      <c r="B390" s="874"/>
      <c r="C390" s="870"/>
      <c r="D390" s="870"/>
      <c r="E390" s="870"/>
      <c r="F390" s="870"/>
      <c r="G390" s="870"/>
      <c r="H390" s="870"/>
      <c r="I390" s="870"/>
      <c r="J390" s="870"/>
      <c r="K390" s="870"/>
      <c r="L390" s="870"/>
      <c r="M390" s="870"/>
      <c r="N390" s="870"/>
      <c r="O390" s="870"/>
      <c r="P390" s="870"/>
      <c r="Q390" s="671"/>
    </row>
    <row r="391" spans="1:31" ht="14.1" customHeight="1">
      <c r="A391" s="2" t="s">
        <v>3289</v>
      </c>
      <c r="B391" s="4" t="s">
        <v>3810</v>
      </c>
      <c r="C391" s="4"/>
      <c r="D391" s="4"/>
      <c r="E391" s="4"/>
      <c r="F391" s="4"/>
      <c r="G391" s="4"/>
      <c r="H391" s="870"/>
      <c r="I391" s="870"/>
      <c r="J391" s="870"/>
      <c r="K391" s="870"/>
      <c r="L391" s="870"/>
      <c r="M391" s="870"/>
      <c r="O391" s="101" t="s">
        <v>1725</v>
      </c>
      <c r="P391" s="4247"/>
      <c r="Q391" s="4248"/>
    </row>
    <row r="392" spans="1:31" ht="12" customHeight="1">
      <c r="B392" s="44" t="s">
        <v>4142</v>
      </c>
      <c r="O392" s="49"/>
      <c r="P392" s="372"/>
      <c r="Q392" s="417"/>
    </row>
    <row r="393" spans="1:31" ht="12" customHeight="1">
      <c r="A393" s="40" t="s">
        <v>1835</v>
      </c>
      <c r="B393" s="66" t="s">
        <v>3809</v>
      </c>
      <c r="D393" s="35"/>
      <c r="E393" s="35"/>
      <c r="F393" s="35"/>
      <c r="G393" s="35"/>
      <c r="H393" s="35"/>
      <c r="I393" s="35"/>
      <c r="J393" s="35"/>
      <c r="K393" s="35"/>
      <c r="L393" s="35"/>
      <c r="M393" s="35"/>
      <c r="N393" s="35"/>
      <c r="O393" s="35"/>
      <c r="P393" s="35"/>
      <c r="Q393" s="35"/>
    </row>
    <row r="394" spans="1:31" ht="12" customHeight="1">
      <c r="A394" s="40"/>
      <c r="B394" s="1244" t="s">
        <v>1838</v>
      </c>
      <c r="C394" s="44" t="s">
        <v>700</v>
      </c>
      <c r="D394" s="35"/>
      <c r="E394" s="35"/>
      <c r="F394" s="35"/>
      <c r="G394" s="35"/>
      <c r="H394" s="35"/>
      <c r="I394" s="35"/>
      <c r="J394" s="35"/>
      <c r="K394" s="35"/>
      <c r="L394" s="35"/>
      <c r="M394" s="35"/>
      <c r="N394" s="35"/>
      <c r="O394" s="48">
        <v>1</v>
      </c>
      <c r="P394" s="1649"/>
      <c r="Q394" s="1650"/>
    </row>
    <row r="395" spans="1:31" ht="12" customHeight="1">
      <c r="B395" s="29"/>
      <c r="C395" s="29" t="s">
        <v>3899</v>
      </c>
      <c r="D395" s="44" t="s">
        <v>3900</v>
      </c>
      <c r="E395" s="35"/>
      <c r="F395" s="35"/>
      <c r="G395" s="35"/>
      <c r="H395" s="35"/>
      <c r="I395" s="35"/>
      <c r="J395" s="35"/>
      <c r="K395" s="35"/>
      <c r="L395" s="35"/>
      <c r="M395" s="35"/>
      <c r="N395" s="35"/>
      <c r="O395" s="48" t="s">
        <v>3899</v>
      </c>
      <c r="P395" s="4327"/>
      <c r="Q395" s="4325"/>
    </row>
    <row r="396" spans="1:31" ht="12" customHeight="1">
      <c r="A396" s="40"/>
      <c r="D396" s="29" t="s">
        <v>4391</v>
      </c>
      <c r="E396" s="29"/>
      <c r="F396" s="29"/>
      <c r="G396" s="29"/>
      <c r="H396" s="29"/>
      <c r="I396" s="29"/>
      <c r="J396" s="29"/>
      <c r="K396" s="29"/>
      <c r="L396" s="29"/>
      <c r="M396" s="29"/>
      <c r="N396" s="35"/>
      <c r="O396" s="1326"/>
      <c r="P396" s="4328"/>
      <c r="Q396" s="4326"/>
    </row>
    <row r="397" spans="1:31" ht="12" customHeight="1">
      <c r="C397" s="29" t="s">
        <v>2234</v>
      </c>
      <c r="D397" s="29" t="s">
        <v>2997</v>
      </c>
      <c r="E397" s="29"/>
      <c r="F397" s="29"/>
      <c r="G397" s="29"/>
      <c r="H397" s="29"/>
      <c r="I397" s="29"/>
      <c r="J397" s="29"/>
      <c r="K397" s="29"/>
      <c r="L397" s="29"/>
      <c r="M397" s="29"/>
      <c r="N397" s="35"/>
      <c r="O397" s="48" t="s">
        <v>2234</v>
      </c>
      <c r="P397" s="777"/>
      <c r="Q397" s="704"/>
    </row>
    <row r="398" spans="1:31" s="115" customFormat="1" ht="12" customHeight="1">
      <c r="A398" s="40"/>
      <c r="C398" s="29" t="s">
        <v>3813</v>
      </c>
      <c r="D398" s="29" t="s">
        <v>3053</v>
      </c>
      <c r="E398" s="29"/>
      <c r="F398" s="29"/>
      <c r="G398" s="29"/>
      <c r="H398" s="29"/>
      <c r="I398" s="29"/>
      <c r="J398" s="29"/>
      <c r="K398" s="29"/>
      <c r="L398" s="29"/>
      <c r="M398" s="29"/>
      <c r="N398" s="72"/>
      <c r="O398" s="48" t="s">
        <v>2235</v>
      </c>
      <c r="P398" s="1651"/>
      <c r="Q398" s="672"/>
    </row>
    <row r="399" spans="1:31" ht="12" customHeight="1">
      <c r="A399" s="40"/>
      <c r="B399" s="1244" t="s">
        <v>1840</v>
      </c>
      <c r="C399" s="29" t="s">
        <v>2035</v>
      </c>
      <c r="E399" s="29"/>
      <c r="F399" s="29"/>
      <c r="G399" s="29"/>
      <c r="H399" s="29"/>
      <c r="I399" s="29"/>
      <c r="J399" s="29"/>
      <c r="K399" s="29"/>
      <c r="L399" s="29"/>
      <c r="M399" s="29"/>
      <c r="N399" s="29"/>
      <c r="O399" s="48">
        <v>2</v>
      </c>
      <c r="P399" s="74"/>
      <c r="Q399" s="416"/>
    </row>
    <row r="400" spans="1:31" ht="12" customHeight="1">
      <c r="A400" s="40"/>
      <c r="B400" s="1244" t="s">
        <v>2325</v>
      </c>
      <c r="C400" s="4227" t="s">
        <v>4045</v>
      </c>
      <c r="D400" s="4227"/>
      <c r="E400" s="4227"/>
      <c r="F400" s="4227"/>
      <c r="G400" s="29" t="s">
        <v>3814</v>
      </c>
      <c r="J400" s="702"/>
      <c r="K400" s="425"/>
      <c r="M400" s="29" t="s">
        <v>4116</v>
      </c>
      <c r="P400" s="1652"/>
      <c r="Q400" s="1653"/>
    </row>
    <row r="401" spans="1:44" ht="12" customHeight="1">
      <c r="A401" s="40"/>
      <c r="C401" s="4227"/>
      <c r="D401" s="4227"/>
      <c r="E401" s="4227"/>
      <c r="F401" s="4227"/>
      <c r="G401" s="29" t="s">
        <v>4115</v>
      </c>
      <c r="J401" s="703"/>
      <c r="K401" s="426"/>
      <c r="M401" s="29" t="s">
        <v>4117</v>
      </c>
      <c r="P401" s="703"/>
      <c r="Q401" s="426"/>
    </row>
    <row r="402" spans="1:44" ht="8.25" customHeight="1">
      <c r="A402" s="40"/>
      <c r="C402" s="4227"/>
      <c r="D402" s="4227"/>
      <c r="E402" s="4227"/>
      <c r="F402" s="4227"/>
      <c r="J402" s="1439"/>
      <c r="L402" s="33"/>
      <c r="M402" s="35"/>
      <c r="N402" s="48"/>
    </row>
    <row r="403" spans="1:44" s="72" customFormat="1" ht="12.75" customHeight="1">
      <c r="A403" s="107"/>
      <c r="B403" s="153"/>
      <c r="D403" s="875"/>
      <c r="E403" s="875"/>
      <c r="F403" s="875"/>
      <c r="G403" s="875"/>
      <c r="H403" s="875"/>
      <c r="I403" s="4235" t="s">
        <v>4072</v>
      </c>
      <c r="J403" s="4235" t="s">
        <v>4073</v>
      </c>
      <c r="K403" s="4235" t="s">
        <v>4075</v>
      </c>
      <c r="L403" s="4235"/>
      <c r="M403" s="4235"/>
      <c r="N403" s="4274" t="s">
        <v>4074</v>
      </c>
      <c r="O403" s="48"/>
      <c r="P403" s="4399" t="s">
        <v>4579</v>
      </c>
      <c r="Q403" s="4399"/>
      <c r="S403" s="1345"/>
      <c r="T403" s="1345"/>
      <c r="U403" s="1345"/>
      <c r="V403" s="1345"/>
      <c r="W403" s="1345"/>
      <c r="X403" s="1345"/>
      <c r="Y403" s="1345"/>
      <c r="Z403" s="1345"/>
      <c r="AA403" s="1345"/>
      <c r="AB403" s="1345"/>
      <c r="AC403" s="1345"/>
      <c r="AD403" s="1345"/>
      <c r="AE403" s="1345"/>
      <c r="AF403" s="1345"/>
      <c r="AG403" s="1345"/>
      <c r="AH403" s="1345"/>
      <c r="AI403" s="1345"/>
      <c r="AJ403" s="1345"/>
      <c r="AK403" s="1345"/>
      <c r="AL403" s="1345"/>
      <c r="AM403" s="1345"/>
      <c r="AN403" s="1345"/>
      <c r="AO403" s="1345"/>
      <c r="AP403" s="1345"/>
      <c r="AQ403" s="1345"/>
      <c r="AR403" s="1345"/>
    </row>
    <row r="404" spans="1:44" s="72" customFormat="1" ht="12.75" customHeight="1">
      <c r="A404" s="107"/>
      <c r="B404" s="153"/>
      <c r="D404" s="875"/>
      <c r="E404" s="875"/>
      <c r="F404" s="875"/>
      <c r="G404" s="875"/>
      <c r="H404" s="875"/>
      <c r="I404" s="4357"/>
      <c r="J404" s="4235"/>
      <c r="K404" s="4235"/>
      <c r="L404" s="4235"/>
      <c r="M404" s="4235"/>
      <c r="N404" s="4275"/>
      <c r="O404" s="48"/>
      <c r="P404" s="4400"/>
      <c r="Q404" s="4400"/>
      <c r="S404" s="1345"/>
      <c r="T404" s="1345"/>
      <c r="U404" s="1345"/>
      <c r="V404" s="1345"/>
      <c r="W404" s="1345"/>
      <c r="X404" s="1345"/>
      <c r="Y404" s="1345"/>
      <c r="Z404" s="1345"/>
      <c r="AA404" s="1345"/>
      <c r="AB404" s="1345"/>
      <c r="AC404" s="1345"/>
      <c r="AD404" s="1345"/>
      <c r="AE404" s="1345"/>
      <c r="AF404" s="1345"/>
      <c r="AG404" s="1345"/>
      <c r="AH404" s="1345"/>
      <c r="AI404" s="1345"/>
      <c r="AJ404" s="1345"/>
      <c r="AK404" s="1345"/>
      <c r="AL404" s="1345"/>
      <c r="AM404" s="1345"/>
      <c r="AN404" s="1345"/>
      <c r="AO404" s="1345"/>
      <c r="AP404" s="1345"/>
      <c r="AQ404" s="1345"/>
      <c r="AR404" s="1345"/>
    </row>
    <row r="405" spans="1:44" s="72" customFormat="1" ht="12.75" customHeight="1">
      <c r="A405" s="151"/>
      <c r="B405" s="1155"/>
      <c r="C405" s="4227" t="s">
        <v>4186</v>
      </c>
      <c r="D405" s="4227"/>
      <c r="E405" s="4227"/>
      <c r="F405" s="4227"/>
      <c r="G405" s="4227"/>
      <c r="H405" s="4227"/>
      <c r="I405" s="364">
        <f>K290</f>
        <v>0</v>
      </c>
      <c r="J405" s="1654"/>
      <c r="K405" s="4236"/>
      <c r="L405" s="4236"/>
      <c r="M405" s="4237"/>
      <c r="N405" s="1494">
        <f>MAX(J405,K405)</f>
        <v>0</v>
      </c>
      <c r="O405" s="48" t="s">
        <v>2237</v>
      </c>
      <c r="P405" s="372"/>
      <c r="Q405" s="417"/>
      <c r="S405" s="1345"/>
      <c r="T405" s="1345"/>
      <c r="U405" s="1345"/>
      <c r="V405" s="1345"/>
      <c r="W405" s="1345"/>
      <c r="X405" s="1345"/>
      <c r="Y405" s="1345"/>
      <c r="Z405" s="1345"/>
      <c r="AA405" s="1345"/>
      <c r="AB405" s="1345"/>
      <c r="AC405" s="1345"/>
      <c r="AD405" s="1345"/>
      <c r="AE405" s="1345"/>
      <c r="AF405" s="1345"/>
      <c r="AG405" s="1345"/>
      <c r="AH405" s="1345"/>
      <c r="AI405" s="1345"/>
      <c r="AJ405" s="1345"/>
      <c r="AK405" s="1345"/>
      <c r="AL405" s="1345"/>
      <c r="AM405" s="1345"/>
      <c r="AN405" s="1345"/>
      <c r="AO405" s="1345"/>
      <c r="AP405" s="1345"/>
      <c r="AQ405" s="1345"/>
      <c r="AR405" s="1345"/>
    </row>
    <row r="406" spans="1:44" s="144" customFormat="1" ht="12.75" customHeight="1">
      <c r="A406" s="249"/>
      <c r="B406" s="246"/>
      <c r="C406" s="4227"/>
      <c r="D406" s="4227"/>
      <c r="E406" s="4227"/>
      <c r="F406" s="4227"/>
      <c r="G406" s="4227"/>
      <c r="H406" s="4227"/>
      <c r="I406" s="248"/>
      <c r="J406" s="1655"/>
      <c r="K406" s="4276"/>
      <c r="L406" s="4276"/>
      <c r="M406" s="4277"/>
      <c r="N406" s="1494">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5"/>
      <c r="N407" s="1495"/>
      <c r="O407" s="48"/>
      <c r="S407" s="261"/>
      <c r="T407" s="261"/>
      <c r="U407" s="261"/>
      <c r="V407" s="1346"/>
      <c r="W407" s="261"/>
      <c r="X407" s="1346"/>
      <c r="Y407" s="261"/>
      <c r="Z407" s="1347" t="str">
        <f t="shared" ref="Z407:AG407" si="3">IF(AA407="","",IF(AA407&lt;AC407,"Check!!!",""))</f>
        <v/>
      </c>
      <c r="AA407" s="1347" t="str">
        <f t="shared" si="3"/>
        <v/>
      </c>
      <c r="AB407" s="1347" t="str">
        <f t="shared" si="3"/>
        <v/>
      </c>
      <c r="AC407" s="1347" t="str">
        <f t="shared" si="3"/>
        <v/>
      </c>
      <c r="AD407" s="1347" t="str">
        <f t="shared" si="3"/>
        <v/>
      </c>
      <c r="AE407" s="1347" t="str">
        <f t="shared" si="3"/>
        <v/>
      </c>
      <c r="AF407" s="1347" t="str">
        <f t="shared" si="3"/>
        <v/>
      </c>
      <c r="AG407" s="1347" t="str">
        <f t="shared" si="3"/>
        <v/>
      </c>
      <c r="AH407" s="261"/>
      <c r="AI407" s="261"/>
      <c r="AJ407" s="261"/>
      <c r="AK407" s="261"/>
      <c r="AL407" s="261"/>
      <c r="AM407" s="261"/>
      <c r="AN407" s="261"/>
      <c r="AO407" s="261"/>
      <c r="AP407" s="261"/>
      <c r="AQ407" s="261"/>
      <c r="AR407" s="261"/>
    </row>
    <row r="408" spans="1:44" s="72" customFormat="1" ht="12.75" customHeight="1">
      <c r="A408" s="110"/>
      <c r="B408" s="1155"/>
      <c r="D408" s="108" t="s">
        <v>4076</v>
      </c>
      <c r="E408" s="108"/>
      <c r="F408" s="108"/>
      <c r="G408" s="108"/>
      <c r="H408" s="108"/>
      <c r="I408" s="364">
        <f>K291</f>
        <v>0</v>
      </c>
      <c r="J408" s="1654"/>
      <c r="K408" s="4236"/>
      <c r="L408" s="4236"/>
      <c r="M408" s="4237"/>
      <c r="N408" s="1494">
        <f>MAX(J408,K408)</f>
        <v>0</v>
      </c>
      <c r="O408" s="48"/>
      <c r="P408" s="888"/>
      <c r="Q408" s="1245"/>
      <c r="S408" s="1345"/>
      <c r="T408" s="1348"/>
      <c r="U408" s="1348"/>
      <c r="V408" s="1348"/>
      <c r="W408" s="1348"/>
      <c r="X408" s="1348"/>
      <c r="Y408" s="1348"/>
      <c r="Z408" s="1348"/>
      <c r="AA408" s="1348"/>
      <c r="AB408" s="1348"/>
      <c r="AC408" s="1348"/>
      <c r="AD408" s="1348"/>
      <c r="AE408" s="1348"/>
      <c r="AF408" s="1348"/>
      <c r="AG408" s="1348"/>
      <c r="AH408" s="1345"/>
      <c r="AI408" s="1345"/>
      <c r="AJ408" s="1345"/>
      <c r="AK408" s="1345"/>
      <c r="AL408" s="1345"/>
      <c r="AM408" s="1345"/>
      <c r="AN408" s="1345"/>
      <c r="AO408" s="1345"/>
      <c r="AP408" s="1345"/>
      <c r="AQ408" s="1345"/>
      <c r="AR408" s="1345"/>
    </row>
    <row r="409" spans="1:44" s="144" customFormat="1" ht="12.75" customHeight="1">
      <c r="A409" s="249"/>
      <c r="B409" s="246"/>
      <c r="C409" s="456"/>
      <c r="D409" s="108"/>
      <c r="E409" s="108"/>
      <c r="F409" s="108"/>
      <c r="G409" s="108"/>
      <c r="H409" s="108"/>
      <c r="J409" s="1655"/>
      <c r="K409" s="4276"/>
      <c r="L409" s="4276"/>
      <c r="M409" s="4277"/>
      <c r="N409" s="1494">
        <f>MAX(J409,K409)</f>
        <v>0</v>
      </c>
      <c r="O409" s="33"/>
      <c r="P409" s="33"/>
      <c r="Q409" s="33"/>
      <c r="S409" s="261"/>
      <c r="T409" s="261"/>
      <c r="U409" s="261"/>
      <c r="V409" s="1346"/>
      <c r="W409" s="1349"/>
      <c r="X409" s="1346"/>
      <c r="Y409" s="261"/>
      <c r="Z409" s="1347" t="str">
        <f t="shared" ref="Z409:AG409" si="4">IF(AA409="","",IF(AA409&lt;AC409,"Check!!!",""))</f>
        <v/>
      </c>
      <c r="AA409" s="1347" t="str">
        <f t="shared" si="4"/>
        <v/>
      </c>
      <c r="AB409" s="1347" t="str">
        <f t="shared" si="4"/>
        <v/>
      </c>
      <c r="AC409" s="1347" t="str">
        <f t="shared" si="4"/>
        <v/>
      </c>
      <c r="AD409" s="1347" t="str">
        <f t="shared" si="4"/>
        <v/>
      </c>
      <c r="AE409" s="1347" t="str">
        <f t="shared" si="4"/>
        <v/>
      </c>
      <c r="AF409" s="1347" t="str">
        <f t="shared" si="4"/>
        <v/>
      </c>
      <c r="AG409" s="1347"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5"/>
      <c r="N410" s="1495"/>
      <c r="O410" s="33"/>
      <c r="P410" s="33"/>
      <c r="Q410" s="33"/>
      <c r="S410" s="261"/>
      <c r="T410" s="261"/>
      <c r="U410" s="261"/>
      <c r="V410" s="1346"/>
      <c r="W410" s="1349"/>
      <c r="X410" s="1346"/>
      <c r="Y410" s="261"/>
      <c r="Z410" s="1347"/>
      <c r="AA410" s="1347"/>
      <c r="AB410" s="1347"/>
      <c r="AC410" s="1347"/>
      <c r="AD410" s="1347"/>
      <c r="AE410" s="1347"/>
      <c r="AF410" s="1347"/>
      <c r="AG410" s="1347"/>
      <c r="AH410" s="261"/>
      <c r="AI410" s="261"/>
      <c r="AJ410" s="261"/>
      <c r="AK410" s="261"/>
      <c r="AL410" s="261"/>
      <c r="AM410" s="261"/>
      <c r="AN410" s="261"/>
      <c r="AO410" s="261"/>
      <c r="AP410" s="261"/>
      <c r="AQ410" s="261"/>
      <c r="AR410" s="261"/>
    </row>
    <row r="411" spans="1:44" s="72" customFormat="1" ht="12.75" customHeight="1">
      <c r="A411" s="40"/>
      <c r="B411" s="113"/>
      <c r="C411" s="4227" t="s">
        <v>4187</v>
      </c>
      <c r="D411" s="4227"/>
      <c r="E411" s="4227"/>
      <c r="F411" s="4227"/>
      <c r="G411" s="4227"/>
      <c r="H411" s="4227"/>
      <c r="I411" s="364">
        <f>K293</f>
        <v>0</v>
      </c>
      <c r="J411" s="1654"/>
      <c r="K411" s="4236"/>
      <c r="L411" s="4236"/>
      <c r="M411" s="4237"/>
      <c r="N411" s="1494">
        <f>MAX(J411,K411)</f>
        <v>0</v>
      </c>
      <c r="O411" s="48" t="s">
        <v>2253</v>
      </c>
      <c r="P411" s="372"/>
      <c r="Q411" s="417"/>
      <c r="S411" s="1345"/>
      <c r="T411" s="1346"/>
      <c r="U411" s="1346"/>
      <c r="V411" s="1346"/>
      <c r="W411" s="1346"/>
      <c r="X411" s="1346"/>
      <c r="Y411" s="1346"/>
      <c r="Z411" s="1346"/>
      <c r="AA411" s="1346"/>
      <c r="AB411" s="1346"/>
      <c r="AC411" s="1346"/>
      <c r="AD411" s="1346"/>
      <c r="AE411" s="1346"/>
      <c r="AF411" s="1346"/>
      <c r="AG411" s="1346"/>
      <c r="AH411" s="1345"/>
      <c r="AI411" s="1345"/>
      <c r="AJ411" s="1345"/>
      <c r="AK411" s="1345"/>
      <c r="AL411" s="1345"/>
      <c r="AM411" s="1345"/>
      <c r="AN411" s="1345"/>
      <c r="AO411" s="1345"/>
      <c r="AP411" s="1345"/>
      <c r="AQ411" s="1345"/>
      <c r="AR411" s="1345"/>
    </row>
    <row r="412" spans="1:44" s="144" customFormat="1" ht="12.75" customHeight="1">
      <c r="A412" s="249"/>
      <c r="C412" s="4227"/>
      <c r="D412" s="4227"/>
      <c r="E412" s="4227"/>
      <c r="F412" s="4227"/>
      <c r="G412" s="4227"/>
      <c r="H412" s="4227"/>
      <c r="J412" s="1655"/>
      <c r="K412" s="4276"/>
      <c r="L412" s="4276"/>
      <c r="M412" s="4277"/>
      <c r="N412" s="1494">
        <f>MAX(J412,K412)</f>
        <v>0</v>
      </c>
      <c r="O412" s="29"/>
      <c r="P412" s="874"/>
      <c r="Q412" s="29"/>
      <c r="S412" s="261"/>
      <c r="T412" s="1346"/>
      <c r="U412" s="1349"/>
      <c r="V412" s="1346"/>
      <c r="W412" s="1349"/>
      <c r="X412" s="1346"/>
      <c r="Y412" s="1346"/>
      <c r="Z412" s="1346"/>
      <c r="AA412" s="1346"/>
      <c r="AB412" s="1346"/>
      <c r="AC412" s="1346"/>
      <c r="AD412" s="1346"/>
      <c r="AE412" s="1346"/>
      <c r="AF412" s="1346"/>
      <c r="AG412" s="1346"/>
      <c r="AH412" s="261"/>
      <c r="AI412" s="261"/>
      <c r="AJ412" s="261"/>
      <c r="AK412" s="261"/>
      <c r="AL412" s="261"/>
      <c r="AM412" s="261"/>
      <c r="AN412" s="261"/>
      <c r="AO412" s="261"/>
      <c r="AP412" s="261"/>
      <c r="AQ412" s="261"/>
      <c r="AR412" s="261"/>
    </row>
    <row r="413" spans="1:44" s="144" customFormat="1" ht="3" customHeight="1">
      <c r="A413" s="249"/>
      <c r="C413" s="870"/>
      <c r="D413" s="870"/>
      <c r="E413" s="870"/>
      <c r="F413" s="870"/>
      <c r="G413" s="870"/>
      <c r="H413" s="870"/>
      <c r="O413" s="33"/>
      <c r="P413" s="48"/>
      <c r="S413" s="261"/>
      <c r="T413" s="261"/>
      <c r="U413" s="261"/>
      <c r="V413" s="1346"/>
      <c r="W413" s="1349"/>
      <c r="X413" s="1346"/>
      <c r="Y413" s="261"/>
      <c r="Z413" s="1347"/>
      <c r="AA413" s="1347"/>
      <c r="AB413" s="1347"/>
      <c r="AC413" s="1347"/>
      <c r="AD413" s="1347"/>
      <c r="AE413" s="1347"/>
      <c r="AF413" s="1347"/>
      <c r="AG413" s="1347"/>
      <c r="AH413" s="261"/>
      <c r="AI413" s="261"/>
      <c r="AJ413" s="261"/>
      <c r="AK413" s="261"/>
      <c r="AL413" s="261"/>
      <c r="AM413" s="261"/>
      <c r="AN413" s="261"/>
      <c r="AO413" s="261"/>
      <c r="AP413" s="261"/>
      <c r="AQ413" s="261"/>
      <c r="AR413" s="261"/>
    </row>
    <row r="414" spans="1:44" ht="12" customHeight="1">
      <c r="A414" s="40"/>
      <c r="B414" s="1244" t="s">
        <v>1149</v>
      </c>
      <c r="C414" s="33" t="s">
        <v>3709</v>
      </c>
      <c r="E414" s="33"/>
      <c r="F414" s="33"/>
      <c r="G414" s="33"/>
      <c r="J414" s="35"/>
      <c r="K414" s="33"/>
      <c r="L414" s="33"/>
      <c r="M414" s="35"/>
      <c r="N414" s="48"/>
      <c r="P414" s="48"/>
      <c r="Q414" s="48"/>
    </row>
    <row r="415" spans="1:44" ht="12" customHeight="1">
      <c r="A415" s="40"/>
      <c r="B415" s="44"/>
      <c r="C415" s="33" t="s">
        <v>4119</v>
      </c>
      <c r="D415" s="115"/>
      <c r="E415" s="33"/>
      <c r="F415" s="33"/>
      <c r="L415" s="33"/>
      <c r="M415" s="33"/>
      <c r="O415" s="48" t="s">
        <v>2233</v>
      </c>
      <c r="P415" s="372" t="s">
        <v>1641</v>
      </c>
      <c r="Q415" s="417" t="s">
        <v>1641</v>
      </c>
    </row>
    <row r="416" spans="1:44" ht="12" customHeight="1">
      <c r="A416" s="35"/>
      <c r="B416" s="115"/>
      <c r="D416" s="4232" t="s">
        <v>4120</v>
      </c>
      <c r="E416" s="351" t="s">
        <v>2256</v>
      </c>
      <c r="F416" s="44" t="s">
        <v>3201</v>
      </c>
      <c r="G416" s="4228"/>
      <c r="H416" s="4229"/>
      <c r="I416" s="4229"/>
      <c r="J416" s="4229"/>
      <c r="K416" s="4230"/>
      <c r="L416" s="351"/>
    </row>
    <row r="417" spans="1:31" ht="12" customHeight="1">
      <c r="B417" s="115"/>
      <c r="D417" s="4232"/>
      <c r="E417" s="351" t="s">
        <v>3811</v>
      </c>
      <c r="F417" s="44" t="s">
        <v>3812</v>
      </c>
      <c r="G417" s="4285" t="s">
        <v>3118</v>
      </c>
      <c r="H417" s="4286"/>
      <c r="I417" s="4287"/>
      <c r="J417" s="44" t="s">
        <v>3676</v>
      </c>
      <c r="K417" s="115"/>
      <c r="M417" s="4228"/>
      <c r="N417" s="4229"/>
      <c r="O417" s="4229"/>
      <c r="P417" s="4229"/>
      <c r="Q417" s="4230"/>
    </row>
    <row r="418" spans="1:31" ht="12" customHeight="1">
      <c r="A418" s="35"/>
      <c r="B418" s="115"/>
      <c r="C418" s="44" t="s">
        <v>4118</v>
      </c>
      <c r="D418" s="115"/>
      <c r="E418" s="33"/>
      <c r="F418" s="33"/>
      <c r="G418" s="33"/>
      <c r="H418" s="33"/>
      <c r="I418" s="33"/>
      <c r="J418" s="33"/>
      <c r="K418" s="33"/>
      <c r="L418" s="33"/>
      <c r="M418" s="33"/>
      <c r="N418" s="33"/>
      <c r="O418" s="33"/>
      <c r="P418" s="33"/>
      <c r="Q418" s="33"/>
    </row>
    <row r="419" spans="1:31" ht="44.7" customHeight="1">
      <c r="B419" s="4278"/>
      <c r="C419" s="4279"/>
      <c r="D419" s="4279"/>
      <c r="E419" s="4279"/>
      <c r="F419" s="4279"/>
      <c r="G419" s="4279"/>
      <c r="H419" s="4279"/>
      <c r="I419" s="4279"/>
      <c r="J419" s="4279"/>
      <c r="K419" s="4279"/>
      <c r="L419" s="4279"/>
      <c r="M419" s="4279"/>
      <c r="N419" s="4279"/>
      <c r="O419" s="4279"/>
      <c r="P419" s="4279"/>
      <c r="Q419" s="4280"/>
      <c r="R419" s="353" t="s">
        <v>3675</v>
      </c>
      <c r="U419" s="104"/>
      <c r="V419" s="104"/>
      <c r="W419" s="104"/>
      <c r="X419" s="104"/>
      <c r="Y419" s="104"/>
      <c r="Z419" s="104"/>
      <c r="AA419" s="104"/>
      <c r="AB419" s="104"/>
      <c r="AC419" s="104"/>
      <c r="AD419" s="104"/>
      <c r="AE419" s="104"/>
    </row>
    <row r="420" spans="1:31" s="115" customFormat="1" ht="3" customHeight="1">
      <c r="A420" s="493"/>
      <c r="B420" s="493"/>
      <c r="C420" s="493"/>
      <c r="D420" s="493"/>
      <c r="E420" s="493"/>
      <c r="F420" s="493"/>
      <c r="G420" s="493"/>
      <c r="H420" s="493"/>
      <c r="I420" s="493"/>
      <c r="J420" s="493"/>
      <c r="K420" s="493"/>
      <c r="L420" s="493"/>
      <c r="M420" s="493"/>
      <c r="N420" s="493"/>
      <c r="O420" s="493"/>
      <c r="P420" s="493"/>
      <c r="Q420" s="493"/>
    </row>
    <row r="421" spans="1:31" s="115" customFormat="1">
      <c r="A421" s="110" t="s">
        <v>1837</v>
      </c>
      <c r="B421" s="4231" t="s">
        <v>3901</v>
      </c>
      <c r="C421" s="4227"/>
      <c r="D421" s="4227"/>
      <c r="E421" s="4227"/>
      <c r="F421" s="4227"/>
      <c r="G421" s="4227"/>
      <c r="H421" s="4227"/>
      <c r="I421" s="4227"/>
      <c r="J421" s="4227"/>
      <c r="K421" s="4227"/>
      <c r="L421" s="4227"/>
      <c r="M421" s="4227"/>
      <c r="N421" s="4227"/>
    </row>
    <row r="422" spans="1:31" s="115" customFormat="1" ht="45" customHeight="1">
      <c r="B422" s="4227" t="s">
        <v>4431</v>
      </c>
      <c r="C422" s="4227"/>
      <c r="D422" s="4227"/>
      <c r="E422" s="4227"/>
      <c r="F422" s="4227"/>
      <c r="G422" s="4227"/>
      <c r="H422" s="4227"/>
      <c r="I422" s="4227"/>
      <c r="J422" s="4227"/>
      <c r="K422" s="4227"/>
      <c r="L422" s="4227"/>
      <c r="M422" s="4227"/>
      <c r="N422" s="4227"/>
      <c r="O422" s="128" t="s">
        <v>1837</v>
      </c>
      <c r="P422" s="888"/>
      <c r="Q422" s="889"/>
    </row>
    <row r="423" spans="1:31" ht="12" customHeight="1">
      <c r="B423" s="109" t="s">
        <v>3154</v>
      </c>
      <c r="D423" s="109"/>
      <c r="E423" s="109"/>
      <c r="F423" s="109"/>
      <c r="G423" s="109"/>
      <c r="H423" s="33"/>
      <c r="I423" s="874"/>
      <c r="J423" s="874"/>
      <c r="K423" s="874"/>
    </row>
    <row r="424" spans="1:31" ht="33.6" customHeight="1">
      <c r="A424" s="4241"/>
      <c r="B424" s="4242"/>
      <c r="C424" s="4242"/>
      <c r="D424" s="4242"/>
      <c r="E424" s="4242"/>
      <c r="F424" s="4242"/>
      <c r="G424" s="4242"/>
      <c r="H424" s="4242"/>
      <c r="I424" s="4242"/>
      <c r="J424" s="4242"/>
      <c r="K424" s="4242"/>
      <c r="L424" s="4242"/>
      <c r="M424" s="4242"/>
      <c r="N424" s="4242"/>
      <c r="O424" s="4242"/>
      <c r="P424" s="4242"/>
      <c r="Q424" s="4243"/>
      <c r="U424" s="104"/>
      <c r="V424" s="104"/>
      <c r="W424" s="104"/>
      <c r="X424" s="104"/>
      <c r="Y424" s="104"/>
      <c r="Z424" s="104"/>
      <c r="AA424" s="104"/>
      <c r="AB424" s="104"/>
      <c r="AC424" s="104"/>
      <c r="AD424" s="104"/>
      <c r="AE424" s="104"/>
    </row>
    <row r="425" spans="1:31" ht="12" customHeight="1">
      <c r="B425" s="105" t="s">
        <v>1724</v>
      </c>
      <c r="C425" s="106"/>
      <c r="D425" s="870"/>
      <c r="E425" s="870"/>
      <c r="F425" s="870"/>
      <c r="G425" s="870"/>
      <c r="H425" s="870"/>
      <c r="I425" s="870"/>
      <c r="J425" s="870"/>
      <c r="K425" s="870"/>
      <c r="L425" s="870"/>
      <c r="M425" s="870"/>
      <c r="N425" s="870"/>
      <c r="O425" s="870"/>
      <c r="P425" s="870"/>
      <c r="Q425" s="870"/>
    </row>
    <row r="426" spans="1:31" ht="33.6" customHeight="1">
      <c r="A426" s="4238"/>
      <c r="B426" s="4239"/>
      <c r="C426" s="4239"/>
      <c r="D426" s="4239"/>
      <c r="E426" s="4239"/>
      <c r="F426" s="4239"/>
      <c r="G426" s="4239"/>
      <c r="H426" s="4239"/>
      <c r="I426" s="4239"/>
      <c r="J426" s="4239"/>
      <c r="K426" s="4239"/>
      <c r="L426" s="4239"/>
      <c r="M426" s="4239"/>
      <c r="N426" s="4239"/>
      <c r="O426" s="4239"/>
      <c r="P426" s="4239"/>
      <c r="Q426" s="4240"/>
    </row>
    <row r="427" spans="1:31" ht="3" customHeight="1">
      <c r="A427" s="671"/>
      <c r="B427" s="874"/>
      <c r="C427" s="870"/>
      <c r="D427" s="870"/>
      <c r="E427" s="870"/>
      <c r="F427" s="870"/>
      <c r="G427" s="870"/>
      <c r="H427" s="870"/>
      <c r="I427" s="870"/>
      <c r="J427" s="870"/>
      <c r="K427" s="870"/>
      <c r="L427" s="870"/>
      <c r="M427" s="870"/>
      <c r="Q427" s="671"/>
    </row>
    <row r="428" spans="1:31" ht="14.1" customHeight="1">
      <c r="A428" s="2" t="s">
        <v>3290</v>
      </c>
      <c r="B428" s="4" t="s">
        <v>2500</v>
      </c>
      <c r="C428" s="4"/>
      <c r="D428" s="66"/>
      <c r="E428" s="870"/>
      <c r="F428" s="870"/>
      <c r="G428" s="870"/>
      <c r="H428" s="870"/>
      <c r="O428" s="101" t="s">
        <v>1725</v>
      </c>
      <c r="P428" s="4233"/>
      <c r="Q428" s="4234"/>
    </row>
    <row r="429" spans="1:31" ht="14.1" customHeight="1">
      <c r="B429" s="66" t="s">
        <v>3771</v>
      </c>
      <c r="C429" s="4"/>
      <c r="D429" s="66"/>
      <c r="E429" s="870"/>
      <c r="F429" s="870"/>
      <c r="G429" s="870"/>
      <c r="H429" s="870"/>
    </row>
    <row r="430" spans="1:31" s="102" customFormat="1" ht="21.75" customHeight="1">
      <c r="A430" s="110" t="s">
        <v>1835</v>
      </c>
      <c r="B430" s="4227" t="s">
        <v>3224</v>
      </c>
      <c r="C430" s="4227"/>
      <c r="D430" s="4227"/>
      <c r="E430" s="4227"/>
      <c r="F430" s="4227"/>
      <c r="G430" s="4227"/>
      <c r="H430" s="4227"/>
      <c r="I430" s="4227"/>
      <c r="J430" s="4227"/>
      <c r="K430" s="4227"/>
      <c r="L430" s="4227"/>
      <c r="M430" s="4227"/>
      <c r="N430" s="4227"/>
      <c r="O430" s="128" t="s">
        <v>1835</v>
      </c>
      <c r="P430" s="877"/>
      <c r="Q430" s="876"/>
    </row>
    <row r="431" spans="1:31" s="102" customFormat="1" ht="22.5" customHeight="1">
      <c r="A431" s="110" t="s">
        <v>1837</v>
      </c>
      <c r="B431" s="4227" t="s">
        <v>3223</v>
      </c>
      <c r="C431" s="4227"/>
      <c r="D431" s="4227"/>
      <c r="E431" s="4227"/>
      <c r="F431" s="4227"/>
      <c r="G431" s="4227"/>
      <c r="H431" s="4227"/>
      <c r="I431" s="4227"/>
      <c r="J431" s="4227"/>
      <c r="K431" s="4227"/>
      <c r="L431" s="4227"/>
      <c r="M431" s="4227"/>
      <c r="N431" s="4227"/>
      <c r="O431" s="128" t="s">
        <v>1837</v>
      </c>
      <c r="P431" s="430"/>
      <c r="Q431" s="421"/>
    </row>
    <row r="432" spans="1:31" s="102" customFormat="1" ht="22.5" customHeight="1">
      <c r="B432" s="1155" t="s">
        <v>1611</v>
      </c>
      <c r="C432" s="4227" t="s">
        <v>3741</v>
      </c>
      <c r="D432" s="4227"/>
      <c r="E432" s="4227"/>
      <c r="F432" s="4227"/>
      <c r="G432" s="4227"/>
      <c r="H432" s="4227"/>
      <c r="I432" s="4227"/>
      <c r="J432" s="4227"/>
      <c r="K432" s="4227"/>
      <c r="L432" s="4227"/>
      <c r="M432" s="4227"/>
      <c r="N432" s="4227"/>
      <c r="O432" s="128" t="s">
        <v>1611</v>
      </c>
      <c r="P432" s="430"/>
      <c r="Q432" s="421"/>
    </row>
    <row r="433" spans="1:31" s="35" customFormat="1" ht="12" customHeight="1">
      <c r="B433" s="1155" t="s">
        <v>1612</v>
      </c>
      <c r="C433" s="29" t="s">
        <v>3742</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227" t="s">
        <v>3743</v>
      </c>
      <c r="D434" s="4227"/>
      <c r="E434" s="4227"/>
      <c r="F434" s="4227"/>
      <c r="G434" s="4227"/>
      <c r="H434" s="4227"/>
      <c r="I434" s="4227"/>
      <c r="J434" s="4227"/>
      <c r="K434" s="4227"/>
      <c r="L434" s="4227"/>
      <c r="M434" s="4227"/>
      <c r="N434" s="4227"/>
      <c r="O434" s="128" t="s">
        <v>1613</v>
      </c>
      <c r="P434" s="430"/>
      <c r="Q434" s="421"/>
    </row>
    <row r="435" spans="1:31" s="102" customFormat="1" ht="22.5" customHeight="1">
      <c r="B435" s="371" t="s">
        <v>2175</v>
      </c>
      <c r="C435" s="4227" t="s">
        <v>3744</v>
      </c>
      <c r="D435" s="4227"/>
      <c r="E435" s="4227"/>
      <c r="F435" s="4227"/>
      <c r="G435" s="4227"/>
      <c r="H435" s="4227"/>
      <c r="I435" s="4227"/>
      <c r="J435" s="4227"/>
      <c r="K435" s="4227"/>
      <c r="L435" s="4227"/>
      <c r="M435" s="4227"/>
      <c r="N435" s="4227"/>
      <c r="O435" s="128" t="s">
        <v>2175</v>
      </c>
      <c r="P435" s="430"/>
      <c r="Q435" s="421"/>
    </row>
    <row r="436" spans="1:31" s="102" customFormat="1" ht="22.5" customHeight="1">
      <c r="A436" s="110" t="s">
        <v>697</v>
      </c>
      <c r="B436" s="4227" t="s">
        <v>3225</v>
      </c>
      <c r="C436" s="4227"/>
      <c r="D436" s="4227"/>
      <c r="E436" s="4227"/>
      <c r="F436" s="4227"/>
      <c r="G436" s="4227"/>
      <c r="H436" s="4227"/>
      <c r="I436" s="4227"/>
      <c r="J436" s="4227"/>
      <c r="K436" s="4227"/>
      <c r="L436" s="4227"/>
      <c r="M436" s="4227"/>
      <c r="N436" s="4227"/>
      <c r="O436" s="128" t="s">
        <v>697</v>
      </c>
      <c r="P436" s="430"/>
      <c r="Q436" s="421"/>
    </row>
    <row r="437" spans="1:31" s="102" customFormat="1" ht="22.5" customHeight="1">
      <c r="A437" s="110" t="s">
        <v>1956</v>
      </c>
      <c r="B437" s="4227" t="s">
        <v>3789</v>
      </c>
      <c r="C437" s="4227"/>
      <c r="D437" s="4227"/>
      <c r="E437" s="4227"/>
      <c r="F437" s="4227"/>
      <c r="G437" s="4227"/>
      <c r="H437" s="4227"/>
      <c r="I437" s="4227"/>
      <c r="J437" s="4227"/>
      <c r="K437" s="4227"/>
      <c r="L437" s="4227"/>
      <c r="M437" s="4227"/>
      <c r="N437" s="4227"/>
      <c r="O437" s="128" t="s">
        <v>1956</v>
      </c>
      <c r="P437" s="430"/>
      <c r="Q437" s="421"/>
    </row>
    <row r="438" spans="1:31" s="102" customFormat="1" ht="21.75" customHeight="1">
      <c r="A438" s="110" t="s">
        <v>1609</v>
      </c>
      <c r="B438" s="4227" t="s">
        <v>3790</v>
      </c>
      <c r="C438" s="4227"/>
      <c r="D438" s="4227"/>
      <c r="E438" s="4227"/>
      <c r="F438" s="4227"/>
      <c r="G438" s="4227"/>
      <c r="H438" s="4227"/>
      <c r="I438" s="4227"/>
      <c r="J438" s="4227"/>
      <c r="K438" s="4227"/>
      <c r="L438" s="4227"/>
      <c r="M438" s="4227"/>
      <c r="N438" s="4227"/>
      <c r="O438" s="128" t="s">
        <v>1609</v>
      </c>
      <c r="P438" s="430"/>
      <c r="Q438" s="421"/>
    </row>
    <row r="439" spans="1:31" s="333" customFormat="1" ht="21.75" customHeight="1">
      <c r="A439" s="110" t="s">
        <v>1610</v>
      </c>
      <c r="B439" s="4227" t="s">
        <v>3823</v>
      </c>
      <c r="C439" s="4227"/>
      <c r="D439" s="4227"/>
      <c r="E439" s="4227"/>
      <c r="F439" s="4227"/>
      <c r="G439" s="4227"/>
      <c r="H439" s="4227"/>
      <c r="I439" s="4227"/>
      <c r="J439" s="4227"/>
      <c r="K439" s="4227"/>
      <c r="L439" s="4227"/>
      <c r="M439" s="4227"/>
      <c r="N439" s="4227"/>
      <c r="O439" s="128" t="s">
        <v>1610</v>
      </c>
      <c r="P439" s="879"/>
      <c r="Q439" s="878"/>
    </row>
    <row r="440" spans="1:31" ht="11.25" customHeight="1">
      <c r="B440" s="109" t="s">
        <v>3154</v>
      </c>
      <c r="D440" s="109"/>
      <c r="E440" s="109"/>
      <c r="F440" s="109"/>
      <c r="G440" s="109"/>
      <c r="H440" s="33"/>
      <c r="I440" s="874"/>
      <c r="J440" s="874"/>
      <c r="K440" s="874"/>
      <c r="L440" s="671"/>
      <c r="M440" s="671"/>
      <c r="N440" s="671"/>
      <c r="O440" s="671"/>
      <c r="P440" s="671"/>
      <c r="Q440" s="671"/>
    </row>
    <row r="441" spans="1:31" ht="12.75" customHeight="1">
      <c r="A441" s="4241"/>
      <c r="B441" s="4242"/>
      <c r="C441" s="4242"/>
      <c r="D441" s="4242"/>
      <c r="E441" s="4242"/>
      <c r="F441" s="4242"/>
      <c r="G441" s="4242"/>
      <c r="H441" s="4242"/>
      <c r="I441" s="4242"/>
      <c r="J441" s="4242"/>
      <c r="K441" s="4242"/>
      <c r="L441" s="4242"/>
      <c r="M441" s="4242"/>
      <c r="N441" s="4242"/>
      <c r="O441" s="4242"/>
      <c r="P441" s="4242"/>
      <c r="Q441" s="4243"/>
      <c r="R441" s="353" t="s">
        <v>1179</v>
      </c>
      <c r="S441" s="354"/>
      <c r="U441" s="104"/>
      <c r="V441" s="104"/>
      <c r="W441" s="104"/>
      <c r="X441" s="104"/>
      <c r="Y441" s="104"/>
      <c r="Z441" s="104"/>
      <c r="AA441" s="104"/>
      <c r="AB441" s="104"/>
      <c r="AC441" s="104"/>
      <c r="AD441" s="104"/>
      <c r="AE441" s="104"/>
    </row>
    <row r="442" spans="1:31" ht="11.25" customHeight="1">
      <c r="B442" s="105" t="s">
        <v>1724</v>
      </c>
      <c r="C442" s="106"/>
      <c r="D442" s="870"/>
      <c r="E442" s="870"/>
      <c r="F442" s="870"/>
      <c r="G442" s="870"/>
      <c r="H442" s="870"/>
      <c r="I442" s="870"/>
      <c r="J442" s="870"/>
      <c r="K442" s="870"/>
      <c r="L442" s="870"/>
      <c r="M442" s="870"/>
      <c r="N442" s="870"/>
      <c r="O442" s="870"/>
      <c r="P442" s="870"/>
      <c r="Q442" s="870"/>
    </row>
    <row r="443" spans="1:31" ht="12.75" customHeight="1">
      <c r="A443" s="4238"/>
      <c r="B443" s="4239"/>
      <c r="C443" s="4239"/>
      <c r="D443" s="4239"/>
      <c r="E443" s="4239"/>
      <c r="F443" s="4239"/>
      <c r="G443" s="4239"/>
      <c r="H443" s="4239"/>
      <c r="I443" s="4239"/>
      <c r="J443" s="4239"/>
      <c r="K443" s="4239"/>
      <c r="L443" s="4239"/>
      <c r="M443" s="4239"/>
      <c r="N443" s="4239"/>
      <c r="O443" s="4239"/>
      <c r="P443" s="4239"/>
      <c r="Q443" s="4240"/>
    </row>
    <row r="444" spans="1:31" ht="3" customHeight="1">
      <c r="A444" s="671"/>
      <c r="B444" s="874"/>
      <c r="C444" s="870"/>
      <c r="D444" s="870"/>
      <c r="E444" s="870"/>
      <c r="F444" s="870"/>
      <c r="G444" s="870"/>
      <c r="H444" s="870"/>
      <c r="I444" s="870"/>
      <c r="J444" s="870"/>
      <c r="K444" s="870"/>
      <c r="L444" s="870"/>
      <c r="M444" s="870"/>
      <c r="Q444" s="671"/>
    </row>
    <row r="445" spans="1:31" ht="14.1" customHeight="1">
      <c r="A445" s="2" t="s">
        <v>3677</v>
      </c>
      <c r="B445" s="4"/>
      <c r="C445" s="4" t="s">
        <v>2428</v>
      </c>
      <c r="D445" s="66"/>
      <c r="E445" s="870"/>
      <c r="F445" s="870"/>
      <c r="G445" s="870"/>
      <c r="H445" s="870"/>
      <c r="J445" s="870"/>
      <c r="K445" s="870"/>
      <c r="L445" s="870"/>
      <c r="M445" s="870"/>
      <c r="O445" s="101" t="s">
        <v>1725</v>
      </c>
      <c r="P445" s="4233"/>
      <c r="Q445" s="4234"/>
    </row>
    <row r="446" spans="1:31" ht="11.25" customHeight="1">
      <c r="A446" s="2"/>
      <c r="B446" s="109" t="s">
        <v>3154</v>
      </c>
      <c r="D446" s="109"/>
      <c r="E446" s="109"/>
      <c r="F446" s="109"/>
      <c r="G446" s="109"/>
      <c r="H446" s="33"/>
      <c r="I446" s="874"/>
      <c r="J446" s="874"/>
      <c r="K446" s="874"/>
      <c r="L446" s="671"/>
      <c r="M446" s="671"/>
      <c r="N446" s="671"/>
      <c r="O446" s="671"/>
      <c r="P446" s="671"/>
      <c r="Q446" s="671"/>
    </row>
    <row r="447" spans="1:31" ht="12" customHeight="1">
      <c r="A447" s="4241"/>
      <c r="B447" s="4242"/>
      <c r="C447" s="4242"/>
      <c r="D447" s="4242"/>
      <c r="E447" s="4242"/>
      <c r="F447" s="4242"/>
      <c r="G447" s="4242"/>
      <c r="H447" s="4242"/>
      <c r="I447" s="4242"/>
      <c r="J447" s="4242"/>
      <c r="K447" s="4242"/>
      <c r="L447" s="4242"/>
      <c r="M447" s="4242"/>
      <c r="N447" s="4242"/>
      <c r="O447" s="4242"/>
      <c r="P447" s="4242"/>
      <c r="Q447" s="4243"/>
      <c r="R447" s="353" t="s">
        <v>1179</v>
      </c>
      <c r="S447" s="354"/>
      <c r="U447" s="104"/>
      <c r="V447" s="104"/>
      <c r="W447" s="104"/>
      <c r="X447" s="104"/>
      <c r="Y447" s="104"/>
      <c r="Z447" s="104"/>
      <c r="AA447" s="104"/>
      <c r="AB447" s="104"/>
      <c r="AC447" s="104"/>
      <c r="AD447" s="104"/>
      <c r="AE447" s="104"/>
    </row>
    <row r="448" spans="1:31" ht="11.25" customHeight="1">
      <c r="B448" s="105" t="s">
        <v>1724</v>
      </c>
      <c r="C448" s="106"/>
      <c r="D448" s="870"/>
      <c r="E448" s="870"/>
      <c r="F448" s="870"/>
      <c r="G448" s="870"/>
      <c r="H448" s="870"/>
      <c r="I448" s="870"/>
      <c r="J448" s="870"/>
      <c r="K448" s="870"/>
      <c r="L448" s="870"/>
      <c r="M448" s="870"/>
      <c r="N448" s="870"/>
      <c r="O448" s="870"/>
      <c r="P448" s="870"/>
      <c r="Q448" s="870"/>
    </row>
    <row r="449" spans="1:18" ht="12" customHeight="1">
      <c r="A449" s="4238"/>
      <c r="B449" s="4239"/>
      <c r="C449" s="4239"/>
      <c r="D449" s="4239"/>
      <c r="E449" s="4239"/>
      <c r="F449" s="4239"/>
      <c r="G449" s="4239"/>
      <c r="H449" s="4239"/>
      <c r="I449" s="4239"/>
      <c r="J449" s="4239"/>
      <c r="K449" s="4239"/>
      <c r="L449" s="4239"/>
      <c r="M449" s="4239"/>
      <c r="N449" s="4239"/>
      <c r="O449" s="4239"/>
      <c r="P449" s="4239"/>
      <c r="Q449" s="4240"/>
    </row>
    <row r="450" spans="1:18" ht="3" customHeight="1">
      <c r="A450" s="671"/>
      <c r="B450" s="874"/>
      <c r="C450" s="870"/>
      <c r="D450" s="870"/>
      <c r="E450" s="870"/>
      <c r="F450" s="870"/>
      <c r="G450" s="870"/>
      <c r="H450" s="870"/>
      <c r="I450" s="870"/>
      <c r="J450" s="870"/>
      <c r="K450" s="870"/>
      <c r="L450" s="870"/>
      <c r="M450" s="870"/>
      <c r="N450" s="870"/>
      <c r="O450" s="870"/>
      <c r="P450" s="870"/>
      <c r="Q450" s="671"/>
    </row>
    <row r="451" spans="1:18" ht="3" customHeight="1">
      <c r="A451" s="671"/>
      <c r="B451" s="874"/>
      <c r="C451" s="870"/>
      <c r="D451" s="870"/>
      <c r="E451" s="870"/>
      <c r="F451" s="870"/>
      <c r="G451" s="870"/>
      <c r="H451" s="870"/>
      <c r="I451" s="870"/>
      <c r="J451" s="870"/>
      <c r="K451" s="870"/>
      <c r="L451" s="870"/>
      <c r="M451" s="870"/>
      <c r="N451" s="870"/>
      <c r="O451" s="870"/>
      <c r="P451" s="870"/>
      <c r="Q451" s="671"/>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0" customFormat="1" ht="10.199999999999999">
      <c r="A456" s="44"/>
      <c r="B456" s="44"/>
      <c r="C456" s="790" t="s">
        <v>1641</v>
      </c>
      <c r="J456" s="1767" t="s">
        <v>1542</v>
      </c>
      <c r="N456" s="791"/>
      <c r="O456" s="1767" t="s">
        <v>3912</v>
      </c>
      <c r="P456" s="1768"/>
      <c r="R456" s="44"/>
    </row>
    <row r="457" spans="1:18" s="790" customFormat="1" ht="10.199999999999999">
      <c r="A457" s="44"/>
      <c r="B457" s="44"/>
      <c r="C457" s="1769" t="s">
        <v>1310</v>
      </c>
      <c r="J457" s="1767" t="s">
        <v>1947</v>
      </c>
      <c r="N457" s="791"/>
      <c r="O457" s="1767" t="s">
        <v>3913</v>
      </c>
      <c r="P457" s="1768"/>
      <c r="R457" s="44"/>
    </row>
    <row r="458" spans="1:18" s="790" customFormat="1" ht="10.199999999999999">
      <c r="A458" s="44"/>
      <c r="B458" s="44"/>
      <c r="C458" s="1769" t="s">
        <v>1311</v>
      </c>
      <c r="J458" s="1767" t="s">
        <v>1535</v>
      </c>
      <c r="N458" s="791"/>
      <c r="O458" s="1767" t="s">
        <v>3914</v>
      </c>
      <c r="P458" s="1768"/>
      <c r="R458" s="44"/>
    </row>
    <row r="459" spans="1:18" s="790" customFormat="1" ht="10.199999999999999">
      <c r="A459" s="44"/>
      <c r="B459" s="44"/>
      <c r="C459" s="1769" t="s">
        <v>1974</v>
      </c>
      <c r="J459" s="1767" t="s">
        <v>1119</v>
      </c>
      <c r="N459" s="791"/>
      <c r="O459" s="1767" t="s">
        <v>3918</v>
      </c>
      <c r="P459" s="1768"/>
      <c r="R459" s="44"/>
    </row>
    <row r="460" spans="1:18" s="790" customFormat="1" ht="10.199999999999999">
      <c r="A460" s="44"/>
      <c r="B460" s="44"/>
      <c r="C460" s="1769" t="s">
        <v>1307</v>
      </c>
      <c r="J460" s="1767" t="s">
        <v>548</v>
      </c>
      <c r="N460" s="791"/>
      <c r="O460" s="1767" t="s">
        <v>3915</v>
      </c>
      <c r="P460" s="1768"/>
      <c r="R460" s="44"/>
    </row>
    <row r="461" spans="1:18" s="790" customFormat="1" ht="10.199999999999999">
      <c r="A461" s="44"/>
      <c r="B461" s="44"/>
      <c r="C461" s="1769" t="s">
        <v>1308</v>
      </c>
      <c r="J461" s="1767" t="s">
        <v>1541</v>
      </c>
      <c r="N461" s="791"/>
      <c r="O461" s="1767" t="s">
        <v>3916</v>
      </c>
      <c r="P461" s="1768"/>
      <c r="R461" s="44"/>
    </row>
    <row r="462" spans="1:18" s="790" customFormat="1" ht="10.199999999999999">
      <c r="A462" s="44"/>
      <c r="B462" s="44"/>
      <c r="C462" s="1769" t="s">
        <v>1969</v>
      </c>
      <c r="J462" s="1767" t="s">
        <v>1116</v>
      </c>
      <c r="N462" s="791"/>
      <c r="O462" s="1767" t="s">
        <v>3917</v>
      </c>
      <c r="P462" s="1768"/>
      <c r="R462" s="44"/>
    </row>
    <row r="463" spans="1:18" s="790" customFormat="1" ht="10.199999999999999">
      <c r="A463" s="44"/>
      <c r="B463" s="44"/>
      <c r="C463" s="1769" t="s">
        <v>1970</v>
      </c>
      <c r="J463" s="1767" t="s">
        <v>1115</v>
      </c>
      <c r="N463" s="791"/>
      <c r="O463" s="790" t="s">
        <v>3191</v>
      </c>
      <c r="P463" s="1768"/>
      <c r="R463" s="44"/>
    </row>
    <row r="464" spans="1:18" s="790" customFormat="1" ht="10.199999999999999">
      <c r="A464" s="44"/>
      <c r="B464" s="44"/>
      <c r="C464" s="1769" t="s">
        <v>1971</v>
      </c>
      <c r="J464" s="1767" t="s">
        <v>1601</v>
      </c>
      <c r="N464" s="791"/>
      <c r="O464" s="790" t="s">
        <v>3192</v>
      </c>
      <c r="P464" s="1768"/>
      <c r="R464" s="44"/>
    </row>
    <row r="465" spans="1:22" s="790" customFormat="1" ht="10.199999999999999">
      <c r="A465" s="44"/>
      <c r="B465" s="44"/>
      <c r="C465" s="1769" t="s">
        <v>1972</v>
      </c>
      <c r="J465" s="1767" t="s">
        <v>1544</v>
      </c>
      <c r="N465" s="791"/>
      <c r="O465" s="1767"/>
      <c r="P465" s="1768"/>
      <c r="R465" s="44"/>
    </row>
    <row r="466" spans="1:22" s="790" customFormat="1" ht="10.199999999999999">
      <c r="A466" s="44"/>
      <c r="B466" s="44"/>
      <c r="C466" s="1769" t="s">
        <v>1973</v>
      </c>
      <c r="J466" s="1767" t="s">
        <v>1536</v>
      </c>
      <c r="N466" s="791"/>
      <c r="O466" s="1768"/>
      <c r="P466" s="1768"/>
      <c r="R466" s="44"/>
    </row>
    <row r="467" spans="1:22" s="790" customFormat="1" ht="10.199999999999999">
      <c r="A467" s="44"/>
      <c r="B467" s="44"/>
      <c r="C467" s="1769" t="s">
        <v>1309</v>
      </c>
      <c r="J467" s="1767" t="s">
        <v>1946</v>
      </c>
      <c r="N467" s="791"/>
      <c r="O467" s="1767"/>
      <c r="P467" s="1768"/>
      <c r="R467" s="44"/>
    </row>
    <row r="468" spans="1:22" s="790" customFormat="1" ht="10.199999999999999">
      <c r="A468" s="44"/>
      <c r="B468" s="44"/>
      <c r="C468" s="1769" t="s">
        <v>2102</v>
      </c>
      <c r="N468" s="791"/>
      <c r="O468" s="1768"/>
      <c r="P468" s="1768"/>
      <c r="R468" s="44"/>
    </row>
    <row r="469" spans="1:22" s="790" customFormat="1" ht="10.199999999999999">
      <c r="A469" s="44"/>
      <c r="B469" s="44"/>
      <c r="N469" s="791"/>
      <c r="O469" s="1768"/>
      <c r="P469" s="1768"/>
      <c r="R469" s="44"/>
    </row>
    <row r="470" spans="1:22" s="790" customFormat="1" ht="10.199999999999999">
      <c r="A470" s="44"/>
      <c r="B470" s="44"/>
      <c r="R470" s="44"/>
      <c r="S470" s="44"/>
      <c r="T470" s="44"/>
      <c r="U470" s="44"/>
      <c r="V470" s="44"/>
    </row>
    <row r="471" spans="1:22" s="790" customFormat="1" ht="10.199999999999999">
      <c r="A471" s="44"/>
      <c r="B471" s="44"/>
      <c r="C471" s="1770" t="s">
        <v>1659</v>
      </c>
      <c r="R471" s="44"/>
    </row>
    <row r="472" spans="1:22" s="790" customFormat="1" ht="10.199999999999999">
      <c r="A472" s="44"/>
      <c r="B472" s="44"/>
      <c r="C472" s="790" t="s">
        <v>868</v>
      </c>
      <c r="R472" s="44"/>
    </row>
    <row r="473" spans="1:22" s="790" customFormat="1" ht="10.199999999999999">
      <c r="A473" s="44"/>
      <c r="B473" s="44"/>
      <c r="C473" s="1769" t="s">
        <v>1520</v>
      </c>
      <c r="R473" s="44"/>
    </row>
    <row r="474" spans="1:22" s="790" customFormat="1" ht="10.199999999999999">
      <c r="A474" s="44"/>
      <c r="B474" s="44"/>
      <c r="C474" s="1769" t="s">
        <v>671</v>
      </c>
      <c r="L474" s="1769"/>
      <c r="R474" s="44"/>
    </row>
    <row r="475" spans="1:22" s="790" customFormat="1" ht="10.199999999999999">
      <c r="A475" s="44"/>
      <c r="B475" s="44"/>
      <c r="C475" s="1769" t="s">
        <v>672</v>
      </c>
      <c r="L475" s="1769"/>
      <c r="R475" s="44"/>
    </row>
    <row r="476" spans="1:22" s="790" customFormat="1" ht="10.199999999999999">
      <c r="A476" s="44"/>
      <c r="B476" s="44"/>
      <c r="C476" s="1769" t="s">
        <v>1995</v>
      </c>
      <c r="L476" s="1769"/>
      <c r="R476" s="44"/>
    </row>
    <row r="477" spans="1:22" s="790" customFormat="1" ht="10.199999999999999">
      <c r="A477" s="44"/>
      <c r="B477" s="44"/>
      <c r="C477" s="1769" t="s">
        <v>120</v>
      </c>
      <c r="L477" s="1769"/>
      <c r="R477" s="44"/>
    </row>
    <row r="478" spans="1:22" s="790" customFormat="1" ht="10.199999999999999">
      <c r="A478" s="44"/>
      <c r="B478" s="44"/>
      <c r="C478" s="790" t="s">
        <v>118</v>
      </c>
      <c r="L478" s="1769"/>
      <c r="R478" s="44"/>
    </row>
    <row r="479" spans="1:22" s="790" customFormat="1" ht="10.199999999999999">
      <c r="A479" s="44"/>
      <c r="B479" s="44"/>
      <c r="C479" s="790" t="s">
        <v>1735</v>
      </c>
      <c r="R479" s="44"/>
    </row>
    <row r="480" spans="1:22" s="790" customFormat="1" ht="10.199999999999999">
      <c r="A480" s="44"/>
      <c r="B480" s="44"/>
      <c r="C480" s="1769" t="s">
        <v>887</v>
      </c>
      <c r="L480" s="1769"/>
      <c r="R480" s="44"/>
    </row>
    <row r="481" spans="1:18" s="790" customFormat="1" ht="10.199999999999999">
      <c r="A481" s="44"/>
      <c r="B481" s="44"/>
      <c r="C481" s="790" t="s">
        <v>119</v>
      </c>
      <c r="L481" s="1769"/>
      <c r="R481" s="44"/>
    </row>
    <row r="482" spans="1:18" s="790" customFormat="1" ht="10.199999999999999">
      <c r="A482" s="44"/>
      <c r="B482" s="44"/>
      <c r="C482" s="790" t="s">
        <v>120</v>
      </c>
      <c r="L482" s="1769"/>
      <c r="R482" s="44"/>
    </row>
    <row r="483" spans="1:18" s="790" customFormat="1" ht="10.199999999999999">
      <c r="A483" s="44"/>
      <c r="B483" s="44"/>
      <c r="C483" s="790" t="s">
        <v>121</v>
      </c>
      <c r="L483" s="1769"/>
      <c r="R483" s="44"/>
    </row>
    <row r="484" spans="1:18" s="790" customFormat="1" ht="10.199999999999999">
      <c r="A484" s="44"/>
      <c r="B484" s="44"/>
      <c r="C484" s="790" t="s">
        <v>2431</v>
      </c>
      <c r="R484" s="44"/>
    </row>
    <row r="485" spans="1:18" s="790" customFormat="1" ht="10.199999999999999">
      <c r="A485" s="44"/>
      <c r="B485" s="44"/>
      <c r="C485" s="1769" t="s">
        <v>1859</v>
      </c>
      <c r="L485" s="1769"/>
      <c r="R485" s="44"/>
    </row>
    <row r="486" spans="1:18" s="790" customFormat="1" ht="10.199999999999999">
      <c r="A486" s="44"/>
      <c r="B486" s="44"/>
      <c r="C486" s="790" t="s">
        <v>2432</v>
      </c>
      <c r="L486" s="1769"/>
      <c r="R486" s="44"/>
    </row>
    <row r="487" spans="1:18" s="790" customFormat="1" ht="10.199999999999999">
      <c r="A487" s="44"/>
      <c r="B487" s="44"/>
      <c r="C487" s="790" t="s">
        <v>1302</v>
      </c>
      <c r="L487" s="1769"/>
      <c r="R487" s="44"/>
    </row>
    <row r="488" spans="1:18" s="790" customFormat="1" ht="10.199999999999999">
      <c r="A488" s="44"/>
      <c r="B488" s="44"/>
      <c r="C488" s="790" t="s">
        <v>1483</v>
      </c>
      <c r="K488" s="1770" t="s">
        <v>433</v>
      </c>
      <c r="L488" s="1769"/>
      <c r="R488" s="44"/>
    </row>
    <row r="489" spans="1:18" s="790" customFormat="1" ht="10.199999999999999">
      <c r="A489" s="44"/>
      <c r="B489" s="44"/>
      <c r="C489" s="790" t="s">
        <v>2433</v>
      </c>
      <c r="K489" s="790" t="s">
        <v>1017</v>
      </c>
      <c r="L489" s="1769"/>
      <c r="R489" s="44"/>
    </row>
    <row r="490" spans="1:18" s="790" customFormat="1" ht="10.199999999999999">
      <c r="A490" s="44"/>
      <c r="B490" s="44"/>
      <c r="C490" s="790" t="s">
        <v>2434</v>
      </c>
      <c r="K490" s="790" t="s">
        <v>3163</v>
      </c>
      <c r="R490" s="44"/>
    </row>
    <row r="491" spans="1:18" s="790" customFormat="1" ht="10.199999999999999">
      <c r="A491" s="44"/>
      <c r="B491" s="44"/>
      <c r="C491" s="1769" t="s">
        <v>1129</v>
      </c>
      <c r="K491" s="790" t="s">
        <v>4093</v>
      </c>
      <c r="R491" s="44"/>
    </row>
    <row r="492" spans="1:18" s="790" customFormat="1" ht="10.199999999999999">
      <c r="A492" s="44"/>
      <c r="B492" s="44"/>
      <c r="R492" s="44"/>
    </row>
    <row r="493" spans="1:18" s="790" customFormat="1" ht="10.199999999999999">
      <c r="A493" s="44"/>
      <c r="B493" s="44"/>
      <c r="C493" s="1770" t="s">
        <v>244</v>
      </c>
      <c r="K493" s="1770" t="s">
        <v>2066</v>
      </c>
      <c r="R493" s="44"/>
    </row>
    <row r="494" spans="1:18" s="790" customFormat="1" ht="10.199999999999999">
      <c r="A494" s="44"/>
      <c r="B494" s="44"/>
      <c r="C494" s="790" t="s">
        <v>1018</v>
      </c>
      <c r="K494" s="790" t="s">
        <v>2140</v>
      </c>
      <c r="R494" s="44"/>
    </row>
    <row r="495" spans="1:18" s="790" customFormat="1" ht="10.199999999999999">
      <c r="A495" s="44"/>
      <c r="B495" s="44"/>
      <c r="C495" s="790" t="s">
        <v>163</v>
      </c>
      <c r="K495" s="790" t="s">
        <v>4196</v>
      </c>
      <c r="R495" s="44"/>
    </row>
    <row r="496" spans="1:18" s="790" customFormat="1" ht="10.199999999999999">
      <c r="A496" s="44"/>
      <c r="B496" s="44"/>
      <c r="C496" s="790" t="s">
        <v>1427</v>
      </c>
      <c r="K496" s="790" t="s">
        <v>4195</v>
      </c>
      <c r="R496" s="44"/>
    </row>
    <row r="497" spans="1:18" s="790" customFormat="1" ht="10.199999999999999">
      <c r="A497" s="44"/>
      <c r="B497" s="44"/>
      <c r="C497" s="790" t="s">
        <v>1959</v>
      </c>
      <c r="K497" s="790" t="s">
        <v>4094</v>
      </c>
      <c r="R497" s="44"/>
    </row>
    <row r="498" spans="1:18" s="790" customFormat="1" ht="10.199999999999999">
      <c r="A498" s="44"/>
      <c r="B498" s="44"/>
      <c r="C498" s="790" t="s">
        <v>162</v>
      </c>
      <c r="K498" s="790" t="s">
        <v>4197</v>
      </c>
      <c r="R498" s="44"/>
    </row>
    <row r="499" spans="1:18" s="790" customFormat="1" ht="10.199999999999999">
      <c r="A499" s="44"/>
      <c r="B499" s="44"/>
      <c r="K499" s="1770" t="s">
        <v>1803</v>
      </c>
      <c r="R499" s="44"/>
    </row>
    <row r="500" spans="1:18" s="790" customFormat="1" ht="10.199999999999999">
      <c r="A500" s="44"/>
      <c r="B500" s="44"/>
      <c r="K500" s="790" t="s">
        <v>1016</v>
      </c>
      <c r="R500" s="44"/>
    </row>
    <row r="501" spans="1:18" s="790" customFormat="1" ht="10.199999999999999">
      <c r="A501" s="44"/>
      <c r="B501" s="44"/>
      <c r="K501" s="790" t="s">
        <v>1625</v>
      </c>
      <c r="R501" s="44"/>
    </row>
    <row r="502" spans="1:18" s="790" customFormat="1" ht="10.199999999999999">
      <c r="A502" s="44"/>
      <c r="B502" s="44"/>
      <c r="K502" s="790" t="s">
        <v>1066</v>
      </c>
      <c r="R502" s="44"/>
    </row>
    <row r="503" spans="1:18" s="790" customFormat="1" ht="10.199999999999999">
      <c r="A503" s="44"/>
      <c r="B503" s="44"/>
      <c r="K503" s="790" t="s">
        <v>1626</v>
      </c>
      <c r="R503" s="44"/>
    </row>
    <row r="504" spans="1:18" s="790" customFormat="1" ht="10.199999999999999">
      <c r="A504" s="44"/>
      <c r="B504" s="44"/>
      <c r="K504" s="790" t="s">
        <v>2178</v>
      </c>
      <c r="R504" s="44"/>
    </row>
    <row r="505" spans="1:18" s="790" customFormat="1" ht="10.199999999999999">
      <c r="A505" s="44"/>
      <c r="B505" s="44"/>
      <c r="R505" s="44"/>
    </row>
    <row r="506" spans="1:18" s="790" customFormat="1" ht="10.199999999999999">
      <c r="A506" s="44"/>
      <c r="B506" s="44"/>
      <c r="C506" s="1770" t="s">
        <v>950</v>
      </c>
      <c r="M506" s="1770" t="s">
        <v>3726</v>
      </c>
      <c r="R506" s="44"/>
    </row>
    <row r="507" spans="1:18" s="790" customFormat="1" ht="10.199999999999999">
      <c r="A507" s="44"/>
      <c r="B507" s="44"/>
      <c r="C507" s="790" t="s">
        <v>949</v>
      </c>
      <c r="M507" s="790" t="s">
        <v>949</v>
      </c>
      <c r="R507" s="44"/>
    </row>
    <row r="508" spans="1:18" s="790" customFormat="1" ht="10.199999999999999">
      <c r="A508" s="44"/>
      <c r="B508" s="44"/>
      <c r="C508" s="790" t="s">
        <v>1932</v>
      </c>
      <c r="M508" s="790" t="s">
        <v>3723</v>
      </c>
      <c r="R508" s="44"/>
    </row>
    <row r="509" spans="1:18" s="790" customFormat="1" ht="10.199999999999999">
      <c r="A509" s="44"/>
      <c r="B509" s="44"/>
      <c r="C509" s="790" t="s">
        <v>2334</v>
      </c>
      <c r="M509" s="790" t="s">
        <v>3754</v>
      </c>
      <c r="R509" s="44"/>
    </row>
    <row r="510" spans="1:18" s="790" customFormat="1" ht="10.199999999999999">
      <c r="A510" s="44"/>
      <c r="B510" s="44"/>
      <c r="C510" s="790" t="s">
        <v>1933</v>
      </c>
      <c r="M510" s="790" t="s">
        <v>1538</v>
      </c>
      <c r="R510" s="44"/>
    </row>
    <row r="511" spans="1:18" s="790" customFormat="1" ht="10.199999999999999">
      <c r="A511" s="44"/>
      <c r="B511" s="44"/>
      <c r="C511" s="790" t="s">
        <v>1804</v>
      </c>
      <c r="M511" s="790" t="s">
        <v>3724</v>
      </c>
      <c r="R511" s="44"/>
    </row>
    <row r="512" spans="1:18" s="790" customFormat="1" ht="10.199999999999999">
      <c r="A512" s="44"/>
      <c r="B512" s="44"/>
      <c r="C512" s="790" t="s">
        <v>547</v>
      </c>
      <c r="M512" s="790" t="s">
        <v>3773</v>
      </c>
      <c r="R512" s="44"/>
    </row>
    <row r="513" spans="1:18" s="790" customFormat="1" ht="10.199999999999999">
      <c r="A513" s="44"/>
      <c r="B513" s="44"/>
      <c r="C513" s="790" t="s">
        <v>2029</v>
      </c>
      <c r="M513" s="790" t="s">
        <v>3774</v>
      </c>
      <c r="R513" s="44"/>
    </row>
    <row r="514" spans="1:18" s="790" customFormat="1" ht="10.199999999999999">
      <c r="A514" s="44"/>
      <c r="B514" s="44"/>
      <c r="C514" s="790" t="s">
        <v>30</v>
      </c>
      <c r="M514" s="790" t="s">
        <v>3725</v>
      </c>
      <c r="R514" s="44"/>
    </row>
    <row r="515" spans="1:18" s="790" customFormat="1" ht="10.199999999999999">
      <c r="A515" s="44"/>
      <c r="B515" s="44"/>
      <c r="M515" s="790" t="s">
        <v>1946</v>
      </c>
      <c r="R515" s="44"/>
    </row>
    <row r="516" spans="1:18" s="790" customFormat="1" ht="10.199999999999999">
      <c r="A516" s="44"/>
      <c r="B516" s="44"/>
      <c r="R516" s="44"/>
    </row>
    <row r="517" spans="1:18" s="790" customFormat="1" ht="10.199999999999999">
      <c r="A517" s="44"/>
      <c r="B517" s="44"/>
      <c r="R517" s="44"/>
    </row>
    <row r="518" spans="1:18" s="790" customFormat="1" ht="10.199999999999999">
      <c r="A518" s="44"/>
      <c r="B518" s="44"/>
      <c r="M518" s="1771" t="s">
        <v>3175</v>
      </c>
      <c r="R518" s="44"/>
    </row>
    <row r="519" spans="1:18" s="790" customFormat="1" ht="10.199999999999999">
      <c r="A519" s="44"/>
      <c r="B519" s="44"/>
      <c r="M519" s="790" t="s">
        <v>3246</v>
      </c>
      <c r="R519" s="44"/>
    </row>
    <row r="520" spans="1:18" s="790" customFormat="1" ht="10.199999999999999">
      <c r="A520" s="44"/>
      <c r="B520" s="44"/>
      <c r="M520" s="790" t="s">
        <v>3241</v>
      </c>
      <c r="R520" s="44"/>
    </row>
    <row r="521" spans="1:18" s="790" customFormat="1" ht="10.199999999999999">
      <c r="A521" s="44"/>
      <c r="B521" s="44"/>
      <c r="M521" s="790" t="s">
        <v>3168</v>
      </c>
      <c r="R521" s="44"/>
    </row>
    <row r="522" spans="1:18" s="790" customFormat="1" ht="10.199999999999999">
      <c r="A522" s="44"/>
      <c r="B522" s="44"/>
      <c r="M522" s="790" t="s">
        <v>3237</v>
      </c>
      <c r="R522" s="44"/>
    </row>
    <row r="523" spans="1:18" s="790" customFormat="1" ht="10.199999999999999">
      <c r="A523" s="44"/>
      <c r="B523" s="44"/>
      <c r="D523" s="1771" t="s">
        <v>1882</v>
      </c>
      <c r="M523" s="790" t="s">
        <v>3169</v>
      </c>
      <c r="R523" s="44"/>
    </row>
    <row r="524" spans="1:18" s="790" customFormat="1">
      <c r="A524" s="44"/>
      <c r="B524" s="44"/>
      <c r="J524" s="356"/>
      <c r="M524" s="790" t="s">
        <v>3238</v>
      </c>
      <c r="R524" s="44"/>
    </row>
    <row r="525" spans="1:18" s="356" customFormat="1">
      <c r="A525" s="115"/>
      <c r="B525" s="115"/>
      <c r="M525" s="790" t="s">
        <v>3170</v>
      </c>
      <c r="O525" s="790"/>
      <c r="R525" s="115"/>
    </row>
    <row r="526" spans="1:18" s="356" customFormat="1">
      <c r="A526" s="115"/>
      <c r="B526" s="115"/>
      <c r="M526" s="790" t="s">
        <v>3239</v>
      </c>
      <c r="R526" s="115"/>
    </row>
    <row r="527" spans="1:18" s="356" customFormat="1">
      <c r="A527" s="115"/>
      <c r="B527" s="115"/>
      <c r="M527" s="790" t="s">
        <v>3242</v>
      </c>
      <c r="R527" s="115"/>
    </row>
    <row r="528" spans="1:18" s="356" customFormat="1">
      <c r="A528" s="115"/>
      <c r="B528" s="115"/>
      <c r="M528" s="790" t="s">
        <v>3171</v>
      </c>
      <c r="R528" s="115"/>
    </row>
    <row r="529" spans="1:22" s="356" customFormat="1">
      <c r="A529" s="115"/>
      <c r="B529" s="115"/>
      <c r="M529" s="790" t="s">
        <v>3172</v>
      </c>
      <c r="R529" s="115"/>
    </row>
    <row r="530" spans="1:22" s="356" customFormat="1">
      <c r="A530" s="115"/>
      <c r="B530" s="115"/>
      <c r="M530" s="790" t="s">
        <v>3240</v>
      </c>
      <c r="R530" s="115"/>
    </row>
    <row r="531" spans="1:22" s="356" customFormat="1">
      <c r="A531" s="115"/>
      <c r="B531" s="115"/>
      <c r="M531" s="790" t="s">
        <v>3243</v>
      </c>
      <c r="R531" s="115"/>
    </row>
    <row r="532" spans="1:22" s="356" customFormat="1">
      <c r="A532" s="115"/>
      <c r="B532" s="115"/>
      <c r="M532" s="790" t="s">
        <v>3244</v>
      </c>
      <c r="R532" s="115"/>
    </row>
    <row r="533" spans="1:22" s="356" customFormat="1">
      <c r="A533" s="115"/>
      <c r="B533" s="115"/>
      <c r="M533" s="790" t="s">
        <v>4415</v>
      </c>
      <c r="R533" s="115"/>
    </row>
    <row r="534" spans="1:22" s="356" customFormat="1">
      <c r="A534" s="115"/>
      <c r="B534" s="115"/>
      <c r="M534" s="790"/>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21"/>
      <c r="H1" s="233"/>
      <c r="I1" s="144"/>
      <c r="J1" s="147"/>
      <c r="K1" s="234"/>
      <c r="L1" s="234"/>
      <c r="M1" s="234"/>
      <c r="N1" s="234"/>
      <c r="O1" s="147"/>
      <c r="P1" s="144"/>
      <c r="Q1" s="232"/>
      <c r="R1" s="232"/>
      <c r="S1" s="144"/>
      <c r="T1" s="144"/>
      <c r="U1" s="144"/>
      <c r="AA1" s="68"/>
      <c r="AB1" s="68"/>
    </row>
    <row r="2" spans="1:28" s="145" customFormat="1" ht="11.7" customHeight="1">
      <c r="A2" s="4432" t="s">
        <v>4412</v>
      </c>
      <c r="B2" s="4432"/>
      <c r="C2" s="147"/>
      <c r="D2" s="778">
        <v>2021</v>
      </c>
      <c r="E2" s="144"/>
      <c r="F2" s="4426" t="s">
        <v>2926</v>
      </c>
      <c r="G2" s="4427"/>
      <c r="H2" s="4427"/>
      <c r="I2" s="4427"/>
      <c r="J2" s="4428"/>
      <c r="K2" s="234"/>
      <c r="L2" s="442" t="s">
        <v>3055</v>
      </c>
      <c r="M2" s="234"/>
      <c r="N2" s="4426" t="s">
        <v>2926</v>
      </c>
      <c r="O2" s="4427"/>
      <c r="P2" s="4427"/>
      <c r="Q2" s="4427"/>
      <c r="R2" s="4428"/>
      <c r="S2" s="241"/>
      <c r="T2" s="144"/>
      <c r="U2" s="144"/>
      <c r="V2" s="321"/>
      <c r="W2" s="321"/>
      <c r="X2" s="321"/>
      <c r="AA2" s="68"/>
      <c r="AB2" s="68"/>
    </row>
    <row r="3" spans="1:28" s="145" customFormat="1" ht="11.7" customHeight="1">
      <c r="A3" s="4432"/>
      <c r="B3" s="4432"/>
      <c r="D3" s="443" t="s">
        <v>2394</v>
      </c>
      <c r="E3" s="443" t="s">
        <v>1217</v>
      </c>
      <c r="F3" s="444">
        <v>0</v>
      </c>
      <c r="G3" s="445">
        <v>1</v>
      </c>
      <c r="H3" s="817">
        <v>2</v>
      </c>
      <c r="I3" s="817">
        <v>3</v>
      </c>
      <c r="J3" s="446" t="s">
        <v>2923</v>
      </c>
      <c r="L3" s="443" t="s">
        <v>2394</v>
      </c>
      <c r="M3" s="443" t="s">
        <v>1217</v>
      </c>
      <c r="N3" s="444">
        <v>0</v>
      </c>
      <c r="O3" s="445">
        <v>1</v>
      </c>
      <c r="P3" s="817">
        <v>2</v>
      </c>
      <c r="Q3" s="817">
        <v>3</v>
      </c>
      <c r="R3" s="446" t="s">
        <v>2923</v>
      </c>
      <c r="S3" s="241"/>
      <c r="T3" s="144"/>
      <c r="U3" s="144"/>
      <c r="V3" s="321"/>
      <c r="W3" s="321"/>
      <c r="X3" s="321"/>
      <c r="AA3" s="68"/>
      <c r="AB3" s="68"/>
    </row>
    <row r="4" spans="1:28" s="145" customFormat="1" ht="11.7" customHeight="1">
      <c r="A4" s="4432"/>
      <c r="B4" s="4432"/>
      <c r="D4" s="767" t="s">
        <v>1652</v>
      </c>
      <c r="E4" s="767" t="s">
        <v>2925</v>
      </c>
      <c r="F4" s="768">
        <v>142816</v>
      </c>
      <c r="G4" s="768">
        <v>184662</v>
      </c>
      <c r="H4" s="768">
        <v>220865</v>
      </c>
      <c r="I4" s="768">
        <v>263215</v>
      </c>
      <c r="J4" s="768">
        <v>310038</v>
      </c>
      <c r="L4" s="241" t="s">
        <v>1652</v>
      </c>
      <c r="M4" s="241" t="s">
        <v>2925</v>
      </c>
      <c r="N4" s="829">
        <f t="shared" ref="N4:N39" si="0">ROUNDDOWN(F4*1.1,0)</f>
        <v>157097</v>
      </c>
      <c r="O4" s="829">
        <f t="shared" ref="O4:O39" si="1">ROUNDDOWN(G4*1.1,0)</f>
        <v>203128</v>
      </c>
      <c r="P4" s="829">
        <f t="shared" ref="P4:P39" si="2">ROUNDDOWN(H4*1.1,0)</f>
        <v>242951</v>
      </c>
      <c r="Q4" s="829">
        <f t="shared" ref="Q4:Q39" si="3">ROUNDDOWN(I4*1.1,0)</f>
        <v>289536</v>
      </c>
      <c r="R4" s="829">
        <f t="shared" ref="R4:R39" si="4">ROUNDDOWN(J4*1.1,0)</f>
        <v>341041</v>
      </c>
      <c r="S4" s="241"/>
      <c r="T4" s="144"/>
      <c r="U4" s="144"/>
      <c r="V4" s="321"/>
      <c r="W4" s="321"/>
      <c r="X4" s="321"/>
      <c r="AA4" s="68"/>
      <c r="AB4" s="68"/>
    </row>
    <row r="5" spans="1:28" s="145" customFormat="1" ht="11.7" customHeight="1">
      <c r="A5" s="147"/>
      <c r="D5" s="767" t="s">
        <v>1652</v>
      </c>
      <c r="E5" s="767" t="s">
        <v>2922</v>
      </c>
      <c r="F5" s="768">
        <v>111333</v>
      </c>
      <c r="G5" s="768">
        <v>155866</v>
      </c>
      <c r="H5" s="768">
        <v>200399</v>
      </c>
      <c r="I5" s="768">
        <v>267199</v>
      </c>
      <c r="J5" s="768">
        <v>333999</v>
      </c>
      <c r="L5" s="241" t="s">
        <v>1652</v>
      </c>
      <c r="M5" s="241" t="s">
        <v>2922</v>
      </c>
      <c r="N5" s="829">
        <f t="shared" si="0"/>
        <v>122466</v>
      </c>
      <c r="O5" s="829">
        <f t="shared" si="1"/>
        <v>171452</v>
      </c>
      <c r="P5" s="829">
        <f t="shared" si="2"/>
        <v>220438</v>
      </c>
      <c r="Q5" s="829">
        <f t="shared" si="3"/>
        <v>293918</v>
      </c>
      <c r="R5" s="829">
        <f t="shared" si="4"/>
        <v>367398</v>
      </c>
      <c r="S5" s="241"/>
      <c r="T5" s="144"/>
      <c r="U5" s="144"/>
      <c r="V5" s="321"/>
      <c r="W5" s="321"/>
      <c r="X5" s="321"/>
      <c r="AA5" s="68"/>
      <c r="AB5" s="68"/>
    </row>
    <row r="6" spans="1:28" s="145" customFormat="1" ht="11.7" customHeight="1">
      <c r="A6" s="147"/>
      <c r="D6" s="767" t="s">
        <v>1652</v>
      </c>
      <c r="E6" s="767" t="s">
        <v>2920</v>
      </c>
      <c r="F6" s="768">
        <v>123345</v>
      </c>
      <c r="G6" s="768">
        <v>160923</v>
      </c>
      <c r="H6" s="768">
        <v>194869</v>
      </c>
      <c r="I6" s="768">
        <v>237606</v>
      </c>
      <c r="J6" s="768">
        <v>281429</v>
      </c>
      <c r="L6" s="241" t="s">
        <v>1652</v>
      </c>
      <c r="M6" s="241" t="s">
        <v>2920</v>
      </c>
      <c r="N6" s="829">
        <f t="shared" si="0"/>
        <v>135679</v>
      </c>
      <c r="O6" s="829">
        <f t="shared" si="1"/>
        <v>177015</v>
      </c>
      <c r="P6" s="829">
        <f t="shared" si="2"/>
        <v>214355</v>
      </c>
      <c r="Q6" s="829">
        <f t="shared" si="3"/>
        <v>261366</v>
      </c>
      <c r="R6" s="829">
        <f t="shared" si="4"/>
        <v>309571</v>
      </c>
      <c r="S6" s="241"/>
      <c r="T6" s="144"/>
      <c r="U6" s="144"/>
      <c r="V6" s="321"/>
      <c r="W6" s="321"/>
      <c r="X6" s="321"/>
      <c r="AA6" s="68"/>
      <c r="AB6" s="68"/>
    </row>
    <row r="7" spans="1:28" s="145" customFormat="1" ht="11.7" customHeight="1">
      <c r="A7" s="147"/>
      <c r="D7" s="767" t="s">
        <v>1652</v>
      </c>
      <c r="E7" s="767" t="s">
        <v>2921</v>
      </c>
      <c r="F7" s="768">
        <v>110658</v>
      </c>
      <c r="G7" s="768">
        <v>150909</v>
      </c>
      <c r="H7" s="768">
        <v>191026</v>
      </c>
      <c r="I7" s="768">
        <v>251664</v>
      </c>
      <c r="J7" s="768">
        <v>311733</v>
      </c>
      <c r="L7" s="241" t="s">
        <v>1652</v>
      </c>
      <c r="M7" s="241" t="s">
        <v>2921</v>
      </c>
      <c r="N7" s="829">
        <f t="shared" si="0"/>
        <v>121723</v>
      </c>
      <c r="O7" s="829">
        <f t="shared" si="1"/>
        <v>165999</v>
      </c>
      <c r="P7" s="829">
        <f t="shared" si="2"/>
        <v>210128</v>
      </c>
      <c r="Q7" s="829">
        <f t="shared" si="3"/>
        <v>276830</v>
      </c>
      <c r="R7" s="829">
        <f t="shared" si="4"/>
        <v>342906</v>
      </c>
      <c r="S7" s="241"/>
      <c r="T7" s="144"/>
      <c r="U7" s="144"/>
      <c r="V7" s="321"/>
      <c r="W7" s="321"/>
      <c r="X7" s="321"/>
      <c r="AA7" s="68"/>
      <c r="AB7" s="68"/>
    </row>
    <row r="8" spans="1:28" s="145" customFormat="1" ht="11.7" customHeight="1">
      <c r="A8" s="147"/>
      <c r="D8" s="759" t="s">
        <v>159</v>
      </c>
      <c r="E8" s="759" t="s">
        <v>2925</v>
      </c>
      <c r="F8" s="760">
        <v>141797</v>
      </c>
      <c r="G8" s="760">
        <v>183527</v>
      </c>
      <c r="H8" s="760">
        <v>219633</v>
      </c>
      <c r="I8" s="760">
        <v>261936</v>
      </c>
      <c r="J8" s="760">
        <v>308710</v>
      </c>
      <c r="L8" s="241" t="s">
        <v>159</v>
      </c>
      <c r="M8" s="241" t="s">
        <v>2925</v>
      </c>
      <c r="N8" s="829">
        <f t="shared" si="0"/>
        <v>155976</v>
      </c>
      <c r="O8" s="829">
        <f t="shared" si="1"/>
        <v>201879</v>
      </c>
      <c r="P8" s="829">
        <f t="shared" si="2"/>
        <v>241596</v>
      </c>
      <c r="Q8" s="829">
        <f t="shared" si="3"/>
        <v>288129</v>
      </c>
      <c r="R8" s="829">
        <f t="shared" si="4"/>
        <v>339581</v>
      </c>
      <c r="S8" s="241"/>
      <c r="T8" s="144"/>
      <c r="U8" s="144"/>
      <c r="V8" s="321"/>
      <c r="W8" s="321"/>
      <c r="X8" s="321"/>
      <c r="AA8" s="68"/>
      <c r="AB8" s="68"/>
    </row>
    <row r="9" spans="1:28" s="145" customFormat="1" ht="11.7" customHeight="1">
      <c r="A9" s="147"/>
      <c r="D9" s="759" t="s">
        <v>159</v>
      </c>
      <c r="E9" s="759" t="s">
        <v>2922</v>
      </c>
      <c r="F9" s="760">
        <v>110497</v>
      </c>
      <c r="G9" s="760">
        <v>154696</v>
      </c>
      <c r="H9" s="760">
        <v>198895</v>
      </c>
      <c r="I9" s="760">
        <v>265193</v>
      </c>
      <c r="J9" s="760">
        <v>331491</v>
      </c>
      <c r="L9" s="241" t="s">
        <v>159</v>
      </c>
      <c r="M9" s="241" t="s">
        <v>2922</v>
      </c>
      <c r="N9" s="829">
        <f t="shared" si="0"/>
        <v>121546</v>
      </c>
      <c r="O9" s="829">
        <f t="shared" si="1"/>
        <v>170165</v>
      </c>
      <c r="P9" s="829">
        <f t="shared" si="2"/>
        <v>218784</v>
      </c>
      <c r="Q9" s="829">
        <f t="shared" si="3"/>
        <v>291712</v>
      </c>
      <c r="R9" s="829">
        <f t="shared" si="4"/>
        <v>364640</v>
      </c>
      <c r="S9" s="241"/>
      <c r="T9" s="144"/>
      <c r="U9" s="144"/>
      <c r="V9" s="321"/>
      <c r="W9" s="321"/>
      <c r="X9" s="321"/>
      <c r="AA9" s="68"/>
      <c r="AB9" s="68"/>
    </row>
    <row r="10" spans="1:28" s="145" customFormat="1" ht="11.7" customHeight="1">
      <c r="A10" s="147"/>
      <c r="D10" s="759" t="s">
        <v>159</v>
      </c>
      <c r="E10" s="759" t="s">
        <v>2920</v>
      </c>
      <c r="F10" s="760">
        <v>121614</v>
      </c>
      <c r="G10" s="760">
        <v>158920</v>
      </c>
      <c r="H10" s="760">
        <v>192685</v>
      </c>
      <c r="I10" s="760">
        <v>235391</v>
      </c>
      <c r="J10" s="760">
        <v>279054</v>
      </c>
      <c r="L10" s="241" t="s">
        <v>159</v>
      </c>
      <c r="M10" s="241" t="s">
        <v>2920</v>
      </c>
      <c r="N10" s="829">
        <f t="shared" si="0"/>
        <v>133775</v>
      </c>
      <c r="O10" s="829">
        <f t="shared" si="1"/>
        <v>174812</v>
      </c>
      <c r="P10" s="829">
        <f t="shared" si="2"/>
        <v>211953</v>
      </c>
      <c r="Q10" s="829">
        <f t="shared" si="3"/>
        <v>258930</v>
      </c>
      <c r="R10" s="829">
        <f t="shared" si="4"/>
        <v>306959</v>
      </c>
      <c r="S10" s="241"/>
      <c r="T10" s="144"/>
      <c r="U10" s="144"/>
      <c r="V10" s="321"/>
      <c r="W10" s="321"/>
      <c r="X10" s="321"/>
      <c r="AA10" s="68"/>
      <c r="AB10" s="68"/>
    </row>
    <row r="11" spans="1:28" s="145" customFormat="1" ht="11.7" customHeight="1">
      <c r="A11" s="147"/>
      <c r="D11" s="759" t="s">
        <v>159</v>
      </c>
      <c r="E11" s="759" t="s">
        <v>2921</v>
      </c>
      <c r="F11" s="760">
        <v>108520</v>
      </c>
      <c r="G11" s="760">
        <v>147769</v>
      </c>
      <c r="H11" s="760">
        <v>186880</v>
      </c>
      <c r="I11" s="760">
        <v>246024</v>
      </c>
      <c r="J11" s="760">
        <v>304578</v>
      </c>
      <c r="L11" s="241" t="s">
        <v>159</v>
      </c>
      <c r="M11" s="241" t="s">
        <v>2921</v>
      </c>
      <c r="N11" s="829">
        <f t="shared" si="0"/>
        <v>119372</v>
      </c>
      <c r="O11" s="829">
        <f t="shared" si="1"/>
        <v>162545</v>
      </c>
      <c r="P11" s="829">
        <f t="shared" si="2"/>
        <v>205568</v>
      </c>
      <c r="Q11" s="829">
        <f t="shared" si="3"/>
        <v>270626</v>
      </c>
      <c r="R11" s="829">
        <f t="shared" si="4"/>
        <v>335035</v>
      </c>
      <c r="S11" s="241"/>
      <c r="T11" s="144"/>
      <c r="U11" s="144"/>
      <c r="V11" s="321"/>
      <c r="W11" s="321"/>
      <c r="X11" s="321"/>
      <c r="AA11" s="68"/>
      <c r="AB11" s="68"/>
    </row>
    <row r="12" spans="1:28" s="145" customFormat="1" ht="11.7" customHeight="1">
      <c r="A12" s="147"/>
      <c r="D12" s="757" t="s">
        <v>1130</v>
      </c>
      <c r="E12" s="757" t="s">
        <v>2925</v>
      </c>
      <c r="F12" s="758">
        <v>155687</v>
      </c>
      <c r="G12" s="758">
        <v>201438</v>
      </c>
      <c r="H12" s="758">
        <v>241022</v>
      </c>
      <c r="I12" s="758">
        <v>287374</v>
      </c>
      <c r="J12" s="758">
        <v>338625</v>
      </c>
      <c r="L12" s="441" t="s">
        <v>1130</v>
      </c>
      <c r="M12" s="441" t="s">
        <v>2925</v>
      </c>
      <c r="N12" s="829">
        <f t="shared" si="0"/>
        <v>171255</v>
      </c>
      <c r="O12" s="829">
        <f t="shared" si="1"/>
        <v>221581</v>
      </c>
      <c r="P12" s="829">
        <f t="shared" si="2"/>
        <v>265124</v>
      </c>
      <c r="Q12" s="829">
        <f t="shared" si="3"/>
        <v>316111</v>
      </c>
      <c r="R12" s="829">
        <f t="shared" si="4"/>
        <v>372487</v>
      </c>
      <c r="S12" s="241"/>
      <c r="T12" s="144"/>
      <c r="U12" s="144"/>
      <c r="V12" s="321"/>
      <c r="W12" s="321"/>
      <c r="X12" s="321"/>
      <c r="AA12" s="68"/>
      <c r="AB12" s="68"/>
    </row>
    <row r="13" spans="1:28" s="145" customFormat="1" ht="11.7" customHeight="1">
      <c r="A13" s="147"/>
      <c r="D13" s="757" t="s">
        <v>1130</v>
      </c>
      <c r="E13" s="757" t="s">
        <v>2922</v>
      </c>
      <c r="F13" s="758">
        <v>121337</v>
      </c>
      <c r="G13" s="758">
        <v>169871</v>
      </c>
      <c r="H13" s="758">
        <v>218406</v>
      </c>
      <c r="I13" s="758">
        <v>291208</v>
      </c>
      <c r="J13" s="758">
        <v>364010</v>
      </c>
      <c r="L13" s="441" t="s">
        <v>1130</v>
      </c>
      <c r="M13" s="441" t="s">
        <v>2922</v>
      </c>
      <c r="N13" s="829">
        <f t="shared" si="0"/>
        <v>133470</v>
      </c>
      <c r="O13" s="829">
        <f t="shared" si="1"/>
        <v>186858</v>
      </c>
      <c r="P13" s="829">
        <f t="shared" si="2"/>
        <v>240246</v>
      </c>
      <c r="Q13" s="829">
        <f t="shared" si="3"/>
        <v>320328</v>
      </c>
      <c r="R13" s="829">
        <f t="shared" si="4"/>
        <v>400411</v>
      </c>
      <c r="S13" s="241"/>
      <c r="T13" s="144"/>
      <c r="U13" s="144"/>
      <c r="V13" s="321"/>
      <c r="W13" s="321"/>
      <c r="X13" s="321"/>
      <c r="AA13" s="68"/>
      <c r="AB13" s="68"/>
    </row>
    <row r="14" spans="1:28" s="145" customFormat="1" ht="11.7" customHeight="1">
      <c r="A14" s="147"/>
      <c r="D14" s="757" t="s">
        <v>1130</v>
      </c>
      <c r="E14" s="757" t="s">
        <v>2920</v>
      </c>
      <c r="F14" s="758">
        <v>133842</v>
      </c>
      <c r="G14" s="758">
        <v>174804</v>
      </c>
      <c r="H14" s="758">
        <v>211854</v>
      </c>
      <c r="I14" s="758">
        <v>258642</v>
      </c>
      <c r="J14" s="758">
        <v>306526</v>
      </c>
      <c r="L14" s="441" t="s">
        <v>1130</v>
      </c>
      <c r="M14" s="441" t="s">
        <v>2920</v>
      </c>
      <c r="N14" s="829">
        <f t="shared" si="0"/>
        <v>147226</v>
      </c>
      <c r="O14" s="829">
        <f t="shared" si="1"/>
        <v>192284</v>
      </c>
      <c r="P14" s="829">
        <f t="shared" si="2"/>
        <v>233039</v>
      </c>
      <c r="Q14" s="829">
        <f t="shared" si="3"/>
        <v>284506</v>
      </c>
      <c r="R14" s="829">
        <f t="shared" si="4"/>
        <v>337178</v>
      </c>
      <c r="S14" s="241"/>
      <c r="T14" s="144"/>
      <c r="U14" s="144"/>
      <c r="V14" s="321"/>
      <c r="W14" s="321"/>
      <c r="X14" s="321"/>
      <c r="AA14" s="68"/>
      <c r="AB14" s="68"/>
    </row>
    <row r="15" spans="1:28" s="145" customFormat="1" ht="11.7" customHeight="1">
      <c r="A15" s="147"/>
      <c r="D15" s="757" t="s">
        <v>1130</v>
      </c>
      <c r="E15" s="757" t="s">
        <v>2921</v>
      </c>
      <c r="F15" s="758">
        <v>119649</v>
      </c>
      <c r="G15" s="758">
        <v>163008</v>
      </c>
      <c r="H15" s="758">
        <v>206217</v>
      </c>
      <c r="I15" s="758">
        <v>271547</v>
      </c>
      <c r="J15" s="758">
        <v>336239</v>
      </c>
      <c r="L15" s="441" t="s">
        <v>1130</v>
      </c>
      <c r="M15" s="441" t="s">
        <v>2921</v>
      </c>
      <c r="N15" s="829">
        <f t="shared" si="0"/>
        <v>131613</v>
      </c>
      <c r="O15" s="829">
        <f t="shared" si="1"/>
        <v>179308</v>
      </c>
      <c r="P15" s="829">
        <f t="shared" si="2"/>
        <v>226838</v>
      </c>
      <c r="Q15" s="829">
        <f t="shared" si="3"/>
        <v>298701</v>
      </c>
      <c r="R15" s="829">
        <f t="shared" si="4"/>
        <v>369862</v>
      </c>
      <c r="S15" s="241"/>
      <c r="T15" s="144"/>
      <c r="U15" s="144"/>
      <c r="V15" s="321"/>
      <c r="W15" s="321"/>
      <c r="X15" s="321"/>
      <c r="AA15" s="68"/>
      <c r="AB15" s="68"/>
    </row>
    <row r="16" spans="1:28" s="145" customFormat="1" ht="11.7" customHeight="1">
      <c r="A16" s="147"/>
      <c r="D16" s="761" t="s">
        <v>1250</v>
      </c>
      <c r="E16" s="761" t="s">
        <v>2925</v>
      </c>
      <c r="F16" s="762">
        <v>145521</v>
      </c>
      <c r="G16" s="762">
        <v>188031</v>
      </c>
      <c r="H16" s="762">
        <v>224805</v>
      </c>
      <c r="I16" s="762">
        <v>267776</v>
      </c>
      <c r="J16" s="762">
        <v>315283</v>
      </c>
      <c r="L16" s="441" t="s">
        <v>1250</v>
      </c>
      <c r="M16" s="441" t="s">
        <v>2925</v>
      </c>
      <c r="N16" s="829">
        <f t="shared" si="0"/>
        <v>160073</v>
      </c>
      <c r="O16" s="829">
        <f t="shared" si="1"/>
        <v>206834</v>
      </c>
      <c r="P16" s="829">
        <f t="shared" si="2"/>
        <v>247285</v>
      </c>
      <c r="Q16" s="829">
        <f t="shared" si="3"/>
        <v>294553</v>
      </c>
      <c r="R16" s="829">
        <f t="shared" si="4"/>
        <v>346811</v>
      </c>
      <c r="S16" s="241"/>
      <c r="T16" s="144"/>
      <c r="U16" s="144"/>
      <c r="V16" s="321"/>
      <c r="W16" s="321"/>
      <c r="X16" s="321"/>
      <c r="AA16" s="68"/>
      <c r="AB16" s="68"/>
    </row>
    <row r="17" spans="1:28" s="145" customFormat="1" ht="11.7" customHeight="1">
      <c r="A17" s="147"/>
      <c r="D17" s="761" t="s">
        <v>1250</v>
      </c>
      <c r="E17" s="761" t="s">
        <v>2922</v>
      </c>
      <c r="F17" s="762">
        <v>113472</v>
      </c>
      <c r="G17" s="762">
        <v>158861</v>
      </c>
      <c r="H17" s="762">
        <v>204249</v>
      </c>
      <c r="I17" s="762">
        <v>272333</v>
      </c>
      <c r="J17" s="762">
        <v>340416</v>
      </c>
      <c r="L17" s="441" t="s">
        <v>1250</v>
      </c>
      <c r="M17" s="441" t="s">
        <v>2922</v>
      </c>
      <c r="N17" s="829">
        <f t="shared" si="0"/>
        <v>124819</v>
      </c>
      <c r="O17" s="829">
        <f t="shared" si="1"/>
        <v>174747</v>
      </c>
      <c r="P17" s="829">
        <f t="shared" si="2"/>
        <v>224673</v>
      </c>
      <c r="Q17" s="829">
        <f t="shared" si="3"/>
        <v>299566</v>
      </c>
      <c r="R17" s="829">
        <f t="shared" si="4"/>
        <v>374457</v>
      </c>
      <c r="S17" s="241"/>
      <c r="T17" s="144"/>
      <c r="U17" s="144"/>
      <c r="V17" s="321"/>
      <c r="W17" s="321"/>
      <c r="X17" s="321"/>
      <c r="AA17" s="68"/>
      <c r="AB17" s="68"/>
    </row>
    <row r="18" spans="1:28" s="145" customFormat="1" ht="11.7" customHeight="1">
      <c r="A18" s="147"/>
      <c r="D18" s="761" t="s">
        <v>1250</v>
      </c>
      <c r="E18" s="761" t="s">
        <v>2920</v>
      </c>
      <c r="F18" s="762">
        <v>126289</v>
      </c>
      <c r="G18" s="762">
        <v>164581</v>
      </c>
      <c r="H18" s="762">
        <v>199126</v>
      </c>
      <c r="I18" s="762">
        <v>242479</v>
      </c>
      <c r="J18" s="762">
        <v>287022</v>
      </c>
      <c r="L18" s="441" t="s">
        <v>1250</v>
      </c>
      <c r="M18" s="441" t="s">
        <v>2920</v>
      </c>
      <c r="N18" s="829">
        <f t="shared" si="0"/>
        <v>138917</v>
      </c>
      <c r="O18" s="829">
        <f t="shared" si="1"/>
        <v>181039</v>
      </c>
      <c r="P18" s="829">
        <f t="shared" si="2"/>
        <v>219038</v>
      </c>
      <c r="Q18" s="829">
        <f t="shared" si="3"/>
        <v>266726</v>
      </c>
      <c r="R18" s="829">
        <f t="shared" si="4"/>
        <v>315724</v>
      </c>
      <c r="S18" s="241"/>
      <c r="T18" s="144"/>
      <c r="U18" s="144"/>
      <c r="V18" s="321"/>
      <c r="W18" s="321"/>
      <c r="X18" s="321"/>
      <c r="AA18" s="68"/>
      <c r="AB18" s="68"/>
    </row>
    <row r="19" spans="1:28" s="145" customFormat="1" ht="11.7" customHeight="1">
      <c r="A19" s="147"/>
      <c r="D19" s="761" t="s">
        <v>1250</v>
      </c>
      <c r="E19" s="761" t="s">
        <v>2921</v>
      </c>
      <c r="F19" s="762">
        <v>113715</v>
      </c>
      <c r="G19" s="762">
        <v>155238</v>
      </c>
      <c r="H19" s="762">
        <v>196629</v>
      </c>
      <c r="I19" s="762">
        <v>259171</v>
      </c>
      <c r="J19" s="762">
        <v>321151</v>
      </c>
      <c r="L19" s="441" t="s">
        <v>1250</v>
      </c>
      <c r="M19" s="441" t="s">
        <v>2921</v>
      </c>
      <c r="N19" s="829">
        <f t="shared" si="0"/>
        <v>125086</v>
      </c>
      <c r="O19" s="829">
        <f t="shared" si="1"/>
        <v>170761</v>
      </c>
      <c r="P19" s="829">
        <f t="shared" si="2"/>
        <v>216291</v>
      </c>
      <c r="Q19" s="829">
        <f t="shared" si="3"/>
        <v>285088</v>
      </c>
      <c r="R19" s="829">
        <f t="shared" si="4"/>
        <v>353266</v>
      </c>
      <c r="S19" s="241"/>
      <c r="T19" s="144"/>
      <c r="U19" s="144"/>
      <c r="V19" s="321"/>
      <c r="W19" s="321"/>
      <c r="X19" s="321"/>
      <c r="AA19" s="68"/>
      <c r="AB19" s="68"/>
    </row>
    <row r="20" spans="1:28" s="145" customFormat="1" ht="11.7" customHeight="1">
      <c r="A20" s="147"/>
      <c r="D20" s="241" t="s">
        <v>1422</v>
      </c>
      <c r="E20" s="241" t="s">
        <v>2925</v>
      </c>
      <c r="F20" s="648">
        <v>151294</v>
      </c>
      <c r="G20" s="648">
        <v>195836</v>
      </c>
      <c r="H20" s="648">
        <v>234374</v>
      </c>
      <c r="I20" s="648">
        <v>279532</v>
      </c>
      <c r="J20" s="648">
        <v>329464</v>
      </c>
      <c r="L20" s="241" t="s">
        <v>1422</v>
      </c>
      <c r="M20" s="441" t="s">
        <v>2925</v>
      </c>
      <c r="N20" s="829">
        <f t="shared" si="0"/>
        <v>166423</v>
      </c>
      <c r="O20" s="829">
        <f t="shared" si="1"/>
        <v>215419</v>
      </c>
      <c r="P20" s="829">
        <f t="shared" si="2"/>
        <v>257811</v>
      </c>
      <c r="Q20" s="829">
        <f t="shared" si="3"/>
        <v>307485</v>
      </c>
      <c r="R20" s="829">
        <f t="shared" si="4"/>
        <v>362410</v>
      </c>
      <c r="S20" s="241"/>
      <c r="T20" s="144"/>
      <c r="U20" s="144"/>
      <c r="V20" s="321"/>
      <c r="W20" s="321"/>
      <c r="X20" s="321"/>
      <c r="AA20" s="68"/>
      <c r="AB20" s="68"/>
    </row>
    <row r="21" spans="1:28" s="145" customFormat="1" ht="11.7" customHeight="1">
      <c r="A21" s="147"/>
      <c r="D21" s="241" t="s">
        <v>1422</v>
      </c>
      <c r="E21" s="241" t="s">
        <v>2922</v>
      </c>
      <c r="F21" s="648">
        <v>117895</v>
      </c>
      <c r="G21" s="648">
        <v>165052</v>
      </c>
      <c r="H21" s="648">
        <v>212210</v>
      </c>
      <c r="I21" s="648">
        <v>282947</v>
      </c>
      <c r="J21" s="648">
        <v>353684</v>
      </c>
      <c r="L21" s="241" t="s">
        <v>1422</v>
      </c>
      <c r="M21" s="441" t="s">
        <v>2922</v>
      </c>
      <c r="N21" s="829">
        <f t="shared" si="0"/>
        <v>129684</v>
      </c>
      <c r="O21" s="829">
        <f t="shared" si="1"/>
        <v>181557</v>
      </c>
      <c r="P21" s="829">
        <f t="shared" si="2"/>
        <v>233431</v>
      </c>
      <c r="Q21" s="829">
        <f t="shared" si="3"/>
        <v>311241</v>
      </c>
      <c r="R21" s="829">
        <f t="shared" si="4"/>
        <v>389052</v>
      </c>
      <c r="S21" s="241"/>
      <c r="T21" s="144"/>
      <c r="U21" s="144"/>
      <c r="V21" s="321"/>
      <c r="W21" s="321"/>
      <c r="X21" s="321"/>
      <c r="AA21" s="68"/>
      <c r="AB21" s="68"/>
    </row>
    <row r="22" spans="1:28" s="145" customFormat="1" ht="11.7" customHeight="1">
      <c r="A22" s="147"/>
      <c r="D22" s="241" t="s">
        <v>1422</v>
      </c>
      <c r="E22" s="241" t="s">
        <v>2920</v>
      </c>
      <c r="F22" s="648">
        <v>129687</v>
      </c>
      <c r="G22" s="648">
        <v>169491</v>
      </c>
      <c r="H22" s="648">
        <v>205524</v>
      </c>
      <c r="I22" s="648">
        <v>251113</v>
      </c>
      <c r="J22" s="648">
        <v>297714</v>
      </c>
      <c r="L22" s="241" t="s">
        <v>1422</v>
      </c>
      <c r="M22" s="441" t="s">
        <v>2920</v>
      </c>
      <c r="N22" s="829">
        <f t="shared" si="0"/>
        <v>142655</v>
      </c>
      <c r="O22" s="829">
        <f t="shared" si="1"/>
        <v>186440</v>
      </c>
      <c r="P22" s="829">
        <f t="shared" si="2"/>
        <v>226076</v>
      </c>
      <c r="Q22" s="829">
        <f t="shared" si="3"/>
        <v>276224</v>
      </c>
      <c r="R22" s="829">
        <f t="shared" si="4"/>
        <v>327485</v>
      </c>
      <c r="S22" s="241"/>
      <c r="T22" s="144"/>
      <c r="U22" s="144"/>
      <c r="V22" s="321"/>
      <c r="W22" s="321"/>
      <c r="X22" s="321"/>
      <c r="AA22" s="68"/>
      <c r="AB22" s="68"/>
    </row>
    <row r="23" spans="1:28" s="145" customFormat="1" ht="11.7" customHeight="1">
      <c r="A23" s="147"/>
      <c r="D23" s="241" t="s">
        <v>1422</v>
      </c>
      <c r="E23" s="241" t="s">
        <v>2921</v>
      </c>
      <c r="F23" s="648">
        <v>115673</v>
      </c>
      <c r="G23" s="648">
        <v>157490</v>
      </c>
      <c r="H23" s="648">
        <v>199159</v>
      </c>
      <c r="I23" s="648">
        <v>262174</v>
      </c>
      <c r="J23" s="648">
        <v>324557</v>
      </c>
      <c r="L23" s="241" t="s">
        <v>1422</v>
      </c>
      <c r="M23" s="441" t="s">
        <v>2921</v>
      </c>
      <c r="N23" s="829">
        <f t="shared" si="0"/>
        <v>127240</v>
      </c>
      <c r="O23" s="829">
        <f t="shared" si="1"/>
        <v>173239</v>
      </c>
      <c r="P23" s="829">
        <f t="shared" si="2"/>
        <v>219074</v>
      </c>
      <c r="Q23" s="829">
        <f t="shared" si="3"/>
        <v>288391</v>
      </c>
      <c r="R23" s="829">
        <f t="shared" si="4"/>
        <v>357012</v>
      </c>
      <c r="S23" s="241"/>
      <c r="T23" s="144"/>
      <c r="U23" s="144"/>
      <c r="V23" s="321"/>
      <c r="W23" s="321"/>
      <c r="X23" s="321"/>
      <c r="AA23" s="68"/>
      <c r="AB23" s="68"/>
    </row>
    <row r="24" spans="1:28" s="145" customFormat="1" ht="11.7" customHeight="1">
      <c r="A24" s="147"/>
      <c r="D24" s="763" t="s">
        <v>154</v>
      </c>
      <c r="E24" s="763" t="s">
        <v>2925</v>
      </c>
      <c r="F24" s="764">
        <v>142816</v>
      </c>
      <c r="G24" s="764">
        <v>184662</v>
      </c>
      <c r="H24" s="764">
        <v>220865</v>
      </c>
      <c r="I24" s="764">
        <v>263215</v>
      </c>
      <c r="J24" s="764">
        <v>310038</v>
      </c>
      <c r="L24" s="241" t="s">
        <v>154</v>
      </c>
      <c r="M24" s="241" t="s">
        <v>2925</v>
      </c>
      <c r="N24" s="829">
        <f t="shared" si="0"/>
        <v>157097</v>
      </c>
      <c r="O24" s="829">
        <f t="shared" si="1"/>
        <v>203128</v>
      </c>
      <c r="P24" s="829">
        <f t="shared" si="2"/>
        <v>242951</v>
      </c>
      <c r="Q24" s="829">
        <f t="shared" si="3"/>
        <v>289536</v>
      </c>
      <c r="R24" s="829">
        <f t="shared" si="4"/>
        <v>341041</v>
      </c>
      <c r="S24" s="241"/>
      <c r="T24" s="144"/>
      <c r="U24" s="144"/>
      <c r="V24" s="321"/>
      <c r="W24" s="321"/>
      <c r="X24" s="321"/>
      <c r="AA24" s="68"/>
      <c r="AB24" s="68"/>
    </row>
    <row r="25" spans="1:28" s="145" customFormat="1" ht="11.7" customHeight="1">
      <c r="A25" s="147"/>
      <c r="D25" s="763" t="s">
        <v>154</v>
      </c>
      <c r="E25" s="763" t="s">
        <v>2922</v>
      </c>
      <c r="F25" s="764">
        <v>111333</v>
      </c>
      <c r="G25" s="764">
        <v>155866</v>
      </c>
      <c r="H25" s="764">
        <v>200399</v>
      </c>
      <c r="I25" s="764">
        <v>267199</v>
      </c>
      <c r="J25" s="764">
        <v>333999</v>
      </c>
      <c r="L25" s="241" t="s">
        <v>154</v>
      </c>
      <c r="M25" s="241" t="s">
        <v>2922</v>
      </c>
      <c r="N25" s="829">
        <f t="shared" si="0"/>
        <v>122466</v>
      </c>
      <c r="O25" s="829">
        <f t="shared" si="1"/>
        <v>171452</v>
      </c>
      <c r="P25" s="829">
        <f t="shared" si="2"/>
        <v>220438</v>
      </c>
      <c r="Q25" s="829">
        <f t="shared" si="3"/>
        <v>293918</v>
      </c>
      <c r="R25" s="829">
        <f t="shared" si="4"/>
        <v>367398</v>
      </c>
      <c r="S25" s="241"/>
      <c r="T25" s="144"/>
      <c r="U25" s="144"/>
      <c r="V25" s="321"/>
      <c r="W25" s="321"/>
      <c r="X25" s="321"/>
      <c r="AA25" s="68"/>
      <c r="AB25" s="68"/>
    </row>
    <row r="26" spans="1:28" s="145" customFormat="1" ht="11.7" customHeight="1">
      <c r="A26" s="147"/>
      <c r="D26" s="763" t="s">
        <v>154</v>
      </c>
      <c r="E26" s="763" t="s">
        <v>2920</v>
      </c>
      <c r="F26" s="764">
        <v>123345</v>
      </c>
      <c r="G26" s="764">
        <v>160923</v>
      </c>
      <c r="H26" s="764">
        <v>194869</v>
      </c>
      <c r="I26" s="764">
        <v>237606</v>
      </c>
      <c r="J26" s="764">
        <v>281429</v>
      </c>
      <c r="L26" s="241" t="s">
        <v>154</v>
      </c>
      <c r="M26" s="241" t="s">
        <v>2920</v>
      </c>
      <c r="N26" s="829">
        <f t="shared" si="0"/>
        <v>135679</v>
      </c>
      <c r="O26" s="829">
        <f t="shared" si="1"/>
        <v>177015</v>
      </c>
      <c r="P26" s="829">
        <f t="shared" si="2"/>
        <v>214355</v>
      </c>
      <c r="Q26" s="829">
        <f t="shared" si="3"/>
        <v>261366</v>
      </c>
      <c r="R26" s="829">
        <f t="shared" si="4"/>
        <v>309571</v>
      </c>
      <c r="S26" s="241"/>
      <c r="T26" s="144"/>
      <c r="U26" s="144"/>
      <c r="V26" s="321"/>
      <c r="W26" s="321"/>
      <c r="X26" s="321"/>
      <c r="AA26" s="68"/>
      <c r="AB26" s="68"/>
    </row>
    <row r="27" spans="1:28" s="145" customFormat="1" ht="11.7" customHeight="1">
      <c r="A27" s="147"/>
      <c r="D27" s="763" t="s">
        <v>154</v>
      </c>
      <c r="E27" s="763" t="s">
        <v>2921</v>
      </c>
      <c r="F27" s="764">
        <v>110658</v>
      </c>
      <c r="G27" s="764">
        <v>150909</v>
      </c>
      <c r="H27" s="764">
        <v>191026</v>
      </c>
      <c r="I27" s="764">
        <v>251664</v>
      </c>
      <c r="J27" s="764">
        <v>311733</v>
      </c>
      <c r="L27" s="241" t="s">
        <v>154</v>
      </c>
      <c r="M27" s="241" t="s">
        <v>2921</v>
      </c>
      <c r="N27" s="829">
        <f t="shared" si="0"/>
        <v>121723</v>
      </c>
      <c r="O27" s="829">
        <f t="shared" si="1"/>
        <v>165999</v>
      </c>
      <c r="P27" s="829">
        <f t="shared" si="2"/>
        <v>210128</v>
      </c>
      <c r="Q27" s="829">
        <f t="shared" si="3"/>
        <v>276830</v>
      </c>
      <c r="R27" s="829">
        <f t="shared" si="4"/>
        <v>342906</v>
      </c>
      <c r="S27" s="241"/>
      <c r="T27" s="144"/>
      <c r="U27" s="144"/>
      <c r="V27" s="321"/>
      <c r="W27" s="321"/>
      <c r="X27" s="321"/>
      <c r="AA27" s="68"/>
      <c r="AB27" s="68"/>
    </row>
    <row r="28" spans="1:28" s="145" customFormat="1" ht="11.7" customHeight="1">
      <c r="A28" s="147"/>
      <c r="D28" s="765" t="s">
        <v>1240</v>
      </c>
      <c r="E28" s="765" t="s">
        <v>2925</v>
      </c>
      <c r="F28" s="766">
        <v>145346</v>
      </c>
      <c r="G28" s="766">
        <v>188013</v>
      </c>
      <c r="H28" s="766">
        <v>224927</v>
      </c>
      <c r="I28" s="766">
        <v>268137</v>
      </c>
      <c r="J28" s="766">
        <v>315913</v>
      </c>
      <c r="L28" s="441" t="s">
        <v>1240</v>
      </c>
      <c r="M28" s="441" t="s">
        <v>2925</v>
      </c>
      <c r="N28" s="829">
        <f t="shared" si="0"/>
        <v>159880</v>
      </c>
      <c r="O28" s="829">
        <f t="shared" si="1"/>
        <v>206814</v>
      </c>
      <c r="P28" s="829">
        <f t="shared" si="2"/>
        <v>247419</v>
      </c>
      <c r="Q28" s="829">
        <f t="shared" si="3"/>
        <v>294950</v>
      </c>
      <c r="R28" s="829">
        <f t="shared" si="4"/>
        <v>347504</v>
      </c>
      <c r="S28" s="241"/>
      <c r="T28" s="144"/>
      <c r="U28" s="144"/>
      <c r="V28" s="321"/>
      <c r="W28" s="321"/>
      <c r="X28" s="321"/>
      <c r="AA28" s="68"/>
      <c r="AB28" s="68"/>
    </row>
    <row r="29" spans="1:28" s="145" customFormat="1" ht="11.7" customHeight="1">
      <c r="A29" s="147"/>
      <c r="D29" s="765" t="s">
        <v>1240</v>
      </c>
      <c r="E29" s="765" t="s">
        <v>2922</v>
      </c>
      <c r="F29" s="766">
        <v>113288</v>
      </c>
      <c r="G29" s="766">
        <v>158603</v>
      </c>
      <c r="H29" s="766">
        <v>203918</v>
      </c>
      <c r="I29" s="766">
        <v>271890</v>
      </c>
      <c r="J29" s="766">
        <v>339863</v>
      </c>
      <c r="L29" s="441" t="s">
        <v>1240</v>
      </c>
      <c r="M29" s="441" t="s">
        <v>2922</v>
      </c>
      <c r="N29" s="829">
        <f t="shared" si="0"/>
        <v>124616</v>
      </c>
      <c r="O29" s="829">
        <f t="shared" si="1"/>
        <v>174463</v>
      </c>
      <c r="P29" s="829">
        <f t="shared" si="2"/>
        <v>224309</v>
      </c>
      <c r="Q29" s="829">
        <f t="shared" si="3"/>
        <v>299079</v>
      </c>
      <c r="R29" s="829">
        <f t="shared" si="4"/>
        <v>373849</v>
      </c>
      <c r="S29" s="241"/>
      <c r="T29" s="144"/>
      <c r="U29" s="144"/>
      <c r="V29" s="321"/>
      <c r="W29" s="321"/>
      <c r="X29" s="321"/>
      <c r="AA29" s="68"/>
      <c r="AB29" s="68"/>
    </row>
    <row r="30" spans="1:28" s="145" customFormat="1" ht="11.7" customHeight="1">
      <c r="A30" s="147"/>
      <c r="D30" s="765" t="s">
        <v>1240</v>
      </c>
      <c r="E30" s="765" t="s">
        <v>2920</v>
      </c>
      <c r="F30" s="766">
        <v>125163</v>
      </c>
      <c r="G30" s="766">
        <v>163405</v>
      </c>
      <c r="H30" s="766">
        <v>197979</v>
      </c>
      <c r="I30" s="766">
        <v>241592</v>
      </c>
      <c r="J30" s="766">
        <v>286257</v>
      </c>
      <c r="L30" s="441" t="s">
        <v>1240</v>
      </c>
      <c r="M30" s="441" t="s">
        <v>2920</v>
      </c>
      <c r="N30" s="829">
        <f t="shared" si="0"/>
        <v>137679</v>
      </c>
      <c r="O30" s="829">
        <f t="shared" si="1"/>
        <v>179745</v>
      </c>
      <c r="P30" s="829">
        <f t="shared" si="2"/>
        <v>217776</v>
      </c>
      <c r="Q30" s="829">
        <f t="shared" si="3"/>
        <v>265751</v>
      </c>
      <c r="R30" s="829">
        <f t="shared" si="4"/>
        <v>314882</v>
      </c>
      <c r="S30" s="241"/>
      <c r="T30" s="144"/>
      <c r="U30" s="144"/>
      <c r="V30" s="321"/>
      <c r="W30" s="321"/>
      <c r="X30" s="321"/>
      <c r="AA30" s="68"/>
      <c r="AB30" s="68"/>
    </row>
    <row r="31" spans="1:28" s="145" customFormat="1" ht="11.7" customHeight="1">
      <c r="A31" s="147"/>
      <c r="D31" s="765" t="s">
        <v>1240</v>
      </c>
      <c r="E31" s="765" t="s">
        <v>2921</v>
      </c>
      <c r="F31" s="766">
        <v>112036</v>
      </c>
      <c r="G31" s="766">
        <v>152693</v>
      </c>
      <c r="H31" s="766">
        <v>193210</v>
      </c>
      <c r="I31" s="766">
        <v>254464</v>
      </c>
      <c r="J31" s="766">
        <v>315128</v>
      </c>
      <c r="L31" s="441" t="s">
        <v>1240</v>
      </c>
      <c r="M31" s="441" t="s">
        <v>2921</v>
      </c>
      <c r="N31" s="829">
        <f t="shared" si="0"/>
        <v>123239</v>
      </c>
      <c r="O31" s="829">
        <f t="shared" si="1"/>
        <v>167962</v>
      </c>
      <c r="P31" s="829">
        <f t="shared" si="2"/>
        <v>212531</v>
      </c>
      <c r="Q31" s="829">
        <f t="shared" si="3"/>
        <v>279910</v>
      </c>
      <c r="R31" s="829">
        <f t="shared" si="4"/>
        <v>346640</v>
      </c>
      <c r="S31" s="241"/>
      <c r="T31" s="144"/>
      <c r="U31" s="144"/>
      <c r="V31" s="321"/>
      <c r="W31" s="321"/>
      <c r="X31" s="321"/>
      <c r="AA31" s="68"/>
      <c r="AB31" s="68"/>
    </row>
    <row r="32" spans="1:28" s="145" customFormat="1" ht="11.7" customHeight="1">
      <c r="A32" s="147"/>
      <c r="D32" s="757" t="s">
        <v>1246</v>
      </c>
      <c r="E32" s="757" t="s">
        <v>2925</v>
      </c>
      <c r="F32" s="758">
        <v>148008</v>
      </c>
      <c r="G32" s="758">
        <v>191377</v>
      </c>
      <c r="H32" s="758">
        <v>228898</v>
      </c>
      <c r="I32" s="758">
        <v>272788</v>
      </c>
      <c r="J32" s="758">
        <v>321315</v>
      </c>
      <c r="L32" s="441" t="s">
        <v>1246</v>
      </c>
      <c r="M32" s="441" t="s">
        <v>2925</v>
      </c>
      <c r="N32" s="829">
        <f t="shared" si="0"/>
        <v>162808</v>
      </c>
      <c r="O32" s="829">
        <f t="shared" si="1"/>
        <v>210514</v>
      </c>
      <c r="P32" s="829">
        <f t="shared" si="2"/>
        <v>251787</v>
      </c>
      <c r="Q32" s="829">
        <f t="shared" si="3"/>
        <v>300066</v>
      </c>
      <c r="R32" s="829">
        <f t="shared" si="4"/>
        <v>353446</v>
      </c>
      <c r="S32" s="241"/>
      <c r="T32" s="144"/>
      <c r="U32" s="144"/>
      <c r="V32" s="321"/>
      <c r="W32" s="321"/>
      <c r="X32" s="321"/>
      <c r="AA32" s="68"/>
      <c r="AB32" s="68"/>
    </row>
    <row r="33" spans="1:295" s="145" customFormat="1" ht="11.7" customHeight="1">
      <c r="A33" s="147"/>
      <c r="D33" s="757" t="s">
        <v>1246</v>
      </c>
      <c r="E33" s="757" t="s">
        <v>2922</v>
      </c>
      <c r="F33" s="758">
        <v>115381</v>
      </c>
      <c r="G33" s="758">
        <v>161533</v>
      </c>
      <c r="H33" s="758">
        <v>207685</v>
      </c>
      <c r="I33" s="758">
        <v>276913</v>
      </c>
      <c r="J33" s="758">
        <v>346142</v>
      </c>
      <c r="L33" s="441" t="s">
        <v>1246</v>
      </c>
      <c r="M33" s="441" t="s">
        <v>2922</v>
      </c>
      <c r="N33" s="829">
        <f t="shared" si="0"/>
        <v>126919</v>
      </c>
      <c r="O33" s="829">
        <f t="shared" si="1"/>
        <v>177686</v>
      </c>
      <c r="P33" s="829">
        <f t="shared" si="2"/>
        <v>228453</v>
      </c>
      <c r="Q33" s="829">
        <f t="shared" si="3"/>
        <v>304604</v>
      </c>
      <c r="R33" s="829">
        <f t="shared" si="4"/>
        <v>380756</v>
      </c>
      <c r="S33" s="241"/>
      <c r="T33" s="144"/>
      <c r="U33" s="144"/>
      <c r="V33" s="321"/>
      <c r="W33" s="321"/>
      <c r="X33" s="321"/>
      <c r="AA33" s="68"/>
      <c r="AB33" s="68"/>
    </row>
    <row r="34" spans="1:295" s="145" customFormat="1" ht="11.7" customHeight="1">
      <c r="A34" s="147"/>
      <c r="D34" s="757" t="s">
        <v>1246</v>
      </c>
      <c r="E34" s="757" t="s">
        <v>2920</v>
      </c>
      <c r="F34" s="758">
        <v>127825</v>
      </c>
      <c r="G34" s="758">
        <v>166769</v>
      </c>
      <c r="H34" s="758">
        <v>201950</v>
      </c>
      <c r="I34" s="758">
        <v>246243</v>
      </c>
      <c r="J34" s="758">
        <v>291659</v>
      </c>
      <c r="L34" s="441" t="s">
        <v>1246</v>
      </c>
      <c r="M34" s="441" t="s">
        <v>2920</v>
      </c>
      <c r="N34" s="829">
        <f t="shared" si="0"/>
        <v>140607</v>
      </c>
      <c r="O34" s="829">
        <f t="shared" si="1"/>
        <v>183445</v>
      </c>
      <c r="P34" s="829">
        <f t="shared" si="2"/>
        <v>222145</v>
      </c>
      <c r="Q34" s="829">
        <f t="shared" si="3"/>
        <v>270867</v>
      </c>
      <c r="R34" s="829">
        <f t="shared" si="4"/>
        <v>320824</v>
      </c>
      <c r="S34" s="241"/>
      <c r="T34" s="144"/>
      <c r="U34" s="144"/>
      <c r="V34" s="321"/>
      <c r="W34" s="321"/>
      <c r="X34" s="321"/>
      <c r="AA34" s="68"/>
      <c r="AB34" s="68"/>
    </row>
    <row r="35" spans="1:295" s="145" customFormat="1" ht="11.7" customHeight="1">
      <c r="A35" s="147"/>
      <c r="D35" s="757" t="s">
        <v>1246</v>
      </c>
      <c r="E35" s="757" t="s">
        <v>2921</v>
      </c>
      <c r="F35" s="758">
        <v>114674</v>
      </c>
      <c r="G35" s="758">
        <v>156385</v>
      </c>
      <c r="H35" s="758">
        <v>197957</v>
      </c>
      <c r="I35" s="758">
        <v>260794</v>
      </c>
      <c r="J35" s="758">
        <v>323041</v>
      </c>
      <c r="L35" s="441" t="s">
        <v>1246</v>
      </c>
      <c r="M35" s="441" t="s">
        <v>2921</v>
      </c>
      <c r="N35" s="829">
        <f t="shared" si="0"/>
        <v>126141</v>
      </c>
      <c r="O35" s="829">
        <f t="shared" si="1"/>
        <v>172023</v>
      </c>
      <c r="P35" s="829">
        <f t="shared" si="2"/>
        <v>217752</v>
      </c>
      <c r="Q35" s="829">
        <f t="shared" si="3"/>
        <v>286873</v>
      </c>
      <c r="R35" s="829">
        <f t="shared" si="4"/>
        <v>355345</v>
      </c>
      <c r="S35" s="241"/>
      <c r="T35" s="144"/>
      <c r="U35" s="144"/>
      <c r="V35" s="321"/>
      <c r="W35" s="321"/>
      <c r="X35" s="321"/>
      <c r="AA35" s="68"/>
      <c r="AB35" s="68"/>
    </row>
    <row r="36" spans="1:295" s="145" customFormat="1" ht="11.7" customHeight="1">
      <c r="A36" s="147"/>
      <c r="D36" s="761" t="s">
        <v>1575</v>
      </c>
      <c r="E36" s="761" t="s">
        <v>2925</v>
      </c>
      <c r="F36" s="762">
        <v>135717</v>
      </c>
      <c r="G36" s="762">
        <v>175691</v>
      </c>
      <c r="H36" s="762">
        <v>210278</v>
      </c>
      <c r="I36" s="762">
        <v>250813</v>
      </c>
      <c r="J36" s="762">
        <v>295633</v>
      </c>
      <c r="L36" s="441" t="s">
        <v>1575</v>
      </c>
      <c r="M36" s="441" t="s">
        <v>2925</v>
      </c>
      <c r="N36" s="829">
        <f t="shared" si="0"/>
        <v>149288</v>
      </c>
      <c r="O36" s="829">
        <f t="shared" si="1"/>
        <v>193260</v>
      </c>
      <c r="P36" s="829">
        <f t="shared" si="2"/>
        <v>231305</v>
      </c>
      <c r="Q36" s="829">
        <f t="shared" si="3"/>
        <v>275894</v>
      </c>
      <c r="R36" s="829">
        <f t="shared" si="4"/>
        <v>325196</v>
      </c>
      <c r="S36" s="241"/>
      <c r="T36" s="144"/>
      <c r="U36" s="144"/>
      <c r="V36" s="321"/>
      <c r="W36" s="321"/>
      <c r="X36" s="321"/>
      <c r="AA36" s="68"/>
      <c r="AB36" s="68"/>
    </row>
    <row r="37" spans="1:295" s="145" customFormat="1" ht="11.7" customHeight="1">
      <c r="A37" s="147"/>
      <c r="D37" s="761" t="s">
        <v>1575</v>
      </c>
      <c r="E37" s="761" t="s">
        <v>2922</v>
      </c>
      <c r="F37" s="762">
        <v>105752</v>
      </c>
      <c r="G37" s="762">
        <v>148052</v>
      </c>
      <c r="H37" s="762">
        <v>190353</v>
      </c>
      <c r="I37" s="762">
        <v>253804</v>
      </c>
      <c r="J37" s="762">
        <v>317255</v>
      </c>
      <c r="L37" s="441" t="s">
        <v>1575</v>
      </c>
      <c r="M37" s="441" t="s">
        <v>2922</v>
      </c>
      <c r="N37" s="829">
        <f t="shared" si="0"/>
        <v>116327</v>
      </c>
      <c r="O37" s="829">
        <f t="shared" si="1"/>
        <v>162857</v>
      </c>
      <c r="P37" s="829">
        <f t="shared" si="2"/>
        <v>209388</v>
      </c>
      <c r="Q37" s="829">
        <f t="shared" si="3"/>
        <v>279184</v>
      </c>
      <c r="R37" s="829">
        <f t="shared" si="4"/>
        <v>348980</v>
      </c>
      <c r="S37" s="241"/>
      <c r="T37" s="144"/>
      <c r="U37" s="144"/>
      <c r="V37" s="321"/>
      <c r="W37" s="321"/>
      <c r="X37" s="321"/>
      <c r="AA37" s="68"/>
      <c r="AB37" s="68"/>
    </row>
    <row r="38" spans="1:295" s="145" customFormat="1" ht="11.7" customHeight="1">
      <c r="A38" s="147"/>
      <c r="D38" s="761" t="s">
        <v>1575</v>
      </c>
      <c r="E38" s="761" t="s">
        <v>2920</v>
      </c>
      <c r="F38" s="762">
        <v>116246</v>
      </c>
      <c r="G38" s="762">
        <v>151952</v>
      </c>
      <c r="H38" s="762">
        <v>184281</v>
      </c>
      <c r="I38" s="762">
        <v>225204</v>
      </c>
      <c r="J38" s="762">
        <v>267023</v>
      </c>
      <c r="L38" s="441" t="s">
        <v>1575</v>
      </c>
      <c r="M38" s="441" t="s">
        <v>2920</v>
      </c>
      <c r="N38" s="829">
        <f t="shared" si="0"/>
        <v>127870</v>
      </c>
      <c r="O38" s="829">
        <f t="shared" si="1"/>
        <v>167147</v>
      </c>
      <c r="P38" s="829">
        <f t="shared" si="2"/>
        <v>202709</v>
      </c>
      <c r="Q38" s="829">
        <f t="shared" si="3"/>
        <v>247724</v>
      </c>
      <c r="R38" s="829">
        <f t="shared" si="4"/>
        <v>293725</v>
      </c>
      <c r="S38" s="241"/>
      <c r="T38" s="144"/>
      <c r="U38" s="144"/>
      <c r="V38" s="321"/>
      <c r="W38" s="321"/>
      <c r="X38" s="321"/>
      <c r="AA38" s="68"/>
      <c r="AB38" s="68"/>
    </row>
    <row r="39" spans="1:295" s="145" customFormat="1" ht="11.7" customHeight="1">
      <c r="A39" s="147"/>
      <c r="D39" s="761" t="s">
        <v>1575</v>
      </c>
      <c r="E39" s="761" t="s">
        <v>2921</v>
      </c>
      <c r="F39" s="762">
        <v>103624</v>
      </c>
      <c r="G39" s="762">
        <v>141062</v>
      </c>
      <c r="H39" s="762">
        <v>178366</v>
      </c>
      <c r="I39" s="762">
        <v>234784</v>
      </c>
      <c r="J39" s="762">
        <v>290632</v>
      </c>
      <c r="L39" s="441" t="s">
        <v>1575</v>
      </c>
      <c r="M39" s="441" t="s">
        <v>2921</v>
      </c>
      <c r="N39" s="829">
        <f t="shared" si="0"/>
        <v>113986</v>
      </c>
      <c r="O39" s="829">
        <f t="shared" si="1"/>
        <v>155168</v>
      </c>
      <c r="P39" s="829">
        <f t="shared" si="2"/>
        <v>196202</v>
      </c>
      <c r="Q39" s="829">
        <f t="shared" si="3"/>
        <v>258262</v>
      </c>
      <c r="R39" s="829">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692" t="s">
        <v>4413</v>
      </c>
      <c r="B42" s="1693"/>
      <c r="C42" s="1693"/>
    </row>
    <row r="44" spans="1:295" s="28" customFormat="1" ht="12.75" customHeight="1">
      <c r="A44" s="2" t="s">
        <v>688</v>
      </c>
      <c r="B44" s="4" t="s">
        <v>2453</v>
      </c>
      <c r="C44" s="4"/>
      <c r="D44" s="4"/>
      <c r="E44" s="870"/>
      <c r="G44" s="486"/>
      <c r="H44" s="486"/>
      <c r="I44" s="486"/>
      <c r="J44" s="35"/>
      <c r="L44" s="487"/>
      <c r="M44" s="487"/>
      <c r="N44" s="487"/>
      <c r="O44" s="101" t="s">
        <v>1725</v>
      </c>
      <c r="P44" s="4233"/>
      <c r="Q44" s="4234"/>
    </row>
    <row r="45" spans="1:295" s="28" customFormat="1" ht="11.25" customHeight="1">
      <c r="A45" s="4442"/>
      <c r="B45" s="4442"/>
      <c r="C45" s="4442"/>
      <c r="D45" s="4442"/>
      <c r="E45" s="4442"/>
      <c r="F45" s="1179"/>
      <c r="G45" s="4455" t="s">
        <v>2457</v>
      </c>
      <c r="H45" s="4456"/>
      <c r="I45" s="66"/>
      <c r="J45" s="35"/>
      <c r="K45" s="4457" t="s">
        <v>3078</v>
      </c>
      <c r="L45" s="4458"/>
      <c r="M45" s="4458"/>
      <c r="N45" s="4459"/>
    </row>
    <row r="46" spans="1:295" s="28" customFormat="1" ht="11.25" customHeight="1">
      <c r="A46" s="4442"/>
      <c r="B46" s="4442"/>
      <c r="C46" s="4442"/>
      <c r="D46" s="4442"/>
      <c r="E46" s="4442"/>
      <c r="F46" s="1179"/>
      <c r="G46" s="4460" t="s">
        <v>333</v>
      </c>
      <c r="H46" s="4461"/>
      <c r="I46" s="66"/>
      <c r="J46" s="35"/>
      <c r="K46" s="4435" t="s">
        <v>3079</v>
      </c>
      <c r="L46" s="4436"/>
      <c r="M46" s="4436"/>
      <c r="N46" s="4437"/>
      <c r="P46" s="404" t="s">
        <v>2466</v>
      </c>
      <c r="Q46" s="74"/>
    </row>
    <row r="47" spans="1:295" s="28" customFormat="1" ht="4.5" customHeight="1">
      <c r="A47" s="1179"/>
      <c r="B47" s="1179"/>
      <c r="C47" s="1179"/>
      <c r="D47" s="1179"/>
      <c r="E47" s="1179"/>
      <c r="F47" s="1179"/>
      <c r="G47" s="66"/>
      <c r="H47" s="66"/>
      <c r="I47" s="66"/>
      <c r="J47" s="35"/>
      <c r="K47" s="4292"/>
      <c r="L47" s="4292"/>
      <c r="M47" s="4292"/>
      <c r="N47" s="4292"/>
      <c r="P47" s="4440" t="s">
        <v>3807</v>
      </c>
      <c r="Q47" s="4440"/>
    </row>
    <row r="48" spans="1:295" s="62" customFormat="1" ht="10.5" customHeight="1">
      <c r="D48" s="489" t="s">
        <v>2456</v>
      </c>
      <c r="E48" s="28"/>
      <c r="F48" s="490" t="s">
        <v>2982</v>
      </c>
      <c r="G48" s="4430" t="s">
        <v>3767</v>
      </c>
      <c r="H48" s="4430"/>
      <c r="I48" s="4430"/>
      <c r="J48" s="28"/>
      <c r="K48" s="490" t="s">
        <v>2982</v>
      </c>
      <c r="L48" s="4430" t="s">
        <v>3766</v>
      </c>
      <c r="M48" s="4430"/>
      <c r="N48" s="4430"/>
      <c r="O48" s="28"/>
      <c r="P48" s="4440"/>
      <c r="Q48" s="4440"/>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4" t="s">
        <v>2925</v>
      </c>
      <c r="B49" s="4434"/>
      <c r="C49" s="4434"/>
      <c r="D49" s="645" t="s">
        <v>525</v>
      </c>
      <c r="E49" s="646">
        <v>0</v>
      </c>
      <c r="F49" s="1177" t="e">
        <f>IF(#REF! =0,"",#REF!)</f>
        <v>#REF!</v>
      </c>
      <c r="G49" s="64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78" t="e">
        <f>IF(F49="","",F49*G49)</f>
        <v>#REF!</v>
      </c>
      <c r="J49" s="35"/>
      <c r="K49" s="1177" t="e">
        <f>IF(#REF! =0,"",#REF!)</f>
        <v>#REF!</v>
      </c>
      <c r="L49" s="647" t="e">
        <f>G49*(1+#REF!)</f>
        <v>#REF!</v>
      </c>
      <c r="M49" s="33" t="e">
        <f>CONCATENATE("x ", K49," units = ")</f>
        <v>#REF!</v>
      </c>
      <c r="N49" s="1178" t="e">
        <f>IF(K49="","",K49*L49)</f>
        <v>#REF!</v>
      </c>
      <c r="O49" s="870"/>
      <c r="P49" s="4441"/>
      <c r="Q49" s="4441"/>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4"/>
      <c r="B50" s="4434"/>
      <c r="C50" s="4434"/>
      <c r="D50" s="645" t="s">
        <v>2238</v>
      </c>
      <c r="E50" s="646">
        <v>1</v>
      </c>
      <c r="F50" s="1177" t="e">
        <f>IF(#REF! =0,"",#REF!)</f>
        <v>#REF!</v>
      </c>
      <c r="G50" s="64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78" t="e">
        <f>IF(F50="","",F50*G50)</f>
        <v>#REF!</v>
      </c>
      <c r="J50" s="35"/>
      <c r="K50" s="1177" t="e">
        <f>IF(#REF! =0,"",#REF!)</f>
        <v>#REF!</v>
      </c>
      <c r="L50" s="647" t="e">
        <f>G50*(1+#REF!)</f>
        <v>#REF!</v>
      </c>
      <c r="M50" s="33" t="e">
        <f>CONCATENATE("x ", K50," units = ")</f>
        <v>#REF!</v>
      </c>
      <c r="N50" s="1178" t="e">
        <f>IF(K50="","",K50*L50)</f>
        <v>#REF!</v>
      </c>
      <c r="O50" s="870"/>
      <c r="P50" s="4447" t="e">
        <f>IF(#REF!="","",VLOOKUP(#REF!,#REF!,8,FALSE))</f>
        <v>#REF!</v>
      </c>
      <c r="Q50" s="4448"/>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4"/>
      <c r="B51" s="4434"/>
      <c r="C51" s="4434"/>
      <c r="D51" s="645" t="s">
        <v>2239</v>
      </c>
      <c r="E51" s="646">
        <v>2</v>
      </c>
      <c r="F51" s="1177" t="e">
        <f>IF(#REF! =0,"",#REF!)</f>
        <v>#REF!</v>
      </c>
      <c r="G51" s="64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78" t="e">
        <f>IF(F51="","",F51*G51)</f>
        <v>#REF!</v>
      </c>
      <c r="J51" s="35"/>
      <c r="K51" s="1177" t="e">
        <f>IF(#REF! =0,"",#REF!)</f>
        <v>#REF!</v>
      </c>
      <c r="L51" s="647" t="e">
        <f>G51*(1+#REF!)</f>
        <v>#REF!</v>
      </c>
      <c r="M51" s="33" t="e">
        <f>CONCATENATE("x ", K51," units = ")</f>
        <v>#REF!</v>
      </c>
      <c r="N51" s="1178" t="e">
        <f>IF(K51="","",K51*L51)</f>
        <v>#REF!</v>
      </c>
      <c r="O51" s="870"/>
      <c r="P51" s="4449"/>
      <c r="Q51" s="4450"/>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4"/>
      <c r="B52" s="4434"/>
      <c r="C52" s="4434"/>
      <c r="D52" s="645" t="s">
        <v>2240</v>
      </c>
      <c r="E52" s="646">
        <v>3</v>
      </c>
      <c r="F52" s="1177" t="e">
        <f>IF(#REF! =0,"",#REF!)</f>
        <v>#REF!</v>
      </c>
      <c r="G52" s="64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78" t="e">
        <f>IF(F52="","",F52*G52)</f>
        <v>#REF!</v>
      </c>
      <c r="J52" s="35"/>
      <c r="K52" s="1177" t="e">
        <f>IF(#REF! =0,"",#REF!)</f>
        <v>#REF!</v>
      </c>
      <c r="L52" s="647" t="e">
        <f>G52*(1+#REF!)</f>
        <v>#REF!</v>
      </c>
      <c r="M52" s="33" t="e">
        <f>CONCATENATE("x ", K52," units = ")</f>
        <v>#REF!</v>
      </c>
      <c r="N52" s="1178" t="e">
        <f>IF(K52="","",K52*L52)</f>
        <v>#REF!</v>
      </c>
      <c r="O52" s="870"/>
      <c r="P52" s="4399" t="s">
        <v>3808</v>
      </c>
      <c r="Q52" s="4399"/>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5" t="s">
        <v>2241</v>
      </c>
      <c r="E53" s="646">
        <v>4</v>
      </c>
      <c r="F53" s="1177" t="e">
        <f>IF(#REF! =0,"",#REF!)</f>
        <v>#REF!</v>
      </c>
      <c r="G53" s="64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78" t="e">
        <f>IF(F53="","",F53*G53)</f>
        <v>#REF!</v>
      </c>
      <c r="J53" s="35"/>
      <c r="K53" s="1177" t="e">
        <f>IF(#REF! =0,"",#REF!)</f>
        <v>#REF!</v>
      </c>
      <c r="L53" s="647" t="e">
        <f>G53*(1+#REF!)</f>
        <v>#REF!</v>
      </c>
      <c r="M53" s="33" t="e">
        <f>CONCATENATE("x ", K53," units = ")</f>
        <v>#REF!</v>
      </c>
      <c r="N53" s="1178" t="e">
        <f>IF(K53="","",K53*L53)</f>
        <v>#REF!</v>
      </c>
      <c r="O53" s="870"/>
      <c r="P53" s="4438" t="e">
        <f>#REF!</f>
        <v>#REF!</v>
      </c>
      <c r="Q53" s="4439"/>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2929</v>
      </c>
      <c r="E54" s="102"/>
      <c r="F54" s="853" t="e">
        <f>SUM(F49:F53)</f>
        <v>#REF!</v>
      </c>
      <c r="G54" s="491"/>
      <c r="H54" s="854"/>
      <c r="I54" s="855" t="e">
        <f>SUM(I49:I53)</f>
        <v>#REF!</v>
      </c>
      <c r="J54" s="856"/>
      <c r="K54" s="853" t="e">
        <f>SUM(K49:K53)</f>
        <v>#REF!</v>
      </c>
      <c r="L54" s="856"/>
      <c r="M54" s="854"/>
      <c r="N54" s="855" t="e">
        <f>SUM(N49:N53)</f>
        <v>#REF!</v>
      </c>
      <c r="O54" s="870"/>
      <c r="P54" s="4399" t="s">
        <v>3799</v>
      </c>
      <c r="Q54" s="4399"/>
      <c r="R54" s="4429" t="s">
        <v>4191</v>
      </c>
      <c r="S54" s="4429"/>
      <c r="T54" s="4429"/>
      <c r="V54" s="1243"/>
      <c r="W54" s="1243"/>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2"/>
      <c r="G55" s="108"/>
      <c r="H55" s="28"/>
      <c r="I55" s="492"/>
      <c r="J55" s="28"/>
      <c r="K55" s="492"/>
      <c r="L55" s="28"/>
      <c r="M55" s="870"/>
      <c r="N55" s="492"/>
      <c r="O55" s="870"/>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4" t="s">
        <v>2920</v>
      </c>
      <c r="B56" s="4434"/>
      <c r="C56" s="4434"/>
      <c r="D56" s="645" t="s">
        <v>525</v>
      </c>
      <c r="E56" s="649">
        <v>0</v>
      </c>
      <c r="F56" s="1177" t="e">
        <f>IF(#REF! =0,"",#REF!)</f>
        <v>#REF!</v>
      </c>
      <c r="G56" s="64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78" t="e">
        <f>IF(F56="","",F56*G56)</f>
        <v>#REF!</v>
      </c>
      <c r="J56" s="35"/>
      <c r="K56" s="1177" t="e">
        <f>IF(#REF! =0,"",#REF!)</f>
        <v>#REF!</v>
      </c>
      <c r="L56" s="647" t="e">
        <f>G56*(1+#REF!)</f>
        <v>#REF!</v>
      </c>
      <c r="M56" s="33" t="e">
        <f>CONCATENATE("x ", K56," units = ")</f>
        <v>#REF!</v>
      </c>
      <c r="N56" s="1178" t="e">
        <f>IF(K56="","",K56*L56)</f>
        <v>#REF!</v>
      </c>
      <c r="P56" s="4438" t="e">
        <f>#REF!-#REF!-#REF!-#REF!-#REF!-#REF!</f>
        <v>#REF!</v>
      </c>
      <c r="Q56" s="4439"/>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4"/>
      <c r="B57" s="4434"/>
      <c r="C57" s="4434"/>
      <c r="D57" s="645" t="s">
        <v>2238</v>
      </c>
      <c r="E57" s="646">
        <v>1</v>
      </c>
      <c r="F57" s="1177" t="e">
        <f>IF(#REF! =0,"",#REF!)</f>
        <v>#REF!</v>
      </c>
      <c r="G57" s="64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78" t="e">
        <f>IF(F57="","",F57*G57)</f>
        <v>#REF!</v>
      </c>
      <c r="J57" s="35"/>
      <c r="K57" s="1177" t="e">
        <f>IF(#REF! =0,"",#REF!)</f>
        <v>#REF!</v>
      </c>
      <c r="L57" s="647" t="e">
        <f>G57*(1+#REF!)</f>
        <v>#REF!</v>
      </c>
      <c r="M57" s="33" t="e">
        <f>CONCATENATE("x ", K57," units = ")</f>
        <v>#REF!</v>
      </c>
      <c r="N57" s="1178" t="e">
        <f>IF(K57="","",K57*L57)</f>
        <v>#REF!</v>
      </c>
      <c r="P57" s="3469" t="s">
        <v>3274</v>
      </c>
      <c r="Q57" s="3469"/>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4"/>
      <c r="B58" s="4434"/>
      <c r="C58" s="4434"/>
      <c r="D58" s="645" t="s">
        <v>2239</v>
      </c>
      <c r="E58" s="646">
        <v>2</v>
      </c>
      <c r="F58" s="1177" t="e">
        <f>IF(#REF! =0,"",#REF!)</f>
        <v>#REF!</v>
      </c>
      <c r="G58" s="64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78" t="e">
        <f>IF(F58="","",F58*G58)</f>
        <v>#REF!</v>
      </c>
      <c r="J58" s="35"/>
      <c r="K58" s="1177" t="e">
        <f>IF(#REF! =0,"",#REF!)</f>
        <v>#REF!</v>
      </c>
      <c r="L58" s="647" t="e">
        <f>G58*(1+#REF!)</f>
        <v>#REF!</v>
      </c>
      <c r="M58" s="33" t="e">
        <f>CONCATENATE("x ", K58," units = ")</f>
        <v>#REF!</v>
      </c>
      <c r="N58" s="1178" t="e">
        <f>IF(K58="","",K58*L58)</f>
        <v>#REF!</v>
      </c>
      <c r="O58" s="440"/>
      <c r="P58" s="4451"/>
      <c r="Q58" s="4452"/>
      <c r="R58" s="327"/>
      <c r="S58" s="4412" t="s">
        <v>3802</v>
      </c>
      <c r="T58" s="4413"/>
      <c r="U58" s="4413"/>
      <c r="V58" s="4414"/>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5" t="s">
        <v>2240</v>
      </c>
      <c r="E59" s="646">
        <v>3</v>
      </c>
      <c r="F59" s="1177" t="e">
        <f>IF(#REF! =0,"",#REF!)</f>
        <v>#REF!</v>
      </c>
      <c r="G59" s="64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78" t="e">
        <f>IF(F59="","",F59*G59)</f>
        <v>#REF!</v>
      </c>
      <c r="J59" s="35"/>
      <c r="K59" s="1177" t="e">
        <f>IF(#REF! =0,"",#REF!)</f>
        <v>#REF!</v>
      </c>
      <c r="L59" s="647" t="e">
        <f>G59*(1+#REF!)</f>
        <v>#REF!</v>
      </c>
      <c r="M59" s="33" t="e">
        <f>CONCATENATE("x ", K59," units = ")</f>
        <v>#REF!</v>
      </c>
      <c r="N59" s="1178" t="e">
        <f>IF(K59="","",K59*L59)</f>
        <v>#REF!</v>
      </c>
      <c r="O59" s="440"/>
      <c r="P59" s="4453"/>
      <c r="Q59" s="4454"/>
      <c r="S59" s="4415"/>
      <c r="T59" s="4416"/>
      <c r="U59" s="4416"/>
      <c r="V59" s="4417"/>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5" t="s">
        <v>2241</v>
      </c>
      <c r="E60" s="646">
        <v>4</v>
      </c>
      <c r="F60" s="1177" t="e">
        <f>IF(#REF! =0,"",#REF!)</f>
        <v>#REF!</v>
      </c>
      <c r="G60" s="64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78" t="e">
        <f>IF(F60="","",F60*G60)</f>
        <v>#REF!</v>
      </c>
      <c r="J60" s="35"/>
      <c r="K60" s="1177" t="e">
        <f>IF(#REF! =0,"",#REF!)</f>
        <v>#REF!</v>
      </c>
      <c r="L60" s="647" t="e">
        <f>G60*(1+#REF!)</f>
        <v>#REF!</v>
      </c>
      <c r="M60" s="33" t="e">
        <f>CONCATENATE("x ", K60," units = ")</f>
        <v>#REF!</v>
      </c>
      <c r="N60" s="1178" t="e">
        <f>IF(K60="","",K60*L60)</f>
        <v>#REF!</v>
      </c>
      <c r="O60" s="440"/>
      <c r="P60" s="4433" t="s">
        <v>3074</v>
      </c>
      <c r="Q60" s="4433"/>
      <c r="S60" s="4415"/>
      <c r="T60" s="4416"/>
      <c r="U60" s="4416"/>
      <c r="V60" s="4417"/>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2929</v>
      </c>
      <c r="E61" s="102"/>
      <c r="F61" s="853" t="e">
        <f>SUM(F56:F60)</f>
        <v>#REF!</v>
      </c>
      <c r="G61" s="491"/>
      <c r="H61" s="854"/>
      <c r="I61" s="855" t="e">
        <f>SUM(I56:I60)</f>
        <v>#REF!</v>
      </c>
      <c r="J61" s="856"/>
      <c r="K61" s="853" t="e">
        <f>SUM(K56:K60)</f>
        <v>#REF!</v>
      </c>
      <c r="L61" s="856"/>
      <c r="M61" s="854"/>
      <c r="N61" s="855" t="e">
        <f>SUM(N56:N60)</f>
        <v>#REF!</v>
      </c>
      <c r="O61" s="440"/>
      <c r="P61" s="859" t="s">
        <v>2879</v>
      </c>
      <c r="Q61" s="859" t="s">
        <v>245</v>
      </c>
      <c r="R61" s="327"/>
      <c r="S61" s="4415"/>
      <c r="T61" s="4416"/>
      <c r="U61" s="4416"/>
      <c r="V61" s="4417"/>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2"/>
      <c r="G62" s="108"/>
      <c r="H62" s="28"/>
      <c r="I62" s="492"/>
      <c r="J62" s="28"/>
      <c r="K62" s="492"/>
      <c r="L62" s="28"/>
      <c r="M62" s="870"/>
      <c r="N62" s="492"/>
      <c r="O62" s="440"/>
      <c r="R62" s="327"/>
      <c r="S62" s="4415"/>
      <c r="T62" s="4416"/>
      <c r="U62" s="4416"/>
      <c r="V62" s="4417"/>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2921</v>
      </c>
      <c r="B63" s="449"/>
      <c r="C63" s="1"/>
      <c r="D63" s="645" t="s">
        <v>525</v>
      </c>
      <c r="E63" s="646">
        <v>0</v>
      </c>
      <c r="F63" s="1177" t="e">
        <f>IF(#REF! =0,"",#REF!)</f>
        <v>#REF!</v>
      </c>
      <c r="G63" s="64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78" t="e">
        <f>IF(F63="","",F63*G63)</f>
        <v>#REF!</v>
      </c>
      <c r="J63" s="35"/>
      <c r="K63" s="1177" t="e">
        <f>IF(#REF! =0,"",#REF!)</f>
        <v>#REF!</v>
      </c>
      <c r="L63" s="647" t="e">
        <f>G63*(1+#REF!)</f>
        <v>#REF!</v>
      </c>
      <c r="M63" s="33" t="e">
        <f>CONCATENATE("x ", K63," units = ")</f>
        <v>#REF!</v>
      </c>
      <c r="N63" s="1178" t="e">
        <f>IF(K63="","",K63*L63)</f>
        <v>#REF!</v>
      </c>
      <c r="O63" s="440"/>
      <c r="P63" s="858">
        <f>'Part VIII Scoring Criteria OLD'!O378</f>
        <v>0</v>
      </c>
      <c r="Q63" s="858">
        <f>'Part VIII Scoring Criteria OLD'!P378</f>
        <v>0</v>
      </c>
      <c r="R63" s="327"/>
      <c r="S63" s="4415"/>
      <c r="T63" s="4416"/>
      <c r="U63" s="4416"/>
      <c r="V63" s="4417"/>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5" t="s">
        <v>2238</v>
      </c>
      <c r="E64" s="646">
        <v>1</v>
      </c>
      <c r="F64" s="1177" t="e">
        <f>IF(#REF! =0,"",#REF!)</f>
        <v>#REF!</v>
      </c>
      <c r="G64" s="64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78" t="e">
        <f>IF(F64="","",F64*G64)</f>
        <v>#REF!</v>
      </c>
      <c r="J64" s="35"/>
      <c r="K64" s="1177" t="e">
        <f>IF(#REF! =0,"",#REF!)</f>
        <v>#REF!</v>
      </c>
      <c r="L64" s="647" t="e">
        <f>G64*(1+#REF!)</f>
        <v>#REF!</v>
      </c>
      <c r="M64" s="33" t="e">
        <f>CONCATENATE("x ", K64," units = ")</f>
        <v>#REF!</v>
      </c>
      <c r="N64" s="1178" t="e">
        <f>IF(K64="","",K64*L64)</f>
        <v>#REF!</v>
      </c>
      <c r="P64" s="4433" t="s">
        <v>3075</v>
      </c>
      <c r="Q64" s="4433"/>
      <c r="S64" s="4415"/>
      <c r="T64" s="4416"/>
      <c r="U64" s="4416"/>
      <c r="V64" s="4417"/>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5" t="s">
        <v>2239</v>
      </c>
      <c r="E65" s="646">
        <v>2</v>
      </c>
      <c r="F65" s="1177" t="e">
        <f>IF(#REF! =0,"",#REF!)</f>
        <v>#REF!</v>
      </c>
      <c r="G65" s="64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78" t="e">
        <f>IF(F65="","",F65*G65)</f>
        <v>#REF!</v>
      </c>
      <c r="J65" s="35"/>
      <c r="K65" s="1177" t="e">
        <f>IF(#REF! =0,"",#REF!)</f>
        <v>#REF!</v>
      </c>
      <c r="L65" s="647" t="e">
        <f>G65*(1+#REF!)</f>
        <v>#REF!</v>
      </c>
      <c r="M65" s="33" t="e">
        <f>CONCATENATE("x ", K65," units = ")</f>
        <v>#REF!</v>
      </c>
      <c r="N65" s="1178" t="e">
        <f>IF(K65="","",K65*L65)</f>
        <v>#REF!</v>
      </c>
      <c r="P65" s="859" t="s">
        <v>2879</v>
      </c>
      <c r="Q65" s="859" t="s">
        <v>245</v>
      </c>
      <c r="S65" s="4415"/>
      <c r="T65" s="4416"/>
      <c r="U65" s="4416"/>
      <c r="V65" s="4417"/>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5" t="s">
        <v>2240</v>
      </c>
      <c r="E66" s="646">
        <v>3</v>
      </c>
      <c r="F66" s="1177" t="e">
        <f>IF(#REF! =0,"",#REF!)</f>
        <v>#REF!</v>
      </c>
      <c r="G66" s="64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78" t="e">
        <f>IF(F66="","",F66*G66)</f>
        <v>#REF!</v>
      </c>
      <c r="J66" s="35"/>
      <c r="K66" s="1177" t="e">
        <f>IF(#REF! =0,"",#REF!)</f>
        <v>#REF!</v>
      </c>
      <c r="L66" s="647" t="e">
        <f>G66*(1+#REF!)</f>
        <v>#REF!</v>
      </c>
      <c r="M66" s="33" t="e">
        <f>CONCATENATE("x ", K66," units = ")</f>
        <v>#REF!</v>
      </c>
      <c r="N66" s="1178" t="e">
        <f>IF(K66="","",K66*L66)</f>
        <v>#REF!</v>
      </c>
      <c r="O66" s="440"/>
      <c r="P66" s="858">
        <f>'Part VIII Scoring Criteria OLD'!O113</f>
        <v>0</v>
      </c>
      <c r="Q66" s="858">
        <f>'Part VIII Scoring Criteria OLD'!P113</f>
        <v>0</v>
      </c>
      <c r="S66" s="4415"/>
      <c r="T66" s="4416"/>
      <c r="U66" s="4416"/>
      <c r="V66" s="4417"/>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5" t="s">
        <v>2241</v>
      </c>
      <c r="E67" s="646">
        <v>4</v>
      </c>
      <c r="F67" s="1177" t="e">
        <f>IF(#REF! =0,"",#REF!)</f>
        <v>#REF!</v>
      </c>
      <c r="G67" s="64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78" t="e">
        <f>IF(F67="","",F67*G67)</f>
        <v>#REF!</v>
      </c>
      <c r="J67" s="35"/>
      <c r="K67" s="1177" t="e">
        <f>IF(#REF! =0,"",#REF!)</f>
        <v>#REF!</v>
      </c>
      <c r="L67" s="647" t="e">
        <f>G67*(1+#REF!)</f>
        <v>#REF!</v>
      </c>
      <c r="M67" s="33" t="e">
        <f>CONCATENATE("x ", K67," units = ")</f>
        <v>#REF!</v>
      </c>
      <c r="N67" s="1178" t="e">
        <f>IF(K67="","",K67*L67)</f>
        <v>#REF!</v>
      </c>
      <c r="O67" s="440"/>
      <c r="P67" s="4424" t="s">
        <v>2483</v>
      </c>
      <c r="Q67" s="4424"/>
      <c r="S67" s="4415"/>
      <c r="T67" s="4416"/>
      <c r="U67" s="4416"/>
      <c r="V67" s="4417"/>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2929</v>
      </c>
      <c r="E68" s="102"/>
      <c r="F68" s="853" t="e">
        <f>SUM(F63:F67)</f>
        <v>#REF!</v>
      </c>
      <c r="G68" s="491"/>
      <c r="H68" s="854"/>
      <c r="I68" s="855" t="e">
        <f>SUM(I63:I67)</f>
        <v>#REF!</v>
      </c>
      <c r="J68" s="856"/>
      <c r="K68" s="853" t="e">
        <f>SUM(K63:K67)</f>
        <v>#REF!</v>
      </c>
      <c r="L68" s="856"/>
      <c r="M68" s="854"/>
      <c r="N68" s="855" t="e">
        <f>SUM(N63:N67)</f>
        <v>#REF!</v>
      </c>
      <c r="O68" s="440"/>
      <c r="P68" s="4424"/>
      <c r="Q68" s="4424"/>
      <c r="S68" s="4415"/>
      <c r="T68" s="4416"/>
      <c r="U68" s="4416"/>
      <c r="V68" s="4417"/>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2"/>
      <c r="G69" s="108"/>
      <c r="H69" s="28"/>
      <c r="I69" s="492"/>
      <c r="J69" s="28"/>
      <c r="K69" s="492"/>
      <c r="L69" s="28"/>
      <c r="M69" s="870"/>
      <c r="N69" s="492"/>
      <c r="O69" s="440"/>
      <c r="P69" s="4424"/>
      <c r="Q69" s="4424"/>
      <c r="R69" s="327"/>
      <c r="S69" s="4415"/>
      <c r="T69" s="4416"/>
      <c r="U69" s="4416"/>
      <c r="V69" s="4417"/>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2922</v>
      </c>
      <c r="B70" s="6"/>
      <c r="C70" s="1"/>
      <c r="D70" s="645" t="s">
        <v>525</v>
      </c>
      <c r="E70" s="646">
        <v>0</v>
      </c>
      <c r="F70" s="1177" t="e">
        <f>IF(#REF! =0,"",#REF!)</f>
        <v>#REF!</v>
      </c>
      <c r="G70" s="64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78" t="e">
        <f>IF(F70="","",F70*G70)</f>
        <v>#REF!</v>
      </c>
      <c r="J70" s="35"/>
      <c r="K70" s="1177" t="e">
        <f>IF(#REF! =0,"",#REF!)</f>
        <v>#REF!</v>
      </c>
      <c r="L70" s="647" t="e">
        <f>G70*(1+#REF!)</f>
        <v>#REF!</v>
      </c>
      <c r="M70" s="33" t="e">
        <f>CONCATENATE("x ", K70," units = ")</f>
        <v>#REF!</v>
      </c>
      <c r="N70" s="1178" t="e">
        <f>IF(K70="","",K70*L70)</f>
        <v>#REF!</v>
      </c>
      <c r="O70" s="440"/>
      <c r="P70" s="4425"/>
      <c r="Q70" s="4425"/>
      <c r="R70" s="327"/>
      <c r="S70" s="4418"/>
      <c r="T70" s="4419"/>
      <c r="U70" s="4419"/>
      <c r="V70" s="4420"/>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5" t="s">
        <v>2238</v>
      </c>
      <c r="E71" s="646">
        <v>1</v>
      </c>
      <c r="F71" s="1177" t="e">
        <f>IF(#REF! =0,"",#REF!)</f>
        <v>#REF!</v>
      </c>
      <c r="G71" s="64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78" t="e">
        <f>IF(F71="","",F71*G71)</f>
        <v>#REF!</v>
      </c>
      <c r="J71" s="35"/>
      <c r="K71" s="1177" t="e">
        <f>IF(#REF! =0,"",#REF!)</f>
        <v>#REF!</v>
      </c>
      <c r="L71" s="647" t="e">
        <f>G71*(1+#REF!)</f>
        <v>#REF!</v>
      </c>
      <c r="M71" s="33" t="e">
        <f>CONCATENATE("x ", K71," units = ")</f>
        <v>#REF!</v>
      </c>
      <c r="N71" s="1178" t="e">
        <f>IF(K71="","",K71*L71)</f>
        <v>#REF!</v>
      </c>
      <c r="O71" s="440"/>
      <c r="P71" s="4443" t="e">
        <f>IF(P58&gt;1,P58, IF(OR('Part VIII Scoring Criteria OLD'!$O$113='Part VIII Scoring Criteria OLD'!$M$113,AND(#REF!="Yes",'Part VIII Scoring Criteria OLD'!$O$378&gt;0)),H77+M77,H77))</f>
        <v>#REF!</v>
      </c>
      <c r="Q71" s="4444"/>
      <c r="R71" s="1241"/>
      <c r="S71" s="1242"/>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5" t="s">
        <v>2239</v>
      </c>
      <c r="E72" s="646">
        <v>2</v>
      </c>
      <c r="F72" s="1177" t="e">
        <f>IF(#REF! =0,"",#REF!)</f>
        <v>#REF!</v>
      </c>
      <c r="G72" s="64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78" t="e">
        <f>IF(F72="","",F72*G72)</f>
        <v>#REF!</v>
      </c>
      <c r="J72" s="35"/>
      <c r="K72" s="1177" t="e">
        <f>IF(#REF! =0,"",#REF!)</f>
        <v>#REF!</v>
      </c>
      <c r="L72" s="647" t="e">
        <f>G72*(1+#REF!)</f>
        <v>#REF!</v>
      </c>
      <c r="M72" s="33" t="e">
        <f>CONCATENATE("x ", K72," units = ")</f>
        <v>#REF!</v>
      </c>
      <c r="N72" s="1178" t="e">
        <f>IF(K72="","",K72*L72)</f>
        <v>#REF!</v>
      </c>
      <c r="P72" s="4445"/>
      <c r="Q72" s="4446"/>
      <c r="R72" s="1241"/>
      <c r="S72" s="1242"/>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5" t="s">
        <v>2240</v>
      </c>
      <c r="E73" s="646">
        <v>3</v>
      </c>
      <c r="F73" s="1177" t="e">
        <f>IF(#REF! =0,"",#REF!)</f>
        <v>#REF!</v>
      </c>
      <c r="G73" s="64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78" t="e">
        <f>IF(F73="","",F73*G73)</f>
        <v>#REF!</v>
      </c>
      <c r="J73" s="35"/>
      <c r="K73" s="1177" t="e">
        <f>IF(#REF! =0,"",#REF!)</f>
        <v>#REF!</v>
      </c>
      <c r="L73" s="647" t="e">
        <f>G73*(1+#REF!)</f>
        <v>#REF!</v>
      </c>
      <c r="M73" s="33" t="e">
        <f>CONCATENATE("x ", K73," units = ")</f>
        <v>#REF!</v>
      </c>
      <c r="N73" s="1178" t="e">
        <f>IF(K73="","",K73*L73)</f>
        <v>#REF!</v>
      </c>
      <c r="P73" s="4421" t="s">
        <v>3358</v>
      </c>
      <c r="Q73" s="4421"/>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5" t="s">
        <v>2241</v>
      </c>
      <c r="E74" s="646">
        <v>4</v>
      </c>
      <c r="F74" s="1177" t="e">
        <f>IF(#REF! =0,"",#REF!)</f>
        <v>#REF!</v>
      </c>
      <c r="G74" s="64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78" t="e">
        <f>IF(F74="","",F74*G74)</f>
        <v>#REF!</v>
      </c>
      <c r="J74" s="35"/>
      <c r="K74" s="1177" t="e">
        <f>IF(#REF! =0,"",#REF!)</f>
        <v>#REF!</v>
      </c>
      <c r="L74" s="647" t="e">
        <f>G74*(1+#REF!)</f>
        <v>#REF!</v>
      </c>
      <c r="M74" s="33" t="e">
        <f>CONCATENATE("x ", K74," units = ")</f>
        <v>#REF!</v>
      </c>
      <c r="N74" s="1178" t="e">
        <f>IF(K74="","",K74*L74)</f>
        <v>#REF!</v>
      </c>
      <c r="O74" s="440"/>
      <c r="P74" s="4422"/>
      <c r="Q74" s="4422"/>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2929</v>
      </c>
      <c r="E75" s="102"/>
      <c r="F75" s="853" t="e">
        <f>SUM(F70:F74)</f>
        <v>#REF!</v>
      </c>
      <c r="G75" s="491"/>
      <c r="H75" s="854"/>
      <c r="I75" s="857" t="e">
        <f>SUM(I70:I74)</f>
        <v>#REF!</v>
      </c>
      <c r="J75" s="856"/>
      <c r="K75" s="853" t="e">
        <f>SUM(K70:K74)</f>
        <v>#REF!</v>
      </c>
      <c r="L75" s="856"/>
      <c r="M75" s="854"/>
      <c r="N75" s="857" t="e">
        <f>SUM(N70:N74)</f>
        <v>#REF!</v>
      </c>
      <c r="O75" s="440"/>
      <c r="P75" s="4422"/>
      <c r="Q75" s="4422"/>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1"/>
      <c r="O76" s="440"/>
      <c r="P76" s="4422"/>
      <c r="Q76" s="4422"/>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2930</v>
      </c>
      <c r="B77" s="1"/>
      <c r="C77" s="1"/>
      <c r="D77" s="69"/>
      <c r="E77" s="81"/>
      <c r="F77" s="484" t="e">
        <f>F54+F61+F68+F75</f>
        <v>#REF!</v>
      </c>
      <c r="G77" s="258"/>
      <c r="H77" s="4431" t="e">
        <f>I54+I61+I68+I75</f>
        <v>#REF!</v>
      </c>
      <c r="I77" s="4431"/>
      <c r="J77" s="4431"/>
      <c r="K77" s="484" t="e">
        <f>K54+K61+K68+K75</f>
        <v>#REF!</v>
      </c>
      <c r="L77" s="485"/>
      <c r="M77" s="4431" t="e">
        <f>N54+N61+N68+N75</f>
        <v>#REF!</v>
      </c>
      <c r="N77" s="4431"/>
      <c r="O77" s="4431"/>
      <c r="P77" s="4422"/>
      <c r="Q77" s="4422"/>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4"/>
      <c r="J78" s="874"/>
      <c r="K78" s="105" t="s">
        <v>1724</v>
      </c>
      <c r="L78" s="671"/>
      <c r="M78" s="671"/>
      <c r="N78" s="671"/>
      <c r="O78" s="671"/>
      <c r="P78" s="4423"/>
      <c r="Q78" s="4423"/>
    </row>
    <row r="79" spans="1:295" s="28" customFormat="1" ht="10.5" customHeight="1">
      <c r="A79" s="4241"/>
      <c r="B79" s="4242"/>
      <c r="C79" s="4242"/>
      <c r="D79" s="4242"/>
      <c r="E79" s="4242"/>
      <c r="F79" s="4242"/>
      <c r="G79" s="4242"/>
      <c r="H79" s="4242"/>
      <c r="I79" s="4242"/>
      <c r="J79" s="4243"/>
      <c r="K79" s="4238"/>
      <c r="L79" s="4239"/>
      <c r="M79" s="4239"/>
      <c r="N79" s="4239"/>
      <c r="O79" s="4239"/>
      <c r="P79" s="4239"/>
      <c r="Q79" s="4240"/>
      <c r="R79" s="353" t="s">
        <v>1179</v>
      </c>
      <c r="U79" s="104"/>
      <c r="V79" s="104"/>
      <c r="W79" s="104"/>
      <c r="X79" s="104"/>
      <c r="Y79" s="104"/>
      <c r="Z79" s="104"/>
      <c r="AA79" s="104"/>
      <c r="AB79" s="104"/>
      <c r="AC79" s="104"/>
      <c r="AD79" s="104"/>
      <c r="AE79" s="104"/>
    </row>
    <row r="80" spans="1:295" s="28" customFormat="1" ht="3" customHeight="1">
      <c r="B80" s="874"/>
      <c r="C80" s="870"/>
      <c r="D80" s="870"/>
      <c r="E80" s="870"/>
      <c r="F80" s="870"/>
      <c r="G80" s="870"/>
      <c r="H80" s="870"/>
      <c r="I80" s="870"/>
      <c r="J80" s="870"/>
      <c r="K80" s="870"/>
      <c r="L80" s="870"/>
      <c r="M80" s="870"/>
      <c r="N80" s="870"/>
      <c r="O80" s="870"/>
      <c r="P80" s="870"/>
      <c r="Q80" s="671"/>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e">
        <f>CONCATENATE("PART EIGHT - SCORING CRITERIA","  -  ",#REF!," ",#REF!,", ",#REF!,", ",#REF!," County")</f>
        <v>#REF!</v>
      </c>
      <c r="B1" s="3334"/>
      <c r="C1" s="3334"/>
      <c r="D1" s="3334"/>
      <c r="E1" s="3334"/>
      <c r="F1" s="3334"/>
      <c r="G1" s="3334"/>
      <c r="H1" s="3334"/>
      <c r="I1" s="3334"/>
      <c r="J1" s="3334"/>
      <c r="K1" s="3334"/>
      <c r="L1" s="3334"/>
      <c r="M1" s="3334"/>
      <c r="N1" s="3334"/>
      <c r="O1" s="3334"/>
      <c r="P1" s="3335"/>
      <c r="Q1" s="4463" t="s">
        <v>4532</v>
      </c>
      <c r="R1" s="4463"/>
      <c r="S1" s="4463"/>
      <c r="T1" s="4463"/>
      <c r="U1" s="4463"/>
      <c r="V1" s="4463"/>
      <c r="W1" s="1857"/>
      <c r="X1" s="1816"/>
    </row>
    <row r="2" spans="1:25" s="28" customFormat="1" ht="4.3499999999999996" customHeight="1">
      <c r="A2" s="29"/>
      <c r="B2" s="29"/>
      <c r="C2" s="30"/>
      <c r="D2" s="29"/>
      <c r="E2" s="29"/>
      <c r="F2" s="29"/>
      <c r="G2" s="29"/>
      <c r="H2" s="29"/>
      <c r="I2" s="29"/>
      <c r="J2" s="29"/>
      <c r="K2" s="29"/>
      <c r="L2" s="29"/>
      <c r="M2" s="31"/>
      <c r="N2" s="53"/>
      <c r="O2" s="119"/>
      <c r="P2" s="119"/>
      <c r="Q2" s="4463"/>
      <c r="R2" s="4463"/>
      <c r="S2" s="4463"/>
      <c r="T2" s="4463"/>
      <c r="U2" s="4463"/>
      <c r="V2" s="4463"/>
      <c r="W2" s="1857"/>
      <c r="X2" s="1816"/>
    </row>
    <row r="3" spans="1:25" s="35" customFormat="1" ht="12" customHeight="1">
      <c r="A3" s="4514" t="s">
        <v>4542</v>
      </c>
      <c r="B3" s="4514"/>
      <c r="C3" s="4514"/>
      <c r="D3" s="4514"/>
      <c r="E3" s="4514"/>
      <c r="F3" s="4514"/>
      <c r="G3" s="4514"/>
      <c r="H3" s="4514"/>
      <c r="I3" s="4514"/>
      <c r="J3" s="4514"/>
      <c r="K3" s="4514"/>
      <c r="L3" s="4514"/>
      <c r="M3" s="656"/>
      <c r="N3" s="54"/>
      <c r="O3" s="63" t="s">
        <v>2044</v>
      </c>
      <c r="P3" s="897" t="s">
        <v>245</v>
      </c>
      <c r="Q3" s="4463"/>
      <c r="R3" s="4463"/>
      <c r="S3" s="4463"/>
      <c r="T3" s="4463"/>
      <c r="U3" s="4463"/>
      <c r="V3" s="4463"/>
      <c r="W3" s="1857"/>
      <c r="X3" s="1816"/>
    </row>
    <row r="4" spans="1:25" s="37" customFormat="1" ht="12" customHeight="1">
      <c r="A4" s="4514"/>
      <c r="B4" s="4514"/>
      <c r="C4" s="4514"/>
      <c r="D4" s="4514"/>
      <c r="E4" s="4514"/>
      <c r="F4" s="4514"/>
      <c r="G4" s="4514"/>
      <c r="H4" s="4514"/>
      <c r="I4" s="4514"/>
      <c r="J4" s="4514"/>
      <c r="K4" s="4514"/>
      <c r="L4" s="4514"/>
      <c r="M4" s="656"/>
      <c r="N4" s="64"/>
      <c r="O4" s="149" t="s">
        <v>2045</v>
      </c>
      <c r="P4" s="149" t="s">
        <v>2045</v>
      </c>
      <c r="Q4" s="4463"/>
      <c r="R4" s="4463"/>
      <c r="S4" s="4463"/>
      <c r="T4" s="4463"/>
      <c r="U4" s="4463"/>
      <c r="V4" s="4463"/>
    </row>
    <row r="5" spans="1:25" s="37" customFormat="1" ht="3" customHeight="1" thickBot="1">
      <c r="A5" s="35"/>
      <c r="B5" s="35"/>
      <c r="C5" s="35"/>
      <c r="D5" s="35"/>
      <c r="E5" s="35"/>
      <c r="F5" s="35"/>
      <c r="G5" s="35"/>
      <c r="H5" s="35"/>
      <c r="I5" s="35"/>
      <c r="J5" s="35"/>
      <c r="K5" s="35"/>
      <c r="M5" s="1535"/>
      <c r="N5" s="4"/>
      <c r="O5" s="119"/>
      <c r="P5" s="24"/>
      <c r="Q5" s="4463"/>
      <c r="R5" s="4463"/>
      <c r="S5" s="4463"/>
      <c r="T5" s="4463"/>
      <c r="U5" s="4463"/>
      <c r="V5" s="4463"/>
    </row>
    <row r="6" spans="1:25" s="37" customFormat="1" ht="13.5" customHeight="1" thickTop="1" thickBot="1">
      <c r="A6" s="35"/>
      <c r="B6" s="4608" t="e">
        <f>#REF!</f>
        <v>#REF!</v>
      </c>
      <c r="C6" s="4608"/>
      <c r="D6" s="4608"/>
      <c r="E6" s="4608"/>
      <c r="F6" s="4608"/>
      <c r="G6" s="72"/>
      <c r="H6" s="35"/>
      <c r="I6" s="35"/>
      <c r="J6" s="35"/>
      <c r="L6" s="51" t="s">
        <v>1151</v>
      </c>
      <c r="M6" s="3"/>
      <c r="N6" s="7"/>
      <c r="O6" s="1516" t="e">
        <f>O442</f>
        <v>#REF!</v>
      </c>
      <c r="P6" s="1516" t="e">
        <f>P442</f>
        <v>#REF!</v>
      </c>
      <c r="Q6" s="1448" t="s">
        <v>4619</v>
      </c>
      <c r="R6" s="1854"/>
      <c r="S6" s="1854"/>
      <c r="T6" s="1854"/>
      <c r="U6" s="1854"/>
      <c r="V6" s="1854"/>
      <c r="W6" s="1854"/>
      <c r="X6" s="1854"/>
      <c r="Y6" s="1854"/>
    </row>
    <row r="7" spans="1:25" s="36" customFormat="1" ht="3.6" customHeight="1" thickTop="1">
      <c r="A7" s="35"/>
      <c r="B7" s="40"/>
      <c r="C7" s="29"/>
      <c r="D7" s="41"/>
      <c r="E7" s="41"/>
      <c r="F7" s="41"/>
      <c r="G7" s="41"/>
      <c r="H7" s="41"/>
      <c r="I7" s="41"/>
      <c r="J7" s="41"/>
      <c r="K7" s="41"/>
      <c r="L7" s="35"/>
      <c r="M7" s="39"/>
      <c r="N7" s="47"/>
      <c r="O7" s="3"/>
      <c r="P7" s="119"/>
      <c r="Q7" s="1854"/>
      <c r="R7" s="1854"/>
      <c r="S7" s="1854"/>
      <c r="T7" s="1854"/>
      <c r="U7" s="1854"/>
      <c r="V7" s="1854"/>
      <c r="W7" s="1854"/>
      <c r="X7" s="1854"/>
      <c r="Y7" s="1854"/>
    </row>
    <row r="8" spans="1:25" s="35" customFormat="1" ht="2.25" customHeight="1">
      <c r="A8" s="1123"/>
      <c r="D8" s="29"/>
      <c r="E8" s="29"/>
      <c r="F8" s="29"/>
      <c r="G8" s="42"/>
      <c r="H8" s="147"/>
      <c r="I8" s="42"/>
      <c r="J8" s="42"/>
      <c r="K8" s="42"/>
      <c r="L8" s="42"/>
      <c r="M8" s="42"/>
      <c r="N8" s="42"/>
      <c r="O8" s="42"/>
      <c r="P8" s="42"/>
    </row>
    <row r="9" spans="1:25" s="35" customFormat="1" ht="12" customHeight="1" thickBot="1">
      <c r="A9" s="120" t="s">
        <v>572</v>
      </c>
      <c r="B9" s="83" t="s">
        <v>4030</v>
      </c>
      <c r="C9" s="4"/>
      <c r="D9" s="29"/>
      <c r="E9" s="29"/>
      <c r="F9" s="29"/>
      <c r="G9" s="42"/>
      <c r="H9" s="147"/>
      <c r="I9" s="42"/>
      <c r="J9" s="42"/>
      <c r="K9" s="42"/>
      <c r="L9" s="42"/>
      <c r="M9" s="42"/>
      <c r="N9" s="42"/>
      <c r="O9" s="42"/>
      <c r="P9" s="42"/>
      <c r="Q9" s="1854"/>
      <c r="R9" s="1854"/>
      <c r="S9" s="1854"/>
      <c r="T9" s="1854"/>
      <c r="U9" s="1854"/>
      <c r="V9" s="1854"/>
      <c r="W9" s="1854"/>
      <c r="X9" s="1854"/>
      <c r="Y9" s="1854"/>
    </row>
    <row r="10" spans="1:25" s="35" customFormat="1" ht="12" customHeight="1" thickBot="1">
      <c r="A10" s="1123" t="s">
        <v>4031</v>
      </c>
      <c r="D10" s="29"/>
      <c r="E10" s="29"/>
      <c r="F10" s="29"/>
      <c r="G10" s="42"/>
      <c r="H10" s="147" t="s">
        <v>3705</v>
      </c>
      <c r="I10" s="42"/>
      <c r="J10" s="42"/>
      <c r="K10" s="42"/>
      <c r="L10" s="42"/>
      <c r="M10" s="1117" t="s">
        <v>3704</v>
      </c>
      <c r="N10" s="42"/>
      <c r="O10" s="42"/>
      <c r="P10" s="881">
        <f>IF(P12&lt;2,0,IF(AND(P12&gt;1,P12&lt;5),1,IF(P12&gt;4,P12-3)))</f>
        <v>0</v>
      </c>
      <c r="Q10" s="1854"/>
      <c r="R10" s="1854"/>
      <c r="S10" s="1854"/>
      <c r="T10" s="1854"/>
      <c r="U10" s="1854"/>
      <c r="V10" s="1854"/>
      <c r="W10" s="1854"/>
      <c r="X10" s="1854"/>
      <c r="Y10" s="185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36" t="s">
        <v>3301</v>
      </c>
      <c r="B12" s="1136" t="s">
        <v>3302</v>
      </c>
      <c r="C12" s="919"/>
      <c r="D12" s="919"/>
      <c r="E12" s="236" t="s">
        <v>3309</v>
      </c>
      <c r="F12" s="4605" t="s">
        <v>4387</v>
      </c>
      <c r="G12" s="4605"/>
      <c r="H12" s="4605"/>
      <c r="I12" s="4605"/>
      <c r="J12" s="4605"/>
      <c r="K12" s="4605"/>
      <c r="L12" s="4605"/>
      <c r="M12" s="4605"/>
      <c r="N12" s="4605"/>
      <c r="O12" s="1137" t="s">
        <v>3684</v>
      </c>
      <c r="P12" s="1138">
        <f>SUM(P13:P31)</f>
        <v>0</v>
      </c>
      <c r="Q12" s="4462" t="s">
        <v>4433</v>
      </c>
      <c r="R12" s="4462"/>
      <c r="S12" s="4462"/>
      <c r="T12" s="4462"/>
      <c r="U12" s="4462"/>
      <c r="V12" s="1115"/>
    </row>
    <row r="13" spans="1:25" s="35" customFormat="1" ht="10.5" customHeight="1">
      <c r="A13" s="907" t="s">
        <v>1663</v>
      </c>
      <c r="B13" s="904" t="s">
        <v>3303</v>
      </c>
      <c r="C13" s="905"/>
      <c r="D13" s="906"/>
      <c r="E13" s="1131">
        <f>$O$103</f>
        <v>0</v>
      </c>
      <c r="F13" s="4606">
        <f>$A$109</f>
        <v>0</v>
      </c>
      <c r="G13" s="4607"/>
      <c r="H13" s="4607"/>
      <c r="I13" s="4607"/>
      <c r="J13" s="4607"/>
      <c r="K13" s="4607"/>
      <c r="L13" s="4607"/>
      <c r="M13" s="4607"/>
      <c r="N13" s="4607"/>
      <c r="O13" s="4607"/>
      <c r="P13" s="1144"/>
      <c r="Q13" s="4462"/>
      <c r="R13" s="4462"/>
      <c r="S13" s="4462"/>
      <c r="T13" s="4462"/>
      <c r="U13" s="4462"/>
      <c r="V13" s="1115"/>
    </row>
    <row r="14" spans="1:25" s="35" customFormat="1" ht="10.5" customHeight="1">
      <c r="A14" s="907" t="s">
        <v>495</v>
      </c>
      <c r="B14" s="735" t="s">
        <v>3905</v>
      </c>
      <c r="C14" s="849"/>
      <c r="D14" s="908"/>
      <c r="E14" s="1663">
        <f>$O$113</f>
        <v>0</v>
      </c>
      <c r="F14" s="4482">
        <f>$A$147</f>
        <v>0</v>
      </c>
      <c r="G14" s="4483"/>
      <c r="H14" s="4483"/>
      <c r="I14" s="4483"/>
      <c r="J14" s="4483"/>
      <c r="K14" s="4483"/>
      <c r="L14" s="4483"/>
      <c r="M14" s="4483"/>
      <c r="N14" s="4483"/>
      <c r="O14" s="4484"/>
      <c r="P14" s="1145"/>
      <c r="Q14" s="4462"/>
      <c r="R14" s="4462"/>
      <c r="S14" s="4462"/>
      <c r="T14" s="4462"/>
      <c r="U14" s="4462"/>
    </row>
    <row r="15" spans="1:25" s="35" customFormat="1" ht="10.5" customHeight="1">
      <c r="A15" s="907" t="s">
        <v>719</v>
      </c>
      <c r="B15" s="735" t="s">
        <v>3248</v>
      </c>
      <c r="C15" s="849"/>
      <c r="D15" s="908"/>
      <c r="E15" s="1663">
        <f>$O$152</f>
        <v>0</v>
      </c>
      <c r="F15" s="4482">
        <f>$A$165</f>
        <v>0</v>
      </c>
      <c r="G15" s="4483"/>
      <c r="H15" s="4483"/>
      <c r="I15" s="4483"/>
      <c r="J15" s="4483"/>
      <c r="K15" s="4483"/>
      <c r="L15" s="4483"/>
      <c r="M15" s="4483"/>
      <c r="N15" s="4483"/>
      <c r="O15" s="4484"/>
      <c r="P15" s="1145"/>
      <c r="Q15" s="1863"/>
      <c r="R15" s="1863"/>
      <c r="S15" s="1863"/>
      <c r="T15" s="1863"/>
      <c r="U15" s="1863"/>
    </row>
    <row r="16" spans="1:25" s="35" customFormat="1" ht="10.5" customHeight="1">
      <c r="A16" s="1515" t="s">
        <v>280</v>
      </c>
      <c r="B16" s="735" t="s">
        <v>3304</v>
      </c>
      <c r="C16" s="849"/>
      <c r="D16" s="908"/>
      <c r="E16" s="1133">
        <f>$O$169</f>
        <v>0</v>
      </c>
      <c r="F16" s="4482">
        <f>$A$186</f>
        <v>0</v>
      </c>
      <c r="G16" s="4483"/>
      <c r="H16" s="4483"/>
      <c r="I16" s="4483"/>
      <c r="J16" s="4483"/>
      <c r="K16" s="4483"/>
      <c r="L16" s="4483"/>
      <c r="M16" s="4483"/>
      <c r="N16" s="4483"/>
      <c r="O16" s="4484"/>
      <c r="P16" s="1145"/>
      <c r="Q16" s="1863"/>
      <c r="R16" s="1863"/>
      <c r="S16" s="1863"/>
      <c r="T16" s="1863"/>
      <c r="U16" s="1863"/>
    </row>
    <row r="17" spans="1:35" s="35" customFormat="1" ht="10.5" customHeight="1">
      <c r="A17" s="907" t="s">
        <v>400</v>
      </c>
      <c r="B17" s="914" t="s">
        <v>3305</v>
      </c>
      <c r="C17" s="915"/>
      <c r="D17" s="916"/>
      <c r="E17" s="1134" t="s">
        <v>1607</v>
      </c>
      <c r="F17" s="4546">
        <f>$A$201</f>
        <v>0</v>
      </c>
      <c r="G17" s="4547"/>
      <c r="H17" s="4547"/>
      <c r="I17" s="4547"/>
      <c r="J17" s="4547"/>
      <c r="K17" s="4547"/>
      <c r="L17" s="4547"/>
      <c r="M17" s="4547"/>
      <c r="N17" s="4547"/>
      <c r="O17" s="4548"/>
      <c r="P17" s="1145"/>
      <c r="Q17" s="1863"/>
      <c r="R17" s="1863"/>
      <c r="S17" s="1863"/>
      <c r="T17" s="1863"/>
      <c r="U17" s="1863"/>
    </row>
    <row r="18" spans="1:35" s="35" customFormat="1" ht="10.5" customHeight="1">
      <c r="A18" s="907" t="s">
        <v>342</v>
      </c>
      <c r="B18" s="735" t="s">
        <v>3906</v>
      </c>
      <c r="C18" s="849"/>
      <c r="D18" s="908"/>
      <c r="E18" s="1132">
        <f>$O$205</f>
        <v>0</v>
      </c>
      <c r="F18" s="4482">
        <f>$A$220</f>
        <v>0</v>
      </c>
      <c r="G18" s="4483"/>
      <c r="H18" s="4483"/>
      <c r="I18" s="4483"/>
      <c r="J18" s="4483"/>
      <c r="K18" s="4483"/>
      <c r="L18" s="4483"/>
      <c r="M18" s="4483"/>
      <c r="N18" s="4483"/>
      <c r="O18" s="4484"/>
      <c r="P18" s="1145"/>
      <c r="Q18" s="4541" t="str">
        <f>IF(OR($A$109="",$A$147="",$A$165="",$A$186="",$A$201="",$A$220="",$A$238="",$A$248="",$A$257="",$A$281="",$A$306="",$A$314="",$A$338="",$A$374="",$A$393="",$A$414="",$A$420="",$A$430="",$A$438=""),"Some Applicant Scoring Justification boxes are empty! Check to see if points claimed.","")</f>
        <v>Some Applicant Scoring Justification boxes are empty! Check to see if points claimed.</v>
      </c>
      <c r="R18" s="4542"/>
      <c r="S18" s="4542"/>
    </row>
    <row r="19" spans="1:35" s="35" customFormat="1" ht="10.5" customHeight="1">
      <c r="A19" s="907" t="s">
        <v>3908</v>
      </c>
      <c r="B19" s="735" t="s">
        <v>3176</v>
      </c>
      <c r="C19" s="849"/>
      <c r="D19" s="908"/>
      <c r="E19" s="1132">
        <f>$O$233</f>
        <v>0</v>
      </c>
      <c r="F19" s="4482">
        <f>$A$238</f>
        <v>0</v>
      </c>
      <c r="G19" s="4483"/>
      <c r="H19" s="4483"/>
      <c r="I19" s="4483"/>
      <c r="J19" s="4483"/>
      <c r="K19" s="4483"/>
      <c r="L19" s="4483"/>
      <c r="M19" s="4483"/>
      <c r="N19" s="4483"/>
      <c r="O19" s="4484"/>
      <c r="P19" s="1145"/>
      <c r="Q19" s="4541"/>
      <c r="R19" s="4542"/>
      <c r="S19" s="4542"/>
    </row>
    <row r="20" spans="1:35" s="35" customFormat="1" ht="10.5" customHeight="1">
      <c r="A20" s="907" t="s">
        <v>3919</v>
      </c>
      <c r="B20" s="735" t="s">
        <v>3909</v>
      </c>
      <c r="C20" s="849"/>
      <c r="D20" s="908"/>
      <c r="E20" s="1134">
        <f>$O$242</f>
        <v>0</v>
      </c>
      <c r="F20" s="4482">
        <f>$A$248</f>
        <v>0</v>
      </c>
      <c r="G20" s="4483"/>
      <c r="H20" s="4483"/>
      <c r="I20" s="4483"/>
      <c r="J20" s="4483"/>
      <c r="K20" s="4483"/>
      <c r="L20" s="4483"/>
      <c r="M20" s="4483"/>
      <c r="N20" s="4483"/>
      <c r="O20" s="4484"/>
      <c r="P20" s="1145"/>
      <c r="Q20" s="4541"/>
      <c r="R20" s="4542"/>
      <c r="S20" s="4542"/>
    </row>
    <row r="21" spans="1:35" s="35" customFormat="1" ht="10.5" customHeight="1">
      <c r="A21" s="913" t="s">
        <v>4134</v>
      </c>
      <c r="B21" s="914" t="s">
        <v>3910</v>
      </c>
      <c r="C21" s="915"/>
      <c r="D21" s="916"/>
      <c r="E21" s="1135">
        <f>$O$252</f>
        <v>0</v>
      </c>
      <c r="F21" s="4546">
        <f>$A$257</f>
        <v>0</v>
      </c>
      <c r="G21" s="4547"/>
      <c r="H21" s="4547"/>
      <c r="I21" s="4547"/>
      <c r="J21" s="4547"/>
      <c r="K21" s="4547"/>
      <c r="L21" s="4547"/>
      <c r="M21" s="4547"/>
      <c r="N21" s="4547"/>
      <c r="O21" s="4548"/>
      <c r="P21" s="1145"/>
      <c r="Q21" s="4541"/>
      <c r="R21" s="4542"/>
      <c r="S21" s="4542"/>
    </row>
    <row r="22" spans="1:35" s="35" customFormat="1" ht="10.5" customHeight="1">
      <c r="A22" s="907" t="s">
        <v>4525</v>
      </c>
      <c r="B22" s="735" t="s">
        <v>4437</v>
      </c>
      <c r="C22" s="849"/>
      <c r="D22" s="908"/>
      <c r="E22" s="1132">
        <f>$O$274</f>
        <v>0</v>
      </c>
      <c r="F22" s="4482">
        <f>$A$281</f>
        <v>0</v>
      </c>
      <c r="G22" s="4483"/>
      <c r="H22" s="4483"/>
      <c r="I22" s="4483"/>
      <c r="J22" s="4483"/>
      <c r="K22" s="4483"/>
      <c r="L22" s="4483"/>
      <c r="M22" s="4483"/>
      <c r="N22" s="4483"/>
      <c r="O22" s="4484"/>
      <c r="P22" s="1145"/>
      <c r="Q22" s="4541"/>
      <c r="R22" s="4542"/>
      <c r="S22" s="4542"/>
    </row>
    <row r="23" spans="1:35" s="35" customFormat="1" ht="10.5" customHeight="1">
      <c r="A23" s="907" t="s">
        <v>4527</v>
      </c>
      <c r="B23" s="735" t="s">
        <v>4526</v>
      </c>
      <c r="C23" s="849"/>
      <c r="D23" s="908"/>
      <c r="E23" s="1132">
        <f>$O$285</f>
        <v>0</v>
      </c>
      <c r="F23" s="4482">
        <f>$A$306</f>
        <v>0</v>
      </c>
      <c r="G23" s="4483"/>
      <c r="H23" s="4483"/>
      <c r="I23" s="4483"/>
      <c r="J23" s="4483"/>
      <c r="K23" s="4483"/>
      <c r="L23" s="4483"/>
      <c r="M23" s="4483"/>
      <c r="N23" s="4483"/>
      <c r="O23" s="4484"/>
      <c r="P23" s="1145"/>
      <c r="Q23" s="4541"/>
      <c r="R23" s="4542"/>
      <c r="S23" s="4542"/>
    </row>
    <row r="24" spans="1:35" s="35" customFormat="1" ht="10.5" customHeight="1">
      <c r="A24" s="1515" t="s">
        <v>3278</v>
      </c>
      <c r="B24" s="1777" t="s">
        <v>4443</v>
      </c>
      <c r="C24" s="1778"/>
      <c r="D24" s="1779"/>
      <c r="E24" s="1133">
        <f>$O$310</f>
        <v>0</v>
      </c>
      <c r="F24" s="4535">
        <f>$A$314</f>
        <v>0</v>
      </c>
      <c r="G24" s="4536"/>
      <c r="H24" s="4536"/>
      <c r="I24" s="4536"/>
      <c r="J24" s="4536"/>
      <c r="K24" s="4536"/>
      <c r="L24" s="4536"/>
      <c r="M24" s="4536"/>
      <c r="N24" s="4536"/>
      <c r="O24" s="4537"/>
      <c r="P24" s="1145"/>
      <c r="Q24" s="4541"/>
      <c r="R24" s="4542"/>
      <c r="S24" s="4542"/>
    </row>
    <row r="25" spans="1:35" s="35" customFormat="1" ht="10.5" customHeight="1">
      <c r="A25" s="907" t="s">
        <v>3282</v>
      </c>
      <c r="B25" s="735" t="s">
        <v>3306</v>
      </c>
      <c r="C25" s="849"/>
      <c r="D25" s="908"/>
      <c r="E25" s="1132">
        <f>$O$334</f>
        <v>0</v>
      </c>
      <c r="F25" s="4482">
        <f>$A$338</f>
        <v>0</v>
      </c>
      <c r="G25" s="4483"/>
      <c r="H25" s="4483"/>
      <c r="I25" s="4483"/>
      <c r="J25" s="4483"/>
      <c r="K25" s="4483"/>
      <c r="L25" s="4483"/>
      <c r="M25" s="4483"/>
      <c r="N25" s="4483"/>
      <c r="O25" s="4484"/>
      <c r="P25" s="1145"/>
      <c r="Q25" s="4541"/>
      <c r="R25" s="4542"/>
      <c r="S25" s="4542"/>
    </row>
    <row r="26" spans="1:35" s="35" customFormat="1" ht="10.5" customHeight="1">
      <c r="A26" s="907" t="s">
        <v>3285</v>
      </c>
      <c r="B26" s="735" t="s">
        <v>3307</v>
      </c>
      <c r="C26" s="849"/>
      <c r="D26" s="908"/>
      <c r="E26" s="1132">
        <f>$O$342</f>
        <v>0</v>
      </c>
      <c r="F26" s="4482">
        <f>$A$374</f>
        <v>0</v>
      </c>
      <c r="G26" s="4483"/>
      <c r="H26" s="4483"/>
      <c r="I26" s="4483"/>
      <c r="J26" s="4483"/>
      <c r="K26" s="4483"/>
      <c r="L26" s="4483"/>
      <c r="M26" s="4483"/>
      <c r="N26" s="4483"/>
      <c r="O26" s="4484"/>
      <c r="P26" s="1145"/>
      <c r="Q26" s="4541"/>
      <c r="R26" s="4542"/>
      <c r="S26" s="4542"/>
    </row>
    <row r="27" spans="1:35" s="35" customFormat="1" ht="10.5" customHeight="1">
      <c r="A27" s="907" t="s">
        <v>3286</v>
      </c>
      <c r="B27" s="735" t="s">
        <v>3308</v>
      </c>
      <c r="C27" s="849"/>
      <c r="D27" s="908"/>
      <c r="E27" s="1134">
        <f>$O$378</f>
        <v>0</v>
      </c>
      <c r="F27" s="4482">
        <f>$A$393</f>
        <v>0</v>
      </c>
      <c r="G27" s="4483"/>
      <c r="H27" s="4483"/>
      <c r="I27" s="4483"/>
      <c r="J27" s="4483"/>
      <c r="K27" s="4483"/>
      <c r="L27" s="4483"/>
      <c r="M27" s="4483"/>
      <c r="N27" s="4483"/>
      <c r="O27" s="4484"/>
      <c r="P27" s="1145"/>
      <c r="Q27" s="1853"/>
      <c r="R27" s="1530"/>
      <c r="S27" s="1530"/>
      <c r="AA27" s="4"/>
      <c r="AB27" s="4"/>
      <c r="AC27" s="4"/>
      <c r="AD27" s="4"/>
      <c r="AE27" s="4"/>
      <c r="AF27" s="4"/>
    </row>
    <row r="28" spans="1:35" s="35" customFormat="1" ht="10.5" customHeight="1">
      <c r="A28" s="909" t="s">
        <v>3288</v>
      </c>
      <c r="B28" s="910" t="s">
        <v>4524</v>
      </c>
      <c r="C28" s="911"/>
      <c r="D28" s="912"/>
      <c r="E28" s="1526">
        <f>$O$405</f>
        <v>2</v>
      </c>
      <c r="F28" s="4497">
        <f>$A$414</f>
        <v>0</v>
      </c>
      <c r="G28" s="4498"/>
      <c r="H28" s="4498"/>
      <c r="I28" s="4498"/>
      <c r="J28" s="4498"/>
      <c r="K28" s="4498"/>
      <c r="L28" s="4498"/>
      <c r="M28" s="4498"/>
      <c r="N28" s="4498"/>
      <c r="O28" s="4499"/>
      <c r="P28" s="1146"/>
      <c r="Q28" s="1853"/>
      <c r="R28" s="1530"/>
      <c r="S28" s="1530"/>
      <c r="X28" s="4"/>
      <c r="Y28" s="4"/>
      <c r="Z28" s="4"/>
      <c r="AA28" s="4"/>
      <c r="AB28" s="4"/>
      <c r="AC28" s="4"/>
      <c r="AD28" s="4"/>
      <c r="AE28" s="4"/>
      <c r="AF28" s="4"/>
      <c r="AG28" s="4"/>
      <c r="AH28" s="4"/>
      <c r="AI28" s="4"/>
    </row>
    <row r="29" spans="1:35" s="35" customFormat="1" ht="10.5" customHeight="1">
      <c r="A29" s="907" t="s">
        <v>3289</v>
      </c>
      <c r="B29" s="735" t="s">
        <v>4027</v>
      </c>
      <c r="C29" s="849"/>
      <c r="D29" s="908"/>
      <c r="E29" s="1132">
        <f>$O$418</f>
        <v>0</v>
      </c>
      <c r="F29" s="4482">
        <f>$A$420</f>
        <v>0</v>
      </c>
      <c r="G29" s="4483"/>
      <c r="H29" s="4483"/>
      <c r="I29" s="4483"/>
      <c r="J29" s="4483"/>
      <c r="K29" s="4483"/>
      <c r="L29" s="4483"/>
      <c r="M29" s="4483"/>
      <c r="N29" s="4483"/>
      <c r="O29" s="4484"/>
      <c r="P29" s="1145"/>
      <c r="Q29" s="1853"/>
      <c r="R29" s="1530"/>
      <c r="S29" s="1530"/>
    </row>
    <row r="30" spans="1:35" s="35" customFormat="1" ht="10.5" customHeight="1">
      <c r="A30" s="907" t="s">
        <v>3677</v>
      </c>
      <c r="B30" s="735" t="s">
        <v>4441</v>
      </c>
      <c r="C30" s="849"/>
      <c r="D30" s="908"/>
      <c r="E30" s="1132">
        <f>$O$428</f>
        <v>0</v>
      </c>
      <c r="F30" s="4482">
        <f>$A$430</f>
        <v>0</v>
      </c>
      <c r="G30" s="4483"/>
      <c r="H30" s="4483"/>
      <c r="I30" s="4483"/>
      <c r="J30" s="4483"/>
      <c r="K30" s="4483"/>
      <c r="L30" s="4483"/>
      <c r="M30" s="4483"/>
      <c r="N30" s="4483"/>
      <c r="O30" s="4484"/>
      <c r="P30" s="1145"/>
      <c r="Q30" s="1853"/>
      <c r="R30" s="1530"/>
      <c r="S30" s="1530"/>
      <c r="AA30" s="3647" t="s">
        <v>4451</v>
      </c>
      <c r="AB30" s="3647"/>
      <c r="AC30" s="3647"/>
      <c r="AD30" s="3647"/>
      <c r="AE30" s="3647"/>
      <c r="AF30" s="3647"/>
    </row>
    <row r="31" spans="1:35" s="35" customFormat="1" ht="10.5" customHeight="1">
      <c r="A31" s="909" t="s">
        <v>4444</v>
      </c>
      <c r="B31" s="910" t="s">
        <v>4442</v>
      </c>
      <c r="C31" s="911"/>
      <c r="D31" s="912"/>
      <c r="E31" s="1526">
        <f>$O$434</f>
        <v>0</v>
      </c>
      <c r="F31" s="4497">
        <f>$A$438</f>
        <v>0</v>
      </c>
      <c r="G31" s="4498"/>
      <c r="H31" s="4498"/>
      <c r="I31" s="4498"/>
      <c r="J31" s="4498"/>
      <c r="K31" s="4498"/>
      <c r="L31" s="4498"/>
      <c r="M31" s="4498"/>
      <c r="N31" s="4498"/>
      <c r="O31" s="4499"/>
      <c r="P31" s="1146"/>
      <c r="Q31" s="1853"/>
      <c r="R31" s="1530"/>
      <c r="S31" s="1530"/>
      <c r="X31" s="3647" t="s">
        <v>4452</v>
      </c>
      <c r="Y31" s="3647"/>
      <c r="Z31" s="3647"/>
      <c r="AA31" s="3647"/>
      <c r="AB31" s="3647"/>
      <c r="AC31" s="3647"/>
      <c r="AD31" s="3647" t="s">
        <v>4453</v>
      </c>
      <c r="AE31" s="3647"/>
      <c r="AF31" s="3647"/>
      <c r="AG31" s="3647"/>
      <c r="AH31" s="3647"/>
      <c r="AI31" s="3647"/>
    </row>
    <row r="32" spans="1:35" s="115" customFormat="1" ht="5.25" customHeight="1">
      <c r="C32" s="68"/>
      <c r="D32" s="68"/>
      <c r="E32" s="68"/>
      <c r="F32" s="68"/>
      <c r="G32" s="1414"/>
      <c r="H32" s="68"/>
      <c r="I32" s="68"/>
      <c r="J32" s="68"/>
      <c r="K32" s="68"/>
    </row>
    <row r="33" spans="1:46" s="115" customFormat="1" ht="12.75" customHeight="1">
      <c r="A33" s="120" t="s">
        <v>688</v>
      </c>
      <c r="B33" s="83" t="s">
        <v>4032</v>
      </c>
      <c r="C33" s="70"/>
      <c r="D33" s="68"/>
      <c r="E33" s="68"/>
      <c r="F33" s="68"/>
      <c r="G33" s="4549" t="s">
        <v>4020</v>
      </c>
      <c r="H33" s="4549"/>
      <c r="I33" s="4543" t="s">
        <v>4396</v>
      </c>
      <c r="J33" s="4544"/>
      <c r="K33" s="4544"/>
      <c r="L33" s="4545"/>
      <c r="M33" s="4609" t="s">
        <v>4033</v>
      </c>
      <c r="N33" s="4609"/>
      <c r="O33" s="4609"/>
      <c r="P33" s="4609"/>
      <c r="Q33" s="435"/>
      <c r="R33" s="435"/>
      <c r="S33" s="83" t="s">
        <v>4032</v>
      </c>
      <c r="T33" s="435"/>
      <c r="U33" s="435"/>
      <c r="V33" s="435"/>
      <c r="X33" s="4529" t="s">
        <v>4020</v>
      </c>
      <c r="Y33" s="4531"/>
      <c r="Z33" s="4529" t="s">
        <v>4396</v>
      </c>
      <c r="AA33" s="4530"/>
      <c r="AB33" s="4530"/>
      <c r="AC33" s="4531"/>
      <c r="AD33" s="4538" t="s">
        <v>4020</v>
      </c>
      <c r="AE33" s="4539"/>
      <c r="AF33" s="4540" t="s">
        <v>4396</v>
      </c>
      <c r="AG33" s="4538"/>
      <c r="AH33" s="4538"/>
      <c r="AI33" s="4539"/>
    </row>
    <row r="34" spans="1:46" s="115" customFormat="1" ht="11.25" customHeight="1">
      <c r="A34" s="44"/>
      <c r="B34" s="29"/>
      <c r="C34" s="44"/>
      <c r="D34" s="44"/>
      <c r="E34" s="44"/>
      <c r="F34" s="44"/>
      <c r="G34" s="1622">
        <v>0.09</v>
      </c>
      <c r="H34" s="1622">
        <v>0.04</v>
      </c>
      <c r="I34" s="1622">
        <v>0.04</v>
      </c>
      <c r="J34" s="1622" t="s">
        <v>4434</v>
      </c>
      <c r="K34" s="1622" t="s">
        <v>4435</v>
      </c>
      <c r="L34" s="1622" t="s">
        <v>4436</v>
      </c>
      <c r="M34" s="4532" t="e">
        <f>#REF!</f>
        <v>#REF!</v>
      </c>
      <c r="N34" s="4533"/>
      <c r="O34" s="4533"/>
      <c r="P34" s="4534"/>
      <c r="Q34" s="435"/>
      <c r="R34" s="44"/>
      <c r="S34" s="29"/>
      <c r="T34" s="44"/>
      <c r="U34" s="44"/>
      <c r="V34" s="44"/>
      <c r="W34" s="44"/>
      <c r="X34" s="1622">
        <v>0.09</v>
      </c>
      <c r="Y34" s="1622">
        <v>0.04</v>
      </c>
      <c r="Z34" s="1622">
        <v>0.04</v>
      </c>
      <c r="AA34" s="1622" t="s">
        <v>4434</v>
      </c>
      <c r="AB34" s="1622" t="s">
        <v>4435</v>
      </c>
      <c r="AC34" s="1622" t="s">
        <v>4436</v>
      </c>
      <c r="AD34" s="1622">
        <v>0.09</v>
      </c>
      <c r="AE34" s="1622">
        <v>0.04</v>
      </c>
      <c r="AF34" s="1622">
        <v>0.04</v>
      </c>
      <c r="AG34" s="1622" t="s">
        <v>4434</v>
      </c>
      <c r="AH34" s="1622" t="s">
        <v>4435</v>
      </c>
      <c r="AI34" s="1622" t="s">
        <v>4436</v>
      </c>
    </row>
    <row r="35" spans="1:46" s="115" customFormat="1" ht="10.5" customHeight="1">
      <c r="A35" s="644" t="s">
        <v>572</v>
      </c>
      <c r="B35" s="1623" t="s">
        <v>4628</v>
      </c>
      <c r="C35" s="1624"/>
      <c r="D35" s="1625"/>
      <c r="E35" s="1625"/>
      <c r="F35" s="1625"/>
      <c r="G35" s="1626">
        <v>0</v>
      </c>
      <c r="H35" s="1627">
        <v>0</v>
      </c>
      <c r="I35" s="1882">
        <v>0</v>
      </c>
      <c r="J35" s="1883">
        <v>0</v>
      </c>
      <c r="K35" s="1883">
        <v>0</v>
      </c>
      <c r="L35" s="1884">
        <v>0</v>
      </c>
      <c r="Q35" s="142"/>
      <c r="R35" s="644" t="s">
        <v>572</v>
      </c>
      <c r="S35" s="1623" t="s">
        <v>4628</v>
      </c>
      <c r="T35" s="1623"/>
      <c r="U35" s="1750"/>
      <c r="V35" s="1750"/>
      <c r="W35" s="1750"/>
      <c r="X35" s="1676">
        <v>0</v>
      </c>
      <c r="Y35" s="1719">
        <v>0</v>
      </c>
      <c r="Z35" s="1720">
        <v>0</v>
      </c>
      <c r="AA35" s="1723">
        <v>0</v>
      </c>
      <c r="AB35" s="1723">
        <v>0</v>
      </c>
      <c r="AC35" s="1724">
        <v>0</v>
      </c>
      <c r="AD35" s="1669">
        <f t="shared" ref="AD35:AI35" si="0">-$P$10</f>
        <v>0</v>
      </c>
      <c r="AE35" s="1753">
        <f t="shared" si="0"/>
        <v>0</v>
      </c>
      <c r="AF35" s="1720">
        <f t="shared" si="0"/>
        <v>0</v>
      </c>
      <c r="AG35" s="1723">
        <f t="shared" si="0"/>
        <v>0</v>
      </c>
      <c r="AH35" s="1723">
        <f t="shared" si="0"/>
        <v>0</v>
      </c>
      <c r="AI35" s="1753">
        <f t="shared" si="0"/>
        <v>0</v>
      </c>
    </row>
    <row r="36" spans="1:46" s="115" customFormat="1" ht="10.5" customHeight="1">
      <c r="A36" s="644" t="s">
        <v>690</v>
      </c>
      <c r="B36" s="1623" t="s">
        <v>4021</v>
      </c>
      <c r="C36" s="1624"/>
      <c r="D36" s="1625"/>
      <c r="E36" s="1625"/>
      <c r="F36" s="1625"/>
      <c r="G36" s="1626">
        <v>10</v>
      </c>
      <c r="H36" s="1627">
        <v>10</v>
      </c>
      <c r="I36" s="1626">
        <v>10</v>
      </c>
      <c r="J36" s="1885">
        <v>10</v>
      </c>
      <c r="K36" s="1713">
        <v>10</v>
      </c>
      <c r="L36" s="1632">
        <v>10</v>
      </c>
      <c r="Q36" s="142"/>
      <c r="R36" s="644" t="s">
        <v>690</v>
      </c>
      <c r="S36" s="1623" t="s">
        <v>4021</v>
      </c>
      <c r="T36" s="1623"/>
      <c r="U36" s="1750"/>
      <c r="V36" s="1750"/>
      <c r="W36" s="1750"/>
      <c r="X36" s="1676">
        <f>O64</f>
        <v>10</v>
      </c>
      <c r="Y36" s="1719">
        <f>O64</f>
        <v>10</v>
      </c>
      <c r="Z36" s="1666">
        <f>O64</f>
        <v>10</v>
      </c>
      <c r="AA36" s="1714">
        <f>O64</f>
        <v>10</v>
      </c>
      <c r="AB36" s="1714">
        <f>O64</f>
        <v>10</v>
      </c>
      <c r="AC36" s="1715">
        <f>O64</f>
        <v>10</v>
      </c>
      <c r="AD36" s="1670">
        <f>P64</f>
        <v>10</v>
      </c>
      <c r="AE36" s="1674">
        <f>P64</f>
        <v>10</v>
      </c>
      <c r="AF36" s="1666">
        <f>P64</f>
        <v>10</v>
      </c>
      <c r="AG36" s="1714">
        <f>P64</f>
        <v>10</v>
      </c>
      <c r="AH36" s="1714">
        <f>P64</f>
        <v>10</v>
      </c>
      <c r="AI36" s="1674">
        <f>P64</f>
        <v>10</v>
      </c>
    </row>
    <row r="37" spans="1:46" s="115" customFormat="1" ht="10.5" customHeight="1">
      <c r="A37" s="644" t="s">
        <v>1661</v>
      </c>
      <c r="B37" s="1628" t="s">
        <v>4022</v>
      </c>
      <c r="C37" s="1629"/>
      <c r="D37" s="1630"/>
      <c r="E37" s="1630"/>
      <c r="F37" s="1630"/>
      <c r="G37" s="1631">
        <v>3</v>
      </c>
      <c r="H37" s="1632">
        <v>3</v>
      </c>
      <c r="I37" s="1631"/>
      <c r="J37" s="1713"/>
      <c r="K37" s="1713"/>
      <c r="L37" s="1632"/>
      <c r="M37" s="258" t="s">
        <v>4034</v>
      </c>
      <c r="N37" s="142"/>
      <c r="O37" s="142"/>
      <c r="P37" s="1855" t="e">
        <f>IF(OR($M$34="9% Credit Competitive Round only", $M$34="9% Credit &amp; HOME"),"9%",IF(OR($M$34="4% Credit/TE Bond", $M$34="4% Credit/TE Bond &amp; HOME", $M$34="4% Credit/TE Bond &amp; HOME NOFA", $M$34="4% Credit &amp; NHTF", $M$34="4% Credit &amp; NHTF &amp; HOME"),"4%",""))</f>
        <v>#REF!</v>
      </c>
      <c r="Q37" s="142"/>
      <c r="R37" s="644" t="s">
        <v>1661</v>
      </c>
      <c r="S37" s="1628" t="s">
        <v>4022</v>
      </c>
      <c r="T37" s="1628"/>
      <c r="U37" s="1751"/>
      <c r="V37" s="1751"/>
      <c r="W37" s="1751"/>
      <c r="X37" s="1666" t="e">
        <f>O89</f>
        <v>#REF!</v>
      </c>
      <c r="Y37" s="1674" t="e">
        <f>O89</f>
        <v>#REF!</v>
      </c>
      <c r="Z37" s="1666"/>
      <c r="AA37" s="1713"/>
      <c r="AB37" s="1714"/>
      <c r="AC37" s="1715"/>
      <c r="AD37" s="1670" t="e">
        <f>P89</f>
        <v>#REF!</v>
      </c>
      <c r="AE37" s="1674" t="e">
        <f>P89</f>
        <v>#REF!</v>
      </c>
      <c r="AF37" s="1666"/>
      <c r="AG37" s="1713"/>
      <c r="AH37" s="1714"/>
      <c r="AI37" s="1674"/>
    </row>
    <row r="38" spans="1:46" s="115" customFormat="1" ht="10.5" customHeight="1">
      <c r="A38" s="644" t="s">
        <v>1663</v>
      </c>
      <c r="B38" s="1628" t="s">
        <v>3303</v>
      </c>
      <c r="C38" s="1629"/>
      <c r="D38" s="1630"/>
      <c r="E38" s="1630"/>
      <c r="F38" s="1630"/>
      <c r="G38" s="1631">
        <v>20</v>
      </c>
      <c r="H38" s="1632">
        <v>12</v>
      </c>
      <c r="I38" s="1631"/>
      <c r="J38" s="1713"/>
      <c r="K38" s="1713"/>
      <c r="L38" s="1632"/>
      <c r="Q38" s="142"/>
      <c r="R38" s="644" t="s">
        <v>1663</v>
      </c>
      <c r="S38" s="1628" t="s">
        <v>3303</v>
      </c>
      <c r="T38" s="1628"/>
      <c r="U38" s="1751"/>
      <c r="V38" s="1751"/>
      <c r="W38" s="1751"/>
      <c r="X38" s="1667">
        <f>O103</f>
        <v>0</v>
      </c>
      <c r="Y38" s="1675">
        <f>O103</f>
        <v>0</v>
      </c>
      <c r="Z38" s="1631"/>
      <c r="AA38" s="1713"/>
      <c r="AB38" s="1713"/>
      <c r="AC38" s="1716"/>
      <c r="AD38" s="1671">
        <f>P103</f>
        <v>0</v>
      </c>
      <c r="AE38" s="1675">
        <f>P103</f>
        <v>0</v>
      </c>
      <c r="AF38" s="1631"/>
      <c r="AG38" s="1713"/>
      <c r="AH38" s="1713"/>
      <c r="AI38" s="1632"/>
    </row>
    <row r="39" spans="1:46" s="115" customFormat="1" ht="10.5" customHeight="1">
      <c r="A39" s="644" t="s">
        <v>495</v>
      </c>
      <c r="B39" s="1628" t="s">
        <v>3905</v>
      </c>
      <c r="C39" s="1629"/>
      <c r="D39" s="1630"/>
      <c r="E39" s="1630"/>
      <c r="F39" s="1630"/>
      <c r="G39" s="1631">
        <v>6</v>
      </c>
      <c r="H39" s="1632">
        <v>4</v>
      </c>
      <c r="I39" s="1631"/>
      <c r="J39" s="1713"/>
      <c r="K39" s="1713"/>
      <c r="L39" s="1632"/>
      <c r="Q39" s="142"/>
      <c r="R39" s="644" t="s">
        <v>495</v>
      </c>
      <c r="S39" s="1628" t="s">
        <v>3905</v>
      </c>
      <c r="T39" s="1628"/>
      <c r="U39" s="1751"/>
      <c r="V39" s="1751"/>
      <c r="W39" s="1751"/>
      <c r="X39" s="1667">
        <f>O113</f>
        <v>0</v>
      </c>
      <c r="Y39" s="1675">
        <f>O113</f>
        <v>0</v>
      </c>
      <c r="Z39" s="1631"/>
      <c r="AA39" s="1713"/>
      <c r="AB39" s="1713"/>
      <c r="AC39" s="1716"/>
      <c r="AD39" s="1671">
        <f>P113</f>
        <v>0</v>
      </c>
      <c r="AE39" s="1675">
        <f>P113</f>
        <v>0</v>
      </c>
      <c r="AF39" s="1631"/>
      <c r="AG39" s="1713"/>
      <c r="AH39" s="1713"/>
      <c r="AI39" s="1632"/>
    </row>
    <row r="40" spans="1:46" s="115" customFormat="1" ht="10.5" customHeight="1">
      <c r="A40" s="644" t="s">
        <v>719</v>
      </c>
      <c r="B40" s="1628" t="s">
        <v>3248</v>
      </c>
      <c r="C40" s="1629"/>
      <c r="D40" s="1630"/>
      <c r="E40" s="1630"/>
      <c r="F40" s="1630"/>
      <c r="G40" s="1631">
        <v>3</v>
      </c>
      <c r="H40" s="1632">
        <v>2</v>
      </c>
      <c r="I40" s="1631"/>
      <c r="J40" s="1713"/>
      <c r="K40" s="1713"/>
      <c r="L40" s="1632"/>
      <c r="M40" s="4610" t="s">
        <v>4450</v>
      </c>
      <c r="N40" s="4611"/>
      <c r="O40" s="4611"/>
      <c r="P40" s="4611"/>
      <c r="Q40" s="142"/>
      <c r="R40" s="644" t="s">
        <v>719</v>
      </c>
      <c r="S40" s="1628" t="s">
        <v>3248</v>
      </c>
      <c r="T40" s="1628"/>
      <c r="U40" s="1751"/>
      <c r="V40" s="1751"/>
      <c r="W40" s="1751"/>
      <c r="X40" s="1631">
        <f>O152</f>
        <v>0</v>
      </c>
      <c r="Y40" s="1632">
        <f>O152</f>
        <v>0</v>
      </c>
      <c r="Z40" s="1631"/>
      <c r="AA40" s="1713"/>
      <c r="AB40" s="1713"/>
      <c r="AC40" s="1716"/>
      <c r="AD40" s="1665">
        <f>P152</f>
        <v>0</v>
      </c>
      <c r="AE40" s="1632">
        <f>P152</f>
        <v>0</v>
      </c>
      <c r="AF40" s="1631"/>
      <c r="AG40" s="1713"/>
      <c r="AH40" s="1713"/>
      <c r="AI40" s="1632"/>
    </row>
    <row r="41" spans="1:46" s="115" customFormat="1" ht="10.5" customHeight="1">
      <c r="A41" s="644" t="s">
        <v>280</v>
      </c>
      <c r="B41" s="1628" t="s">
        <v>3304</v>
      </c>
      <c r="C41" s="1629"/>
      <c r="D41" s="1630"/>
      <c r="E41" s="1630"/>
      <c r="F41" s="1630"/>
      <c r="G41" s="1631">
        <v>7</v>
      </c>
      <c r="H41" s="1632">
        <v>5</v>
      </c>
      <c r="I41" s="1631"/>
      <c r="J41" s="1713"/>
      <c r="K41" s="1713"/>
      <c r="L41" s="1632"/>
      <c r="M41" s="4610"/>
      <c r="N41" s="4611"/>
      <c r="O41" s="4611"/>
      <c r="P41" s="4611"/>
      <c r="Q41" s="142"/>
      <c r="R41" s="644" t="s">
        <v>280</v>
      </c>
      <c r="S41" s="1628" t="s">
        <v>3304</v>
      </c>
      <c r="T41" s="1628"/>
      <c r="U41" s="1751"/>
      <c r="V41" s="1751"/>
      <c r="W41" s="1751"/>
      <c r="X41" s="1666">
        <f>O169</f>
        <v>0</v>
      </c>
      <c r="Y41" s="1674">
        <f>O169</f>
        <v>0</v>
      </c>
      <c r="Z41" s="1631"/>
      <c r="AA41" s="1713"/>
      <c r="AB41" s="1713"/>
      <c r="AC41" s="1716"/>
      <c r="AD41" s="1670">
        <f>P169</f>
        <v>0</v>
      </c>
      <c r="AE41" s="1674">
        <f>P169</f>
        <v>0</v>
      </c>
      <c r="AF41" s="1631"/>
      <c r="AG41" s="1713"/>
      <c r="AH41" s="1713"/>
      <c r="AI41" s="1632"/>
    </row>
    <row r="42" spans="1:46" s="115" customFormat="1" ht="10.5" customHeight="1">
      <c r="A42" s="644" t="s">
        <v>400</v>
      </c>
      <c r="B42" s="1628" t="s">
        <v>3305</v>
      </c>
      <c r="C42" s="1629"/>
      <c r="D42" s="1630"/>
      <c r="E42" s="1630"/>
      <c r="F42" s="1630"/>
      <c r="G42" s="1631">
        <v>3</v>
      </c>
      <c r="H42" s="1632"/>
      <c r="I42" s="1631"/>
      <c r="J42" s="1713"/>
      <c r="K42" s="1713"/>
      <c r="L42" s="1632"/>
      <c r="M42" s="147" t="s">
        <v>4445</v>
      </c>
      <c r="N42" s="147"/>
      <c r="O42" s="147"/>
      <c r="P42" s="1166"/>
      <c r="Q42" s="142"/>
      <c r="R42" s="644" t="s">
        <v>400</v>
      </c>
      <c r="S42" s="1628" t="s">
        <v>3305</v>
      </c>
      <c r="T42" s="1628"/>
      <c r="U42" s="1751"/>
      <c r="V42" s="1751"/>
      <c r="W42" s="1751"/>
      <c r="X42" s="1668"/>
      <c r="Y42" s="1673"/>
      <c r="Z42" s="1668"/>
      <c r="AA42" s="1717"/>
      <c r="AB42" s="1717"/>
      <c r="AC42" s="1718"/>
      <c r="AD42" s="1670">
        <f>P190</f>
        <v>0</v>
      </c>
      <c r="AE42" s="1632"/>
      <c r="AF42" s="1631"/>
      <c r="AG42" s="1713"/>
      <c r="AH42" s="1713"/>
      <c r="AI42" s="1632"/>
    </row>
    <row r="43" spans="1:46" s="115" customFormat="1" ht="10.5" customHeight="1">
      <c r="A43" s="644" t="s">
        <v>342</v>
      </c>
      <c r="B43" s="1628" t="s">
        <v>3906</v>
      </c>
      <c r="C43" s="1629"/>
      <c r="D43" s="1630"/>
      <c r="E43" s="1630"/>
      <c r="F43" s="1630"/>
      <c r="G43" s="1631">
        <v>10</v>
      </c>
      <c r="H43" s="1632">
        <v>5</v>
      </c>
      <c r="I43" s="1631"/>
      <c r="J43" s="1713"/>
      <c r="K43" s="1713"/>
      <c r="L43" s="1632"/>
      <c r="M43" s="147" t="s">
        <v>3220</v>
      </c>
      <c r="N43" s="147"/>
      <c r="O43" s="147"/>
      <c r="P43" s="806"/>
      <c r="Q43" s="142"/>
      <c r="R43" s="644" t="s">
        <v>342</v>
      </c>
      <c r="S43" s="1628" t="s">
        <v>3906</v>
      </c>
      <c r="T43" s="1628"/>
      <c r="U43" s="1751"/>
      <c r="V43" s="1751"/>
      <c r="W43" s="1751"/>
      <c r="X43" s="1666">
        <f>O205</f>
        <v>0</v>
      </c>
      <c r="Y43" s="1674">
        <f>O205</f>
        <v>0</v>
      </c>
      <c r="Z43" s="1631"/>
      <c r="AA43" s="1713"/>
      <c r="AB43" s="1713"/>
      <c r="AC43" s="1716"/>
      <c r="AD43" s="1670">
        <f>P205</f>
        <v>0</v>
      </c>
      <c r="AE43" s="1674">
        <f>P205</f>
        <v>0</v>
      </c>
      <c r="AF43" s="1631"/>
      <c r="AG43" s="1713"/>
      <c r="AH43" s="1713"/>
      <c r="AI43" s="1632"/>
    </row>
    <row r="44" spans="1:46" s="115" customFormat="1" ht="10.5" customHeight="1">
      <c r="A44" s="644" t="s">
        <v>343</v>
      </c>
      <c r="B44" s="1628" t="s">
        <v>4023</v>
      </c>
      <c r="C44" s="1629"/>
      <c r="D44" s="1630"/>
      <c r="E44" s="1630"/>
      <c r="F44" s="1630"/>
      <c r="G44" s="1631">
        <v>1</v>
      </c>
      <c r="H44" s="1632"/>
      <c r="I44" s="1631"/>
      <c r="J44" s="1713"/>
      <c r="K44" s="1713"/>
      <c r="L44" s="1632"/>
      <c r="M44" s="1725" t="s">
        <v>4038</v>
      </c>
      <c r="N44" s="223"/>
      <c r="O44" s="223"/>
      <c r="P44" s="801"/>
      <c r="Q44" s="142"/>
      <c r="R44" s="644" t="s">
        <v>343</v>
      </c>
      <c r="S44" s="1628" t="s">
        <v>4023</v>
      </c>
      <c r="T44" s="1628"/>
      <c r="U44" s="1751"/>
      <c r="V44" s="1751"/>
      <c r="W44" s="1751"/>
      <c r="X44" s="1666">
        <f>O225</f>
        <v>0</v>
      </c>
      <c r="Y44" s="1632"/>
      <c r="Z44" s="1631"/>
      <c r="AA44" s="1713"/>
      <c r="AB44" s="1713"/>
      <c r="AC44" s="1716"/>
      <c r="AD44" s="1670">
        <f>P225</f>
        <v>0</v>
      </c>
      <c r="AE44" s="1632"/>
      <c r="AF44" s="1631"/>
      <c r="AG44" s="1713"/>
      <c r="AH44" s="1713"/>
      <c r="AI44" s="1632"/>
    </row>
    <row r="45" spans="1:46" s="115" customFormat="1" ht="10.5" customHeight="1">
      <c r="A45" s="644" t="s">
        <v>344</v>
      </c>
      <c r="B45" s="1628" t="s">
        <v>3176</v>
      </c>
      <c r="C45" s="1629"/>
      <c r="D45" s="1630"/>
      <c r="E45" s="1630"/>
      <c r="F45" s="1630"/>
      <c r="G45" s="1631">
        <v>10</v>
      </c>
      <c r="H45" s="1632">
        <v>5</v>
      </c>
      <c r="I45" s="1631"/>
      <c r="J45" s="1713"/>
      <c r="K45" s="1713"/>
      <c r="L45" s="1632"/>
      <c r="M45" s="1725" t="s">
        <v>4400</v>
      </c>
      <c r="N45" s="223"/>
      <c r="O45" s="241" t="s">
        <v>4037</v>
      </c>
      <c r="P45" s="1803" t="str">
        <f>IF('Part VII-Threshold Criteria OLD'!$P$341="Agree","Yes","")</f>
        <v/>
      </c>
      <c r="Q45" s="142"/>
      <c r="R45" s="644" t="s">
        <v>344</v>
      </c>
      <c r="S45" s="1628" t="s">
        <v>3176</v>
      </c>
      <c r="T45" s="1628"/>
      <c r="U45" s="1751"/>
      <c r="V45" s="1751"/>
      <c r="W45" s="1751"/>
      <c r="X45" s="1666">
        <f>O233</f>
        <v>0</v>
      </c>
      <c r="Y45" s="1674">
        <f>O233</f>
        <v>0</v>
      </c>
      <c r="Z45" s="1631"/>
      <c r="AA45" s="1713"/>
      <c r="AB45" s="1713"/>
      <c r="AC45" s="1716"/>
      <c r="AD45" s="1670">
        <f>P233</f>
        <v>0</v>
      </c>
      <c r="AE45" s="1674">
        <f>P233</f>
        <v>0</v>
      </c>
      <c r="AF45" s="1631"/>
      <c r="AG45" s="1713"/>
      <c r="AH45" s="1713"/>
      <c r="AI45" s="1632"/>
    </row>
    <row r="46" spans="1:46" s="115" customFormat="1" ht="10.5" customHeight="1">
      <c r="A46" s="644" t="s">
        <v>1602</v>
      </c>
      <c r="B46" s="1628" t="s">
        <v>4024</v>
      </c>
      <c r="C46" s="1629"/>
      <c r="D46" s="1630"/>
      <c r="E46" s="1630"/>
      <c r="F46" s="1630"/>
      <c r="G46" s="1631">
        <v>3</v>
      </c>
      <c r="H46" s="1632"/>
      <c r="I46" s="1631"/>
      <c r="J46" s="1713"/>
      <c r="K46" s="1713"/>
      <c r="L46" s="1632"/>
      <c r="M46" s="1725"/>
      <c r="N46" s="223"/>
      <c r="O46" s="241" t="s">
        <v>4446</v>
      </c>
      <c r="P46" s="1804" t="str">
        <f>IF('Part VII-Threshold Criteria OLD'!$P$344="Agree","Yes","")</f>
        <v/>
      </c>
      <c r="Q46" s="142"/>
      <c r="R46" s="644" t="s">
        <v>1602</v>
      </c>
      <c r="S46" s="1628" t="s">
        <v>4024</v>
      </c>
      <c r="T46" s="1628"/>
      <c r="U46" s="1751"/>
      <c r="V46" s="1751"/>
      <c r="W46" s="1751"/>
      <c r="X46" s="1666">
        <f>O242</f>
        <v>0</v>
      </c>
      <c r="Y46" s="1632"/>
      <c r="Z46" s="1631"/>
      <c r="AA46" s="1713"/>
      <c r="AB46" s="1713"/>
      <c r="AC46" s="1716"/>
      <c r="AD46" s="1670">
        <f>P242</f>
        <v>0</v>
      </c>
      <c r="AE46" s="1632"/>
      <c r="AF46" s="1631"/>
      <c r="AG46" s="1713"/>
      <c r="AH46" s="1713"/>
      <c r="AI46" s="1632"/>
    </row>
    <row r="47" spans="1:46" s="115" customFormat="1" ht="10.5" customHeight="1">
      <c r="A47" s="644" t="s">
        <v>3279</v>
      </c>
      <c r="B47" s="1628" t="s">
        <v>3910</v>
      </c>
      <c r="C47" s="1629"/>
      <c r="D47" s="1630"/>
      <c r="E47" s="1630"/>
      <c r="F47" s="1630"/>
      <c r="G47" s="1631">
        <v>5</v>
      </c>
      <c r="H47" s="1632"/>
      <c r="I47" s="1631"/>
      <c r="J47" s="1713"/>
      <c r="K47" s="1713"/>
      <c r="L47" s="1632"/>
      <c r="M47" s="1209"/>
      <c r="N47" s="1749"/>
      <c r="O47" s="1726" t="s">
        <v>4447</v>
      </c>
      <c r="P47" s="1805" t="str">
        <f>IF('Part VII-Threshold Criteria OLD'!$P$346="Agree","Yes","")</f>
        <v/>
      </c>
      <c r="Q47" s="142"/>
      <c r="R47" s="644" t="s">
        <v>3279</v>
      </c>
      <c r="S47" s="1628" t="s">
        <v>3910</v>
      </c>
      <c r="T47" s="1628"/>
      <c r="U47" s="1751"/>
      <c r="V47" s="1751"/>
      <c r="W47" s="1751"/>
      <c r="X47" s="1666">
        <f>O252</f>
        <v>0</v>
      </c>
      <c r="Y47" s="1632"/>
      <c r="Z47" s="1631"/>
      <c r="AA47" s="1713"/>
      <c r="AB47" s="1713"/>
      <c r="AC47" s="1716"/>
      <c r="AD47" s="1670">
        <f>P252</f>
        <v>0</v>
      </c>
      <c r="AE47" s="1632"/>
      <c r="AF47" s="1631"/>
      <c r="AG47" s="1713"/>
      <c r="AH47" s="1713"/>
      <c r="AI47" s="1632"/>
    </row>
    <row r="48" spans="1:46" s="115" customFormat="1" ht="10.5" customHeight="1">
      <c r="A48" s="644" t="s">
        <v>2074</v>
      </c>
      <c r="B48" s="1628" t="s">
        <v>3678</v>
      </c>
      <c r="C48" s="1629"/>
      <c r="D48" s="1630"/>
      <c r="E48" s="1630"/>
      <c r="F48" s="1630"/>
      <c r="G48" s="1631">
        <v>4</v>
      </c>
      <c r="H48" s="1632">
        <v>4</v>
      </c>
      <c r="I48" s="1631">
        <v>4</v>
      </c>
      <c r="J48" s="1713">
        <v>4</v>
      </c>
      <c r="K48" s="1713">
        <v>4</v>
      </c>
      <c r="L48" s="1632">
        <v>4</v>
      </c>
      <c r="M48" s="1743" t="s">
        <v>2436</v>
      </c>
      <c r="N48" s="1744"/>
      <c r="O48" s="1745"/>
      <c r="P48" s="1166"/>
      <c r="R48" s="644" t="s">
        <v>2074</v>
      </c>
      <c r="S48" s="1628" t="s">
        <v>3678</v>
      </c>
      <c r="T48" s="1628"/>
      <c r="U48" s="1751"/>
      <c r="V48" s="1751"/>
      <c r="W48" s="1751"/>
      <c r="X48" s="1666">
        <f>O261</f>
        <v>0</v>
      </c>
      <c r="Y48" s="1674">
        <f>O261</f>
        <v>0</v>
      </c>
      <c r="Z48" s="1666">
        <f>O261</f>
        <v>0</v>
      </c>
      <c r="AA48" s="1714">
        <f>O261</f>
        <v>0</v>
      </c>
      <c r="AB48" s="1714">
        <f>O261</f>
        <v>0</v>
      </c>
      <c r="AC48" s="1715">
        <f>O261</f>
        <v>0</v>
      </c>
      <c r="AD48" s="1670">
        <f>P261</f>
        <v>0</v>
      </c>
      <c r="AE48" s="1674">
        <f>P261</f>
        <v>0</v>
      </c>
      <c r="AF48" s="1666">
        <f>P261</f>
        <v>0</v>
      </c>
      <c r="AG48" s="1714">
        <f>P261</f>
        <v>0</v>
      </c>
      <c r="AH48" s="1714">
        <f>P261</f>
        <v>0</v>
      </c>
      <c r="AI48" s="1674">
        <f>P261</f>
        <v>0</v>
      </c>
      <c r="AT48" s="1811" t="s">
        <v>3162</v>
      </c>
    </row>
    <row r="49" spans="1:46" s="115" customFormat="1" ht="10.5" customHeight="1">
      <c r="A49" s="644" t="s">
        <v>3279</v>
      </c>
      <c r="B49" s="1628" t="s">
        <v>4437</v>
      </c>
      <c r="C49" s="1629"/>
      <c r="D49" s="1630"/>
      <c r="E49" s="1630"/>
      <c r="F49" s="1630"/>
      <c r="G49" s="1631">
        <v>2</v>
      </c>
      <c r="H49" s="1632">
        <v>2</v>
      </c>
      <c r="I49" s="1631">
        <v>2</v>
      </c>
      <c r="J49" s="1713">
        <v>2</v>
      </c>
      <c r="K49" s="1713">
        <v>2</v>
      </c>
      <c r="L49" s="1632">
        <v>2</v>
      </c>
      <c r="M49" s="1746" t="s">
        <v>4448</v>
      </c>
      <c r="N49" s="1747"/>
      <c r="O49" s="1748"/>
      <c r="P49" s="801"/>
      <c r="R49" s="644" t="s">
        <v>3279</v>
      </c>
      <c r="S49" s="1628" t="s">
        <v>4437</v>
      </c>
      <c r="T49" s="1628"/>
      <c r="U49" s="1751"/>
      <c r="V49" s="1751"/>
      <c r="W49" s="1751"/>
      <c r="X49" s="1666">
        <f>O274</f>
        <v>0</v>
      </c>
      <c r="Y49" s="1674">
        <f>O274</f>
        <v>0</v>
      </c>
      <c r="Z49" s="1666">
        <f>O274</f>
        <v>0</v>
      </c>
      <c r="AA49" s="1714">
        <f>O274</f>
        <v>0</v>
      </c>
      <c r="AB49" s="1714">
        <f>O274</f>
        <v>0</v>
      </c>
      <c r="AC49" s="1715">
        <f>O274</f>
        <v>0</v>
      </c>
      <c r="AD49" s="1670">
        <f>P274</f>
        <v>0</v>
      </c>
      <c r="AE49" s="1674">
        <f>P274</f>
        <v>0</v>
      </c>
      <c r="AF49" s="1666">
        <f>P274</f>
        <v>0</v>
      </c>
      <c r="AG49" s="1714">
        <f>P274</f>
        <v>0</v>
      </c>
      <c r="AH49" s="1714">
        <f>P274</f>
        <v>0</v>
      </c>
      <c r="AI49" s="1674">
        <f>P274</f>
        <v>0</v>
      </c>
      <c r="AQ49" s="1810" t="s">
        <v>4581</v>
      </c>
      <c r="AR49" s="223"/>
      <c r="AS49" s="72"/>
      <c r="AT49" s="1801" t="e">
        <f>#REF!+#REF!+#REF!</f>
        <v>#REF!</v>
      </c>
    </row>
    <row r="50" spans="1:46" s="115" customFormat="1" ht="10.5" customHeight="1">
      <c r="A50" s="644" t="s">
        <v>3280</v>
      </c>
      <c r="B50" s="1628" t="s">
        <v>4438</v>
      </c>
      <c r="C50" s="1629"/>
      <c r="D50" s="1630"/>
      <c r="E50" s="1630"/>
      <c r="F50" s="1630"/>
      <c r="G50" s="1631">
        <v>2</v>
      </c>
      <c r="H50" s="1632">
        <v>2</v>
      </c>
      <c r="I50" s="1631">
        <v>2</v>
      </c>
      <c r="J50" s="1713">
        <v>2</v>
      </c>
      <c r="K50" s="1713">
        <v>2</v>
      </c>
      <c r="L50" s="1632">
        <v>2</v>
      </c>
      <c r="M50" s="147" t="s">
        <v>4449</v>
      </c>
      <c r="N50" s="72"/>
      <c r="O50" s="72"/>
      <c r="P50" s="455" t="e">
        <f>#REF!</f>
        <v>#REF!</v>
      </c>
      <c r="R50" s="644" t="s">
        <v>3280</v>
      </c>
      <c r="S50" s="1628" t="s">
        <v>4438</v>
      </c>
      <c r="T50" s="1628"/>
      <c r="U50" s="1751"/>
      <c r="V50" s="1751"/>
      <c r="W50" s="1751"/>
      <c r="X50" s="1666">
        <f>O285</f>
        <v>0</v>
      </c>
      <c r="Y50" s="1674">
        <f>O285</f>
        <v>0</v>
      </c>
      <c r="Z50" s="1666">
        <f>O285</f>
        <v>0</v>
      </c>
      <c r="AA50" s="1714">
        <f>O285</f>
        <v>0</v>
      </c>
      <c r="AB50" s="1714">
        <f>O285</f>
        <v>0</v>
      </c>
      <c r="AC50" s="1715">
        <f>O285</f>
        <v>0</v>
      </c>
      <c r="AD50" s="1670">
        <f>P285</f>
        <v>0</v>
      </c>
      <c r="AE50" s="1674">
        <f>P285</f>
        <v>0</v>
      </c>
      <c r="AF50" s="1666">
        <f>P285</f>
        <v>0</v>
      </c>
      <c r="AG50" s="1714">
        <f>P285</f>
        <v>0</v>
      </c>
      <c r="AH50" s="1714">
        <f>P285</f>
        <v>0</v>
      </c>
      <c r="AI50" s="1674">
        <f>P285</f>
        <v>0</v>
      </c>
      <c r="AQ50" s="1810" t="s">
        <v>4572</v>
      </c>
      <c r="AR50" s="1448"/>
      <c r="AS50" s="1448"/>
      <c r="AT50" s="1802" t="e">
        <f>#REF!+#REF!-#REF!-#REF!</f>
        <v>#REF!</v>
      </c>
    </row>
    <row r="51" spans="1:46" s="115" customFormat="1" ht="10.5" customHeight="1">
      <c r="A51" s="644" t="s">
        <v>3278</v>
      </c>
      <c r="B51" s="1628" t="s">
        <v>4443</v>
      </c>
      <c r="C51" s="1629"/>
      <c r="D51" s="1630"/>
      <c r="E51" s="1630"/>
      <c r="F51" s="1630"/>
      <c r="G51" s="1631">
        <v>2</v>
      </c>
      <c r="H51" s="1632"/>
      <c r="I51" s="1631"/>
      <c r="J51" s="1713">
        <v>2</v>
      </c>
      <c r="K51" s="1713">
        <v>2</v>
      </c>
      <c r="L51" s="1632">
        <v>2</v>
      </c>
      <c r="Q51" s="142"/>
      <c r="R51" s="644" t="s">
        <v>3278</v>
      </c>
      <c r="S51" s="1628" t="s">
        <v>4443</v>
      </c>
      <c r="T51" s="1628"/>
      <c r="U51" s="1751"/>
      <c r="V51" s="1751"/>
      <c r="W51" s="1751"/>
      <c r="X51" s="1666">
        <f>O310</f>
        <v>0</v>
      </c>
      <c r="Y51" s="1632"/>
      <c r="Z51" s="1631"/>
      <c r="AA51" s="1714">
        <f>O310</f>
        <v>0</v>
      </c>
      <c r="AB51" s="1714">
        <f>O310</f>
        <v>0</v>
      </c>
      <c r="AC51" s="1715">
        <f>O310</f>
        <v>0</v>
      </c>
      <c r="AD51" s="1670">
        <f>P310</f>
        <v>0</v>
      </c>
      <c r="AE51" s="1632"/>
      <c r="AF51" s="1631"/>
      <c r="AG51" s="1714">
        <f>P310</f>
        <v>0</v>
      </c>
      <c r="AH51" s="1714">
        <f>P310</f>
        <v>0</v>
      </c>
      <c r="AI51" s="1674">
        <f>P310</f>
        <v>0</v>
      </c>
    </row>
    <row r="52" spans="1:46" s="115" customFormat="1" ht="10.5" customHeight="1">
      <c r="A52" s="644" t="s">
        <v>3281</v>
      </c>
      <c r="B52" s="1628" t="s">
        <v>4025</v>
      </c>
      <c r="C52" s="1629"/>
      <c r="D52" s="1630"/>
      <c r="E52" s="1630"/>
      <c r="F52" s="1630"/>
      <c r="G52" s="1631">
        <v>2</v>
      </c>
      <c r="H52" s="1632"/>
      <c r="I52" s="1631"/>
      <c r="J52" s="1713">
        <v>2</v>
      </c>
      <c r="K52" s="1713">
        <v>2</v>
      </c>
      <c r="L52" s="1632">
        <v>2</v>
      </c>
      <c r="M52" s="4744" t="s">
        <v>4617</v>
      </c>
      <c r="N52" s="4745"/>
      <c r="O52" s="4745"/>
      <c r="P52" s="4745"/>
      <c r="Q52" s="391"/>
      <c r="R52" s="644" t="s">
        <v>3281</v>
      </c>
      <c r="S52" s="1628" t="s">
        <v>4025</v>
      </c>
      <c r="T52" s="1628"/>
      <c r="U52" s="1751"/>
      <c r="V52" s="1751"/>
      <c r="W52" s="1751"/>
      <c r="X52" s="1672"/>
      <c r="Y52" s="1673"/>
      <c r="Z52" s="1668"/>
      <c r="AA52" s="1721"/>
      <c r="AB52" s="1721"/>
      <c r="AC52" s="1722"/>
      <c r="AD52" s="1670">
        <f>P318</f>
        <v>0</v>
      </c>
      <c r="AE52" s="1632"/>
      <c r="AF52" s="1631"/>
      <c r="AG52" s="1714">
        <f>P318</f>
        <v>0</v>
      </c>
      <c r="AH52" s="1714">
        <f>P318</f>
        <v>0</v>
      </c>
      <c r="AI52" s="1674">
        <f>P318</f>
        <v>0</v>
      </c>
    </row>
    <row r="53" spans="1:46" s="115" customFormat="1" ht="10.5" customHeight="1">
      <c r="A53" s="644" t="s">
        <v>3282</v>
      </c>
      <c r="B53" s="1628" t="s">
        <v>3306</v>
      </c>
      <c r="C53" s="1629"/>
      <c r="D53" s="1630"/>
      <c r="E53" s="1630"/>
      <c r="F53" s="1630"/>
      <c r="G53" s="1631">
        <v>2</v>
      </c>
      <c r="H53" s="1632"/>
      <c r="I53" s="1631"/>
      <c r="J53" s="1713">
        <v>2</v>
      </c>
      <c r="K53" s="1713">
        <v>2</v>
      </c>
      <c r="L53" s="1632">
        <v>2</v>
      </c>
      <c r="M53" s="4744"/>
      <c r="N53" s="4745"/>
      <c r="O53" s="4745"/>
      <c r="P53" s="4745"/>
      <c r="R53" s="644" t="s">
        <v>3282</v>
      </c>
      <c r="S53" s="1628" t="s">
        <v>3306</v>
      </c>
      <c r="T53" s="1628"/>
      <c r="U53" s="1751"/>
      <c r="V53" s="1751"/>
      <c r="W53" s="1751"/>
      <c r="X53" s="1666">
        <f>O334</f>
        <v>0</v>
      </c>
      <c r="Y53" s="1674"/>
      <c r="Z53" s="1666"/>
      <c r="AA53" s="1714">
        <f>O334</f>
        <v>0</v>
      </c>
      <c r="AB53" s="1714">
        <f>O334</f>
        <v>0</v>
      </c>
      <c r="AC53" s="1715">
        <f>O334</f>
        <v>0</v>
      </c>
      <c r="AD53" s="1670">
        <f>P334</f>
        <v>0</v>
      </c>
      <c r="AE53" s="1674"/>
      <c r="AF53" s="1666"/>
      <c r="AG53" s="1714">
        <f>P334</f>
        <v>0</v>
      </c>
      <c r="AH53" s="1714">
        <f>P334</f>
        <v>0</v>
      </c>
      <c r="AI53" s="1674">
        <f>P334</f>
        <v>0</v>
      </c>
    </row>
    <row r="54" spans="1:46" s="115" customFormat="1" ht="10.5" customHeight="1">
      <c r="A54" s="644" t="s">
        <v>3285</v>
      </c>
      <c r="B54" s="1628" t="s">
        <v>3307</v>
      </c>
      <c r="C54" s="1629"/>
      <c r="D54" s="1630"/>
      <c r="E54" s="1630"/>
      <c r="F54" s="1630"/>
      <c r="G54" s="1631">
        <v>4</v>
      </c>
      <c r="H54" s="1632">
        <v>2</v>
      </c>
      <c r="I54" s="1631">
        <v>2</v>
      </c>
      <c r="J54" s="1713">
        <v>4</v>
      </c>
      <c r="K54" s="1713">
        <v>4</v>
      </c>
      <c r="L54" s="1632">
        <v>4</v>
      </c>
      <c r="M54" s="4746"/>
      <c r="N54" s="4747"/>
      <c r="O54" s="4747"/>
      <c r="P54" s="4747"/>
      <c r="R54" s="644" t="s">
        <v>3285</v>
      </c>
      <c r="S54" s="1628" t="s">
        <v>3307</v>
      </c>
      <c r="T54" s="1628"/>
      <c r="U54" s="1751"/>
      <c r="V54" s="1751"/>
      <c r="W54" s="1751"/>
      <c r="X54" s="1666">
        <f>O342</f>
        <v>0</v>
      </c>
      <c r="Y54" s="1674">
        <f>O342</f>
        <v>0</v>
      </c>
      <c r="Z54" s="1666">
        <f>O342</f>
        <v>0</v>
      </c>
      <c r="AA54" s="1714">
        <f>O342</f>
        <v>0</v>
      </c>
      <c r="AB54" s="1714">
        <f>O342</f>
        <v>0</v>
      </c>
      <c r="AC54" s="1715">
        <f>O342</f>
        <v>0</v>
      </c>
      <c r="AD54" s="1670">
        <f>P342</f>
        <v>0</v>
      </c>
      <c r="AE54" s="1674">
        <f>P342</f>
        <v>0</v>
      </c>
      <c r="AF54" s="1666">
        <f>P342</f>
        <v>0</v>
      </c>
      <c r="AG54" s="1714">
        <f>P342</f>
        <v>0</v>
      </c>
      <c r="AH54" s="1714">
        <f>P342</f>
        <v>0</v>
      </c>
      <c r="AI54" s="1674">
        <f>P342</f>
        <v>0</v>
      </c>
    </row>
    <row r="55" spans="1:46" s="115" customFormat="1" ht="10.5" customHeight="1">
      <c r="A55" s="644" t="s">
        <v>3286</v>
      </c>
      <c r="B55" s="1628" t="s">
        <v>3308</v>
      </c>
      <c r="C55" s="1629"/>
      <c r="D55" s="1630"/>
      <c r="E55" s="1630"/>
      <c r="F55" s="1630"/>
      <c r="G55" s="1631">
        <v>2</v>
      </c>
      <c r="H55" s="1632"/>
      <c r="I55" s="1631"/>
      <c r="J55" s="1713"/>
      <c r="K55" s="1713"/>
      <c r="L55" s="1632"/>
      <c r="M55" s="4612" t="s">
        <v>4593</v>
      </c>
      <c r="N55" s="4613"/>
      <c r="O55" s="4613"/>
      <c r="P55" s="4614"/>
      <c r="R55" s="644" t="s">
        <v>3286</v>
      </c>
      <c r="S55" s="1628" t="s">
        <v>3308</v>
      </c>
      <c r="T55" s="1628"/>
      <c r="U55" s="1751"/>
      <c r="V55" s="1751"/>
      <c r="W55" s="1751"/>
      <c r="X55" s="1666">
        <f>O378</f>
        <v>0</v>
      </c>
      <c r="Y55" s="1674"/>
      <c r="Z55" s="1666"/>
      <c r="AA55" s="1714"/>
      <c r="AB55" s="1714"/>
      <c r="AC55" s="1715"/>
      <c r="AD55" s="1670">
        <f>P378</f>
        <v>0</v>
      </c>
      <c r="AE55" s="1674"/>
      <c r="AF55" s="1666"/>
      <c r="AG55" s="1714"/>
      <c r="AH55" s="1714"/>
      <c r="AI55" s="1674"/>
    </row>
    <row r="56" spans="1:46" s="115" customFormat="1" ht="10.5" customHeight="1">
      <c r="A56" s="644" t="s">
        <v>3287</v>
      </c>
      <c r="B56" s="1628" t="s">
        <v>4026</v>
      </c>
      <c r="C56" s="1629"/>
      <c r="D56" s="1630"/>
      <c r="E56" s="1630"/>
      <c r="F56" s="1630"/>
      <c r="G56" s="1631">
        <v>10</v>
      </c>
      <c r="H56" s="1632">
        <v>10</v>
      </c>
      <c r="I56" s="1631">
        <v>10</v>
      </c>
      <c r="J56" s="1713">
        <v>10</v>
      </c>
      <c r="K56" s="1713">
        <v>10</v>
      </c>
      <c r="L56" s="1632">
        <v>10</v>
      </c>
      <c r="M56" s="4615"/>
      <c r="N56" s="4616"/>
      <c r="O56" s="4616"/>
      <c r="P56" s="4617"/>
      <c r="R56" s="644" t="s">
        <v>3287</v>
      </c>
      <c r="S56" s="1628" t="s">
        <v>4026</v>
      </c>
      <c r="T56" s="1628"/>
      <c r="U56" s="1751"/>
      <c r="V56" s="1751"/>
      <c r="W56" s="1751"/>
      <c r="X56" s="1666">
        <f>O397</f>
        <v>10</v>
      </c>
      <c r="Y56" s="1674">
        <f>O397</f>
        <v>10</v>
      </c>
      <c r="Z56" s="1666">
        <f>O397</f>
        <v>10</v>
      </c>
      <c r="AA56" s="1714">
        <f>O397</f>
        <v>10</v>
      </c>
      <c r="AB56" s="1714">
        <f>O397</f>
        <v>10</v>
      </c>
      <c r="AC56" s="1715">
        <f>O397</f>
        <v>10</v>
      </c>
      <c r="AD56" s="1670">
        <f>P397</f>
        <v>10</v>
      </c>
      <c r="AE56" s="1674">
        <f>P397</f>
        <v>10</v>
      </c>
      <c r="AF56" s="1666">
        <f>P397</f>
        <v>10</v>
      </c>
      <c r="AG56" s="1714">
        <f>P397</f>
        <v>10</v>
      </c>
      <c r="AH56" s="1714">
        <f>P397</f>
        <v>10</v>
      </c>
      <c r="AI56" s="1674">
        <f>P397</f>
        <v>10</v>
      </c>
    </row>
    <row r="57" spans="1:46" s="115" customFormat="1" ht="10.5" customHeight="1">
      <c r="A57" s="644" t="s">
        <v>3288</v>
      </c>
      <c r="B57" s="1628" t="s">
        <v>4439</v>
      </c>
      <c r="C57" s="1629"/>
      <c r="D57" s="1630"/>
      <c r="E57" s="1630"/>
      <c r="F57" s="1630"/>
      <c r="G57" s="1631">
        <v>3</v>
      </c>
      <c r="H57" s="1632">
        <v>3</v>
      </c>
      <c r="I57" s="1631">
        <v>3</v>
      </c>
      <c r="J57" s="1713">
        <v>3</v>
      </c>
      <c r="K57" s="1713">
        <v>3</v>
      </c>
      <c r="L57" s="1632">
        <v>3</v>
      </c>
      <c r="R57" s="644" t="s">
        <v>3288</v>
      </c>
      <c r="S57" s="1628" t="s">
        <v>4439</v>
      </c>
      <c r="T57" s="1628"/>
      <c r="U57" s="1751"/>
      <c r="V57" s="1751"/>
      <c r="W57" s="1751"/>
      <c r="X57" s="1666">
        <f>O405</f>
        <v>2</v>
      </c>
      <c r="Y57" s="1674">
        <f>O405</f>
        <v>2</v>
      </c>
      <c r="Z57" s="1666">
        <f>O405</f>
        <v>2</v>
      </c>
      <c r="AA57" s="1714">
        <f>O405</f>
        <v>2</v>
      </c>
      <c r="AB57" s="1714">
        <f t="shared" ref="AB57:AB61" si="1">O398</f>
        <v>0</v>
      </c>
      <c r="AC57" s="1715">
        <f>O405</f>
        <v>2</v>
      </c>
      <c r="AD57" s="1670">
        <f>P405</f>
        <v>2</v>
      </c>
      <c r="AE57" s="1674">
        <f>P405</f>
        <v>2</v>
      </c>
      <c r="AF57" s="1666">
        <f>P405</f>
        <v>2</v>
      </c>
      <c r="AG57" s="1714">
        <f>P405</f>
        <v>2</v>
      </c>
      <c r="AH57" s="1714">
        <f>P405</f>
        <v>2</v>
      </c>
      <c r="AI57" s="1674">
        <f>P405</f>
        <v>2</v>
      </c>
    </row>
    <row r="58" spans="1:46" s="115" customFormat="1" ht="10.5" customHeight="1">
      <c r="A58" s="644" t="s">
        <v>3289</v>
      </c>
      <c r="B58" s="1628" t="s">
        <v>4027</v>
      </c>
      <c r="C58" s="1629"/>
      <c r="D58" s="1630"/>
      <c r="E58" s="1630"/>
      <c r="F58" s="1630"/>
      <c r="G58" s="1631"/>
      <c r="H58" s="1632"/>
      <c r="I58" s="1631">
        <v>6</v>
      </c>
      <c r="J58" s="1713">
        <v>6</v>
      </c>
      <c r="K58" s="1713">
        <v>6</v>
      </c>
      <c r="L58" s="1632">
        <v>6</v>
      </c>
      <c r="M58" s="4610" t="s">
        <v>4035</v>
      </c>
      <c r="N58" s="4611"/>
      <c r="O58" s="4611"/>
      <c r="P58" s="4611"/>
      <c r="Q58" s="142"/>
      <c r="R58" s="644" t="s">
        <v>3289</v>
      </c>
      <c r="S58" s="1628" t="s">
        <v>4027</v>
      </c>
      <c r="T58" s="1628"/>
      <c r="U58" s="1751"/>
      <c r="V58" s="1751"/>
      <c r="W58" s="1751"/>
      <c r="X58" s="1631"/>
      <c r="Y58" s="1632"/>
      <c r="Z58" s="1666">
        <f>O418</f>
        <v>0</v>
      </c>
      <c r="AA58" s="1714">
        <f>O418</f>
        <v>0</v>
      </c>
      <c r="AB58" s="1714">
        <f t="shared" si="1"/>
        <v>10</v>
      </c>
      <c r="AC58" s="1715">
        <f>O418</f>
        <v>0</v>
      </c>
      <c r="AD58" s="1665"/>
      <c r="AE58" s="1632"/>
      <c r="AF58" s="1666">
        <f>P418</f>
        <v>0</v>
      </c>
      <c r="AG58" s="1714">
        <f>P418</f>
        <v>0</v>
      </c>
      <c r="AH58" s="1714">
        <f>P418</f>
        <v>0</v>
      </c>
      <c r="AI58" s="1674">
        <f>P418</f>
        <v>0</v>
      </c>
    </row>
    <row r="59" spans="1:46" s="115" customFormat="1" ht="10.5" customHeight="1">
      <c r="A59" s="644" t="s">
        <v>3290</v>
      </c>
      <c r="B59" s="1628" t="s">
        <v>4440</v>
      </c>
      <c r="C59" s="1629"/>
      <c r="D59" s="1630"/>
      <c r="E59" s="1630"/>
      <c r="F59" s="1630"/>
      <c r="G59" s="1631"/>
      <c r="H59" s="1632"/>
      <c r="I59" s="1631">
        <v>6</v>
      </c>
      <c r="J59" s="1713">
        <v>6</v>
      </c>
      <c r="K59" s="1713">
        <v>6</v>
      </c>
      <c r="L59" s="1632">
        <v>6</v>
      </c>
      <c r="M59" s="4742"/>
      <c r="N59" s="4743"/>
      <c r="O59" s="4743"/>
      <c r="P59" s="4743"/>
      <c r="Q59" s="142"/>
      <c r="R59" s="644" t="s">
        <v>3290</v>
      </c>
      <c r="S59" s="1628" t="s">
        <v>4440</v>
      </c>
      <c r="T59" s="1628"/>
      <c r="U59" s="1751"/>
      <c r="V59" s="1751"/>
      <c r="W59" s="1751"/>
      <c r="X59" s="1631"/>
      <c r="Y59" s="1632"/>
      <c r="Z59" s="1666">
        <f>O424</f>
        <v>0</v>
      </c>
      <c r="AA59" s="1714">
        <f>O424</f>
        <v>0</v>
      </c>
      <c r="AB59" s="1714">
        <f t="shared" si="1"/>
        <v>0</v>
      </c>
      <c r="AC59" s="1715">
        <f>O424</f>
        <v>0</v>
      </c>
      <c r="AD59" s="1665"/>
      <c r="AE59" s="1632"/>
      <c r="AF59" s="1666">
        <f>P424</f>
        <v>0</v>
      </c>
      <c r="AG59" s="1714">
        <f>P424</f>
        <v>0</v>
      </c>
      <c r="AH59" s="1714">
        <f>P424</f>
        <v>0</v>
      </c>
      <c r="AI59" s="1674">
        <f>P424</f>
        <v>0</v>
      </c>
    </row>
    <row r="60" spans="1:46" s="115" customFormat="1" ht="10.5" customHeight="1">
      <c r="A60" s="644" t="s">
        <v>3677</v>
      </c>
      <c r="B60" s="1628" t="s">
        <v>4441</v>
      </c>
      <c r="C60" s="1629"/>
      <c r="D60" s="1630"/>
      <c r="E60" s="1630"/>
      <c r="F60" s="1630"/>
      <c r="G60" s="1631"/>
      <c r="H60" s="1632"/>
      <c r="I60" s="1631">
        <v>4</v>
      </c>
      <c r="J60" s="1713">
        <v>4</v>
      </c>
      <c r="K60" s="1713">
        <v>4</v>
      </c>
      <c r="L60" s="1632">
        <v>4</v>
      </c>
      <c r="M60" s="4474" t="s">
        <v>4594</v>
      </c>
      <c r="N60" s="4475"/>
      <c r="O60" s="4475"/>
      <c r="P60" s="4476"/>
      <c r="R60" s="644" t="s">
        <v>3677</v>
      </c>
      <c r="S60" s="1628" t="s">
        <v>4441</v>
      </c>
      <c r="T60" s="1628"/>
      <c r="U60" s="1751"/>
      <c r="V60" s="1751"/>
      <c r="W60" s="1751"/>
      <c r="X60" s="1631"/>
      <c r="Y60" s="1632"/>
      <c r="Z60" s="1666">
        <f>O428</f>
        <v>0</v>
      </c>
      <c r="AA60" s="1714">
        <f>O428</f>
        <v>0</v>
      </c>
      <c r="AB60" s="1714">
        <f t="shared" si="1"/>
        <v>0</v>
      </c>
      <c r="AC60" s="1715">
        <f>O428</f>
        <v>0</v>
      </c>
      <c r="AD60" s="1665"/>
      <c r="AE60" s="1632"/>
      <c r="AF60" s="1666">
        <f>P428</f>
        <v>0</v>
      </c>
      <c r="AG60" s="1714">
        <f>P428</f>
        <v>0</v>
      </c>
      <c r="AH60" s="1714">
        <f>P428</f>
        <v>0</v>
      </c>
      <c r="AI60" s="1674">
        <f>P428</f>
        <v>0</v>
      </c>
    </row>
    <row r="61" spans="1:46" s="115" customFormat="1" ht="10.5" customHeight="1">
      <c r="A61" s="644" t="s">
        <v>4444</v>
      </c>
      <c r="B61" s="1633" t="s">
        <v>4442</v>
      </c>
      <c r="C61" s="1634"/>
      <c r="D61" s="1635"/>
      <c r="E61" s="1635"/>
      <c r="F61" s="1635"/>
      <c r="G61" s="1636"/>
      <c r="H61" s="1637"/>
      <c r="I61" s="1636">
        <v>6</v>
      </c>
      <c r="J61" s="1886">
        <v>4</v>
      </c>
      <c r="K61" s="1886">
        <v>6</v>
      </c>
      <c r="L61" s="1637">
        <v>4</v>
      </c>
      <c r="M61" s="4477"/>
      <c r="N61" s="4478"/>
      <c r="O61" s="4478"/>
      <c r="P61" s="4479"/>
      <c r="Q61" s="142"/>
      <c r="R61" s="644" t="s">
        <v>4444</v>
      </c>
      <c r="S61" s="1633" t="s">
        <v>4442</v>
      </c>
      <c r="T61" s="1633"/>
      <c r="U61" s="1752"/>
      <c r="V61" s="1752"/>
      <c r="W61" s="1752"/>
      <c r="X61" s="1636"/>
      <c r="Y61" s="1678"/>
      <c r="Z61" s="1754">
        <f>O434</f>
        <v>0</v>
      </c>
      <c r="AA61" s="1772">
        <f>O434</f>
        <v>0</v>
      </c>
      <c r="AB61" s="1772">
        <f t="shared" si="1"/>
        <v>0</v>
      </c>
      <c r="AC61" s="1773">
        <f>O434</f>
        <v>0</v>
      </c>
      <c r="AD61" s="1679"/>
      <c r="AE61" s="1678"/>
      <c r="AF61" s="1754">
        <f>P434</f>
        <v>0</v>
      </c>
      <c r="AG61" s="1772">
        <f>P434</f>
        <v>0</v>
      </c>
      <c r="AH61" s="1772">
        <f>P434</f>
        <v>0</v>
      </c>
      <c r="AI61" s="1678">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36" t="s">
        <v>4135</v>
      </c>
      <c r="E63" s="1409"/>
      <c r="F63" s="1409"/>
      <c r="G63" s="1887">
        <f t="shared" ref="G63:L63" si="2">SUM(G36:G61)</f>
        <v>114</v>
      </c>
      <c r="H63" s="1887">
        <f t="shared" si="2"/>
        <v>69</v>
      </c>
      <c r="I63" s="1887">
        <f t="shared" si="2"/>
        <v>55</v>
      </c>
      <c r="J63" s="1887">
        <f t="shared" si="2"/>
        <v>61</v>
      </c>
      <c r="K63" s="1887">
        <f t="shared" si="2"/>
        <v>63</v>
      </c>
      <c r="L63" s="1887">
        <f t="shared" si="2"/>
        <v>61</v>
      </c>
      <c r="M63" s="39"/>
      <c r="N63" s="47"/>
      <c r="O63" s="3"/>
      <c r="P63" s="119"/>
      <c r="R63" s="35"/>
      <c r="S63" s="35"/>
      <c r="T63" s="70"/>
      <c r="U63" s="70"/>
      <c r="V63" s="70"/>
      <c r="W63" s="70"/>
      <c r="X63" s="1677" t="e">
        <f>SUM(X35:X61)</f>
        <v>#REF!</v>
      </c>
      <c r="Y63" s="1677" t="e">
        <f t="shared" ref="Y63:AI63" si="3">SUM(Y35:Y61)</f>
        <v>#REF!</v>
      </c>
      <c r="Z63" s="1677">
        <f t="shared" si="3"/>
        <v>22</v>
      </c>
      <c r="AA63" s="1677">
        <f t="shared" si="3"/>
        <v>22</v>
      </c>
      <c r="AB63" s="1677">
        <f t="shared" si="3"/>
        <v>30</v>
      </c>
      <c r="AC63" s="1677">
        <f t="shared" si="3"/>
        <v>22</v>
      </c>
      <c r="AD63" s="1677" t="e">
        <f t="shared" si="3"/>
        <v>#REF!</v>
      </c>
      <c r="AE63" s="1677" t="e">
        <f t="shared" si="3"/>
        <v>#REF!</v>
      </c>
      <c r="AF63" s="1677">
        <f t="shared" si="3"/>
        <v>22</v>
      </c>
      <c r="AG63" s="1677">
        <f t="shared" si="3"/>
        <v>22</v>
      </c>
      <c r="AH63" s="1677">
        <f t="shared" si="3"/>
        <v>22</v>
      </c>
      <c r="AI63" s="1677">
        <f t="shared" si="3"/>
        <v>22</v>
      </c>
    </row>
    <row r="64" spans="1:46" s="35" customFormat="1" ht="13.5" customHeight="1" thickBot="1">
      <c r="A64" s="120" t="s">
        <v>690</v>
      </c>
      <c r="B64" s="83" t="s">
        <v>2488</v>
      </c>
      <c r="C64" s="4"/>
      <c r="D64" s="4"/>
      <c r="E64" s="4"/>
      <c r="F64" s="29"/>
      <c r="G64" s="29"/>
      <c r="H64" s="147" t="s">
        <v>3703</v>
      </c>
      <c r="M64" s="119">
        <v>10</v>
      </c>
      <c r="N64" s="84"/>
      <c r="O64" s="851">
        <v>10</v>
      </c>
      <c r="P64" s="851">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1835</v>
      </c>
      <c r="B66" s="141" t="s">
        <v>3679</v>
      </c>
      <c r="D66" s="41"/>
      <c r="E66" s="41"/>
      <c r="F66" s="874"/>
      <c r="N66" s="48" t="s">
        <v>1835</v>
      </c>
      <c r="P66" s="1512">
        <f>SUM(P67:P69)</f>
        <v>0</v>
      </c>
      <c r="Q66" s="29" t="s">
        <v>4133</v>
      </c>
    </row>
    <row r="67" spans="1:20" s="36" customFormat="1" ht="12.75" customHeight="1">
      <c r="A67" s="107"/>
      <c r="B67" s="1513" t="s">
        <v>1838</v>
      </c>
      <c r="C67" s="81" t="s">
        <v>3682</v>
      </c>
      <c r="D67" s="41"/>
      <c r="E67" s="41"/>
      <c r="F67" s="874"/>
      <c r="H67" s="147" t="s">
        <v>3088</v>
      </c>
      <c r="J67" s="42"/>
      <c r="N67" s="316" t="s">
        <v>1838</v>
      </c>
      <c r="P67" s="885">
        <f>F75</f>
        <v>0</v>
      </c>
    </row>
    <row r="68" spans="1:20" s="36" customFormat="1" ht="12.75" customHeight="1">
      <c r="A68" s="107"/>
      <c r="B68" s="1513" t="s">
        <v>1840</v>
      </c>
      <c r="C68" s="81" t="s">
        <v>4132</v>
      </c>
      <c r="D68" s="41"/>
      <c r="E68" s="41"/>
      <c r="F68" s="874"/>
      <c r="H68" s="147" t="s">
        <v>3680</v>
      </c>
      <c r="J68" s="42"/>
      <c r="N68" s="316" t="s">
        <v>1840</v>
      </c>
      <c r="P68" s="1113">
        <f>J75</f>
        <v>0</v>
      </c>
    </row>
    <row r="69" spans="1:20" s="36" customFormat="1" ht="12.75" customHeight="1">
      <c r="A69" s="107"/>
      <c r="B69" s="1513" t="s">
        <v>2325</v>
      </c>
      <c r="C69" s="81" t="s">
        <v>3681</v>
      </c>
      <c r="D69" s="41"/>
      <c r="E69" s="41"/>
      <c r="F69" s="874"/>
      <c r="H69" s="147" t="s">
        <v>3685</v>
      </c>
      <c r="J69" s="42"/>
      <c r="N69" s="316" t="s">
        <v>2325</v>
      </c>
      <c r="P69" s="1114"/>
    </row>
    <row r="70" spans="1:20" s="36" customFormat="1" ht="12.75" customHeight="1">
      <c r="C70" s="4526" t="s">
        <v>3769</v>
      </c>
      <c r="D70" s="4527"/>
      <c r="E70" s="4527"/>
      <c r="F70" s="4527"/>
      <c r="G70" s="4527"/>
      <c r="H70" s="4527"/>
      <c r="I70" s="4527"/>
      <c r="J70" s="4527"/>
      <c r="K70" s="4527"/>
      <c r="L70" s="4527"/>
      <c r="M70" s="4527"/>
      <c r="N70" s="4527"/>
      <c r="O70" s="4527"/>
      <c r="P70" s="4528"/>
      <c r="Q70" s="354"/>
      <c r="R70" s="354"/>
    </row>
    <row r="71" spans="1:20" s="36" customFormat="1" ht="3" customHeight="1">
      <c r="A71" s="455"/>
      <c r="B71" s="452"/>
      <c r="C71" s="453"/>
      <c r="D71" s="108"/>
      <c r="K71" s="673"/>
      <c r="L71" s="673"/>
      <c r="M71" s="457"/>
      <c r="N71" s="316"/>
      <c r="O71" s="676"/>
      <c r="P71" s="676"/>
    </row>
    <row r="72" spans="1:20" s="35" customFormat="1" ht="12.75" customHeight="1">
      <c r="A72" s="107" t="s">
        <v>1837</v>
      </c>
      <c r="B72" s="141" t="s">
        <v>678</v>
      </c>
      <c r="D72" s="41"/>
      <c r="E72" s="41"/>
      <c r="F72" s="874"/>
      <c r="H72" s="147" t="s">
        <v>2464</v>
      </c>
      <c r="J72" s="42"/>
      <c r="M72" s="5"/>
      <c r="N72" s="48" t="s">
        <v>1837</v>
      </c>
      <c r="P72" s="1116">
        <f>O75</f>
        <v>0</v>
      </c>
      <c r="Q72" s="29" t="s">
        <v>4133</v>
      </c>
    </row>
    <row r="73" spans="1:20" s="36" customFormat="1" ht="3" customHeight="1">
      <c r="A73" s="455"/>
      <c r="B73" s="452"/>
      <c r="C73" s="453"/>
      <c r="D73" s="108"/>
      <c r="K73" s="673"/>
      <c r="L73" s="673"/>
      <c r="M73" s="457"/>
      <c r="N73" s="316"/>
      <c r="O73" s="676"/>
      <c r="P73" s="676"/>
    </row>
    <row r="74" spans="1:20" s="35" customFormat="1" ht="12.75" customHeight="1">
      <c r="A74" s="4440" t="s">
        <v>3970</v>
      </c>
      <c r="B74" s="4440"/>
      <c r="C74" s="4440"/>
      <c r="D74" s="4440"/>
      <c r="E74" s="4440"/>
      <c r="F74" s="1112" t="s">
        <v>3300</v>
      </c>
      <c r="G74" s="4597" t="s">
        <v>3972</v>
      </c>
      <c r="H74" s="4597"/>
      <c r="I74" s="4597"/>
      <c r="J74" s="1112" t="s">
        <v>3300</v>
      </c>
      <c r="K74" s="4601" t="s">
        <v>3971</v>
      </c>
      <c r="L74" s="4601"/>
      <c r="M74" s="4601"/>
      <c r="N74" s="4601"/>
      <c r="O74" s="4595" t="s">
        <v>3300</v>
      </c>
      <c r="P74" s="4596"/>
      <c r="R74" s="355"/>
      <c r="S74" s="125"/>
    </row>
    <row r="75" spans="1:20" s="35" customFormat="1" ht="12.75" customHeight="1">
      <c r="A75" s="4594"/>
      <c r="B75" s="4594"/>
      <c r="C75" s="4594"/>
      <c r="D75" s="4594"/>
      <c r="E75" s="4594"/>
      <c r="F75" s="57">
        <f>SUM(F76:F87)</f>
        <v>0</v>
      </c>
      <c r="G75" s="4598"/>
      <c r="H75" s="4599"/>
      <c r="I75" s="4600"/>
      <c r="J75" s="57">
        <f>SUM(J76:J87)</f>
        <v>0</v>
      </c>
      <c r="K75" s="4602"/>
      <c r="L75" s="4603"/>
      <c r="M75" s="4603"/>
      <c r="N75" s="4604"/>
      <c r="O75" s="4585">
        <f>SUM(O76:O87)</f>
        <v>0</v>
      </c>
      <c r="P75" s="4586"/>
      <c r="Q75" s="355"/>
      <c r="R75" s="125"/>
    </row>
    <row r="76" spans="1:20" s="35" customFormat="1" ht="24.75" customHeight="1">
      <c r="A76" s="4587">
        <v>1</v>
      </c>
      <c r="B76" s="4588"/>
      <c r="C76" s="4588"/>
      <c r="D76" s="4588"/>
      <c r="E76" s="4589"/>
      <c r="F76" s="664"/>
      <c r="G76" s="4587">
        <v>1</v>
      </c>
      <c r="H76" s="4588"/>
      <c r="I76" s="4589"/>
      <c r="J76" s="667" t="s">
        <v>1607</v>
      </c>
      <c r="K76" s="4590">
        <v>1</v>
      </c>
      <c r="L76" s="4591"/>
      <c r="M76" s="4591"/>
      <c r="N76" s="4591"/>
      <c r="O76" s="4592" t="s">
        <v>1607</v>
      </c>
      <c r="P76" s="4593"/>
      <c r="Q76" s="353" t="s">
        <v>1179</v>
      </c>
      <c r="R76" s="125"/>
    </row>
    <row r="77" spans="1:20" s="35" customFormat="1" ht="24.75" customHeight="1">
      <c r="A77" s="4485">
        <v>2</v>
      </c>
      <c r="B77" s="4486"/>
      <c r="C77" s="4486"/>
      <c r="D77" s="4486"/>
      <c r="E77" s="4487"/>
      <c r="F77" s="665"/>
      <c r="G77" s="4485">
        <v>2</v>
      </c>
      <c r="H77" s="4486"/>
      <c r="I77" s="4487"/>
      <c r="J77" s="665"/>
      <c r="K77" s="4519">
        <v>2</v>
      </c>
      <c r="L77" s="4520"/>
      <c r="M77" s="4520"/>
      <c r="N77" s="4520"/>
      <c r="O77" s="4480"/>
      <c r="P77" s="4481"/>
      <c r="Q77" s="354"/>
      <c r="R77" s="125"/>
    </row>
    <row r="78" spans="1:20" s="35" customFormat="1" ht="24.75" customHeight="1">
      <c r="A78" s="4485">
        <v>3</v>
      </c>
      <c r="B78" s="4486"/>
      <c r="C78" s="4486"/>
      <c r="D78" s="4486"/>
      <c r="E78" s="4487"/>
      <c r="F78" s="665"/>
      <c r="G78" s="4485">
        <v>3</v>
      </c>
      <c r="H78" s="4486"/>
      <c r="I78" s="4487"/>
      <c r="J78" s="917" t="s">
        <v>2568</v>
      </c>
      <c r="K78" s="4519">
        <v>3</v>
      </c>
      <c r="L78" s="4520"/>
      <c r="M78" s="4520"/>
      <c r="N78" s="4520"/>
      <c r="O78" s="4705" t="s">
        <v>2568</v>
      </c>
      <c r="P78" s="4706"/>
      <c r="Q78" s="4748" t="s">
        <v>3683</v>
      </c>
      <c r="R78" s="4749"/>
      <c r="S78" s="1115"/>
      <c r="T78" s="1115"/>
    </row>
    <row r="79" spans="1:20" s="35" customFormat="1" ht="24.75" customHeight="1">
      <c r="A79" s="4485">
        <v>4</v>
      </c>
      <c r="B79" s="4486"/>
      <c r="C79" s="4486"/>
      <c r="D79" s="4486"/>
      <c r="E79" s="4487"/>
      <c r="F79" s="665"/>
      <c r="G79" s="4485">
        <v>4</v>
      </c>
      <c r="H79" s="4486"/>
      <c r="I79" s="4487"/>
      <c r="J79" s="665"/>
      <c r="K79" s="4519">
        <v>4</v>
      </c>
      <c r="L79" s="4520"/>
      <c r="M79" s="4520"/>
      <c r="N79" s="4520"/>
      <c r="O79" s="4705" t="s">
        <v>2568</v>
      </c>
      <c r="P79" s="4706"/>
      <c r="Q79" s="4748"/>
      <c r="R79" s="4749"/>
      <c r="S79" s="1115"/>
      <c r="T79" s="1115"/>
    </row>
    <row r="80" spans="1:20" s="35" customFormat="1" ht="24.75" customHeight="1">
      <c r="A80" s="4485">
        <v>5</v>
      </c>
      <c r="B80" s="4486"/>
      <c r="C80" s="4486"/>
      <c r="D80" s="4486"/>
      <c r="E80" s="4487"/>
      <c r="F80" s="665"/>
      <c r="G80" s="4485">
        <v>5</v>
      </c>
      <c r="H80" s="4486"/>
      <c r="I80" s="4487"/>
      <c r="J80" s="917" t="s">
        <v>3058</v>
      </c>
      <c r="K80" s="4519">
        <v>5</v>
      </c>
      <c r="L80" s="4520"/>
      <c r="M80" s="4520"/>
      <c r="N80" s="4520"/>
      <c r="O80" s="4480"/>
      <c r="P80" s="4481"/>
      <c r="Q80" s="4748"/>
      <c r="R80" s="4749"/>
      <c r="S80" s="1115"/>
      <c r="T80" s="1115"/>
    </row>
    <row r="81" spans="1:19" s="35" customFormat="1" ht="24" customHeight="1">
      <c r="A81" s="4485">
        <v>6</v>
      </c>
      <c r="B81" s="4486"/>
      <c r="C81" s="4486"/>
      <c r="D81" s="4486"/>
      <c r="E81" s="4487"/>
      <c r="F81" s="665"/>
      <c r="G81" s="4485">
        <v>6</v>
      </c>
      <c r="H81" s="4486"/>
      <c r="I81" s="4487"/>
      <c r="J81" s="665"/>
      <c r="K81" s="4519">
        <v>6</v>
      </c>
      <c r="L81" s="4520"/>
      <c r="M81" s="4520"/>
      <c r="N81" s="4520"/>
      <c r="O81" s="4480"/>
      <c r="P81" s="4481"/>
      <c r="Q81" s="4748"/>
      <c r="R81" s="4749"/>
    </row>
    <row r="82" spans="1:19" s="35" customFormat="1" ht="24.75" customHeight="1">
      <c r="A82" s="4485">
        <v>7</v>
      </c>
      <c r="B82" s="4486"/>
      <c r="C82" s="4486"/>
      <c r="D82" s="4486"/>
      <c r="E82" s="4487"/>
      <c r="F82" s="665"/>
      <c r="G82" s="4485">
        <v>7</v>
      </c>
      <c r="H82" s="4486"/>
      <c r="I82" s="4487"/>
      <c r="J82" s="917" t="s">
        <v>3059</v>
      </c>
      <c r="K82" s="4519">
        <v>7</v>
      </c>
      <c r="L82" s="4520"/>
      <c r="M82" s="4520"/>
      <c r="N82" s="4520"/>
      <c r="O82" s="4480"/>
      <c r="P82" s="4481"/>
      <c r="Q82" s="125"/>
      <c r="R82" s="125"/>
    </row>
    <row r="83" spans="1:19" s="35" customFormat="1" ht="24.75" customHeight="1">
      <c r="A83" s="4485">
        <v>8</v>
      </c>
      <c r="B83" s="4486"/>
      <c r="C83" s="4486"/>
      <c r="D83" s="4486"/>
      <c r="E83" s="4487"/>
      <c r="F83" s="665"/>
      <c r="G83" s="4485">
        <v>8</v>
      </c>
      <c r="H83" s="4486"/>
      <c r="I83" s="4487"/>
      <c r="J83" s="665"/>
      <c r="K83" s="4519">
        <v>8</v>
      </c>
      <c r="L83" s="4520"/>
      <c r="M83" s="4520"/>
      <c r="N83" s="4520"/>
      <c r="O83" s="4480"/>
      <c r="P83" s="4481"/>
      <c r="Q83" s="125"/>
      <c r="R83" s="125"/>
    </row>
    <row r="84" spans="1:19" s="35" customFormat="1" ht="24.75" customHeight="1">
      <c r="A84" s="4485">
        <v>9</v>
      </c>
      <c r="B84" s="4486"/>
      <c r="C84" s="4486"/>
      <c r="D84" s="4486"/>
      <c r="E84" s="4487"/>
      <c r="F84" s="665"/>
      <c r="G84" s="4485">
        <v>9</v>
      </c>
      <c r="H84" s="4486"/>
      <c r="I84" s="4487"/>
      <c r="J84" s="917" t="s">
        <v>3060</v>
      </c>
      <c r="K84" s="4519">
        <v>9</v>
      </c>
      <c r="L84" s="4520"/>
      <c r="M84" s="4520"/>
      <c r="N84" s="4520"/>
      <c r="O84" s="4480"/>
      <c r="P84" s="4481"/>
      <c r="Q84" s="125"/>
      <c r="R84" s="125"/>
    </row>
    <row r="85" spans="1:19" s="35" customFormat="1" ht="24.75" customHeight="1">
      <c r="A85" s="4485">
        <v>10</v>
      </c>
      <c r="B85" s="4486"/>
      <c r="C85" s="4486"/>
      <c r="D85" s="4486"/>
      <c r="E85" s="4487"/>
      <c r="F85" s="665"/>
      <c r="G85" s="4485">
        <v>10</v>
      </c>
      <c r="H85" s="4486"/>
      <c r="I85" s="4487"/>
      <c r="J85" s="665"/>
      <c r="K85" s="4519">
        <v>10</v>
      </c>
      <c r="L85" s="4520"/>
      <c r="M85" s="4520"/>
      <c r="N85" s="4520"/>
      <c r="O85" s="4480"/>
      <c r="P85" s="4481"/>
      <c r="Q85" s="125"/>
    </row>
    <row r="86" spans="1:19" s="35" customFormat="1" ht="24.75" customHeight="1">
      <c r="A86" s="4485">
        <v>11</v>
      </c>
      <c r="B86" s="4486"/>
      <c r="C86" s="4486"/>
      <c r="D86" s="4486"/>
      <c r="E86" s="4487"/>
      <c r="F86" s="665"/>
      <c r="G86" s="4485">
        <v>11</v>
      </c>
      <c r="H86" s="4486"/>
      <c r="I86" s="4487"/>
      <c r="J86" s="917" t="s">
        <v>3061</v>
      </c>
      <c r="K86" s="4485">
        <v>11</v>
      </c>
      <c r="L86" s="4486"/>
      <c r="M86" s="4486"/>
      <c r="N86" s="4487"/>
      <c r="O86" s="4480"/>
      <c r="P86" s="4481"/>
      <c r="Q86" s="125"/>
      <c r="R86" s="125"/>
    </row>
    <row r="87" spans="1:19" s="35" customFormat="1" ht="24.75" customHeight="1">
      <c r="A87" s="4505">
        <v>12</v>
      </c>
      <c r="B87" s="4506"/>
      <c r="C87" s="4506"/>
      <c r="D87" s="4506"/>
      <c r="E87" s="4507"/>
      <c r="F87" s="666"/>
      <c r="G87" s="4505">
        <v>12</v>
      </c>
      <c r="H87" s="4506"/>
      <c r="I87" s="4507"/>
      <c r="J87" s="666"/>
      <c r="K87" s="4505">
        <v>12</v>
      </c>
      <c r="L87" s="4506"/>
      <c r="M87" s="4506"/>
      <c r="N87" s="4507"/>
      <c r="O87" s="4508"/>
      <c r="P87" s="4509"/>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3062</v>
      </c>
      <c r="E89" s="32"/>
      <c r="G89" s="66"/>
      <c r="I89" s="1451" t="s">
        <v>3797</v>
      </c>
      <c r="J89" s="1514" t="e">
        <f>IF(OR($M$34="9% Credit Competitive Round only", $M$34="9% Credit &amp; HOME"),"9%",IF(OR($M$34="4% Credit/TE Bond", $M$34="4% Credit/TE Bond &amp; HOME", $M$34="4% Credit/TE Bond &amp; HOME NOFA", $M$34="4% Credit &amp; NHTF", $M$34="4% Credit &amp; NHTF &amp; HOME"),"4%",""))</f>
        <v>#REF!</v>
      </c>
      <c r="K89" s="1454" t="s">
        <v>362</v>
      </c>
      <c r="L89" s="1453" t="str">
        <f>$M$55</f>
        <v>&lt;&lt; Select Activity Type &gt;&gt;</v>
      </c>
      <c r="M89" s="119">
        <v>3</v>
      </c>
      <c r="N89" s="5"/>
      <c r="O89" s="851" t="e">
        <f>IF(AND(O93&gt;0,O97&gt;0),"AorB?",MIN($M$89,O93+O97))</f>
        <v>#REF!</v>
      </c>
      <c r="P89" s="851" t="e">
        <f>IF(AND(P93&gt;0,P97&gt;0),"AorB?",MIN($M$89,P93+P97))</f>
        <v>#REF!</v>
      </c>
      <c r="Q89" s="86" t="s">
        <v>415</v>
      </c>
      <c r="S89" s="408"/>
    </row>
    <row r="90" spans="1:19" s="36" customFormat="1" ht="2.25" customHeight="1">
      <c r="A90" s="350"/>
      <c r="B90" s="88"/>
      <c r="E90" s="32"/>
      <c r="F90" s="36" t="s">
        <v>3692</v>
      </c>
      <c r="G90" s="67"/>
      <c r="H90" s="29"/>
      <c r="I90" s="38"/>
      <c r="K90" s="404"/>
      <c r="L90" s="668"/>
      <c r="M90" s="119"/>
      <c r="N90" s="5"/>
      <c r="O90" s="3"/>
      <c r="P90" s="3"/>
      <c r="Q90" s="86"/>
      <c r="R90" s="307"/>
    </row>
    <row r="91" spans="1:19" s="36" customFormat="1" ht="13.5" customHeight="1">
      <c r="A91" s="107" t="s">
        <v>1835</v>
      </c>
      <c r="B91" s="153" t="s">
        <v>4036</v>
      </c>
      <c r="E91" s="32"/>
      <c r="G91" s="67"/>
      <c r="H91" s="44" t="s">
        <v>4533</v>
      </c>
      <c r="I91" s="1171" t="e">
        <f>#REF!</f>
        <v>#REF!</v>
      </c>
      <c r="M91" s="119"/>
      <c r="N91" s="5"/>
      <c r="P91" s="1832" t="e">
        <f>IF(AND(O89&gt;0,NOT($M$55="New Supply")), "Ineligible to score in this section, not New Supply!","")</f>
        <v>#REF!</v>
      </c>
      <c r="Q91" s="5"/>
      <c r="R91" s="307"/>
    </row>
    <row r="92" spans="1:19" s="70" customFormat="1" ht="9" customHeight="1">
      <c r="A92" s="107"/>
      <c r="B92" s="4739" t="s">
        <v>3686</v>
      </c>
      <c r="C92" s="4739"/>
      <c r="D92" s="4739"/>
      <c r="E92" s="4739"/>
      <c r="F92" s="4739"/>
      <c r="G92" s="4739"/>
      <c r="H92" s="4739"/>
      <c r="I92" s="4739"/>
      <c r="J92" s="4739"/>
      <c r="K92" s="4739"/>
      <c r="L92" s="4739"/>
      <c r="M92" s="119"/>
      <c r="N92" s="5"/>
      <c r="Q92" s="5"/>
      <c r="R92" s="307"/>
    </row>
    <row r="93" spans="1:19" s="70" customFormat="1" ht="13.5" customHeight="1">
      <c r="B93" s="4739"/>
      <c r="C93" s="4739"/>
      <c r="D93" s="4739"/>
      <c r="E93" s="4739"/>
      <c r="F93" s="4739"/>
      <c r="G93" s="4739"/>
      <c r="H93" s="4739"/>
      <c r="I93" s="4739"/>
      <c r="J93" s="4739"/>
      <c r="K93" s="4739"/>
      <c r="L93" s="4739"/>
      <c r="M93" s="671">
        <v>2</v>
      </c>
      <c r="N93" s="316" t="s">
        <v>1835</v>
      </c>
      <c r="O93" s="677" t="e">
        <f>IF(AND(OR($J$89="9%",$J$89="4%"),$L$89="New Supply"),MIN($M93,O94+O95),0)</f>
        <v>#REF!</v>
      </c>
      <c r="P93" s="677" t="e">
        <f>IF(NOT($J$89="9%"),0,MIN($M93, P94+P95))</f>
        <v>#REF!</v>
      </c>
    </row>
    <row r="94" spans="1:19" s="70" customFormat="1" ht="13.5" customHeight="1">
      <c r="A94" s="107"/>
      <c r="B94" s="1129" t="s">
        <v>1838</v>
      </c>
      <c r="C94" s="1119" t="s">
        <v>3687</v>
      </c>
      <c r="D94" s="29"/>
      <c r="H94" s="29" t="s">
        <v>3688</v>
      </c>
      <c r="I94" s="1118"/>
      <c r="J94" s="1173" t="e">
        <f>#REF!</f>
        <v>#REF!</v>
      </c>
      <c r="L94" s="4688" t="str">
        <f>IF(AND(O94&gt;0,O95&gt;0), "CHOOSE EITHER A OR B, NOT BOTH!", "")</f>
        <v/>
      </c>
      <c r="M94" s="457">
        <v>2</v>
      </c>
      <c r="N94" s="150" t="s">
        <v>1838</v>
      </c>
      <c r="O94" s="405"/>
      <c r="P94" s="413"/>
      <c r="Q94" s="1147" t="str">
        <f>IF(OR($O94=$M94,$O94=0,$O94=""),"","*CHECK!*")</f>
        <v/>
      </c>
      <c r="R94" s="778" t="s">
        <v>3924</v>
      </c>
    </row>
    <row r="95" spans="1:19" s="70" customFormat="1" ht="13.5" customHeight="1">
      <c r="A95" s="395" t="s">
        <v>2916</v>
      </c>
      <c r="B95" s="1129" t="s">
        <v>1840</v>
      </c>
      <c r="C95" s="1119" t="s">
        <v>3689</v>
      </c>
      <c r="D95" s="29"/>
      <c r="I95" s="1118"/>
      <c r="K95" s="29"/>
      <c r="L95" s="4688"/>
      <c r="M95" s="457">
        <v>2</v>
      </c>
      <c r="N95" s="150" t="s">
        <v>1840</v>
      </c>
      <c r="O95" s="406"/>
      <c r="P95" s="414"/>
      <c r="Q95" s="1147" t="str">
        <f>IF(OR($O95=$M95,$O95=0,$O95=""),"","*CHECK!*")</f>
        <v/>
      </c>
      <c r="R95" s="778" t="s">
        <v>3924</v>
      </c>
    </row>
    <row r="96" spans="1:19" s="36" customFormat="1" ht="6.75" customHeight="1">
      <c r="A96" s="455"/>
      <c r="B96" s="452"/>
      <c r="C96" s="453"/>
      <c r="D96" s="108"/>
      <c r="K96" s="673"/>
      <c r="L96" s="673"/>
      <c r="M96" s="457"/>
      <c r="N96" s="316"/>
      <c r="O96" s="676"/>
      <c r="P96" s="676"/>
    </row>
    <row r="97" spans="1:18" s="36" customFormat="1" ht="13.5" customHeight="1">
      <c r="A97" s="107" t="s">
        <v>1837</v>
      </c>
      <c r="B97" s="153" t="s">
        <v>3089</v>
      </c>
      <c r="E97" s="79"/>
      <c r="H97" s="4490" t="s">
        <v>3690</v>
      </c>
      <c r="I97" s="4491"/>
      <c r="J97" s="1122" t="s">
        <v>3691</v>
      </c>
      <c r="M97" s="671">
        <v>3</v>
      </c>
      <c r="N97" s="128" t="s">
        <v>1837</v>
      </c>
      <c r="O97" s="677" t="e">
        <f>IF(AND(O98="Yes", O99="Yes"),$M$97,0)</f>
        <v>#REF!</v>
      </c>
      <c r="P97" s="677" t="e">
        <f>IF(AND(P98="Yes", P99="Yes"),$M$97,0)</f>
        <v>#REF!</v>
      </c>
    </row>
    <row r="98" spans="1:18" s="36" customFormat="1" ht="13.5" customHeight="1">
      <c r="A98" s="345"/>
      <c r="B98" s="1129" t="s">
        <v>1838</v>
      </c>
      <c r="C98" s="1120">
        <v>0.3</v>
      </c>
      <c r="D98" s="735" t="s">
        <v>3090</v>
      </c>
      <c r="E98" s="79"/>
      <c r="F98" s="369"/>
      <c r="H98" s="923"/>
      <c r="I98" s="924"/>
      <c r="J98" s="1121" t="e">
        <f>#REF!</f>
        <v>#REF!</v>
      </c>
      <c r="K98" s="1774" t="e">
        <f>IF(OR(#REF!="",#REF!= 0),0,H98/#REF!)</f>
        <v>#REF!</v>
      </c>
      <c r="L98" s="1775" t="e">
        <f>IF(OR(#REF!="",#REF!= 0),0,I98/#REF!)</f>
        <v>#REF!</v>
      </c>
      <c r="M98" s="457"/>
      <c r="N98" s="316" t="s">
        <v>1838</v>
      </c>
      <c r="O98" s="674" t="e">
        <f>IF(AND(K98 &gt;= $C$98,O99="Yes"),"Yes","No")</f>
        <v>#REF!</v>
      </c>
      <c r="P98" s="674" t="e">
        <f>IF(AND(L98 &gt;= $C$98,P99="Yes"),"Yes","No")</f>
        <v>#REF!</v>
      </c>
    </row>
    <row r="99" spans="1:18" s="36" customFormat="1" ht="13.5" customHeight="1">
      <c r="A99" s="455"/>
      <c r="B99" s="1129" t="s">
        <v>1840</v>
      </c>
      <c r="C99" s="379" t="s">
        <v>3234</v>
      </c>
      <c r="E99" s="705"/>
      <c r="F99" s="369"/>
      <c r="I99" s="30"/>
      <c r="J99" s="30"/>
      <c r="K99" s="30"/>
      <c r="L99" s="30"/>
      <c r="M99" s="30"/>
      <c r="N99" s="316" t="s">
        <v>1840</v>
      </c>
      <c r="O99" s="176"/>
      <c r="P99" s="420"/>
    </row>
    <row r="100" spans="1:18" s="36" customFormat="1" ht="10.5" customHeight="1">
      <c r="A100" s="35"/>
      <c r="B100" s="76" t="s">
        <v>1724</v>
      </c>
      <c r="D100" s="65"/>
      <c r="E100" s="870"/>
      <c r="F100" s="870"/>
      <c r="G100" s="870"/>
      <c r="H100" s="870"/>
      <c r="I100" s="870"/>
      <c r="J100" s="870"/>
      <c r="K100" s="870"/>
      <c r="L100" s="870"/>
      <c r="M100" s="870"/>
      <c r="N100" s="55"/>
      <c r="O100" s="52"/>
      <c r="P100" s="119"/>
    </row>
    <row r="101" spans="1:18" s="36" customFormat="1" ht="22.5" customHeight="1">
      <c r="A101" s="4238"/>
      <c r="B101" s="4239"/>
      <c r="C101" s="4239"/>
      <c r="D101" s="4239"/>
      <c r="E101" s="4239"/>
      <c r="F101" s="4239"/>
      <c r="G101" s="4239"/>
      <c r="H101" s="4239"/>
      <c r="I101" s="4239"/>
      <c r="J101" s="4239"/>
      <c r="K101" s="4239"/>
      <c r="L101" s="4239"/>
      <c r="M101" s="4239"/>
      <c r="N101" s="4239"/>
      <c r="O101" s="4239"/>
      <c r="P101" s="4240"/>
      <c r="Q101" s="353"/>
    </row>
    <row r="102" spans="1:18" ht="7.5" customHeight="1" thickBot="1"/>
    <row r="103" spans="1:18" s="36" customFormat="1" ht="13.5" customHeight="1" thickBot="1">
      <c r="A103" s="120" t="s">
        <v>1663</v>
      </c>
      <c r="B103" s="83" t="s">
        <v>3277</v>
      </c>
      <c r="D103" s="34"/>
      <c r="K103" s="1454" t="s">
        <v>362</v>
      </c>
      <c r="L103" s="1453" t="str">
        <f>M55</f>
        <v>&lt;&lt; Select Activity Type &gt;&gt;</v>
      </c>
      <c r="M103" s="119" t="e">
        <f>IF(AND($P$37="4%",$M$55="New Supply"),$H$38,IF(AND($P$37="4%",$M$55="Preservation"),$I$38,$G$38))</f>
        <v>#REF!</v>
      </c>
      <c r="N103" s="48"/>
      <c r="O103" s="851">
        <f>IF(OR($M106-O107&lt;0,O106-O107&lt;0),0,IF(O106&lt;=$M106,O106-O107,IF(O106&gt;$M106,$M106-O107,0)))</f>
        <v>0</v>
      </c>
      <c r="P103" s="851">
        <f>IF(OR($M106-P107&lt;0,P106-P107&lt;0),0,IF(P106&lt;=$M106,P106-P107,IF(P106&gt;$M106,$M106-P107,0)))</f>
        <v>0</v>
      </c>
      <c r="Q103" s="86" t="s">
        <v>415</v>
      </c>
    </row>
    <row r="104" spans="1:18" s="36" customFormat="1" ht="14.4">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3199</v>
      </c>
      <c r="D105" s="26"/>
      <c r="N105" s="48"/>
      <c r="O105" s="702"/>
      <c r="P105" s="1656"/>
    </row>
    <row r="106" spans="1:18" s="70" customFormat="1" ht="12.75" customHeight="1">
      <c r="A106" s="107" t="s">
        <v>1835</v>
      </c>
      <c r="B106" s="141" t="s">
        <v>1731</v>
      </c>
      <c r="C106" s="4"/>
      <c r="D106" s="4"/>
      <c r="F106" s="243"/>
      <c r="H106" s="644" t="s">
        <v>2460</v>
      </c>
      <c r="I106" s="4510" t="s">
        <v>3911</v>
      </c>
      <c r="J106" s="4511"/>
      <c r="K106" s="4511"/>
      <c r="L106" s="4512"/>
      <c r="M106" s="457">
        <v>20</v>
      </c>
      <c r="N106" s="150" t="s">
        <v>1835</v>
      </c>
      <c r="O106" s="1657"/>
      <c r="P106" s="1658"/>
      <c r="Q106" s="1147"/>
      <c r="R106" s="778" t="s">
        <v>3924</v>
      </c>
    </row>
    <row r="107" spans="1:18" s="70" customFormat="1" ht="12.75" customHeight="1">
      <c r="A107" s="107" t="s">
        <v>1837</v>
      </c>
      <c r="B107" s="141" t="s">
        <v>3193</v>
      </c>
      <c r="D107" s="863"/>
      <c r="F107" s="1172"/>
      <c r="H107" s="644" t="s">
        <v>3247</v>
      </c>
      <c r="I107" s="4513"/>
      <c r="J107" s="4514"/>
      <c r="K107" s="4514"/>
      <c r="L107" s="4515"/>
      <c r="M107" s="874" t="s">
        <v>1163</v>
      </c>
      <c r="N107" s="48" t="s">
        <v>1837</v>
      </c>
      <c r="O107" s="1659"/>
      <c r="P107" s="1660"/>
      <c r="R107" s="778" t="s">
        <v>3924</v>
      </c>
    </row>
    <row r="108" spans="1:18" s="36" customFormat="1" ht="12.75" customHeight="1" thickBot="1">
      <c r="A108" s="35"/>
      <c r="B108" s="920" t="s">
        <v>3155</v>
      </c>
      <c r="C108" s="35"/>
      <c r="D108" s="41"/>
      <c r="E108" s="41"/>
      <c r="F108" s="41"/>
      <c r="G108" s="41"/>
      <c r="H108" s="29"/>
      <c r="I108" s="4516"/>
      <c r="J108" s="4517"/>
      <c r="K108" s="4517"/>
      <c r="L108" s="4518"/>
      <c r="M108" s="39"/>
      <c r="N108" s="47"/>
      <c r="O108" s="3"/>
      <c r="P108" s="24"/>
    </row>
    <row r="109" spans="1:18" s="36" customFormat="1" ht="90" customHeight="1" thickTop="1" thickBot="1">
      <c r="A109" s="4467"/>
      <c r="B109" s="4468"/>
      <c r="C109" s="4468"/>
      <c r="D109" s="4468"/>
      <c r="E109" s="4468"/>
      <c r="F109" s="4468"/>
      <c r="G109" s="4468"/>
      <c r="H109" s="4468"/>
      <c r="I109" s="4468"/>
      <c r="J109" s="4468"/>
      <c r="K109" s="4468"/>
      <c r="L109" s="4468"/>
      <c r="M109" s="4468"/>
      <c r="N109" s="4468"/>
      <c r="O109" s="4468"/>
      <c r="P109" s="4469"/>
      <c r="Q109" s="354" t="s">
        <v>1179</v>
      </c>
      <c r="R109" s="354"/>
    </row>
    <row r="110" spans="1:18" s="36" customFormat="1" ht="11.7" customHeight="1" thickTop="1">
      <c r="A110" s="35"/>
      <c r="B110" s="42" t="s">
        <v>1724</v>
      </c>
      <c r="C110" s="35"/>
      <c r="D110" s="105"/>
      <c r="E110" s="870"/>
      <c r="F110" s="870"/>
      <c r="G110" s="870"/>
      <c r="H110" s="870"/>
      <c r="I110" s="870"/>
      <c r="J110" s="870"/>
      <c r="K110" s="870"/>
      <c r="L110" s="870"/>
      <c r="M110" s="870"/>
      <c r="N110" s="55"/>
      <c r="O110" s="52"/>
      <c r="P110" s="119"/>
    </row>
    <row r="111" spans="1:18" s="36" customFormat="1" ht="90" customHeight="1">
      <c r="A111" s="4238"/>
      <c r="B111" s="4239"/>
      <c r="C111" s="4239"/>
      <c r="D111" s="4239"/>
      <c r="E111" s="4239"/>
      <c r="F111" s="4239"/>
      <c r="G111" s="4239"/>
      <c r="H111" s="4239"/>
      <c r="I111" s="4239"/>
      <c r="J111" s="4239"/>
      <c r="K111" s="4239"/>
      <c r="L111" s="4239"/>
      <c r="M111" s="4239"/>
      <c r="N111" s="4239"/>
      <c r="O111" s="4239"/>
      <c r="P111" s="4240"/>
      <c r="Q111" s="353"/>
      <c r="R111" s="354"/>
    </row>
    <row r="112" spans="1:18" ht="7.5" customHeight="1" thickBot="1">
      <c r="M112" s="26"/>
      <c r="N112" s="39"/>
      <c r="O112" s="119"/>
      <c r="P112" s="119"/>
    </row>
    <row r="113" spans="1:21" s="36" customFormat="1" ht="13.5" customHeight="1" thickBot="1">
      <c r="A113" s="120" t="s">
        <v>495</v>
      </c>
      <c r="B113" s="83" t="s">
        <v>2406</v>
      </c>
      <c r="D113" s="34"/>
      <c r="H113" s="1452" t="s">
        <v>4039</v>
      </c>
      <c r="I113" s="1525" t="s">
        <v>4035</v>
      </c>
      <c r="J113" s="1453" t="str">
        <f>M60</f>
        <v>&lt;&lt; Select Pool &gt;&gt;</v>
      </c>
      <c r="K113" s="1454" t="s">
        <v>362</v>
      </c>
      <c r="L113" s="1453" t="str">
        <f>M55</f>
        <v>&lt;&lt; Select Activity Type &gt;&gt;</v>
      </c>
      <c r="M113" s="119">
        <v>6</v>
      </c>
      <c r="N113" s="48"/>
      <c r="O113" s="1517">
        <f>MAX(O131,O138)</f>
        <v>0</v>
      </c>
      <c r="P113" s="1517">
        <f>MAX(P131,P138)</f>
        <v>0</v>
      </c>
      <c r="Q113" s="86" t="s">
        <v>415</v>
      </c>
      <c r="R113" s="862"/>
      <c r="S113" s="862"/>
      <c r="T113" s="862"/>
      <c r="U113" s="862"/>
    </row>
    <row r="114" spans="1:21" s="36" customFormat="1" ht="17.25" customHeight="1">
      <c r="A114" s="120"/>
      <c r="B114" s="81" t="s">
        <v>3235</v>
      </c>
      <c r="D114" s="34"/>
      <c r="H114" s="141"/>
      <c r="L114" s="1819" t="str">
        <f>IF(AND(O113&gt;0,NOT($M$55="New Supply")), "Ineligible to score in this section, not New Supply!","")</f>
        <v/>
      </c>
      <c r="M114" s="119"/>
      <c r="N114" s="48"/>
      <c r="O114" s="775" t="s">
        <v>3063</v>
      </c>
      <c r="P114" s="775" t="s">
        <v>3064</v>
      </c>
      <c r="Q114" s="86"/>
      <c r="R114" s="862"/>
      <c r="S114" s="862"/>
      <c r="T114" s="862"/>
      <c r="U114" s="862"/>
    </row>
    <row r="115" spans="1:21" s="36" customFormat="1" ht="11.25" customHeight="1">
      <c r="A115" s="120"/>
      <c r="B115" s="306" t="s">
        <v>1838</v>
      </c>
      <c r="C115" s="29" t="s">
        <v>3693</v>
      </c>
      <c r="D115" s="863"/>
      <c r="E115" s="70"/>
      <c r="F115" s="70"/>
      <c r="G115" s="70"/>
      <c r="H115" s="38"/>
      <c r="I115" s="42"/>
      <c r="M115" s="119"/>
      <c r="N115" s="48"/>
      <c r="O115" s="175"/>
      <c r="P115" s="418"/>
      <c r="Q115" s="86"/>
      <c r="R115" s="862"/>
      <c r="S115" s="862"/>
      <c r="T115" s="862"/>
      <c r="U115" s="862"/>
    </row>
    <row r="116" spans="1:21" s="36" customFormat="1" ht="11.25" customHeight="1">
      <c r="A116" s="120"/>
      <c r="B116" s="306" t="s">
        <v>1840</v>
      </c>
      <c r="C116" s="29" t="s">
        <v>3694</v>
      </c>
      <c r="D116" s="863"/>
      <c r="E116" s="70"/>
      <c r="F116" s="70"/>
      <c r="G116" s="70"/>
      <c r="H116" s="38"/>
      <c r="I116" s="42"/>
      <c r="J116" s="41"/>
      <c r="K116" s="41"/>
      <c r="L116" s="70"/>
      <c r="M116" s="70"/>
      <c r="N116" s="48"/>
      <c r="O116" s="299"/>
      <c r="P116" s="419"/>
      <c r="Q116" s="86"/>
      <c r="R116" s="862"/>
      <c r="S116" s="862"/>
      <c r="T116" s="862"/>
      <c r="U116" s="862"/>
    </row>
    <row r="117" spans="1:21" s="36" customFormat="1" ht="11.25" customHeight="1">
      <c r="A117" s="120"/>
      <c r="B117" s="306" t="s">
        <v>2325</v>
      </c>
      <c r="C117" s="29" t="s">
        <v>4041</v>
      </c>
      <c r="D117" s="863"/>
      <c r="E117" s="70"/>
      <c r="F117" s="70"/>
      <c r="G117" s="70"/>
      <c r="H117" s="38"/>
      <c r="I117" s="42"/>
      <c r="J117" s="41"/>
      <c r="K117" s="41"/>
      <c r="L117" s="70"/>
      <c r="M117" s="70"/>
      <c r="N117" s="48"/>
      <c r="O117" s="299"/>
      <c r="P117" s="419"/>
      <c r="Q117" s="86"/>
      <c r="R117" s="862"/>
      <c r="S117" s="862"/>
      <c r="T117" s="862"/>
      <c r="U117" s="862"/>
    </row>
    <row r="118" spans="1:21" s="36" customFormat="1" ht="11.25" customHeight="1">
      <c r="A118" s="120"/>
      <c r="B118" s="306" t="s">
        <v>1149</v>
      </c>
      <c r="C118" s="29" t="s">
        <v>4456</v>
      </c>
      <c r="D118" s="863"/>
      <c r="E118" s="70"/>
      <c r="F118" s="70"/>
      <c r="G118" s="70"/>
      <c r="H118" s="38"/>
      <c r="I118" s="42"/>
      <c r="J118" s="41"/>
      <c r="K118" s="41"/>
      <c r="L118" s="70"/>
      <c r="M118" s="70"/>
      <c r="N118" s="48"/>
      <c r="O118" s="299"/>
      <c r="P118" s="419"/>
      <c r="Q118" s="86"/>
      <c r="R118" s="862"/>
      <c r="S118" s="862"/>
      <c r="T118" s="862"/>
      <c r="U118" s="862"/>
    </row>
    <row r="119" spans="1:21" s="36" customFormat="1" ht="11.25" customHeight="1">
      <c r="A119" s="120"/>
      <c r="B119" s="306">
        <v>5</v>
      </c>
      <c r="C119" s="29" t="s">
        <v>4457</v>
      </c>
      <c r="D119" s="863"/>
      <c r="E119" s="70"/>
      <c r="F119" s="70"/>
      <c r="G119" s="70"/>
      <c r="H119" s="38"/>
      <c r="I119" s="42"/>
      <c r="J119" s="41"/>
      <c r="K119" s="41"/>
      <c r="L119" s="70"/>
      <c r="M119" s="70"/>
      <c r="N119" s="48"/>
      <c r="O119" s="176"/>
      <c r="P119" s="420"/>
      <c r="Q119" s="86"/>
      <c r="R119" s="862"/>
      <c r="S119" s="862"/>
      <c r="T119" s="862"/>
      <c r="U119" s="862"/>
    </row>
    <row r="120" spans="1:21" s="36" customFormat="1" ht="3" customHeight="1">
      <c r="A120" s="120"/>
      <c r="C120" s="29"/>
      <c r="D120" s="863"/>
      <c r="E120" s="70"/>
      <c r="F120" s="70"/>
      <c r="G120" s="70"/>
      <c r="H120" s="38"/>
      <c r="I120" s="42"/>
      <c r="J120" s="41"/>
      <c r="K120" s="41"/>
      <c r="L120" s="70"/>
      <c r="M120" s="70"/>
      <c r="N120" s="48"/>
      <c r="O120" s="48"/>
      <c r="P120" s="48"/>
      <c r="Q120" s="86"/>
      <c r="R120" s="862"/>
      <c r="S120" s="862"/>
      <c r="T120" s="862"/>
      <c r="U120" s="862"/>
    </row>
    <row r="121" spans="1:21" s="36" customFormat="1" ht="11.25" customHeight="1">
      <c r="A121" s="120"/>
      <c r="B121" s="1731" t="s">
        <v>4460</v>
      </c>
      <c r="C121" s="29"/>
      <c r="D121" s="863"/>
      <c r="E121" s="70"/>
      <c r="F121" s="70"/>
      <c r="G121" s="70"/>
      <c r="H121" s="38"/>
      <c r="I121" s="42"/>
      <c r="J121" s="41"/>
      <c r="K121" s="41"/>
      <c r="L121" s="70"/>
      <c r="M121" s="70"/>
      <c r="N121" s="48"/>
      <c r="O121" s="48"/>
      <c r="P121" s="48"/>
      <c r="Q121" s="86"/>
      <c r="R121" s="862"/>
      <c r="S121" s="862"/>
      <c r="T121" s="862"/>
      <c r="U121" s="862"/>
    </row>
    <row r="122" spans="1:21" s="36" customFormat="1" ht="1.5" customHeight="1">
      <c r="A122" s="120"/>
      <c r="B122" s="83"/>
      <c r="D122" s="34"/>
      <c r="H122" s="38"/>
      <c r="I122" s="42"/>
      <c r="J122" s="41"/>
      <c r="K122" s="41"/>
      <c r="M122" s="119"/>
      <c r="N122" s="48"/>
      <c r="O122" s="3"/>
      <c r="P122" s="3"/>
      <c r="Q122" s="86"/>
      <c r="R122" s="862"/>
      <c r="S122" s="862"/>
      <c r="T122" s="862"/>
      <c r="U122" s="862"/>
    </row>
    <row r="123" spans="1:21" s="36" customFormat="1" ht="12.75" customHeight="1">
      <c r="A123" s="120"/>
      <c r="B123" s="81" t="s">
        <v>3236</v>
      </c>
      <c r="D123" s="34"/>
      <c r="F123" s="4571" t="s">
        <v>3129</v>
      </c>
      <c r="G123" s="4571"/>
      <c r="H123" s="4571"/>
      <c r="I123" s="4571"/>
      <c r="J123" s="4571" t="s">
        <v>3130</v>
      </c>
      <c r="K123" s="4571"/>
      <c r="L123" s="4571"/>
      <c r="M123" s="4571"/>
      <c r="N123" s="48"/>
      <c r="O123" s="4572" t="s">
        <v>3759</v>
      </c>
      <c r="P123" s="4573"/>
      <c r="Q123" s="86"/>
      <c r="R123" s="862"/>
      <c r="S123" s="862"/>
      <c r="T123" s="862"/>
      <c r="U123" s="862"/>
    </row>
    <row r="124" spans="1:21" s="36" customFormat="1" ht="12" customHeight="1">
      <c r="B124" s="1731"/>
      <c r="C124" s="1118" t="s">
        <v>4459</v>
      </c>
      <c r="E124" s="223"/>
      <c r="F124" s="4523"/>
      <c r="G124" s="4524"/>
      <c r="H124" s="4488"/>
      <c r="I124" s="4489"/>
      <c r="J124" s="4523"/>
      <c r="K124" s="4524"/>
      <c r="L124" s="4488"/>
      <c r="M124" s="4489"/>
      <c r="N124" s="48"/>
      <c r="Q124" s="86"/>
      <c r="R124" s="862"/>
      <c r="S124" s="862"/>
      <c r="T124" s="862"/>
      <c r="U124" s="862"/>
    </row>
    <row r="125" spans="1:21" s="36" customFormat="1" ht="12" customHeight="1">
      <c r="A125" s="1731"/>
      <c r="B125" s="1731"/>
      <c r="C125" s="1731"/>
      <c r="D125" s="236"/>
      <c r="E125" s="1730" t="s">
        <v>4042</v>
      </c>
      <c r="F125" s="4689"/>
      <c r="G125" s="4690"/>
      <c r="H125" s="4696"/>
      <c r="I125" s="4697"/>
      <c r="J125" s="4689"/>
      <c r="K125" s="4690"/>
      <c r="L125" s="4696"/>
      <c r="M125" s="4697"/>
      <c r="N125" s="48"/>
      <c r="O125" s="1220"/>
      <c r="P125" s="899"/>
      <c r="Q125" s="86"/>
      <c r="R125" s="862"/>
      <c r="S125" s="862"/>
      <c r="T125" s="862"/>
      <c r="U125" s="862"/>
    </row>
    <row r="126" spans="1:21" s="36" customFormat="1" ht="12" customHeight="1">
      <c r="A126" s="4702" t="s">
        <v>4561</v>
      </c>
      <c r="B126" s="4702"/>
      <c r="C126" s="1118" t="s">
        <v>4458</v>
      </c>
      <c r="E126" s="223"/>
      <c r="F126" s="4691"/>
      <c r="G126" s="4692"/>
      <c r="H126" s="4707"/>
      <c r="I126" s="4708"/>
      <c r="J126" s="4691"/>
      <c r="K126" s="4692"/>
      <c r="L126" s="4707"/>
      <c r="M126" s="4708"/>
      <c r="N126" s="48"/>
      <c r="O126" s="48"/>
      <c r="P126" s="48"/>
      <c r="Q126" s="86"/>
      <c r="R126" s="862"/>
      <c r="S126" s="862"/>
      <c r="T126" s="862"/>
      <c r="U126" s="862"/>
    </row>
    <row r="127" spans="1:21" s="36" customFormat="1" ht="12" customHeight="1">
      <c r="A127" s="4702"/>
      <c r="B127" s="4702"/>
      <c r="C127" s="236"/>
      <c r="D127" s="236"/>
      <c r="E127" s="1730" t="s">
        <v>3275</v>
      </c>
      <c r="F127" s="3249"/>
      <c r="G127" s="4569"/>
      <c r="H127" s="4694"/>
      <c r="I127" s="4695"/>
      <c r="J127" s="3249"/>
      <c r="K127" s="4569"/>
      <c r="L127" s="4694"/>
      <c r="M127" s="4695"/>
      <c r="N127" s="48"/>
      <c r="O127" s="1220"/>
      <c r="P127" s="899"/>
      <c r="Q127" s="86"/>
      <c r="R127" s="862"/>
      <c r="S127" s="862"/>
      <c r="T127" s="862"/>
      <c r="U127" s="862"/>
    </row>
    <row r="128" spans="1:21" s="36" customFormat="1" ht="9" customHeight="1">
      <c r="A128" s="120"/>
      <c r="B128" s="83"/>
      <c r="D128" s="34"/>
      <c r="H128" s="38"/>
      <c r="I128" s="42"/>
      <c r="J128" s="41"/>
      <c r="K128" s="41"/>
      <c r="M128" s="119"/>
      <c r="N128" s="48"/>
      <c r="O128" s="3"/>
      <c r="P128" s="3"/>
      <c r="Q128" s="86"/>
      <c r="R128" s="862"/>
      <c r="S128" s="862"/>
      <c r="T128" s="862"/>
      <c r="U128" s="862"/>
    </row>
    <row r="129" spans="1:21" s="36" customFormat="1" ht="12.6" customHeight="1">
      <c r="A129" s="1815" t="s">
        <v>4584</v>
      </c>
      <c r="B129" s="83"/>
      <c r="D129" s="34"/>
      <c r="I129" s="4698" t="str">
        <f>IF(AND(O131&gt;0,O138&gt;0),"Pick A or B, not both!","")</f>
        <v/>
      </c>
      <c r="J129" s="4698"/>
      <c r="K129" s="4698" t="str">
        <f>IF(AND(P131&gt;0,P138&gt;0),"Pick A or B, not both!","")</f>
        <v/>
      </c>
      <c r="L129" s="4698"/>
      <c r="M129" s="119"/>
      <c r="N129" s="119"/>
      <c r="O129" s="119"/>
      <c r="P129" s="119"/>
      <c r="Q129" s="86"/>
      <c r="R129" s="862"/>
      <c r="S129" s="862"/>
      <c r="T129" s="862"/>
      <c r="U129" s="862"/>
    </row>
    <row r="130" spans="1:21" s="36" customFormat="1" ht="2.25" customHeight="1">
      <c r="A130" s="398"/>
      <c r="B130" s="83"/>
      <c r="D130" s="34"/>
      <c r="F130" s="46"/>
      <c r="M130" s="119"/>
      <c r="N130" s="119"/>
      <c r="O130" s="119"/>
      <c r="P130" s="119"/>
      <c r="Q130" s="86"/>
      <c r="R130" s="862"/>
      <c r="S130" s="862"/>
      <c r="T130" s="862"/>
      <c r="U130" s="862"/>
    </row>
    <row r="131" spans="1:21" s="36" customFormat="1" ht="12.6" customHeight="1">
      <c r="A131" s="112" t="s">
        <v>1835</v>
      </c>
      <c r="B131" s="141" t="s">
        <v>3152</v>
      </c>
      <c r="D131" s="34"/>
      <c r="F131" s="920" t="s">
        <v>4565</v>
      </c>
      <c r="M131" s="119">
        <v>6</v>
      </c>
      <c r="N131" s="316" t="s">
        <v>1835</v>
      </c>
      <c r="O131" s="1518">
        <f>IF(OR($J$113="Atlanta Metro",$J$113="Other Metro"),MIN($M131,O133+O134),0)</f>
        <v>0</v>
      </c>
      <c r="P131" s="1518">
        <f>IF(OR($J$113="Atlanta Metro",$J$113="Other Metro"),MIN($M131,P133+P134),0)</f>
        <v>0</v>
      </c>
      <c r="Q131" s="86"/>
    </row>
    <row r="132" spans="1:21" s="36" customFormat="1" ht="12.6" customHeight="1">
      <c r="A132" s="112"/>
      <c r="B132" s="29" t="s">
        <v>4043</v>
      </c>
      <c r="D132" s="34"/>
      <c r="F132" s="38"/>
      <c r="M132" s="119"/>
      <c r="N132" s="316"/>
      <c r="O132" s="176"/>
      <c r="P132" s="420"/>
      <c r="Q132" s="86"/>
    </row>
    <row r="133" spans="1:21" s="331" customFormat="1" ht="25.5" customHeight="1">
      <c r="B133" s="349" t="s">
        <v>1838</v>
      </c>
      <c r="C133" s="4570" t="s">
        <v>4559</v>
      </c>
      <c r="D133" s="4570"/>
      <c r="E133" s="4570"/>
      <c r="F133" s="4570"/>
      <c r="G133" s="4570"/>
      <c r="H133" s="4570"/>
      <c r="I133" s="4570"/>
      <c r="J133" s="4570"/>
      <c r="K133" s="4570"/>
      <c r="L133" s="4570"/>
      <c r="M133" s="1740">
        <v>6</v>
      </c>
      <c r="N133" s="373" t="s">
        <v>1838</v>
      </c>
      <c r="O133" s="1799"/>
      <c r="P133" s="1800"/>
      <c r="Q133" s="1147"/>
      <c r="R133" s="778" t="s">
        <v>3924</v>
      </c>
    </row>
    <row r="134" spans="1:21" s="331" customFormat="1" ht="12" customHeight="1">
      <c r="A134" s="455" t="s">
        <v>1273</v>
      </c>
      <c r="B134" s="349" t="s">
        <v>1840</v>
      </c>
      <c r="C134" s="3641" t="s">
        <v>4560</v>
      </c>
      <c r="D134" s="3641"/>
      <c r="E134" s="3641"/>
      <c r="F134" s="3641"/>
      <c r="G134" s="849"/>
      <c r="J134" s="4574" t="s">
        <v>4556</v>
      </c>
      <c r="K134" s="4575"/>
      <c r="L134" s="4576"/>
      <c r="M134" s="457">
        <v>5</v>
      </c>
      <c r="N134" s="347" t="s">
        <v>1840</v>
      </c>
      <c r="O134" s="1812"/>
      <c r="P134" s="1813"/>
      <c r="Q134" s="1702" t="s">
        <v>4552</v>
      </c>
      <c r="R134" s="1112" t="s">
        <v>4155</v>
      </c>
      <c r="S134" s="1112" t="s">
        <v>4040</v>
      </c>
    </row>
    <row r="135" spans="1:21" s="331" customFormat="1" ht="12" customHeight="1">
      <c r="B135" s="349"/>
      <c r="C135" s="3641"/>
      <c r="D135" s="3641"/>
      <c r="E135" s="3641"/>
      <c r="F135" s="3641"/>
      <c r="G135" s="849"/>
      <c r="H135" s="3469" t="s">
        <v>4554</v>
      </c>
      <c r="I135" s="3469"/>
      <c r="J135" s="4577"/>
      <c r="K135" s="4578"/>
      <c r="L135" s="4579"/>
      <c r="M135" s="4292" t="str">
        <f>IF(AND(O134&gt;0,O133&gt;0),"Pick A1 or A2!","")</f>
        <v/>
      </c>
      <c r="N135" s="4292"/>
      <c r="O135" s="4292"/>
      <c r="P135" s="4292"/>
      <c r="Q135" s="781"/>
      <c r="R135" s="1455">
        <v>0.25</v>
      </c>
      <c r="S135" s="1455">
        <v>5</v>
      </c>
    </row>
    <row r="136" spans="1:21" s="331" customFormat="1" ht="12" customHeight="1">
      <c r="B136" s="349"/>
      <c r="C136" s="3641"/>
      <c r="D136" s="3641"/>
      <c r="E136" s="3641"/>
      <c r="F136" s="3641"/>
      <c r="G136" s="849"/>
      <c r="H136" s="1661"/>
      <c r="I136" s="1793"/>
      <c r="J136" s="4577"/>
      <c r="K136" s="4578"/>
      <c r="L136" s="4579"/>
      <c r="Q136" s="781"/>
      <c r="R136" s="1455">
        <v>0.5</v>
      </c>
      <c r="S136" s="1455">
        <v>4.5</v>
      </c>
    </row>
    <row r="137" spans="1:21" s="331" customFormat="1" ht="12" customHeight="1">
      <c r="B137" s="349"/>
      <c r="C137" s="3641"/>
      <c r="D137" s="3641"/>
      <c r="E137" s="3641"/>
      <c r="F137" s="3641"/>
      <c r="G137" s="849"/>
      <c r="J137" s="4577"/>
      <c r="K137" s="4578"/>
      <c r="L137" s="4579"/>
      <c r="M137" s="70"/>
      <c r="N137" s="70"/>
      <c r="O137" s="70"/>
      <c r="P137" s="70"/>
      <c r="Q137" s="396"/>
      <c r="R137" s="1456">
        <v>1</v>
      </c>
      <c r="S137" s="1456">
        <v>4</v>
      </c>
    </row>
    <row r="138" spans="1:21" s="331" customFormat="1" ht="12" customHeight="1">
      <c r="A138" s="112" t="s">
        <v>1837</v>
      </c>
      <c r="B138" s="880" t="s">
        <v>3153</v>
      </c>
      <c r="C138" s="501"/>
      <c r="D138" s="501"/>
      <c r="F138" s="1791" t="s">
        <v>4551</v>
      </c>
      <c r="J138" s="4500" t="s">
        <v>3150</v>
      </c>
      <c r="K138" s="4501"/>
      <c r="L138" s="1729" t="s">
        <v>3151</v>
      </c>
      <c r="M138" s="671">
        <v>3</v>
      </c>
      <c r="N138" s="48" t="s">
        <v>1837</v>
      </c>
      <c r="O138" s="780">
        <f>IF(OR(AND(O139&gt;0,O141&gt;0,O143&gt;0), AND(O139&gt;0,O141&gt;0), AND(O141&gt;0,O143&gt;0), AND(O139&gt;0,O143&gt;0)),"Choose", IF(OR($J$113="Atlanta Metro",$J$113="Other Metro"), MIN($M138,O139+O141), IF(OR($J$113="Rural"), MIN($M138,O143),0)))</f>
        <v>0</v>
      </c>
      <c r="P138" s="780">
        <f>IF(OR(AND(P139&gt;0,P141&gt;0,P143&gt;0), AND(P139&gt;0,P141&gt;0), AND(P141&gt;0,P143&gt;0), AND(P139&gt;0,P143&gt;0)),"Choose", IF(OR($J$113="Atlanta Metro",$J$113="Other Metro"), MIN($M138,P139+P141), IF(OR($J$113="Rural"), MIN($M138,P143),0)))</f>
        <v>0</v>
      </c>
      <c r="Q138" s="1702" t="s">
        <v>4553</v>
      </c>
      <c r="R138" s="1794">
        <v>0.25</v>
      </c>
      <c r="S138" s="1794">
        <v>3</v>
      </c>
    </row>
    <row r="139" spans="1:21" s="36" customFormat="1" ht="12" customHeight="1">
      <c r="A139" s="120"/>
      <c r="B139" s="1534" t="s">
        <v>1838</v>
      </c>
      <c r="C139" s="3641" t="s">
        <v>4566</v>
      </c>
      <c r="D139" s="3641"/>
      <c r="E139" s="3641"/>
      <c r="F139" s="3641"/>
      <c r="G139" s="849"/>
      <c r="H139" s="3469" t="s">
        <v>4555</v>
      </c>
      <c r="I139" s="3469"/>
      <c r="J139" s="4502" t="s">
        <v>4571</v>
      </c>
      <c r="K139" s="4503"/>
      <c r="L139" s="4504"/>
      <c r="M139" s="457">
        <v>3</v>
      </c>
      <c r="N139" s="347" t="s">
        <v>1838</v>
      </c>
      <c r="O139" s="4737"/>
      <c r="P139" s="4740"/>
      <c r="Q139" s="781" t="str">
        <f>IF(OR($O141=$M141,$O141=0,$O141=""),"","*CHECK!*")</f>
        <v/>
      </c>
      <c r="R139" s="1455">
        <v>0.5</v>
      </c>
      <c r="S139" s="1455">
        <v>2</v>
      </c>
      <c r="U139" s="331"/>
    </row>
    <row r="140" spans="1:21" s="36" customFormat="1" ht="12" customHeight="1">
      <c r="A140" s="120"/>
      <c r="B140" s="874"/>
      <c r="C140" s="3641"/>
      <c r="D140" s="3641"/>
      <c r="E140" s="3641"/>
      <c r="F140" s="3641"/>
      <c r="G140" s="70"/>
      <c r="H140" s="1661"/>
      <c r="I140" s="1793"/>
      <c r="J140" s="4724" t="s">
        <v>4454</v>
      </c>
      <c r="K140" s="4725"/>
      <c r="L140" s="4726"/>
      <c r="M140" s="70"/>
      <c r="O140" s="4738"/>
      <c r="P140" s="4741"/>
      <c r="Q140" s="86"/>
      <c r="R140" s="1456">
        <v>1</v>
      </c>
      <c r="S140" s="1456">
        <v>1</v>
      </c>
      <c r="U140" s="331"/>
    </row>
    <row r="141" spans="1:21" s="36" customFormat="1" ht="11.25" customHeight="1">
      <c r="A141" s="455" t="s">
        <v>1273</v>
      </c>
      <c r="B141" s="1534" t="s">
        <v>1840</v>
      </c>
      <c r="C141" s="3641" t="s">
        <v>4558</v>
      </c>
      <c r="D141" s="3641"/>
      <c r="E141" s="3641"/>
      <c r="F141" s="3641"/>
      <c r="G141" s="3641"/>
      <c r="H141" s="3641"/>
      <c r="I141" s="1792"/>
      <c r="J141" s="4727"/>
      <c r="K141" s="4728"/>
      <c r="L141" s="4729"/>
      <c r="M141" s="457">
        <v>1</v>
      </c>
      <c r="N141" s="347" t="s">
        <v>1840</v>
      </c>
      <c r="O141" s="4525"/>
      <c r="P141" s="4701"/>
      <c r="U141" s="331"/>
    </row>
    <row r="142" spans="1:21" s="36" customFormat="1" ht="11.25" customHeight="1">
      <c r="B142" s="1795"/>
      <c r="C142" s="3641"/>
      <c r="D142" s="3641"/>
      <c r="E142" s="3641"/>
      <c r="F142" s="3641"/>
      <c r="G142" s="3641"/>
      <c r="H142" s="3641"/>
      <c r="I142" s="1792"/>
      <c r="J142" s="4730"/>
      <c r="K142" s="4731"/>
      <c r="L142" s="4732"/>
      <c r="O142" s="4525"/>
      <c r="P142" s="4701"/>
      <c r="T142" s="331"/>
      <c r="U142" s="331"/>
    </row>
    <row r="143" spans="1:21" s="331" customFormat="1" ht="12" customHeight="1">
      <c r="A143" s="1533" t="s">
        <v>1273</v>
      </c>
      <c r="B143" s="1534" t="s">
        <v>2325</v>
      </c>
      <c r="C143" s="3641" t="s">
        <v>4557</v>
      </c>
      <c r="D143" s="3641"/>
      <c r="E143" s="3641"/>
      <c r="F143" s="3641"/>
      <c r="G143" s="3641"/>
      <c r="H143" s="3641"/>
      <c r="I143" s="4736"/>
      <c r="J143" s="4724" t="s">
        <v>4455</v>
      </c>
      <c r="K143" s="4725"/>
      <c r="L143" s="4726"/>
      <c r="M143" s="1740">
        <v>2</v>
      </c>
      <c r="N143" s="373" t="s">
        <v>2325</v>
      </c>
      <c r="O143" s="4699"/>
      <c r="P143" s="4521"/>
      <c r="Q143" s="781"/>
      <c r="R143" s="778"/>
    </row>
    <row r="144" spans="1:21" s="36" customFormat="1" ht="36.75" customHeight="1">
      <c r="C144" s="3641"/>
      <c r="D144" s="3641"/>
      <c r="E144" s="3641"/>
      <c r="F144" s="3641"/>
      <c r="G144" s="3641"/>
      <c r="H144" s="3641"/>
      <c r="I144" s="4736"/>
      <c r="J144" s="4733"/>
      <c r="K144" s="4734"/>
      <c r="L144" s="4735"/>
      <c r="O144" s="4700"/>
      <c r="P144" s="4522"/>
    </row>
    <row r="145" spans="1:19" s="36" customFormat="1" ht="12.6" customHeight="1">
      <c r="A145" s="29" t="s">
        <v>3276</v>
      </c>
      <c r="B145" s="141"/>
      <c r="E145" s="34"/>
      <c r="K145" s="41"/>
      <c r="M145" s="53"/>
      <c r="N145" s="53"/>
      <c r="O145" s="53"/>
      <c r="P145" s="53"/>
      <c r="Q145" s="307"/>
      <c r="R145" s="307"/>
    </row>
    <row r="146" spans="1:19" s="36" customFormat="1" ht="11.25" customHeight="1" thickBot="1">
      <c r="A146" s="35"/>
      <c r="B146" s="920" t="s">
        <v>3155</v>
      </c>
      <c r="C146" s="35"/>
      <c r="D146" s="41"/>
      <c r="E146" s="41"/>
      <c r="F146" s="41"/>
      <c r="G146" s="41"/>
      <c r="H146" s="29"/>
      <c r="K146" s="41"/>
      <c r="M146" s="39"/>
      <c r="N146" s="47"/>
      <c r="O146" s="3"/>
      <c r="P146" s="24"/>
    </row>
    <row r="147" spans="1:19" s="36" customFormat="1" ht="29.25" customHeight="1" thickTop="1" thickBot="1">
      <c r="A147" s="4467"/>
      <c r="B147" s="4468"/>
      <c r="C147" s="4468"/>
      <c r="D147" s="4468"/>
      <c r="E147" s="4468"/>
      <c r="F147" s="4468"/>
      <c r="G147" s="4468"/>
      <c r="H147" s="4468"/>
      <c r="I147" s="4468"/>
      <c r="J147" s="4468"/>
      <c r="K147" s="4468"/>
      <c r="L147" s="4468"/>
      <c r="M147" s="4468"/>
      <c r="N147" s="4468"/>
      <c r="O147" s="4468"/>
      <c r="P147" s="4469"/>
      <c r="Q147" s="354" t="s">
        <v>1179</v>
      </c>
      <c r="R147" s="354"/>
    </row>
    <row r="148" spans="1:19" s="70" customFormat="1" ht="11.7" customHeight="1" thickTop="1">
      <c r="A148" s="35"/>
      <c r="B148" s="76" t="s">
        <v>1724</v>
      </c>
      <c r="C148" s="35"/>
      <c r="D148" s="76"/>
      <c r="E148" s="872"/>
      <c r="F148" s="872"/>
      <c r="G148" s="872"/>
      <c r="H148" s="872"/>
      <c r="I148" s="872"/>
      <c r="J148" s="872"/>
      <c r="K148" s="872"/>
      <c r="L148" s="872"/>
      <c r="M148" s="872"/>
      <c r="N148" s="71"/>
      <c r="O148" s="656"/>
      <c r="P148" s="119"/>
      <c r="Q148" s="36"/>
    </row>
    <row r="149" spans="1:19" s="36" customFormat="1" ht="11.25" customHeight="1">
      <c r="A149" s="4238"/>
      <c r="B149" s="4239"/>
      <c r="C149" s="4239"/>
      <c r="D149" s="4239"/>
      <c r="E149" s="4239"/>
      <c r="F149" s="4239"/>
      <c r="G149" s="4239"/>
      <c r="H149" s="4239"/>
      <c r="I149" s="4239"/>
      <c r="J149" s="4239"/>
      <c r="K149" s="4239"/>
      <c r="L149" s="4239"/>
      <c r="M149" s="4239"/>
      <c r="N149" s="4239"/>
      <c r="O149" s="4239"/>
      <c r="P149" s="4240"/>
      <c r="Q149" s="353"/>
    </row>
    <row r="150" spans="1:19" ht="3" customHeight="1">
      <c r="R150" s="36"/>
    </row>
    <row r="151" spans="1:19" s="36" customFormat="1" ht="3" customHeight="1" thickBot="1">
      <c r="A151" s="35"/>
      <c r="C151" s="870"/>
      <c r="D151" s="870"/>
      <c r="E151" s="870"/>
      <c r="F151" s="870"/>
      <c r="G151" s="870"/>
      <c r="H151" s="870"/>
      <c r="I151" s="870"/>
      <c r="J151" s="870"/>
      <c r="K151" s="870"/>
      <c r="L151" s="870"/>
      <c r="M151" s="870"/>
      <c r="N151" s="55"/>
      <c r="O151" s="52"/>
      <c r="P151" s="119"/>
    </row>
    <row r="152" spans="1:19" s="36" customFormat="1" ht="13.5" customHeight="1" thickBot="1">
      <c r="A152" s="120" t="s">
        <v>719</v>
      </c>
      <c r="B152" s="83" t="s">
        <v>4044</v>
      </c>
      <c r="C152" s="870"/>
      <c r="D152" s="870"/>
      <c r="E152" s="870"/>
      <c r="G152" s="1454" t="s">
        <v>3695</v>
      </c>
      <c r="H152" s="850" t="str">
        <f>'Part VII-Threshold Criteria OLD'!$J$35</f>
        <v>&lt;&lt; Select PROPOSED Tenancy &gt;&gt;</v>
      </c>
      <c r="M152" s="119">
        <v>3</v>
      </c>
      <c r="N152" s="55"/>
      <c r="O152" s="1519"/>
      <c r="P152" s="1520"/>
      <c r="Q152" s="1147" t="str">
        <f>IF(OR($O152&lt;=$M152,$O152=0,$O152=""),"","*CHECK!*")</f>
        <v/>
      </c>
      <c r="R152" s="1522" t="s">
        <v>415</v>
      </c>
      <c r="S152" s="778" t="s">
        <v>3924</v>
      </c>
    </row>
    <row r="153" spans="1:19" ht="18.75" customHeight="1">
      <c r="C153" s="1448" t="s">
        <v>4602</v>
      </c>
      <c r="F153" s="1448"/>
      <c r="G153" s="1448"/>
      <c r="H153" s="1448"/>
      <c r="I153" s="1554"/>
      <c r="J153" s="1555"/>
      <c r="K153" s="1556"/>
      <c r="M153" s="36"/>
      <c r="N153"/>
      <c r="O153"/>
      <c r="P153" s="1852"/>
    </row>
    <row r="154" spans="1:19" ht="11.25" customHeight="1">
      <c r="C154" s="1448" t="s">
        <v>4601</v>
      </c>
      <c r="F154" s="1448"/>
      <c r="G154" s="1448"/>
      <c r="H154" s="1448"/>
      <c r="I154" s="1554"/>
      <c r="J154" s="4721" t="s">
        <v>4703</v>
      </c>
      <c r="K154" s="4722"/>
      <c r="L154" s="4722"/>
      <c r="M154" s="4723"/>
      <c r="N154"/>
      <c r="O154"/>
      <c r="P154"/>
    </row>
    <row r="155" spans="1:19" ht="12.75" customHeight="1">
      <c r="B155" s="429"/>
      <c r="C155" s="429"/>
      <c r="D155" s="429"/>
      <c r="F155" s="4235" t="s">
        <v>4516</v>
      </c>
      <c r="G155" s="4235"/>
      <c r="H155" s="4235" t="s">
        <v>4161</v>
      </c>
      <c r="I155" s="4235"/>
      <c r="J155" s="4709" t="s">
        <v>4517</v>
      </c>
      <c r="K155" s="4710"/>
      <c r="L155" s="4712" t="s">
        <v>4702</v>
      </c>
      <c r="M155" s="4713"/>
      <c r="N155" s="44"/>
      <c r="O155" s="1758"/>
      <c r="P155" s="1759"/>
    </row>
    <row r="156" spans="1:19" ht="30.75" customHeight="1">
      <c r="B156" s="429"/>
      <c r="C156" s="429"/>
      <c r="D156" s="429"/>
      <c r="F156" s="4235"/>
      <c r="G156" s="4235"/>
      <c r="H156" s="4235"/>
      <c r="I156" s="4235"/>
      <c r="J156" s="4711"/>
      <c r="K156" s="4710"/>
      <c r="L156" s="4235"/>
      <c r="M156" s="4714"/>
      <c r="N156" s="44"/>
      <c r="O156" s="1760"/>
      <c r="P156" s="1759"/>
    </row>
    <row r="157" spans="1:19" ht="12" customHeight="1">
      <c r="B157" s="81" t="s">
        <v>4518</v>
      </c>
      <c r="C157" s="872"/>
      <c r="D157" s="36"/>
      <c r="F157" s="4357"/>
      <c r="G157" s="4357"/>
      <c r="H157" s="4357"/>
      <c r="I157" s="4357"/>
      <c r="J157" s="4711"/>
      <c r="K157" s="4710"/>
      <c r="L157" s="4357"/>
      <c r="M157" s="4715"/>
      <c r="N157" s="44"/>
      <c r="O157" s="1760"/>
      <c r="P157" s="1759"/>
    </row>
    <row r="158" spans="1:19">
      <c r="B158" s="4716"/>
      <c r="C158" s="4717"/>
      <c r="D158" s="4717"/>
      <c r="E158" s="4718"/>
      <c r="F158" s="4716"/>
      <c r="G158" s="4718"/>
      <c r="H158" s="4716"/>
      <c r="I158" s="4718"/>
      <c r="J158" s="4719"/>
      <c r="K158" s="4720"/>
      <c r="L158" s="4719"/>
      <c r="M158" s="4720"/>
      <c r="N158" s="4758"/>
      <c r="O158" s="4759"/>
    </row>
    <row r="159" spans="1:19">
      <c r="B159" s="4550"/>
      <c r="C159" s="4551"/>
      <c r="D159" s="4551"/>
      <c r="E159" s="4552"/>
      <c r="F159" s="4550"/>
      <c r="G159" s="4552"/>
      <c r="H159" s="4550"/>
      <c r="I159" s="4552"/>
      <c r="J159" s="4703"/>
      <c r="K159" s="4704"/>
      <c r="L159" s="4703"/>
      <c r="M159" s="4704"/>
      <c r="N159" s="4580"/>
      <c r="O159" s="4581"/>
    </row>
    <row r="160" spans="1:19">
      <c r="B160" s="4550"/>
      <c r="C160" s="4551"/>
      <c r="D160" s="4551"/>
      <c r="E160" s="4552"/>
      <c r="F160" s="4550"/>
      <c r="G160" s="4552"/>
      <c r="H160" s="4550"/>
      <c r="I160" s="4552"/>
      <c r="J160" s="4703"/>
      <c r="K160" s="4704"/>
      <c r="L160" s="4703"/>
      <c r="M160" s="4704"/>
      <c r="N160" s="4580"/>
      <c r="O160" s="4581"/>
    </row>
    <row r="161" spans="1:26">
      <c r="B161" s="4550"/>
      <c r="C161" s="4551"/>
      <c r="D161" s="4551"/>
      <c r="E161" s="4552"/>
      <c r="F161" s="4550"/>
      <c r="G161" s="4552"/>
      <c r="H161" s="4550"/>
      <c r="I161" s="4552"/>
      <c r="J161" s="4703"/>
      <c r="K161" s="4704"/>
      <c r="L161" s="4703"/>
      <c r="M161" s="4704"/>
      <c r="N161" s="4580"/>
      <c r="O161" s="4581"/>
    </row>
    <row r="162" spans="1:26">
      <c r="B162" s="4550"/>
      <c r="C162" s="4551"/>
      <c r="D162" s="4551"/>
      <c r="E162" s="4552"/>
      <c r="F162" s="4550"/>
      <c r="G162" s="4552"/>
      <c r="H162" s="4550"/>
      <c r="I162" s="4552"/>
      <c r="J162" s="4703"/>
      <c r="K162" s="4704"/>
      <c r="L162" s="4703"/>
      <c r="M162" s="4704"/>
      <c r="N162" s="4580"/>
      <c r="O162" s="4581"/>
    </row>
    <row r="163" spans="1:26">
      <c r="B163" s="4751"/>
      <c r="C163" s="4752"/>
      <c r="D163" s="4752"/>
      <c r="E163" s="4753"/>
      <c r="F163" s="4751"/>
      <c r="G163" s="4753"/>
      <c r="H163" s="4751"/>
      <c r="I163" s="4753"/>
      <c r="J163" s="4754"/>
      <c r="K163" s="4755"/>
      <c r="L163" s="4754"/>
      <c r="M163" s="4755"/>
      <c r="N163" s="4756"/>
      <c r="O163" s="4757"/>
    </row>
    <row r="164" spans="1:26" s="36" customFormat="1" ht="10.5" customHeight="1" thickBot="1">
      <c r="A164" s="35"/>
      <c r="B164" s="920" t="s">
        <v>3155</v>
      </c>
      <c r="C164" s="35"/>
      <c r="D164" s="41"/>
      <c r="E164" s="41"/>
      <c r="F164" s="41"/>
      <c r="G164" s="41"/>
      <c r="H164" s="29"/>
      <c r="I164" s="29"/>
      <c r="J164" s="29"/>
      <c r="K164" s="29"/>
      <c r="M164" s="39"/>
      <c r="N164" s="47"/>
      <c r="O164" s="3"/>
      <c r="P164" s="24"/>
    </row>
    <row r="165" spans="1:26" s="36" customFormat="1" ht="21.75" customHeight="1" thickTop="1" thickBot="1">
      <c r="A165" s="4467"/>
      <c r="B165" s="4468"/>
      <c r="C165" s="4468"/>
      <c r="D165" s="4468"/>
      <c r="E165" s="4468"/>
      <c r="F165" s="4468"/>
      <c r="G165" s="4468"/>
      <c r="H165" s="4468"/>
      <c r="I165" s="4468"/>
      <c r="J165" s="4468"/>
      <c r="K165" s="4468"/>
      <c r="L165" s="4468"/>
      <c r="M165" s="4468"/>
      <c r="N165" s="4468"/>
      <c r="O165" s="4468"/>
      <c r="P165" s="4469"/>
      <c r="Q165" s="354" t="s">
        <v>1179</v>
      </c>
    </row>
    <row r="166" spans="1:26" s="36" customFormat="1" ht="10.5" customHeight="1" thickTop="1">
      <c r="A166" s="35"/>
      <c r="B166" s="65" t="s">
        <v>1724</v>
      </c>
      <c r="C166" s="77"/>
      <c r="D166" s="65"/>
      <c r="E166" s="78"/>
      <c r="F166" s="870"/>
      <c r="G166" s="870"/>
      <c r="H166" s="870"/>
      <c r="I166" s="870"/>
      <c r="J166" s="870"/>
      <c r="K166" s="870"/>
      <c r="L166" s="870"/>
      <c r="M166" s="870"/>
      <c r="N166" s="55"/>
      <c r="O166" s="52"/>
      <c r="P166" s="119"/>
    </row>
    <row r="167" spans="1:26" s="36" customFormat="1" ht="11.25" customHeight="1">
      <c r="A167" s="4266"/>
      <c r="B167" s="4267"/>
      <c r="C167" s="4267"/>
      <c r="D167" s="4267"/>
      <c r="E167" s="4267"/>
      <c r="F167" s="4267"/>
      <c r="G167" s="4267"/>
      <c r="H167" s="4267"/>
      <c r="I167" s="4267"/>
      <c r="J167" s="4267"/>
      <c r="K167" s="4267"/>
      <c r="L167" s="4267"/>
      <c r="M167" s="4267"/>
      <c r="N167" s="4267"/>
      <c r="O167" s="4267"/>
      <c r="P167" s="4268"/>
      <c r="Q167" s="353"/>
      <c r="U167" s="1124"/>
    </row>
    <row r="168" spans="1:26" s="36" customFormat="1" ht="3" customHeight="1" thickBot="1">
      <c r="A168" s="35"/>
      <c r="C168" s="870"/>
      <c r="D168" s="870"/>
      <c r="E168" s="870"/>
      <c r="F168" s="870"/>
      <c r="G168" s="870"/>
      <c r="H168" s="870"/>
      <c r="I168" s="870"/>
      <c r="J168" s="870"/>
      <c r="K168" s="870"/>
      <c r="L168" s="870"/>
      <c r="M168" s="870"/>
      <c r="N168" s="55"/>
      <c r="O168" s="52"/>
      <c r="P168" s="119"/>
    </row>
    <row r="169" spans="1:26" s="70" customFormat="1" ht="13.5" customHeight="1" thickBot="1">
      <c r="A169" s="120" t="s">
        <v>280</v>
      </c>
      <c r="B169" s="83" t="s">
        <v>3249</v>
      </c>
      <c r="D169" s="38"/>
      <c r="E169" s="38"/>
      <c r="L169" s="1557" t="str">
        <f>IF(AND(O169&gt;0,O171="",O184=""),"Indicate subtotal score(s) in A or B below!","")</f>
        <v/>
      </c>
      <c r="M169" s="119">
        <v>7</v>
      </c>
      <c r="N169" s="5"/>
      <c r="O169" s="1562">
        <f>O171+O184</f>
        <v>0</v>
      </c>
      <c r="P169" s="1562">
        <f>P171+P184</f>
        <v>0</v>
      </c>
      <c r="Q169" s="86" t="s">
        <v>415</v>
      </c>
      <c r="R169" s="850" t="str">
        <f>IF(AND(O169&gt;0,NOT($M$55="New Supply")), "Ineligible to score in this section, not New Supply!","")</f>
        <v/>
      </c>
      <c r="S169" s="1530"/>
      <c r="T169" s="1530"/>
      <c r="U169" s="1530"/>
    </row>
    <row r="170" spans="1:26" s="36" customFormat="1" ht="2.25" customHeight="1">
      <c r="A170" s="86"/>
      <c r="C170" s="141"/>
      <c r="D170" s="141"/>
      <c r="E170" s="147"/>
      <c r="F170" s="141"/>
      <c r="G170" s="141"/>
      <c r="H170" s="141"/>
      <c r="I170" s="141"/>
      <c r="J170" s="141"/>
      <c r="K170" s="141"/>
      <c r="L170" s="141"/>
      <c r="M170" s="141"/>
      <c r="N170" s="141"/>
      <c r="O170" s="141"/>
      <c r="P170" s="141"/>
      <c r="R170" s="1530"/>
      <c r="S170" s="1530"/>
      <c r="T170" s="1530"/>
      <c r="U170" s="1530"/>
    </row>
    <row r="171" spans="1:26" s="36" customFormat="1" ht="12" customHeight="1">
      <c r="A171" s="107" t="s">
        <v>1835</v>
      </c>
      <c r="B171" s="141" t="s">
        <v>4068</v>
      </c>
      <c r="C171" s="141"/>
      <c r="D171" s="141"/>
      <c r="E171" s="141"/>
      <c r="F171" s="141"/>
      <c r="G171" s="141"/>
      <c r="H171" s="141"/>
      <c r="I171" s="141"/>
      <c r="J171" s="141"/>
      <c r="K171" s="141"/>
      <c r="L171" s="156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1835</v>
      </c>
      <c r="O171" s="1558">
        <f>MIN(M171,O172+O180+O181+O182)</f>
        <v>0</v>
      </c>
      <c r="P171" s="1558">
        <f>P172+P180+P181+P182</f>
        <v>0</v>
      </c>
      <c r="Q171" s="1147" t="str">
        <f>IF(OR($O171&lt;=$M171,$O171=""),"","*CHECK!*")</f>
        <v/>
      </c>
      <c r="R171" s="778"/>
      <c r="S171" s="1530"/>
      <c r="T171" s="1530"/>
      <c r="U171" s="1530"/>
    </row>
    <row r="172" spans="1:26" s="36" customFormat="1" ht="12.75" customHeight="1">
      <c r="A172" s="86"/>
      <c r="B172" s="1174" t="s">
        <v>1838</v>
      </c>
      <c r="C172" s="29" t="s">
        <v>4160</v>
      </c>
      <c r="D172" s="141"/>
      <c r="E172" s="141"/>
      <c r="F172" s="141"/>
      <c r="G172" s="141"/>
      <c r="H172" s="141"/>
      <c r="I172" s="141"/>
      <c r="J172" s="141"/>
      <c r="K172" s="141"/>
      <c r="L172" s="141"/>
      <c r="M172" s="457">
        <v>2</v>
      </c>
      <c r="N172" s="128" t="s">
        <v>1611</v>
      </c>
      <c r="O172" s="1492"/>
      <c r="P172" s="1541"/>
      <c r="Q172" s="1147" t="str">
        <f>IF(OR($O172=$M172,$O172=0,$O172=""),"","*CHECK!*")</f>
        <v/>
      </c>
      <c r="R172" s="778" t="s">
        <v>3924</v>
      </c>
      <c r="S172" s="1530"/>
      <c r="T172" s="1530"/>
      <c r="U172" s="1530"/>
    </row>
    <row r="173" spans="1:26" s="317" customFormat="1" ht="12" customHeight="1">
      <c r="B173" s="128" t="s">
        <v>2233</v>
      </c>
      <c r="C173" s="4227" t="s">
        <v>4562</v>
      </c>
      <c r="D173" s="4227"/>
      <c r="E173" s="4227"/>
      <c r="F173" s="4227"/>
      <c r="G173" s="4227"/>
      <c r="H173" s="4227"/>
      <c r="I173" s="4227"/>
      <c r="J173" s="4227"/>
      <c r="K173" s="4227"/>
      <c r="L173" s="128"/>
      <c r="M173" s="4693" t="s">
        <v>3986</v>
      </c>
      <c r="N173" s="4693"/>
      <c r="O173" s="4693"/>
      <c r="P173" s="4693"/>
      <c r="S173" s="1530"/>
      <c r="T173" s="1530"/>
      <c r="U173" s="1530"/>
      <c r="V173" s="333"/>
      <c r="W173" s="333"/>
      <c r="X173" s="333"/>
      <c r="Y173" s="333"/>
      <c r="Z173" s="333"/>
    </row>
    <row r="174" spans="1:26" s="36" customFormat="1" ht="12.75" customHeight="1">
      <c r="A174" s="305"/>
      <c r="B174" s="49"/>
      <c r="C174" s="4227"/>
      <c r="D174" s="4227"/>
      <c r="E174" s="4227"/>
      <c r="F174" s="4227"/>
      <c r="G174" s="4227"/>
      <c r="H174" s="4227"/>
      <c r="I174" s="4227"/>
      <c r="J174" s="4227"/>
      <c r="K174" s="4227"/>
      <c r="L174" s="128" t="s">
        <v>2233</v>
      </c>
      <c r="M174" s="4685" t="s">
        <v>3200</v>
      </c>
      <c r="N174" s="4686"/>
      <c r="O174" s="4686"/>
      <c r="P174" s="4687"/>
      <c r="S174" s="1530"/>
      <c r="T174" s="1530"/>
      <c r="U174" s="1530"/>
    </row>
    <row r="175" spans="1:26" s="26" customFormat="1" ht="12.75" customHeight="1">
      <c r="B175" s="49" t="s">
        <v>2234</v>
      </c>
      <c r="C175" s="29" t="s">
        <v>3828</v>
      </c>
      <c r="D175" s="29"/>
      <c r="E175" s="29"/>
      <c r="F175" s="29"/>
      <c r="G175" s="29"/>
      <c r="H175" s="29"/>
      <c r="L175" s="49" t="s">
        <v>2234</v>
      </c>
      <c r="M175" s="4502" t="s">
        <v>3200</v>
      </c>
      <c r="N175" s="4503"/>
      <c r="O175" s="4503"/>
      <c r="P175" s="4504"/>
      <c r="S175" s="1530"/>
      <c r="T175" s="1530"/>
      <c r="U175" s="1530"/>
      <c r="V175" s="72"/>
      <c r="W175" s="72"/>
      <c r="X175" s="72"/>
      <c r="Y175" s="72"/>
      <c r="Z175" s="72"/>
    </row>
    <row r="176" spans="1:26" s="26" customFormat="1" ht="12.75" customHeight="1">
      <c r="B176" s="49" t="s">
        <v>2235</v>
      </c>
      <c r="C176" s="29" t="s">
        <v>4066</v>
      </c>
      <c r="D176" s="29"/>
      <c r="E176" s="29"/>
      <c r="F176" s="29"/>
      <c r="G176" s="29"/>
      <c r="H176" s="29"/>
      <c r="L176" s="49" t="s">
        <v>2235</v>
      </c>
      <c r="M176" s="4502" t="s">
        <v>3200</v>
      </c>
      <c r="N176" s="4503"/>
      <c r="O176" s="4503"/>
      <c r="P176" s="4504"/>
      <c r="Q176" s="1248">
        <f>IF(K176="Yes",1,0)</f>
        <v>0</v>
      </c>
      <c r="S176" s="1530"/>
      <c r="T176" s="1530"/>
      <c r="U176" s="1530"/>
      <c r="V176" s="1248" t="e">
        <f>IF(#REF!="Yes",1,0)</f>
        <v>#REF!</v>
      </c>
      <c r="W176" s="72"/>
      <c r="X176" s="72"/>
      <c r="Y176" s="72"/>
      <c r="Z176" s="72"/>
    </row>
    <row r="177" spans="1:26" s="26" customFormat="1" ht="12.75" customHeight="1">
      <c r="A177" s="48"/>
      <c r="B177" s="49" t="s">
        <v>2236</v>
      </c>
      <c r="C177" s="29" t="s">
        <v>4067</v>
      </c>
      <c r="D177" s="29"/>
      <c r="E177" s="29"/>
      <c r="F177" s="29"/>
      <c r="G177" s="29"/>
      <c r="L177" s="49" t="s">
        <v>2236</v>
      </c>
      <c r="M177" s="4640" t="s">
        <v>3200</v>
      </c>
      <c r="N177" s="4641"/>
      <c r="O177" s="4641"/>
      <c r="P177" s="4642"/>
      <c r="Q177" s="1248">
        <f>IF(K177="Yes",1,0)</f>
        <v>0</v>
      </c>
      <c r="S177" s="1530"/>
      <c r="T177" s="1530"/>
      <c r="U177" s="1530"/>
      <c r="V177" s="1248" t="e">
        <f>IF(#REF!="Yes",1,0)</f>
        <v>#REF!</v>
      </c>
      <c r="W177" s="72"/>
      <c r="X177" s="72"/>
      <c r="Y177" s="72"/>
      <c r="Z177" s="72"/>
    </row>
    <row r="178" spans="1:26" s="36" customFormat="1" ht="4.5" customHeight="1">
      <c r="A178" s="305"/>
      <c r="C178" s="108"/>
      <c r="D178" s="108"/>
      <c r="E178" s="108"/>
      <c r="F178" s="108"/>
      <c r="G178" s="108"/>
      <c r="H178" s="108"/>
      <c r="I178" s="108"/>
      <c r="K178" s="918"/>
      <c r="L178" s="918"/>
      <c r="R178" s="1530"/>
      <c r="S178" s="1530"/>
      <c r="T178" s="1530"/>
      <c r="U178" s="1530"/>
    </row>
    <row r="179" spans="1:26" s="36" customFormat="1" ht="9.75" customHeight="1">
      <c r="A179" s="305"/>
      <c r="B179" s="306" t="s">
        <v>1840</v>
      </c>
      <c r="C179" s="89" t="s">
        <v>4143</v>
      </c>
      <c r="D179" s="108"/>
      <c r="E179" s="108"/>
      <c r="F179" s="108"/>
      <c r="G179" s="108"/>
      <c r="H179" s="108"/>
      <c r="I179" s="108"/>
      <c r="K179" s="918"/>
      <c r="L179" s="918"/>
      <c r="R179" s="1530"/>
      <c r="S179" s="1530"/>
      <c r="T179" s="1530"/>
      <c r="U179" s="1530"/>
    </row>
    <row r="180" spans="1:26" ht="13.8">
      <c r="A180" s="395"/>
      <c r="B180" s="128" t="s">
        <v>2233</v>
      </c>
      <c r="C180" s="4227" t="s">
        <v>4070</v>
      </c>
      <c r="D180" s="4227"/>
      <c r="E180" s="4227"/>
      <c r="F180" s="4227"/>
      <c r="G180" s="4227"/>
      <c r="H180" s="4227"/>
      <c r="I180" s="4227"/>
      <c r="J180" s="4227"/>
      <c r="K180" s="4227"/>
      <c r="L180" s="4227"/>
      <c r="M180" s="1740">
        <v>1</v>
      </c>
      <c r="N180" s="128" t="s">
        <v>3942</v>
      </c>
      <c r="O180" s="1538"/>
      <c r="P180" s="1542"/>
      <c r="Q180" s="1147" t="str">
        <f>IF(OR($O180=$M180,$O180=0,$O180=""),"","*CHECK!*")</f>
        <v/>
      </c>
      <c r="R180" s="778" t="s">
        <v>3924</v>
      </c>
    </row>
    <row r="181" spans="1:26" ht="36.75" customHeight="1">
      <c r="A181" s="395"/>
      <c r="B181" s="117" t="s">
        <v>2234</v>
      </c>
      <c r="C181" s="4227" t="s">
        <v>4071</v>
      </c>
      <c r="D181" s="4227"/>
      <c r="E181" s="4227"/>
      <c r="F181" s="4227"/>
      <c r="G181" s="4227"/>
      <c r="H181" s="4227"/>
      <c r="I181" s="4227"/>
      <c r="J181" s="4227"/>
      <c r="K181" s="4227"/>
      <c r="L181" s="4227"/>
      <c r="M181" s="1740">
        <v>1</v>
      </c>
      <c r="N181" s="128" t="s">
        <v>4152</v>
      </c>
      <c r="O181" s="1559"/>
      <c r="P181" s="1560"/>
      <c r="Q181" s="1147" t="str">
        <f>IF(OR($O181=$M181,$O181=0,$O181=""),"","*CHECK!*")</f>
        <v/>
      </c>
      <c r="R181" s="778" t="s">
        <v>3924</v>
      </c>
    </row>
    <row r="182" spans="1:26" ht="12" customHeight="1">
      <c r="A182" s="395"/>
      <c r="B182" s="1510" t="s">
        <v>2235</v>
      </c>
      <c r="C182" s="44" t="s">
        <v>4154</v>
      </c>
      <c r="D182" s="100"/>
      <c r="E182" s="100"/>
      <c r="F182" s="100"/>
      <c r="G182" s="100"/>
      <c r="H182" s="100"/>
      <c r="I182" s="100"/>
      <c r="J182" s="100"/>
      <c r="K182" s="100"/>
      <c r="L182" s="100"/>
      <c r="M182" s="457">
        <v>1</v>
      </c>
      <c r="N182" s="48" t="s">
        <v>4153</v>
      </c>
      <c r="O182" s="1539"/>
      <c r="P182" s="1543"/>
      <c r="Q182" s="1147" t="str">
        <f>IF(OR($O182=$M182,$O182=0,$O182=""),"","*CHECK!*")</f>
        <v/>
      </c>
      <c r="R182" s="778" t="s">
        <v>3924</v>
      </c>
    </row>
    <row r="183" spans="1:26" ht="4.5" customHeight="1">
      <c r="A183" s="395"/>
      <c r="B183" s="369"/>
      <c r="C183" s="108"/>
      <c r="D183" s="108"/>
      <c r="E183" s="108"/>
      <c r="F183" s="108"/>
      <c r="G183" s="108"/>
      <c r="H183" s="108"/>
      <c r="M183" s="1142"/>
      <c r="N183"/>
      <c r="O183"/>
      <c r="P183"/>
      <c r="R183" s="115"/>
    </row>
    <row r="184" spans="1:26" ht="12.75" customHeight="1">
      <c r="A184" s="107" t="s">
        <v>1837</v>
      </c>
      <c r="B184" s="141" t="s">
        <v>3696</v>
      </c>
      <c r="D184" s="26"/>
      <c r="F184" s="1125"/>
      <c r="K184" s="898"/>
      <c r="L184" s="307" t="str">
        <f>IF(OR($O184=$M184,$O184=0,$O184=1,$O184=""),"","* * Check Score! * *")</f>
        <v/>
      </c>
      <c r="M184" s="457">
        <v>2</v>
      </c>
      <c r="N184" s="48" t="s">
        <v>1837</v>
      </c>
      <c r="O184" s="458"/>
      <c r="P184" s="650"/>
      <c r="Q184" s="781" t="str">
        <f>IF(OR($O184=$M184,$O184=0,$O184=""),"","*CHECK!*")</f>
        <v/>
      </c>
      <c r="R184" s="778" t="s">
        <v>3924</v>
      </c>
    </row>
    <row r="185" spans="1:26" s="70" customFormat="1" ht="10.5" customHeight="1" thickBot="1">
      <c r="A185" s="35"/>
      <c r="B185" s="920" t="s">
        <v>3155</v>
      </c>
      <c r="C185" s="35"/>
      <c r="D185" s="41"/>
      <c r="E185" s="41"/>
      <c r="F185" s="41"/>
      <c r="G185" s="41"/>
      <c r="H185" s="29"/>
      <c r="I185" s="29"/>
      <c r="J185" s="29"/>
      <c r="K185" s="29"/>
      <c r="M185" s="39"/>
      <c r="N185" s="5"/>
      <c r="O185" s="3"/>
      <c r="P185" s="119"/>
    </row>
    <row r="186" spans="1:26" s="36" customFormat="1" ht="21.75" customHeight="1" thickTop="1" thickBot="1">
      <c r="A186" s="4467"/>
      <c r="B186" s="4468"/>
      <c r="C186" s="4468"/>
      <c r="D186" s="4468"/>
      <c r="E186" s="4468"/>
      <c r="F186" s="4468"/>
      <c r="G186" s="4468"/>
      <c r="H186" s="4468"/>
      <c r="I186" s="4468"/>
      <c r="J186" s="4468"/>
      <c r="K186" s="4468"/>
      <c r="L186" s="4468"/>
      <c r="M186" s="4468"/>
      <c r="N186" s="4468"/>
      <c r="O186" s="4468"/>
      <c r="P186" s="4469"/>
      <c r="Q186" s="354" t="s">
        <v>1179</v>
      </c>
    </row>
    <row r="187" spans="1:26" s="70" customFormat="1" ht="11.7" customHeight="1" thickTop="1">
      <c r="A187" s="35"/>
      <c r="B187" s="76" t="s">
        <v>1724</v>
      </c>
      <c r="C187" s="35"/>
      <c r="D187" s="76"/>
      <c r="E187" s="872"/>
      <c r="F187" s="872"/>
      <c r="G187" s="872"/>
      <c r="H187" s="872"/>
      <c r="I187" s="872"/>
      <c r="J187" s="872"/>
      <c r="K187" s="872"/>
      <c r="L187" s="872"/>
      <c r="M187" s="872"/>
      <c r="N187" s="71"/>
      <c r="O187" s="656"/>
      <c r="P187" s="119"/>
      <c r="Q187" s="36"/>
    </row>
    <row r="188" spans="1:26" s="36" customFormat="1" ht="11.25" customHeight="1">
      <c r="A188" s="4266"/>
      <c r="B188" s="4267"/>
      <c r="C188" s="4267"/>
      <c r="D188" s="4267"/>
      <c r="E188" s="4267"/>
      <c r="F188" s="4267"/>
      <c r="G188" s="4267"/>
      <c r="H188" s="4267"/>
      <c r="I188" s="4267"/>
      <c r="J188" s="4267"/>
      <c r="K188" s="4267"/>
      <c r="L188" s="4267"/>
      <c r="M188" s="4267"/>
      <c r="N188" s="4267"/>
      <c r="O188" s="4267"/>
      <c r="P188" s="4268"/>
      <c r="Q188" s="353"/>
    </row>
    <row r="189" spans="1:26" s="36" customFormat="1" ht="3" customHeight="1" thickBot="1">
      <c r="A189" s="35"/>
      <c r="C189" s="870"/>
      <c r="D189" s="870"/>
      <c r="E189" s="870"/>
      <c r="F189" s="870"/>
      <c r="G189" s="870"/>
      <c r="H189" s="870"/>
      <c r="I189" s="870"/>
      <c r="J189" s="870"/>
      <c r="K189" s="870"/>
      <c r="L189" s="870"/>
      <c r="M189" s="870"/>
      <c r="N189" s="55"/>
      <c r="O189" s="52"/>
      <c r="P189" s="119"/>
    </row>
    <row r="190" spans="1:26" s="36" customFormat="1" ht="13.5" customHeight="1" thickBot="1">
      <c r="A190" s="120" t="s">
        <v>400</v>
      </c>
      <c r="B190" s="83" t="s">
        <v>3250</v>
      </c>
      <c r="C190" s="870"/>
      <c r="D190" s="870"/>
      <c r="E190" s="870"/>
      <c r="F190" s="870"/>
      <c r="G190" s="870"/>
      <c r="H190" s="870"/>
      <c r="I190" s="870"/>
      <c r="J190" s="870"/>
      <c r="K190" s="870"/>
      <c r="L190" s="870"/>
      <c r="M190" s="119">
        <v>3</v>
      </c>
      <c r="N190" s="55"/>
      <c r="O190" s="52"/>
      <c r="P190" s="866"/>
      <c r="Q190" s="86" t="s">
        <v>415</v>
      </c>
      <c r="R190" s="778" t="s">
        <v>2451</v>
      </c>
    </row>
    <row r="191" spans="1:26" s="36" customFormat="1" ht="13.5" customHeight="1">
      <c r="A191" s="120"/>
      <c r="B191" s="81" t="s">
        <v>3551</v>
      </c>
      <c r="C191" s="870"/>
      <c r="D191" s="870"/>
      <c r="E191" s="870"/>
      <c r="F191" s="870"/>
      <c r="G191" s="870"/>
      <c r="H191" s="870"/>
      <c r="L191" s="1796" t="str">
        <f>IF(OR(O$233&gt;0,O$205&gt;0),"Applicant is ineligible for points in this section!  Points claimed in Stable Communities or Community Designations.","")</f>
        <v/>
      </c>
      <c r="M191" s="119"/>
      <c r="N191" s="55"/>
      <c r="O191" s="372"/>
      <c r="P191" s="1015"/>
      <c r="Q191" s="86"/>
      <c r="R191" s="1531"/>
      <c r="S191" s="1531"/>
      <c r="T191" s="1531"/>
      <c r="U191" s="1531"/>
    </row>
    <row r="192" spans="1:26" s="36" customFormat="1" ht="13.5" customHeight="1">
      <c r="A192" s="120"/>
      <c r="B192" s="1366" t="s">
        <v>4144</v>
      </c>
      <c r="C192" s="870"/>
      <c r="D192" s="870"/>
      <c r="E192" s="870"/>
      <c r="F192" s="870"/>
      <c r="G192" s="870"/>
      <c r="H192" s="870"/>
      <c r="L192" s="1126"/>
      <c r="M192" s="119"/>
      <c r="N192" s="119"/>
      <c r="O192" s="119"/>
      <c r="P192" s="119"/>
      <c r="Q192" s="86"/>
      <c r="R192" s="1531"/>
      <c r="S192" s="1531"/>
      <c r="T192" s="1531"/>
      <c r="U192" s="1531"/>
    </row>
    <row r="193" spans="1:24" ht="11.7" customHeight="1">
      <c r="A193" s="107" t="s">
        <v>697</v>
      </c>
      <c r="B193" s="141" t="s">
        <v>4102</v>
      </c>
      <c r="D193" s="26"/>
      <c r="G193" s="369"/>
      <c r="N193"/>
      <c r="O193" s="31"/>
      <c r="P193" s="31"/>
      <c r="Q193" s="241"/>
    </row>
    <row r="194" spans="1:24" s="1251" customFormat="1" ht="12.75" customHeight="1">
      <c r="B194" s="349" t="s">
        <v>1838</v>
      </c>
      <c r="C194" s="4227" t="s">
        <v>4099</v>
      </c>
      <c r="D194" s="4227"/>
      <c r="E194" s="4227"/>
      <c r="F194" s="4227"/>
      <c r="G194" s="4227"/>
      <c r="H194" s="4227"/>
      <c r="I194" s="4227"/>
      <c r="J194" s="4227"/>
      <c r="K194" s="4227"/>
      <c r="L194" s="4227"/>
      <c r="M194" s="867" t="s">
        <v>697</v>
      </c>
      <c r="N194" s="316" t="s">
        <v>1838</v>
      </c>
      <c r="O194" s="877"/>
      <c r="P194" s="876"/>
      <c r="Q194" s="930"/>
      <c r="V194" s="1502"/>
      <c r="W194" s="1502"/>
    </row>
    <row r="195" spans="1:24" s="26" customFormat="1" ht="12.75" customHeight="1">
      <c r="A195" s="395"/>
      <c r="B195" s="349" t="s">
        <v>1840</v>
      </c>
      <c r="C195" s="33" t="s">
        <v>4100</v>
      </c>
      <c r="D195" s="103"/>
      <c r="E195" s="103"/>
      <c r="F195" s="103"/>
      <c r="G195" s="103"/>
      <c r="H195" s="103"/>
      <c r="I195" s="103"/>
      <c r="J195" s="103"/>
      <c r="K195" s="103"/>
      <c r="L195" s="103"/>
      <c r="M195" s="103"/>
      <c r="N195" s="316" t="s">
        <v>1840</v>
      </c>
      <c r="O195" s="299"/>
      <c r="P195" s="419"/>
      <c r="Q195" s="783"/>
      <c r="V195" s="925"/>
      <c r="W195" s="925"/>
    </row>
    <row r="196" spans="1:24" s="26" customFormat="1" ht="22.5" customHeight="1">
      <c r="A196" s="395"/>
      <c r="B196" s="349" t="s">
        <v>2325</v>
      </c>
      <c r="C196" s="4227" t="s">
        <v>4103</v>
      </c>
      <c r="D196" s="4227"/>
      <c r="E196" s="4227"/>
      <c r="F196" s="4227"/>
      <c r="G196" s="4227"/>
      <c r="H196" s="4227"/>
      <c r="I196" s="4227"/>
      <c r="J196" s="4227"/>
      <c r="K196" s="4227"/>
      <c r="L196" s="4227"/>
      <c r="M196" s="456"/>
      <c r="N196" s="316" t="s">
        <v>2325</v>
      </c>
      <c r="O196" s="879"/>
      <c r="P196" s="878"/>
      <c r="Q196" s="783"/>
      <c r="V196" s="925"/>
      <c r="W196" s="925"/>
    </row>
    <row r="197" spans="1:24" ht="11.7" customHeight="1">
      <c r="A197" s="107" t="s">
        <v>1956</v>
      </c>
      <c r="B197" s="141" t="s">
        <v>4101</v>
      </c>
      <c r="D197" s="26"/>
      <c r="G197" s="369"/>
      <c r="N197"/>
      <c r="O197" s="31"/>
      <c r="P197" s="31"/>
      <c r="Q197" s="241"/>
    </row>
    <row r="198" spans="1:24" s="1251" customFormat="1" ht="23.25" customHeight="1">
      <c r="B198" s="349" t="s">
        <v>1838</v>
      </c>
      <c r="C198" s="4227" t="s">
        <v>4104</v>
      </c>
      <c r="D198" s="4227"/>
      <c r="E198" s="4227"/>
      <c r="F198" s="4227"/>
      <c r="G198" s="4227"/>
      <c r="H198" s="4227"/>
      <c r="I198" s="4227"/>
      <c r="J198" s="4227"/>
      <c r="K198" s="4227"/>
      <c r="L198" s="4227"/>
      <c r="M198" s="867" t="s">
        <v>1956</v>
      </c>
      <c r="N198" s="316" t="s">
        <v>1838</v>
      </c>
      <c r="O198" s="877"/>
      <c r="P198" s="876"/>
      <c r="Q198" s="930"/>
      <c r="V198" s="1502"/>
      <c r="W198" s="1502"/>
    </row>
    <row r="199" spans="1:24" s="26" customFormat="1" ht="23.25" customHeight="1">
      <c r="A199" s="395"/>
      <c r="B199" s="349" t="s">
        <v>1840</v>
      </c>
      <c r="C199" s="4227" t="s">
        <v>4145</v>
      </c>
      <c r="D199" s="4227"/>
      <c r="E199" s="4227"/>
      <c r="F199" s="4227"/>
      <c r="G199" s="4227"/>
      <c r="H199" s="4227"/>
      <c r="I199" s="4227"/>
      <c r="J199" s="4227"/>
      <c r="K199" s="4227"/>
      <c r="L199" s="4227"/>
      <c r="M199" s="103"/>
      <c r="N199" s="316" t="s">
        <v>1840</v>
      </c>
      <c r="O199" s="879"/>
      <c r="P199" s="878"/>
      <c r="Q199" s="783"/>
      <c r="V199" s="925"/>
      <c r="W199" s="925"/>
    </row>
    <row r="200" spans="1:24" s="36" customFormat="1" ht="12" customHeight="1" thickBot="1">
      <c r="A200" s="35"/>
      <c r="B200" s="920" t="s">
        <v>3155</v>
      </c>
      <c r="C200" s="35"/>
      <c r="D200" s="41"/>
      <c r="E200" s="41"/>
      <c r="F200" s="41"/>
      <c r="G200" s="41"/>
      <c r="H200" s="29"/>
      <c r="I200" s="29"/>
      <c r="M200" s="39"/>
      <c r="N200" s="47"/>
      <c r="O200" s="3"/>
      <c r="P200" s="24"/>
    </row>
    <row r="201" spans="1:24" s="36" customFormat="1" ht="45.6" customHeight="1" thickTop="1" thickBot="1">
      <c r="A201" s="4619"/>
      <c r="B201" s="4620"/>
      <c r="C201" s="4620"/>
      <c r="D201" s="4620"/>
      <c r="E201" s="4620"/>
      <c r="F201" s="4620"/>
      <c r="G201" s="4620"/>
      <c r="H201" s="4620"/>
      <c r="I201" s="4620"/>
      <c r="J201" s="4620"/>
      <c r="K201" s="4620"/>
      <c r="L201" s="4620"/>
      <c r="M201" s="4620"/>
      <c r="N201" s="4620"/>
      <c r="O201" s="4620"/>
      <c r="P201" s="4621"/>
      <c r="Q201" s="354" t="s">
        <v>1179</v>
      </c>
    </row>
    <row r="202" spans="1:24" s="36" customFormat="1" ht="10.5" customHeight="1" thickTop="1">
      <c r="A202" s="35"/>
      <c r="B202" s="65" t="s">
        <v>1724</v>
      </c>
      <c r="C202" s="35"/>
      <c r="D202" s="65"/>
      <c r="E202" s="870"/>
      <c r="F202" s="870"/>
      <c r="G202" s="870"/>
      <c r="H202" s="870"/>
      <c r="I202" s="870"/>
      <c r="J202" s="870"/>
      <c r="K202" s="870"/>
      <c r="L202" s="870"/>
      <c r="M202" s="870"/>
      <c r="N202" s="55"/>
      <c r="O202" s="52"/>
      <c r="P202" s="119"/>
    </row>
    <row r="203" spans="1:24" s="36" customFormat="1" ht="22.2" customHeight="1">
      <c r="A203" s="4526"/>
      <c r="B203" s="4527"/>
      <c r="C203" s="4527"/>
      <c r="D203" s="4527"/>
      <c r="E203" s="4527"/>
      <c r="F203" s="4527"/>
      <c r="G203" s="4527"/>
      <c r="H203" s="4527"/>
      <c r="I203" s="4527"/>
      <c r="J203" s="4527"/>
      <c r="K203" s="4527"/>
      <c r="L203" s="4527"/>
      <c r="M203" s="4527"/>
      <c r="N203" s="4527"/>
      <c r="O203" s="4527"/>
      <c r="P203" s="4528"/>
      <c r="Q203" s="353"/>
    </row>
    <row r="204" spans="1:24" ht="6.75" customHeight="1" thickBot="1">
      <c r="V204" s="36"/>
      <c r="W204" s="36"/>
      <c r="X204" s="36"/>
    </row>
    <row r="205" spans="1:24" s="70" customFormat="1" ht="13.5" customHeight="1" thickBot="1">
      <c r="A205" s="120" t="s">
        <v>342</v>
      </c>
      <c r="B205" s="83" t="s">
        <v>2489</v>
      </c>
      <c r="D205" s="38"/>
      <c r="E205" s="38"/>
      <c r="L205" s="395" t="str">
        <f>IF(AND(O205&gt;0,NOT($M$55="New Supply")), "Ineligible to score in this section, not New Supply!","")</f>
        <v/>
      </c>
      <c r="M205" s="119">
        <v>10</v>
      </c>
      <c r="N205" s="5"/>
      <c r="O205" s="851">
        <f>MIN($M$205,O207+O211)</f>
        <v>0</v>
      </c>
      <c r="P205" s="851">
        <f>MIN($M$205,P207+P211)</f>
        <v>0</v>
      </c>
      <c r="Q205" s="86" t="s">
        <v>415</v>
      </c>
      <c r="R205" s="778"/>
      <c r="S205" s="1532"/>
      <c r="T205" s="1532"/>
      <c r="U205" s="1532"/>
      <c r="V205" s="36"/>
      <c r="W205" s="36"/>
      <c r="X205" s="36"/>
    </row>
    <row r="206" spans="1:24" s="70" customFormat="1" ht="3" customHeight="1">
      <c r="A206" s="120"/>
      <c r="B206" s="83"/>
      <c r="D206" s="38"/>
      <c r="E206" s="38"/>
      <c r="G206" s="147"/>
      <c r="M206" s="455"/>
      <c r="Q206" s="86"/>
      <c r="S206" s="1532"/>
      <c r="T206" s="1532"/>
      <c r="U206" s="1532"/>
      <c r="V206" s="36"/>
      <c r="W206" s="36"/>
      <c r="X206" s="36"/>
    </row>
    <row r="207" spans="1:24" s="70" customFormat="1" ht="12.75" customHeight="1">
      <c r="A207" s="1503" t="s">
        <v>1835</v>
      </c>
      <c r="B207" s="141" t="s">
        <v>3697</v>
      </c>
      <c r="D207" s="38"/>
      <c r="E207" s="38"/>
      <c r="K207" s="1249"/>
      <c r="M207" s="457">
        <v>5</v>
      </c>
      <c r="N207" s="48" t="s">
        <v>1835</v>
      </c>
      <c r="O207" s="458"/>
      <c r="P207" s="650"/>
      <c r="Q207" s="1147" t="str">
        <f>IF(O207&lt;=M207,"","*CHECK!*")</f>
        <v/>
      </c>
      <c r="R207" s="778" t="s">
        <v>3924</v>
      </c>
      <c r="S207" s="1532"/>
      <c r="T207" s="1532"/>
      <c r="U207" s="1532"/>
    </row>
    <row r="208" spans="1:24" ht="12.75" customHeight="1">
      <c r="B208" s="1503"/>
      <c r="C208" s="29" t="s">
        <v>4146</v>
      </c>
      <c r="D208" s="70"/>
      <c r="E208" s="38"/>
      <c r="F208" s="38"/>
      <c r="G208" s="70"/>
      <c r="H208" s="70"/>
      <c r="I208" s="70"/>
      <c r="J208" s="4664" t="s">
        <v>3118</v>
      </c>
      <c r="K208" s="4665"/>
      <c r="L208" s="4666"/>
      <c r="M208" s="4667"/>
      <c r="N208" s="53"/>
      <c r="R208" s="86"/>
      <c r="S208" s="70"/>
    </row>
    <row r="209" spans="1:27" ht="12.75" customHeight="1">
      <c r="C209" s="670" t="s">
        <v>4147</v>
      </c>
      <c r="D209" s="44"/>
      <c r="J209" s="4637"/>
      <c r="K209" s="4638"/>
      <c r="L209" s="4638"/>
      <c r="M209" s="4639"/>
      <c r="N209" s="53"/>
      <c r="O209" s="53"/>
      <c r="P209" s="53"/>
      <c r="R209" s="70"/>
      <c r="S209" s="1532"/>
    </row>
    <row r="210" spans="1:27" ht="6" customHeight="1">
      <c r="A210" s="399"/>
      <c r="B210" s="669"/>
      <c r="C210" s="44"/>
      <c r="M210" s="53"/>
      <c r="N210" s="865"/>
      <c r="O210" s="119"/>
      <c r="P210" s="119"/>
      <c r="S210" s="1532"/>
      <c r="T210" s="1532"/>
      <c r="U210" s="1532"/>
    </row>
    <row r="211" spans="1:27" s="26" customFormat="1" ht="12.75" customHeight="1">
      <c r="A211" s="671" t="s">
        <v>1837</v>
      </c>
      <c r="B211" s="1129" t="s">
        <v>4105</v>
      </c>
      <c r="C211" s="29"/>
      <c r="K211" s="48"/>
      <c r="L211" s="48"/>
      <c r="M211" s="457">
        <v>5</v>
      </c>
      <c r="N211" s="48" t="s">
        <v>1837</v>
      </c>
      <c r="O211" s="458"/>
      <c r="P211" s="650"/>
      <c r="Q211" s="1147" t="str">
        <f>IF(O211&lt;=M211,"","*CHECK!*")</f>
        <v/>
      </c>
      <c r="R211" s="778" t="s">
        <v>3924</v>
      </c>
      <c r="S211" s="1532"/>
      <c r="T211" s="1532"/>
      <c r="U211" s="1532"/>
    </row>
    <row r="212" spans="1:27">
      <c r="C212" s="1540" t="s">
        <v>4111</v>
      </c>
      <c r="E212" s="4470" t="s">
        <v>4110</v>
      </c>
      <c r="F212" s="4470"/>
      <c r="G212" s="4470"/>
      <c r="H212" s="4470"/>
      <c r="I212" s="1139" t="s">
        <v>4137</v>
      </c>
      <c r="J212" s="4470" t="s">
        <v>4110</v>
      </c>
      <c r="K212" s="4470"/>
      <c r="L212" s="4470"/>
      <c r="M212" s="4470"/>
      <c r="N212"/>
      <c r="O212"/>
      <c r="P212"/>
    </row>
    <row r="213" spans="1:27" ht="13.5" customHeight="1">
      <c r="B213" s="399"/>
      <c r="C213" s="29" t="s">
        <v>4108</v>
      </c>
      <c r="E213" s="4471"/>
      <c r="F213" s="4472"/>
      <c r="G213" s="4472"/>
      <c r="H213" s="4473"/>
      <c r="I213" s="1761" t="s">
        <v>905</v>
      </c>
      <c r="J213" s="4634"/>
      <c r="K213" s="4635"/>
      <c r="L213" s="4635"/>
      <c r="M213" s="4636"/>
      <c r="N213"/>
      <c r="Q213" s="24"/>
      <c r="R213" s="24"/>
      <c r="S213" s="24"/>
      <c r="T213" s="24"/>
      <c r="U213" s="24"/>
      <c r="V213" s="24"/>
      <c r="W213" s="24"/>
      <c r="X213" s="24"/>
      <c r="Y213" s="24"/>
      <c r="Z213" s="24"/>
      <c r="AA213" s="1762"/>
    </row>
    <row r="214" spans="1:27" ht="13.5" customHeight="1">
      <c r="C214" s="29" t="s">
        <v>4109</v>
      </c>
      <c r="E214" s="4582"/>
      <c r="F214" s="4583"/>
      <c r="G214" s="4583"/>
      <c r="H214" s="4584"/>
      <c r="I214" s="1797"/>
      <c r="J214" s="4464"/>
      <c r="K214" s="4465"/>
      <c r="L214" s="4465"/>
      <c r="M214" s="4466"/>
      <c r="N214" s="1147" t="str">
        <f>IF(P211&lt;=N211,"","*CHECK!*")</f>
        <v/>
      </c>
      <c r="Q214" s="24"/>
      <c r="R214" s="24"/>
      <c r="S214" s="24"/>
      <c r="T214" s="24"/>
      <c r="U214" s="24"/>
      <c r="V214" s="24"/>
      <c r="W214" s="24"/>
      <c r="X214" s="24"/>
      <c r="Y214" s="24"/>
      <c r="Z214" s="24"/>
      <c r="AA214" s="1762"/>
    </row>
    <row r="215" spans="1:27" ht="13.5" customHeight="1">
      <c r="B215" s="399"/>
      <c r="C215" s="29" t="s">
        <v>4106</v>
      </c>
      <c r="E215" s="4582"/>
      <c r="F215" s="4583"/>
      <c r="G215" s="4583"/>
      <c r="H215" s="4584"/>
      <c r="I215" s="1797"/>
      <c r="J215" s="4464"/>
      <c r="K215" s="4465"/>
      <c r="L215" s="4465"/>
      <c r="M215" s="4466"/>
      <c r="N215"/>
      <c r="Q215" s="24"/>
      <c r="R215" s="24"/>
      <c r="S215" s="24"/>
      <c r="T215" s="24"/>
      <c r="U215" s="24"/>
      <c r="V215" s="24"/>
      <c r="W215" s="24"/>
      <c r="X215" s="24"/>
      <c r="Y215" s="24"/>
      <c r="Z215" s="24"/>
      <c r="AA215" s="1762"/>
    </row>
    <row r="216" spans="1:27" ht="13.5" customHeight="1">
      <c r="B216" s="44"/>
      <c r="C216" s="29" t="s">
        <v>4107</v>
      </c>
      <c r="E216" s="4625"/>
      <c r="F216" s="4626"/>
      <c r="G216" s="4626"/>
      <c r="H216" s="4627"/>
      <c r="I216" s="1798"/>
      <c r="J216" s="4631"/>
      <c r="K216" s="4632"/>
      <c r="L216" s="4632"/>
      <c r="M216" s="4633"/>
      <c r="N216" s="44"/>
      <c r="Q216" s="24"/>
      <c r="R216" s="24"/>
      <c r="S216" s="24"/>
      <c r="T216" s="24"/>
      <c r="U216" s="24"/>
      <c r="V216" s="24"/>
      <c r="W216" s="24"/>
      <c r="X216" s="24"/>
      <c r="Y216" s="24"/>
      <c r="Z216" s="24"/>
      <c r="AA216" s="1762"/>
    </row>
    <row r="217" spans="1:27" ht="6" customHeight="1">
      <c r="B217" s="44"/>
      <c r="C217" s="669"/>
      <c r="D217" s="44"/>
      <c r="N217" s="53"/>
      <c r="O217" s="865"/>
      <c r="P217" s="119"/>
      <c r="Q217" s="119"/>
      <c r="R217" s="119"/>
      <c r="S217" s="119"/>
      <c r="T217" s="119"/>
      <c r="U217" s="119"/>
      <c r="V217" s="119"/>
      <c r="W217" s="119"/>
      <c r="X217" s="119"/>
      <c r="Y217" s="119"/>
      <c r="Z217" s="119"/>
    </row>
    <row r="218" spans="1:27" ht="3" customHeight="1">
      <c r="A218" s="399"/>
      <c r="B218" s="669"/>
      <c r="C218" s="44"/>
      <c r="M218" s="53"/>
      <c r="N218" s="865"/>
      <c r="O218" s="119"/>
      <c r="P218" s="119"/>
      <c r="S218" s="1727"/>
      <c r="T218" s="1727"/>
      <c r="U218" s="1727"/>
      <c r="V218" s="1727"/>
      <c r="W218" s="1727"/>
    </row>
    <row r="219" spans="1:27" s="36" customFormat="1" ht="10.5" customHeight="1" thickBot="1">
      <c r="A219" s="35"/>
      <c r="B219" s="920" t="s">
        <v>3155</v>
      </c>
      <c r="C219" s="35"/>
      <c r="D219" s="41"/>
      <c r="E219" s="41"/>
      <c r="F219" s="41"/>
      <c r="G219" s="41"/>
      <c r="H219" s="29"/>
      <c r="I219" s="29"/>
      <c r="J219" s="29"/>
      <c r="K219" s="29"/>
      <c r="M219" s="39"/>
      <c r="N219" s="47"/>
      <c r="O219" s="3"/>
      <c r="P219" s="24"/>
    </row>
    <row r="220" spans="1:27" s="36" customFormat="1" ht="34.950000000000003" customHeight="1" thickTop="1" thickBot="1">
      <c r="A220" s="4467"/>
      <c r="B220" s="4468"/>
      <c r="C220" s="4468"/>
      <c r="D220" s="4468"/>
      <c r="E220" s="4468"/>
      <c r="F220" s="4468"/>
      <c r="G220" s="4468"/>
      <c r="H220" s="4468"/>
      <c r="I220" s="4468"/>
      <c r="J220" s="4468"/>
      <c r="K220" s="4468"/>
      <c r="L220" s="4468"/>
      <c r="M220" s="4468"/>
      <c r="N220" s="4468"/>
      <c r="O220" s="4468"/>
      <c r="P220" s="4469"/>
      <c r="Q220" s="354" t="s">
        <v>1179</v>
      </c>
    </row>
    <row r="221" spans="1:27" ht="2.25" customHeight="1" thickTop="1">
      <c r="A221" s="399"/>
      <c r="B221" s="669"/>
      <c r="C221" s="44"/>
      <c r="M221" s="53"/>
      <c r="N221" s="865"/>
      <c r="O221" s="119"/>
      <c r="P221" s="119"/>
    </row>
    <row r="222" spans="1:27" s="36" customFormat="1" ht="10.5" customHeight="1">
      <c r="A222" s="35"/>
      <c r="B222" s="65" t="s">
        <v>1724</v>
      </c>
      <c r="C222" s="35"/>
      <c r="D222" s="65"/>
      <c r="E222" s="870"/>
      <c r="F222" s="870"/>
      <c r="G222" s="870"/>
      <c r="H222" s="870"/>
      <c r="I222" s="870"/>
      <c r="J222" s="870"/>
      <c r="K222" s="870"/>
      <c r="L222" s="870"/>
      <c r="M222" s="870"/>
      <c r="N222" s="55"/>
      <c r="O222" s="52"/>
      <c r="P222" s="119"/>
    </row>
    <row r="223" spans="1:27" s="36" customFormat="1" ht="11.25" customHeight="1">
      <c r="A223" s="4526"/>
      <c r="B223" s="4527"/>
      <c r="C223" s="4527"/>
      <c r="D223" s="4527"/>
      <c r="E223" s="4527"/>
      <c r="F223" s="4527"/>
      <c r="G223" s="4527"/>
      <c r="H223" s="4527"/>
      <c r="I223" s="4527"/>
      <c r="J223" s="4527"/>
      <c r="K223" s="4527"/>
      <c r="L223" s="4527"/>
      <c r="M223" s="4527"/>
      <c r="N223" s="4527"/>
      <c r="O223" s="4527"/>
      <c r="P223" s="4528"/>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3902</v>
      </c>
      <c r="C225" s="44"/>
      <c r="G225" s="1525" t="s">
        <v>4140</v>
      </c>
      <c r="H225" s="1453" t="e">
        <f>IF(OR($M$34="9% Credit Competitive Round only", $M$34="9% Credit &amp; HOME"),"9%",IF(OR($M$34="4% Credit/TE Bond", $M$34="4% Credit/TE Bond &amp; HOME", $M$34="4% Credit/TE Bond &amp; HOME NOFA", $M$34="4% Credit &amp; NHTF", $M$34="4% Credit &amp; NHTF &amp; HOME"),"4%",""))</f>
        <v>#REF!</v>
      </c>
      <c r="J225" s="1525" t="s">
        <v>362</v>
      </c>
      <c r="K225" s="4659" t="str">
        <f>M55</f>
        <v>&lt;&lt; Select Activity Type &gt;&gt;</v>
      </c>
      <c r="L225" s="4660"/>
      <c r="M225" s="119">
        <v>1</v>
      </c>
      <c r="N225" s="865"/>
      <c r="O225" s="851">
        <f>IF(O227+O228&gt;$M$225,"Choose",MIN($M$225,SUM(O227:O228)))</f>
        <v>0</v>
      </c>
      <c r="P225" s="851">
        <f>IF(P227+P228&gt;$M$225,"Choose",MIN($M$225,SUM(P227:P228)))</f>
        <v>0</v>
      </c>
      <c r="Q225" s="86" t="s">
        <v>415</v>
      </c>
      <c r="R225" s="850" t="str">
        <f>IF(AND(O225&gt;0,NOT($M$55="New Supply")), "Ineligible to score in this section, not New Supply!","")</f>
        <v/>
      </c>
    </row>
    <row r="226" spans="1:24" s="36" customFormat="1" ht="12" customHeight="1">
      <c r="A226" s="35"/>
      <c r="B226" s="1527" t="s">
        <v>4141</v>
      </c>
      <c r="D226" s="32"/>
      <c r="E226" s="29"/>
      <c r="F226" s="119"/>
      <c r="G226" s="874" t="s">
        <v>3066</v>
      </c>
      <c r="H226" s="1127" t="e">
        <f>IF(#REF!=0,0,#REF!/#REF!)</f>
        <v>#REF!</v>
      </c>
      <c r="J226" s="369" t="s">
        <v>3831</v>
      </c>
      <c r="K226" s="4629" t="e">
        <f>#REF!</f>
        <v>#REF!</v>
      </c>
      <c r="L226" s="4630"/>
      <c r="M226" s="31"/>
      <c r="N226" s="119"/>
      <c r="O226" s="24"/>
      <c r="P226" s="3"/>
    </row>
    <row r="227" spans="1:24" ht="12" customHeight="1">
      <c r="A227" s="671" t="s">
        <v>1835</v>
      </c>
      <c r="B227" s="67" t="s">
        <v>3829</v>
      </c>
      <c r="C227" s="44"/>
      <c r="E227" s="236" t="s">
        <v>3830</v>
      </c>
      <c r="M227" s="457">
        <v>1</v>
      </c>
      <c r="N227" s="48" t="s">
        <v>1835</v>
      </c>
      <c r="O227" s="1252"/>
      <c r="P227" s="1253"/>
      <c r="Q227" s="781" t="str">
        <f>IF(OR($O227=$M227,$O227=0,$O227=""),"","*CHECK!*")</f>
        <v/>
      </c>
      <c r="R227" s="778" t="s">
        <v>3924</v>
      </c>
    </row>
    <row r="228" spans="1:24" ht="12" customHeight="1">
      <c r="A228" s="671" t="s">
        <v>1837</v>
      </c>
      <c r="B228" s="67" t="s">
        <v>3687</v>
      </c>
      <c r="C228" s="44"/>
      <c r="E228" s="236" t="s">
        <v>3907</v>
      </c>
      <c r="M228" s="865">
        <v>1</v>
      </c>
      <c r="N228" s="48" t="s">
        <v>1837</v>
      </c>
      <c r="O228" s="406"/>
      <c r="P228" s="414"/>
      <c r="Q228" s="781" t="str">
        <f>IF(OR($O228=$M228,$O228=0,$O228=""),"","*CHECK!*")</f>
        <v/>
      </c>
      <c r="R228" s="778" t="s">
        <v>3924</v>
      </c>
    </row>
    <row r="229" spans="1:24" ht="2.25" customHeight="1">
      <c r="A229" s="399"/>
      <c r="B229" s="669"/>
      <c r="C229" s="44"/>
      <c r="M229" s="53"/>
      <c r="N229" s="865"/>
      <c r="O229" s="119"/>
      <c r="P229" s="119"/>
    </row>
    <row r="230" spans="1:24" s="36" customFormat="1" ht="11.25" customHeight="1">
      <c r="A230" s="35"/>
      <c r="B230" s="65" t="s">
        <v>1724</v>
      </c>
      <c r="C230" s="35"/>
      <c r="D230" s="65"/>
      <c r="E230" s="870"/>
      <c r="F230" s="870"/>
      <c r="G230" s="870"/>
      <c r="H230" s="870"/>
      <c r="I230" s="870"/>
      <c r="J230" s="870"/>
      <c r="K230" s="870"/>
      <c r="L230" s="870"/>
      <c r="M230" s="870"/>
      <c r="N230" s="55"/>
      <c r="O230" s="52"/>
      <c r="P230" s="119"/>
    </row>
    <row r="231" spans="1:24" s="36" customFormat="1" ht="11.25" customHeight="1">
      <c r="A231" s="4526"/>
      <c r="B231" s="4527"/>
      <c r="C231" s="4527"/>
      <c r="D231" s="4527"/>
      <c r="E231" s="4527"/>
      <c r="F231" s="4527"/>
      <c r="G231" s="4527"/>
      <c r="H231" s="4527"/>
      <c r="I231" s="4527"/>
      <c r="J231" s="4527"/>
      <c r="K231" s="4527"/>
      <c r="L231" s="4527"/>
      <c r="M231" s="4527"/>
      <c r="N231" s="4527"/>
      <c r="O231" s="4527"/>
      <c r="P231" s="4528"/>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3251</v>
      </c>
      <c r="D233" s="38"/>
      <c r="E233" s="38"/>
      <c r="G233" s="1527"/>
      <c r="H233" s="147"/>
      <c r="I233" s="147"/>
      <c r="J233" s="147"/>
      <c r="K233" s="147"/>
      <c r="L233" s="395" t="str">
        <f>IF(AND(O233&gt;0,NOT($M$55="New Supply")), "Ineligible to score in this section, not New Supply!","")</f>
        <v/>
      </c>
      <c r="M233" s="119">
        <v>10</v>
      </c>
      <c r="N233" s="5"/>
      <c r="O233" s="851">
        <f>IF(OR(O169&gt;0,O191&gt;0,O205&gt;0),0,IF(OR(O235="Yes",O236="Yes"),$M$233,0))</f>
        <v>0</v>
      </c>
      <c r="P233" s="851">
        <f>IF(OR(P169&gt;0,P191&gt;0,P205&gt;0),0,IF(OR(P235="Yes",P236="Yes"),$M$233,0))</f>
        <v>0</v>
      </c>
      <c r="Q233" s="86" t="s">
        <v>415</v>
      </c>
      <c r="R233" s="1532"/>
      <c r="S233" s="1532"/>
      <c r="T233" s="1532"/>
      <c r="U233" s="1532"/>
      <c r="V233" s="1532"/>
    </row>
    <row r="234" spans="1:24" s="70" customFormat="1" ht="3" customHeight="1">
      <c r="A234" s="120"/>
      <c r="B234" s="83"/>
      <c r="D234" s="38"/>
      <c r="E234" s="38"/>
      <c r="G234" s="147"/>
      <c r="M234" s="455"/>
      <c r="Q234" s="86"/>
      <c r="R234" s="1532"/>
      <c r="S234" s="1532"/>
      <c r="T234" s="1532"/>
      <c r="U234" s="1532"/>
      <c r="V234" s="1532"/>
      <c r="W234" s="36"/>
      <c r="X234" s="36"/>
    </row>
    <row r="235" spans="1:24" ht="11.25" customHeight="1">
      <c r="A235" s="671" t="s">
        <v>1835</v>
      </c>
      <c r="B235" s="868" t="s">
        <v>3177</v>
      </c>
      <c r="D235" s="371"/>
      <c r="E235" s="371"/>
      <c r="F235" s="371"/>
      <c r="G235" s="371"/>
      <c r="H235" s="371"/>
      <c r="L235" s="371"/>
      <c r="M235" s="4623" t="str">
        <f>IF(AND(O235="Yes",O236="Yes"),"Only one category can be selected!","")</f>
        <v/>
      </c>
      <c r="N235" s="48" t="s">
        <v>1835</v>
      </c>
      <c r="O235" s="175"/>
      <c r="P235" s="418"/>
      <c r="Q235" s="791"/>
      <c r="R235" s="1532"/>
      <c r="S235" s="1532"/>
      <c r="T235" s="1532"/>
      <c r="U235" s="1532"/>
      <c r="V235" s="1532"/>
    </row>
    <row r="236" spans="1:24" ht="11.25" customHeight="1">
      <c r="A236" s="671" t="s">
        <v>1837</v>
      </c>
      <c r="B236" s="868" t="s">
        <v>3178</v>
      </c>
      <c r="D236" s="371"/>
      <c r="L236" s="371"/>
      <c r="M236" s="4623"/>
      <c r="N236" s="48" t="s">
        <v>1837</v>
      </c>
      <c r="O236" s="176"/>
      <c r="P236" s="420"/>
      <c r="Q236" s="791"/>
      <c r="R236" s="1532"/>
      <c r="S236" s="1532"/>
      <c r="T236" s="1532"/>
      <c r="U236" s="1532"/>
      <c r="V236" s="1532"/>
    </row>
    <row r="237" spans="1:24" s="36" customFormat="1" ht="10.5" customHeight="1" thickBot="1">
      <c r="A237" s="35"/>
      <c r="B237" s="920" t="s">
        <v>3155</v>
      </c>
      <c r="C237" s="35"/>
      <c r="D237" s="41"/>
      <c r="E237" s="41"/>
      <c r="F237" s="41"/>
      <c r="G237" s="41"/>
      <c r="H237" s="29"/>
      <c r="I237" s="29"/>
      <c r="J237" s="29"/>
      <c r="K237" s="29"/>
      <c r="M237" s="39"/>
      <c r="N237" s="47"/>
      <c r="O237" s="3"/>
      <c r="P237" s="24"/>
      <c r="R237" s="1532"/>
      <c r="S237" s="1532"/>
      <c r="T237" s="1532"/>
      <c r="U237" s="1532"/>
      <c r="V237" s="1532"/>
    </row>
    <row r="238" spans="1:24" s="36" customFormat="1" ht="34.950000000000003" customHeight="1" thickTop="1" thickBot="1">
      <c r="A238" s="4467"/>
      <c r="B238" s="4468"/>
      <c r="C238" s="4468"/>
      <c r="D238" s="4468"/>
      <c r="E238" s="4468"/>
      <c r="F238" s="4468"/>
      <c r="G238" s="4468"/>
      <c r="H238" s="4468"/>
      <c r="I238" s="4468"/>
      <c r="J238" s="4468"/>
      <c r="K238" s="4468"/>
      <c r="L238" s="4468"/>
      <c r="M238" s="4468"/>
      <c r="N238" s="4468"/>
      <c r="O238" s="4468"/>
      <c r="P238" s="4469"/>
      <c r="Q238" s="354" t="s">
        <v>1179</v>
      </c>
    </row>
    <row r="239" spans="1:24" s="36" customFormat="1" ht="10.5" customHeight="1" thickTop="1">
      <c r="A239" s="35"/>
      <c r="B239" s="65" t="s">
        <v>1724</v>
      </c>
      <c r="C239" s="35"/>
      <c r="D239" s="65"/>
      <c r="E239" s="870"/>
      <c r="F239" s="870"/>
      <c r="G239" s="870"/>
      <c r="H239" s="870"/>
      <c r="I239" s="870"/>
      <c r="J239" s="870"/>
      <c r="K239" s="870"/>
      <c r="L239" s="870"/>
      <c r="M239" s="870"/>
      <c r="N239" s="55"/>
      <c r="O239" s="52"/>
      <c r="P239" s="119"/>
    </row>
    <row r="240" spans="1:24" s="36" customFormat="1" ht="11.25" customHeight="1">
      <c r="A240" s="4526"/>
      <c r="B240" s="4527"/>
      <c r="C240" s="4527"/>
      <c r="D240" s="4527"/>
      <c r="E240" s="4527"/>
      <c r="F240" s="4527"/>
      <c r="G240" s="4527"/>
      <c r="H240" s="4527"/>
      <c r="I240" s="4527"/>
      <c r="J240" s="4527"/>
      <c r="K240" s="4527"/>
      <c r="L240" s="4527"/>
      <c r="M240" s="4527"/>
      <c r="N240" s="4527"/>
      <c r="O240" s="4527"/>
      <c r="P240" s="4528"/>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3904</v>
      </c>
      <c r="D242" s="34"/>
      <c r="E242" s="1833" t="str">
        <f>IF(AND(O242&gt;0,NOT($M$55="New Supply")), "Ineligible to score in this section, not New Supply!","")</f>
        <v/>
      </c>
      <c r="F242" s="34"/>
      <c r="G242" s="34"/>
      <c r="H242" s="34"/>
      <c r="I242" s="34"/>
      <c r="J242" s="34"/>
      <c r="K242" s="34"/>
      <c r="L242" s="1790" t="str">
        <f>IF(AND(O242&gt;0, NOT(O243="Yes")), "These points are only available to Phased Developments!", "")</f>
        <v/>
      </c>
      <c r="M242" s="119">
        <v>3</v>
      </c>
      <c r="N242" s="5"/>
      <c r="O242" s="1565"/>
      <c r="P242" s="866"/>
      <c r="Q242" s="86" t="s">
        <v>415</v>
      </c>
      <c r="R242" s="778" t="s">
        <v>3924</v>
      </c>
      <c r="S242" s="822"/>
      <c r="T242" s="822"/>
      <c r="U242" s="822"/>
      <c r="V242" s="822"/>
      <c r="W242" s="843"/>
      <c r="X242" s="843"/>
    </row>
    <row r="243" spans="1:27" s="79" customFormat="1" ht="10.199999999999999">
      <c r="A243" s="349"/>
      <c r="B243" s="108" t="s">
        <v>4148</v>
      </c>
      <c r="C243" s="108"/>
      <c r="D243" s="108"/>
      <c r="E243" s="108"/>
      <c r="F243" s="108"/>
      <c r="G243" s="108"/>
      <c r="H243" s="108"/>
      <c r="I243" s="108"/>
      <c r="J243" s="108"/>
      <c r="K243" s="108"/>
      <c r="L243" s="108"/>
      <c r="M243" s="108"/>
      <c r="N243" s="128"/>
      <c r="O243" s="888"/>
      <c r="P243" s="889"/>
      <c r="Q243" s="1544"/>
      <c r="R243" s="456"/>
      <c r="S243" s="456"/>
      <c r="T243" s="456"/>
      <c r="U243" s="456"/>
      <c r="V243" s="456"/>
      <c r="W243" s="456"/>
      <c r="X243" s="456"/>
      <c r="Y243" s="456"/>
      <c r="Z243" s="456"/>
      <c r="AA243" s="456"/>
    </row>
    <row r="244" spans="1:27" s="32" customFormat="1" ht="11.25" customHeight="1">
      <c r="A244" s="306"/>
      <c r="B244" s="349" t="s">
        <v>1838</v>
      </c>
      <c r="C244" s="29" t="s">
        <v>4149</v>
      </c>
      <c r="E244" s="33" t="s">
        <v>3222</v>
      </c>
      <c r="G244" s="1545"/>
      <c r="H244" s="48" t="s">
        <v>573</v>
      </c>
      <c r="I244" s="4495"/>
      <c r="J244" s="4495"/>
      <c r="L244" s="1564" t="s">
        <v>4151</v>
      </c>
      <c r="M244" s="4496"/>
      <c r="N244" s="4496"/>
    </row>
    <row r="245" spans="1:27" s="32" customFormat="1" ht="11.25" customHeight="1">
      <c r="A245" s="306"/>
      <c r="B245" s="349" t="s">
        <v>1840</v>
      </c>
      <c r="C245" s="29" t="s">
        <v>4150</v>
      </c>
      <c r="E245" s="33" t="s">
        <v>3222</v>
      </c>
      <c r="G245" s="1546"/>
      <c r="H245" s="48" t="s">
        <v>573</v>
      </c>
      <c r="I245" s="4624"/>
      <c r="J245" s="4624"/>
      <c r="L245" s="1564" t="s">
        <v>4151</v>
      </c>
      <c r="M245" s="4628"/>
      <c r="N245" s="4628"/>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0" t="s">
        <v>3155</v>
      </c>
      <c r="C247" s="35"/>
      <c r="D247" s="41"/>
      <c r="E247" s="41"/>
      <c r="F247" s="41"/>
      <c r="G247" s="41"/>
      <c r="H247" s="29"/>
      <c r="I247" s="29"/>
      <c r="J247" s="29"/>
      <c r="K247" s="29"/>
      <c r="M247" s="39"/>
      <c r="N247" s="47"/>
      <c r="O247" s="3"/>
      <c r="P247" s="24"/>
    </row>
    <row r="248" spans="1:27" s="36" customFormat="1" ht="21.75" customHeight="1" thickTop="1" thickBot="1">
      <c r="A248" s="4467"/>
      <c r="B248" s="4468"/>
      <c r="C248" s="4468"/>
      <c r="D248" s="4468"/>
      <c r="E248" s="4468"/>
      <c r="F248" s="4468"/>
      <c r="G248" s="4468"/>
      <c r="H248" s="4468"/>
      <c r="I248" s="4468"/>
      <c r="J248" s="4468"/>
      <c r="K248" s="4468"/>
      <c r="L248" s="4468"/>
      <c r="M248" s="4468"/>
      <c r="N248" s="4468"/>
      <c r="O248" s="4468"/>
      <c r="P248" s="4469"/>
      <c r="Q248" s="354" t="s">
        <v>1179</v>
      </c>
    </row>
    <row r="249" spans="1:27" s="36" customFormat="1" ht="10.5" customHeight="1" thickTop="1">
      <c r="B249" s="65" t="s">
        <v>1724</v>
      </c>
      <c r="C249" s="77"/>
      <c r="D249" s="65"/>
      <c r="E249" s="78"/>
      <c r="F249" s="870"/>
      <c r="G249" s="870"/>
      <c r="H249" s="870"/>
      <c r="I249" s="870"/>
      <c r="J249" s="870"/>
      <c r="K249" s="870"/>
      <c r="L249" s="870"/>
      <c r="M249" s="870"/>
      <c r="N249" s="55"/>
      <c r="O249" s="52"/>
      <c r="P249" s="119"/>
    </row>
    <row r="250" spans="1:27" s="36" customFormat="1" ht="11.25" customHeight="1">
      <c r="A250" s="4266"/>
      <c r="B250" s="4267"/>
      <c r="C250" s="4267"/>
      <c r="D250" s="4267"/>
      <c r="E250" s="4267"/>
      <c r="F250" s="4267"/>
      <c r="G250" s="4267"/>
      <c r="H250" s="4267"/>
      <c r="I250" s="4267"/>
      <c r="J250" s="4267"/>
      <c r="K250" s="4267"/>
      <c r="L250" s="4267"/>
      <c r="M250" s="4267"/>
      <c r="N250" s="4267"/>
      <c r="O250" s="4267"/>
      <c r="P250" s="4268"/>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2487</v>
      </c>
      <c r="B252" s="83" t="s">
        <v>3832</v>
      </c>
      <c r="D252" s="34"/>
      <c r="E252" s="44" t="s">
        <v>4157</v>
      </c>
      <c r="G252" s="46"/>
      <c r="L252" s="395" t="str">
        <f>IF(AND(O252&gt;0,NOT($M$55="New Supply")), "Ineligible to score in this section, not New Supply!","")</f>
        <v/>
      </c>
      <c r="M252" s="119">
        <v>5</v>
      </c>
      <c r="N252" s="5"/>
      <c r="O252" s="851">
        <f>MIN($M252,MAX(O253,O254,O255))</f>
        <v>0</v>
      </c>
      <c r="P252" s="851">
        <f>MIN($M252,MAX(P253,P254,P255))</f>
        <v>0</v>
      </c>
      <c r="Q252" s="86" t="s">
        <v>415</v>
      </c>
      <c r="R252" s="778" t="s">
        <v>3924</v>
      </c>
      <c r="S252" s="1547"/>
      <c r="T252" s="1547"/>
      <c r="U252" s="1547"/>
      <c r="V252" s="1547"/>
      <c r="W252" s="843"/>
      <c r="X252" s="843"/>
    </row>
    <row r="253" spans="1:27" s="26" customFormat="1" ht="11.25" customHeight="1">
      <c r="A253" s="107" t="s">
        <v>1835</v>
      </c>
      <c r="B253" s="141" t="s">
        <v>4156</v>
      </c>
      <c r="M253" s="457">
        <v>5</v>
      </c>
      <c r="N253" s="48" t="s">
        <v>1835</v>
      </c>
      <c r="O253" s="1548"/>
      <c r="P253" s="884"/>
      <c r="Q253" s="781" t="str">
        <f>IF(OR($O253=$M253,$O253=$M253-1,$O253=0,$O253=""),"","*CHECK!*")</f>
        <v/>
      </c>
      <c r="R253" s="778" t="s">
        <v>3924</v>
      </c>
      <c r="S253" s="1547"/>
      <c r="T253" s="1547"/>
      <c r="U253" s="1547"/>
      <c r="V253" s="1547"/>
    </row>
    <row r="254" spans="1:27" s="26" customFormat="1" ht="11.25" customHeight="1">
      <c r="A254" s="107" t="s">
        <v>1837</v>
      </c>
      <c r="B254" s="141" t="s">
        <v>4158</v>
      </c>
      <c r="M254" s="457">
        <v>3</v>
      </c>
      <c r="N254" s="48" t="s">
        <v>1837</v>
      </c>
      <c r="O254" s="405"/>
      <c r="P254" s="413"/>
      <c r="Q254" s="781" t="str">
        <f>IF(OR($O254=$M254,$O254=$M254-1,$O254=0,$O254=""),"","*CHECK!*")</f>
        <v/>
      </c>
      <c r="R254" s="778" t="s">
        <v>3924</v>
      </c>
    </row>
    <row r="255" spans="1:27" ht="13.8">
      <c r="A255" s="107" t="s">
        <v>697</v>
      </c>
      <c r="B255" s="141" t="s">
        <v>4159</v>
      </c>
      <c r="E255" s="33" t="s">
        <v>4121</v>
      </c>
      <c r="I255" s="1250"/>
      <c r="L255" s="1507"/>
      <c r="M255" s="457">
        <v>3</v>
      </c>
      <c r="N255" s="48" t="s">
        <v>697</v>
      </c>
      <c r="O255" s="406"/>
      <c r="P255" s="414"/>
      <c r="Q255" s="781" t="str">
        <f>IF(OR($O255=$M255,$O255=$M255-1,$O255=0,$O255=""),"","*CHECK!*")</f>
        <v/>
      </c>
      <c r="R255" s="778" t="s">
        <v>3924</v>
      </c>
    </row>
    <row r="256" spans="1:27" s="36" customFormat="1" ht="10.5" customHeight="1" thickBot="1">
      <c r="A256" s="35"/>
      <c r="B256" s="920" t="s">
        <v>3155</v>
      </c>
      <c r="C256" s="35"/>
      <c r="D256" s="41"/>
      <c r="E256" s="41"/>
      <c r="F256" s="41"/>
      <c r="G256" s="41"/>
      <c r="H256" s="29"/>
      <c r="I256" s="29"/>
      <c r="J256" s="29"/>
      <c r="K256" s="29"/>
      <c r="M256" s="39"/>
      <c r="N256" s="47"/>
      <c r="O256" s="3"/>
      <c r="P256" s="24"/>
    </row>
    <row r="257" spans="1:21" s="36" customFormat="1" ht="21.75" customHeight="1" thickTop="1" thickBot="1">
      <c r="A257" s="4467"/>
      <c r="B257" s="4468"/>
      <c r="C257" s="4468"/>
      <c r="D257" s="4468"/>
      <c r="E257" s="4468"/>
      <c r="F257" s="4468"/>
      <c r="G257" s="4468"/>
      <c r="H257" s="4468"/>
      <c r="I257" s="4468"/>
      <c r="J257" s="4468"/>
      <c r="K257" s="4468"/>
      <c r="L257" s="4468"/>
      <c r="M257" s="4468"/>
      <c r="N257" s="4468"/>
      <c r="O257" s="4468"/>
      <c r="P257" s="4469"/>
      <c r="Q257" s="354" t="s">
        <v>1179</v>
      </c>
    </row>
    <row r="258" spans="1:21" s="36" customFormat="1" ht="10.5" customHeight="1" thickTop="1">
      <c r="B258" s="65" t="s">
        <v>1724</v>
      </c>
      <c r="C258" s="77"/>
      <c r="D258" s="65"/>
      <c r="E258" s="78"/>
      <c r="F258" s="870"/>
      <c r="G258" s="870"/>
      <c r="H258" s="870"/>
      <c r="I258" s="870"/>
      <c r="J258" s="870"/>
      <c r="K258" s="870"/>
      <c r="L258" s="870"/>
      <c r="M258" s="870"/>
      <c r="N258" s="55"/>
      <c r="O258" s="52"/>
      <c r="P258" s="119"/>
    </row>
    <row r="259" spans="1:21" s="36" customFormat="1" ht="11.25" customHeight="1">
      <c r="A259" s="4266"/>
      <c r="B259" s="4267"/>
      <c r="C259" s="4267"/>
      <c r="D259" s="4267"/>
      <c r="E259" s="4267"/>
      <c r="F259" s="4267"/>
      <c r="G259" s="4267"/>
      <c r="H259" s="4267"/>
      <c r="I259" s="4267"/>
      <c r="J259" s="4267"/>
      <c r="K259" s="4267"/>
      <c r="L259" s="4267"/>
      <c r="M259" s="4267"/>
      <c r="N259" s="4267"/>
      <c r="O259" s="4267"/>
      <c r="P259" s="4268"/>
      <c r="Q259" s="353"/>
    </row>
    <row r="260" spans="1:21" ht="6" customHeight="1" thickBot="1">
      <c r="T260" s="828"/>
      <c r="U260" s="828"/>
    </row>
    <row r="261" spans="1:21" s="36" customFormat="1" ht="13.5" customHeight="1" thickBot="1">
      <c r="A261" s="121" t="s">
        <v>2074</v>
      </c>
      <c r="B261" s="83" t="s">
        <v>2507</v>
      </c>
      <c r="D261" s="34"/>
      <c r="E261" s="34"/>
      <c r="F261" s="34"/>
      <c r="H261" s="33"/>
      <c r="J261" s="874"/>
      <c r="K261" s="41"/>
      <c r="L261" s="48" t="s">
        <v>3925</v>
      </c>
      <c r="M261" s="119">
        <v>4</v>
      </c>
      <c r="N261" s="5"/>
      <c r="O261" s="851">
        <f>IF(AND(O262&gt;0,O266&gt;0),"AorB?",MIN($M261,SUM(O262,O266,O268)))</f>
        <v>0</v>
      </c>
      <c r="P261" s="851">
        <f>IF(AND(P262&gt;0,P266&gt;0),"AorB?",MIN($M261,SUM(P262,P266,P268)))</f>
        <v>0</v>
      </c>
      <c r="Q261" s="86" t="s">
        <v>415</v>
      </c>
      <c r="T261" s="828"/>
      <c r="U261" s="828"/>
    </row>
    <row r="262" spans="1:21" s="70" customFormat="1" ht="11.25" customHeight="1">
      <c r="A262" s="107" t="s">
        <v>1835</v>
      </c>
      <c r="B262" s="141" t="s">
        <v>2059</v>
      </c>
      <c r="D262" s="46"/>
      <c r="E262" s="46"/>
      <c r="F262" s="37"/>
      <c r="G262"/>
      <c r="L262" s="307"/>
      <c r="M262" s="457">
        <v>3</v>
      </c>
      <c r="N262" s="48" t="s">
        <v>1835</v>
      </c>
      <c r="O262" s="1128">
        <f>IF(OR(AND(O263="Yes",O264="Yes",O265="Yes"),AND(O263="Yes",O265="Yes"),AND(O264="Yes",O265="Yes"),AND(O263="Yes",O264="Yes")),"choose",IF(O263="Yes",$M$263,IF(O264="Yes",$M$264, IF(O265="Yes",$M$265,0))))</f>
        <v>0</v>
      </c>
      <c r="P262" s="1128">
        <f>IF(OR(AND(P263="Yes",P264="Yes",P265="Yes"),AND(P263="Yes",P265="Yes"),AND(P264="Yes",P265="Yes"),AND(P263="Yes",P264="Yes")),"choose",IF(P263="Yes",$M$263,IF(P264="Yes",$M$264, IF(P265="Yes",$M$265,0))))</f>
        <v>0</v>
      </c>
      <c r="Q262" s="781"/>
      <c r="R262" s="850"/>
      <c r="T262" s="828"/>
      <c r="U262" s="828"/>
    </row>
    <row r="263" spans="1:21" s="70" customFormat="1" ht="11.25" customHeight="1">
      <c r="A263" s="107"/>
      <c r="B263" s="306" t="s">
        <v>1838</v>
      </c>
      <c r="C263" s="33" t="s">
        <v>4501</v>
      </c>
      <c r="D263" s="46"/>
      <c r="E263" s="46"/>
      <c r="F263" s="37"/>
      <c r="G263"/>
      <c r="L263" s="307"/>
      <c r="M263" s="457">
        <v>3</v>
      </c>
      <c r="N263" s="150" t="s">
        <v>1838</v>
      </c>
      <c r="O263" s="175"/>
      <c r="P263" s="418"/>
      <c r="Q263" s="781"/>
      <c r="R263" s="850"/>
      <c r="T263" s="828"/>
      <c r="U263" s="828"/>
    </row>
    <row r="264" spans="1:21" s="70" customFormat="1" ht="11.25" customHeight="1">
      <c r="A264" s="107"/>
      <c r="B264" s="349" t="s">
        <v>1840</v>
      </c>
      <c r="C264" s="33" t="s">
        <v>4502</v>
      </c>
      <c r="D264" s="46"/>
      <c r="E264" s="46"/>
      <c r="F264" s="37"/>
      <c r="G264"/>
      <c r="L264" s="307"/>
      <c r="M264" s="457">
        <v>2</v>
      </c>
      <c r="N264" s="150" t="s">
        <v>1840</v>
      </c>
      <c r="O264" s="299"/>
      <c r="P264" s="419"/>
      <c r="Q264" s="781"/>
      <c r="R264" s="850"/>
      <c r="T264" s="828"/>
      <c r="U264" s="828"/>
    </row>
    <row r="265" spans="1:21" s="70" customFormat="1" ht="10.5" customHeight="1">
      <c r="A265" s="107"/>
      <c r="B265" s="349" t="s">
        <v>2325</v>
      </c>
      <c r="C265" s="33" t="s">
        <v>4503</v>
      </c>
      <c r="D265" s="46"/>
      <c r="E265" s="46"/>
      <c r="F265" s="37"/>
      <c r="G265"/>
      <c r="K265" s="48"/>
      <c r="M265" s="457">
        <v>1</v>
      </c>
      <c r="N265" s="150" t="s">
        <v>2325</v>
      </c>
      <c r="O265" s="176"/>
      <c r="P265" s="420"/>
      <c r="R265" s="236"/>
      <c r="T265" s="828"/>
      <c r="U265" s="828"/>
    </row>
    <row r="266" spans="1:21" s="36" customFormat="1" ht="11.25" customHeight="1">
      <c r="A266" s="107" t="s">
        <v>1837</v>
      </c>
      <c r="B266" s="141" t="s">
        <v>3824</v>
      </c>
      <c r="D266" s="32"/>
      <c r="K266" s="29"/>
      <c r="L266" s="307" t="str">
        <f>IF(OR($O266=$M266,$O266=0,$O266=""),"","* * Check Score! * *")</f>
        <v/>
      </c>
      <c r="M266" s="457">
        <v>1</v>
      </c>
      <c r="N266" s="48" t="s">
        <v>1837</v>
      </c>
      <c r="O266" s="887">
        <f>IF(O267="Yes",$M$266,0)</f>
        <v>0</v>
      </c>
      <c r="P266" s="887">
        <f>IF(P267="Yes",$M$266,0)</f>
        <v>0</v>
      </c>
      <c r="Q266" s="781" t="str">
        <f>IF(OR($O266=$M266,$O266=0,$O266=""),"","*CHECK!*")</f>
        <v/>
      </c>
      <c r="R266" s="850"/>
      <c r="T266" s="828"/>
      <c r="U266" s="828"/>
    </row>
    <row r="267" spans="1:21" s="36" customFormat="1" ht="12" customHeight="1">
      <c r="A267" s="121"/>
      <c r="B267" s="4249" t="s">
        <v>4504</v>
      </c>
      <c r="C267" s="4249"/>
      <c r="D267" s="4249"/>
      <c r="E267" s="4249"/>
      <c r="F267" s="4249"/>
      <c r="G267" s="4249"/>
      <c r="H267" s="4249"/>
      <c r="I267" s="4249"/>
      <c r="J267" s="4249"/>
      <c r="K267" s="4249"/>
      <c r="L267" s="4249"/>
      <c r="M267" s="5"/>
      <c r="N267" s="48"/>
      <c r="O267" s="921"/>
      <c r="P267" s="922"/>
      <c r="Q267" s="236"/>
      <c r="R267" s="307"/>
      <c r="T267" s="828"/>
      <c r="U267" s="828"/>
    </row>
    <row r="268" spans="1:21" s="36" customFormat="1" ht="11.25" customHeight="1">
      <c r="A268" s="107" t="s">
        <v>697</v>
      </c>
      <c r="B268" s="141" t="s">
        <v>3699</v>
      </c>
      <c r="D268" s="32"/>
      <c r="H268" s="147"/>
      <c r="K268" s="29"/>
      <c r="L268" s="307"/>
      <c r="M268" s="457">
        <v>1</v>
      </c>
      <c r="N268" s="48" t="s">
        <v>697</v>
      </c>
      <c r="O268" s="887">
        <f>IF(O262=0,0,IF(O269="Yes",$M$268,0))</f>
        <v>0</v>
      </c>
      <c r="P268" s="887">
        <f>IF(P262=0,0,IF(P269="Yes",$M$268,0))</f>
        <v>0</v>
      </c>
      <c r="Q268" s="781" t="str">
        <f>IF(OR($O268=$M268,$O268=0,$O268=""),"","*CHECK!*")</f>
        <v/>
      </c>
      <c r="R268" s="850"/>
      <c r="T268" s="828"/>
      <c r="U268" s="828"/>
    </row>
    <row r="269" spans="1:21" s="36" customFormat="1" ht="33.75" customHeight="1">
      <c r="B269" s="4227" t="s">
        <v>4505</v>
      </c>
      <c r="C269" s="4227"/>
      <c r="D269" s="4227"/>
      <c r="E269" s="4227"/>
      <c r="F269" s="4227"/>
      <c r="G269" s="4227"/>
      <c r="H269" s="4227"/>
      <c r="I269" s="4227"/>
      <c r="J269" s="4227"/>
      <c r="K269" s="4227"/>
      <c r="L269" s="4227"/>
      <c r="M269" s="5"/>
      <c r="N269" s="48"/>
      <c r="O269" s="879"/>
      <c r="P269" s="878"/>
      <c r="Q269" s="236"/>
      <c r="R269" s="307"/>
      <c r="T269" s="828"/>
      <c r="U269" s="828"/>
    </row>
    <row r="270" spans="1:21" s="36" customFormat="1" ht="22.5" customHeight="1">
      <c r="B270" s="4227" t="s">
        <v>4122</v>
      </c>
      <c r="C270" s="4227"/>
      <c r="D270" s="4227"/>
      <c r="E270" s="4227"/>
      <c r="F270" s="4227"/>
      <c r="G270" s="4227"/>
      <c r="H270" s="4227"/>
      <c r="I270" s="4227"/>
      <c r="J270" s="4227"/>
      <c r="K270" s="4227"/>
      <c r="L270" s="4227"/>
      <c r="M270" s="5"/>
      <c r="N270" s="5"/>
      <c r="O270" s="5"/>
      <c r="P270" s="5"/>
      <c r="Q270" s="236"/>
      <c r="R270" s="307"/>
      <c r="T270" s="828"/>
      <c r="U270" s="828"/>
    </row>
    <row r="271" spans="1:21" s="36" customFormat="1" ht="10.5" customHeight="1">
      <c r="A271" s="35"/>
      <c r="B271" s="65" t="s">
        <v>1724</v>
      </c>
      <c r="C271" s="77"/>
      <c r="D271" s="65"/>
      <c r="E271" s="78"/>
      <c r="F271" s="870"/>
      <c r="G271" s="870"/>
      <c r="H271" s="870"/>
      <c r="I271" s="870"/>
      <c r="J271" s="870"/>
      <c r="K271" s="870"/>
      <c r="L271" s="870"/>
      <c r="M271" s="870"/>
      <c r="N271" s="55"/>
      <c r="O271" s="52"/>
      <c r="P271" s="119"/>
    </row>
    <row r="272" spans="1:21" s="36" customFormat="1" ht="11.25" customHeight="1">
      <c r="A272" s="4266"/>
      <c r="B272" s="4267"/>
      <c r="C272" s="4267"/>
      <c r="D272" s="4267"/>
      <c r="E272" s="4267"/>
      <c r="F272" s="4267"/>
      <c r="G272" s="4267"/>
      <c r="H272" s="4267"/>
      <c r="I272" s="4267"/>
      <c r="J272" s="4267"/>
      <c r="K272" s="4267"/>
      <c r="L272" s="4267"/>
      <c r="M272" s="4267"/>
      <c r="N272" s="4267"/>
      <c r="O272" s="4267"/>
      <c r="P272" s="4268"/>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3279</v>
      </c>
      <c r="B274" s="83" t="s">
        <v>4461</v>
      </c>
      <c r="D274" s="38"/>
      <c r="E274" s="38"/>
      <c r="G274" s="1527"/>
      <c r="H274" s="147"/>
      <c r="I274" s="1525" t="s">
        <v>4035</v>
      </c>
      <c r="J274" s="1819" t="str">
        <f>M60</f>
        <v>&lt;&lt; Select Pool &gt;&gt;</v>
      </c>
      <c r="K274" s="147"/>
      <c r="L274" s="395" t="str">
        <f>IF(NOT(J274="Atlanta Metro"),"Atlanta Metro Pool not selected!",IF(AND(O276="Yes",O277="Yes"),"Choose A or B!",""))</f>
        <v>Atlanta Metro Pool not selected!</v>
      </c>
      <c r="M274" s="119">
        <v>2</v>
      </c>
      <c r="N274" s="5"/>
      <c r="O274" s="851">
        <f>IF(AND($J$274="Atlanta Metro",O276="Yes"),$M$276,IF(AND($J$274="Atlanta Metro",O277="Yes"),$M$277,0))</f>
        <v>0</v>
      </c>
      <c r="P274" s="851">
        <f>IF(AND($J$274="Atlanta Metro",P276="Yes"),$M$276,IF(AND($J$274="Atlanta Metro",P277="Yes"),$M$277,0))</f>
        <v>0</v>
      </c>
      <c r="Q274" s="86" t="s">
        <v>415</v>
      </c>
      <c r="R274" s="1532"/>
      <c r="S274" s="1532"/>
      <c r="T274" s="1532"/>
      <c r="U274" s="1532"/>
      <c r="V274" s="1532"/>
    </row>
    <row r="275" spans="1:24" s="70" customFormat="1" ht="3" customHeight="1">
      <c r="A275" s="120"/>
      <c r="B275" s="83"/>
      <c r="D275" s="38"/>
      <c r="E275" s="38"/>
      <c r="G275" s="147"/>
      <c r="M275" s="455"/>
      <c r="Q275" s="86"/>
      <c r="R275" s="1532"/>
      <c r="S275" s="1532"/>
      <c r="T275" s="1532"/>
      <c r="U275" s="1532"/>
      <c r="V275" s="1532"/>
      <c r="W275" s="36"/>
      <c r="X275" s="36"/>
    </row>
    <row r="276" spans="1:24" ht="11.25" customHeight="1">
      <c r="A276" s="671" t="s">
        <v>1835</v>
      </c>
      <c r="B276" s="868" t="s">
        <v>4462</v>
      </c>
      <c r="D276" s="371"/>
      <c r="E276" s="371"/>
      <c r="F276" s="371"/>
      <c r="G276" s="371"/>
      <c r="H276" s="371"/>
      <c r="L276" s="371"/>
      <c r="M276" s="865">
        <v>1</v>
      </c>
      <c r="N276" s="48" t="s">
        <v>1835</v>
      </c>
      <c r="O276" s="175"/>
      <c r="P276" s="418"/>
      <c r="Q276" s="791">
        <f>IF(L276="Yes",1,0)</f>
        <v>0</v>
      </c>
      <c r="R276" s="1532"/>
      <c r="S276" s="1532"/>
      <c r="T276" s="1532"/>
      <c r="U276" s="1532"/>
      <c r="V276" s="1532"/>
    </row>
    <row r="277" spans="1:24" ht="11.25" customHeight="1">
      <c r="A277" s="671" t="s">
        <v>1837</v>
      </c>
      <c r="B277" s="868" t="s">
        <v>4463</v>
      </c>
      <c r="D277" s="371"/>
      <c r="L277" s="371"/>
      <c r="M277" s="865">
        <v>2</v>
      </c>
      <c r="N277" s="48" t="s">
        <v>1837</v>
      </c>
      <c r="O277" s="176"/>
      <c r="P277" s="420"/>
      <c r="Q277" s="791">
        <f>IF(L277="Yes",1,0)</f>
        <v>0</v>
      </c>
      <c r="R277" s="1532"/>
      <c r="S277" s="1532"/>
      <c r="T277" s="1532"/>
      <c r="U277" s="1532"/>
      <c r="V277" s="1532"/>
    </row>
    <row r="278" spans="1:24" ht="11.25" customHeight="1">
      <c r="B278" s="241" t="s">
        <v>4564</v>
      </c>
      <c r="D278" s="371"/>
      <c r="L278" s="371"/>
      <c r="M278" s="865"/>
      <c r="N278" s="865"/>
      <c r="O278" s="865"/>
      <c r="P278" s="865"/>
      <c r="Q278" s="791"/>
      <c r="R278" s="1532"/>
      <c r="S278" s="1532"/>
      <c r="T278" s="1532"/>
      <c r="U278" s="1532"/>
      <c r="V278" s="1532"/>
    </row>
    <row r="279" spans="1:24" ht="38.25" customHeight="1">
      <c r="B279" s="4645"/>
      <c r="C279" s="4646"/>
      <c r="D279" s="4646"/>
      <c r="E279" s="4646"/>
      <c r="F279" s="4646"/>
      <c r="G279" s="4646"/>
      <c r="H279" s="4646"/>
      <c r="I279" s="4646"/>
      <c r="J279" s="4646"/>
      <c r="K279" s="4646"/>
      <c r="L279" s="4646"/>
      <c r="M279" s="4646"/>
      <c r="N279" s="4646"/>
      <c r="O279" s="4646"/>
      <c r="P279" s="4647"/>
      <c r="Q279" s="791"/>
      <c r="R279" s="1532"/>
      <c r="S279" s="1532"/>
      <c r="T279" s="1532"/>
      <c r="U279" s="1532"/>
      <c r="V279" s="1532"/>
    </row>
    <row r="280" spans="1:24" s="36" customFormat="1" ht="10.5" customHeight="1" thickBot="1">
      <c r="A280" s="35"/>
      <c r="B280" s="920" t="s">
        <v>3155</v>
      </c>
      <c r="C280" s="35"/>
      <c r="D280" s="41"/>
      <c r="E280" s="41"/>
      <c r="F280" s="41"/>
      <c r="G280" s="41"/>
      <c r="H280" s="29"/>
      <c r="I280" s="29"/>
      <c r="J280" s="29"/>
      <c r="K280" s="29"/>
      <c r="M280" s="39"/>
      <c r="N280" s="47"/>
      <c r="O280" s="3"/>
      <c r="P280" s="24"/>
      <c r="R280" s="1532"/>
      <c r="S280" s="1532"/>
      <c r="T280" s="1532"/>
      <c r="U280" s="1532"/>
      <c r="V280" s="1532"/>
    </row>
    <row r="281" spans="1:24" s="36" customFormat="1" ht="34.950000000000003" customHeight="1" thickTop="1" thickBot="1">
      <c r="A281" s="4467"/>
      <c r="B281" s="4468"/>
      <c r="C281" s="4468"/>
      <c r="D281" s="4468"/>
      <c r="E281" s="4468"/>
      <c r="F281" s="4468"/>
      <c r="G281" s="4468"/>
      <c r="H281" s="4468"/>
      <c r="I281" s="4468"/>
      <c r="J281" s="4468"/>
      <c r="K281" s="4468"/>
      <c r="L281" s="4468"/>
      <c r="M281" s="4468"/>
      <c r="N281" s="4468"/>
      <c r="O281" s="4468"/>
      <c r="P281" s="4469"/>
      <c r="Q281" s="354" t="s">
        <v>1179</v>
      </c>
    </row>
    <row r="282" spans="1:24" s="36" customFormat="1" ht="10.5" customHeight="1" thickTop="1">
      <c r="A282" s="35"/>
      <c r="B282" s="65" t="s">
        <v>1724</v>
      </c>
      <c r="C282" s="35"/>
      <c r="D282" s="65"/>
      <c r="E282" s="870"/>
      <c r="F282" s="870"/>
      <c r="G282" s="870"/>
      <c r="H282" s="870"/>
      <c r="I282" s="870"/>
      <c r="J282" s="870"/>
      <c r="K282" s="870"/>
      <c r="L282" s="870"/>
      <c r="M282" s="870"/>
      <c r="N282" s="55"/>
      <c r="O282" s="52"/>
      <c r="P282" s="119"/>
    </row>
    <row r="283" spans="1:24" s="36" customFormat="1" ht="11.25" customHeight="1">
      <c r="A283" s="4526"/>
      <c r="B283" s="4527"/>
      <c r="C283" s="4527"/>
      <c r="D283" s="4527"/>
      <c r="E283" s="4527"/>
      <c r="F283" s="4527"/>
      <c r="G283" s="4527"/>
      <c r="H283" s="4527"/>
      <c r="I283" s="4527"/>
      <c r="J283" s="4527"/>
      <c r="K283" s="4527"/>
      <c r="L283" s="4527"/>
      <c r="M283" s="4527"/>
      <c r="N283" s="4527"/>
      <c r="O283" s="4527"/>
      <c r="P283" s="4528"/>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3280</v>
      </c>
      <c r="B285" s="83" t="s">
        <v>4466</v>
      </c>
      <c r="D285" s="38"/>
      <c r="E285" s="38"/>
      <c r="G285" s="1527"/>
      <c r="H285" s="147"/>
      <c r="I285" s="147" t="s">
        <v>4583</v>
      </c>
      <c r="J285" s="147"/>
      <c r="K285" s="147"/>
      <c r="L285" s="1814" t="str">
        <f>IF(AND(O295&gt;0,O298&gt;0), "Choose only one option!","")</f>
        <v/>
      </c>
      <c r="M285" s="119">
        <v>2</v>
      </c>
      <c r="N285" s="5"/>
      <c r="O285" s="851">
        <f>IF(O295=$M$295,$M$295,IF(O298=$M$298,$M$298,0))</f>
        <v>0</v>
      </c>
      <c r="P285" s="851">
        <f>IF(P295=$M$295,$M$295,IF(P298=$M$298,$M$298,0))</f>
        <v>0</v>
      </c>
      <c r="Q285" s="86" t="s">
        <v>415</v>
      </c>
      <c r="R285" s="1532"/>
      <c r="S285" s="1532"/>
      <c r="T285" s="1532"/>
      <c r="U285" s="1532"/>
      <c r="V285" s="1532"/>
    </row>
    <row r="286" spans="1:24" s="70" customFormat="1" ht="11.25" customHeight="1">
      <c r="A286" s="120"/>
      <c r="B286" s="29" t="s">
        <v>4577</v>
      </c>
      <c r="D286" s="38"/>
      <c r="E286" s="38"/>
      <c r="G286" s="147"/>
      <c r="J286" s="1244"/>
      <c r="M286" s="455"/>
      <c r="Q286" s="86"/>
      <c r="R286" s="1532"/>
      <c r="S286" s="1532"/>
      <c r="T286" s="1532"/>
      <c r="U286" s="1532"/>
      <c r="V286" s="1532"/>
      <c r="W286" s="36"/>
      <c r="X286" s="36"/>
    </row>
    <row r="287" spans="1:24" s="70" customFormat="1" ht="11.25" customHeight="1">
      <c r="A287" s="120"/>
      <c r="C287" s="29" t="s">
        <v>4574</v>
      </c>
      <c r="G287" s="147"/>
      <c r="I287" s="4673"/>
      <c r="J287" s="4674"/>
      <c r="K287" s="4675"/>
      <c r="L287" s="4676"/>
      <c r="M287" s="455"/>
      <c r="O287" s="1808"/>
      <c r="P287" s="1809"/>
      <c r="Q287" s="86"/>
      <c r="R287" s="1532"/>
      <c r="S287" s="1532"/>
      <c r="T287" s="1532"/>
      <c r="U287" s="1532"/>
      <c r="V287" s="1532"/>
      <c r="W287" s="36"/>
      <c r="X287" s="36"/>
    </row>
    <row r="288" spans="1:24" s="70" customFormat="1" ht="11.25" customHeight="1">
      <c r="A288" s="120"/>
      <c r="C288" s="29" t="s">
        <v>4573</v>
      </c>
      <c r="G288" s="147"/>
      <c r="I288" s="4677"/>
      <c r="J288" s="4678"/>
      <c r="M288" s="455"/>
      <c r="O288" s="1808"/>
      <c r="P288" s="1809"/>
      <c r="Q288" s="86"/>
      <c r="R288" s="1532"/>
      <c r="S288" s="1532"/>
      <c r="T288" s="1532"/>
      <c r="U288" s="1532"/>
      <c r="V288" s="1532"/>
      <c r="W288" s="36"/>
      <c r="X288" s="36"/>
    </row>
    <row r="289" spans="1:24" s="70" customFormat="1" ht="11.25" customHeight="1">
      <c r="A289" s="120"/>
      <c r="C289" s="29" t="s">
        <v>4575</v>
      </c>
      <c r="G289" s="147"/>
      <c r="I289" s="4679" t="s">
        <v>4576</v>
      </c>
      <c r="J289" s="4680"/>
      <c r="K289" s="4681"/>
      <c r="L289" s="4682"/>
      <c r="M289" s="455"/>
      <c r="O289" s="4683" t="s">
        <v>3063</v>
      </c>
      <c r="P289" s="4683" t="s">
        <v>3064</v>
      </c>
      <c r="Q289" s="86"/>
      <c r="R289" s="1532"/>
      <c r="S289" s="1532"/>
      <c r="T289" s="1532"/>
      <c r="U289" s="1532"/>
      <c r="V289" s="1532"/>
      <c r="W289" s="36"/>
      <c r="X289" s="36"/>
    </row>
    <row r="290" spans="1:24" s="36" customFormat="1" ht="11.25" customHeight="1">
      <c r="A290" s="120"/>
      <c r="B290" s="29" t="s">
        <v>4470</v>
      </c>
      <c r="D290" s="34"/>
      <c r="H290" s="141"/>
      <c r="M290" s="119"/>
      <c r="N290" s="48"/>
      <c r="O290" s="4684"/>
      <c r="P290" s="4684"/>
      <c r="Q290" s="86"/>
      <c r="R290" s="862"/>
      <c r="S290" s="862"/>
      <c r="T290" s="862"/>
      <c r="U290" s="862"/>
    </row>
    <row r="291" spans="1:24" s="36" customFormat="1" ht="11.25" customHeight="1">
      <c r="A291" s="1807"/>
      <c r="B291" s="128" t="s">
        <v>2233</v>
      </c>
      <c r="C291" s="29" t="s">
        <v>4469</v>
      </c>
      <c r="D291" s="863"/>
      <c r="E291" s="70"/>
      <c r="F291" s="70"/>
      <c r="G291" s="70"/>
      <c r="H291" s="38"/>
      <c r="N291" s="128" t="s">
        <v>2233</v>
      </c>
      <c r="O291" s="175"/>
      <c r="P291" s="418"/>
      <c r="Q291" s="86"/>
      <c r="R291" s="862"/>
      <c r="S291" s="862"/>
      <c r="T291" s="862"/>
      <c r="U291" s="862"/>
    </row>
    <row r="292" spans="1:24" s="36" customFormat="1" ht="11.25" customHeight="1">
      <c r="A292" s="1807"/>
      <c r="B292" s="49" t="s">
        <v>2234</v>
      </c>
      <c r="C292" s="44" t="s">
        <v>4582</v>
      </c>
      <c r="D292" s="863"/>
      <c r="E292" s="70"/>
      <c r="F292" s="70"/>
      <c r="G292" s="70"/>
      <c r="H292" s="38"/>
      <c r="M292" s="70"/>
      <c r="N292" s="49" t="s">
        <v>2234</v>
      </c>
      <c r="O292" s="299"/>
      <c r="P292" s="419"/>
      <c r="Q292" s="86"/>
      <c r="R292" s="862"/>
      <c r="S292" s="862"/>
      <c r="T292" s="862"/>
      <c r="U292" s="862"/>
    </row>
    <row r="293" spans="1:24" s="36" customFormat="1" ht="11.25" customHeight="1">
      <c r="A293" s="1807"/>
      <c r="B293" s="49" t="s">
        <v>2235</v>
      </c>
      <c r="C293" s="29" t="s">
        <v>4471</v>
      </c>
      <c r="D293" s="863"/>
      <c r="E293" s="70"/>
      <c r="F293" s="70"/>
      <c r="G293" s="70"/>
      <c r="H293" s="38"/>
      <c r="I293" s="42"/>
      <c r="J293" s="41"/>
      <c r="K293" s="41"/>
      <c r="L293" s="70"/>
      <c r="M293" s="70"/>
      <c r="N293" s="49" t="s">
        <v>2235</v>
      </c>
      <c r="O293" s="176"/>
      <c r="P293" s="420"/>
      <c r="Q293" s="86"/>
      <c r="R293" s="862"/>
      <c r="S293" s="862"/>
      <c r="T293" s="862"/>
      <c r="U293" s="862"/>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1" t="s">
        <v>1835</v>
      </c>
      <c r="B295" s="868" t="s">
        <v>4467</v>
      </c>
      <c r="D295" s="371"/>
      <c r="E295" s="371"/>
      <c r="G295" s="371" t="s">
        <v>4475</v>
      </c>
      <c r="H295" s="371"/>
      <c r="L295" s="371"/>
      <c r="M295" s="865">
        <v>2</v>
      </c>
      <c r="N295" s="48" t="s">
        <v>1835</v>
      </c>
      <c r="O295" s="882"/>
      <c r="P295" s="866"/>
      <c r="Q295" s="1733" t="str">
        <f>IF(OR(O295=0,O295="",O295=$M295),"","Check!")</f>
        <v/>
      </c>
      <c r="R295" s="850" t="s">
        <v>2451</v>
      </c>
      <c r="S295" s="1532"/>
      <c r="T295" s="1532"/>
      <c r="U295" s="1532"/>
      <c r="V295" s="1532"/>
    </row>
    <row r="296" spans="1:24" s="331" customFormat="1" ht="21.75" customHeight="1">
      <c r="A296" s="1511"/>
      <c r="B296" s="349" t="s">
        <v>1838</v>
      </c>
      <c r="C296" s="4227" t="s">
        <v>4476</v>
      </c>
      <c r="D296" s="4227"/>
      <c r="E296" s="4227"/>
      <c r="F296" s="4227"/>
      <c r="G296" s="4227"/>
      <c r="H296" s="4227"/>
      <c r="I296" s="4227"/>
      <c r="J296" s="4227"/>
      <c r="K296" s="4227"/>
      <c r="L296" s="4227"/>
      <c r="M296" s="4227"/>
      <c r="N296" s="150" t="s">
        <v>1838</v>
      </c>
      <c r="O296" s="1215"/>
      <c r="P296" s="1216"/>
      <c r="Q296" s="330"/>
      <c r="R296" s="1732"/>
      <c r="S296" s="1732"/>
      <c r="T296" s="1732"/>
      <c r="U296" s="1732"/>
    </row>
    <row r="297" spans="1:24" s="331" customFormat="1" ht="21.75" customHeight="1" thickBot="1">
      <c r="A297" s="1511"/>
      <c r="B297" s="349" t="s">
        <v>1840</v>
      </c>
      <c r="C297" s="4227" t="s">
        <v>4477</v>
      </c>
      <c r="D297" s="4227"/>
      <c r="E297" s="4227"/>
      <c r="F297" s="4227"/>
      <c r="G297" s="4227"/>
      <c r="H297" s="4227"/>
      <c r="I297" s="4227"/>
      <c r="J297" s="4227"/>
      <c r="K297" s="4227"/>
      <c r="L297" s="4227"/>
      <c r="M297" s="4227"/>
      <c r="N297" s="150" t="s">
        <v>1840</v>
      </c>
      <c r="O297" s="879"/>
      <c r="P297" s="878"/>
      <c r="Q297" s="330"/>
      <c r="R297" s="1732"/>
      <c r="S297" s="1732"/>
      <c r="T297" s="1732"/>
      <c r="U297" s="1732"/>
    </row>
    <row r="298" spans="1:24" ht="11.25" customHeight="1" thickBot="1">
      <c r="A298" s="671" t="s">
        <v>1837</v>
      </c>
      <c r="B298" s="868" t="s">
        <v>4468</v>
      </c>
      <c r="D298" s="371"/>
      <c r="G298" s="44" t="s">
        <v>4478</v>
      </c>
      <c r="L298" s="371"/>
      <c r="M298" s="865">
        <v>2</v>
      </c>
      <c r="N298" s="48" t="s">
        <v>1837</v>
      </c>
      <c r="O298" s="882"/>
      <c r="P298" s="866"/>
      <c r="Q298" s="1733" t="str">
        <f>IF(OR(O298=0,O298="",O298=$M298),"","Check!")</f>
        <v/>
      </c>
      <c r="R298" s="850" t="s">
        <v>2451</v>
      </c>
      <c r="S298" s="1532"/>
      <c r="T298" s="1532"/>
      <c r="U298" s="1532"/>
      <c r="V298" s="1532"/>
    </row>
    <row r="299" spans="1:24" s="331" customFormat="1" ht="10.5" customHeight="1">
      <c r="A299" s="1511"/>
      <c r="B299" s="349" t="s">
        <v>1838</v>
      </c>
      <c r="C299" s="4227" t="s">
        <v>4479</v>
      </c>
      <c r="D299" s="4227"/>
      <c r="E299" s="4227"/>
      <c r="F299" s="4227"/>
      <c r="G299" s="4227"/>
      <c r="H299" s="4227"/>
      <c r="I299" s="4227"/>
      <c r="J299" s="4227"/>
      <c r="K299" s="4227"/>
      <c r="L299" s="4227"/>
      <c r="M299" s="4227"/>
      <c r="N299" s="150" t="s">
        <v>1838</v>
      </c>
      <c r="O299" s="1215"/>
      <c r="P299" s="1216"/>
      <c r="Q299" s="330"/>
      <c r="R299" s="1732"/>
      <c r="S299" s="1732"/>
      <c r="T299" s="1732"/>
      <c r="U299" s="1732"/>
    </row>
    <row r="300" spans="1:24" s="331" customFormat="1" ht="10.5" customHeight="1">
      <c r="A300" s="1511"/>
      <c r="B300" s="349" t="s">
        <v>1840</v>
      </c>
      <c r="C300" s="4227" t="s">
        <v>4480</v>
      </c>
      <c r="D300" s="4227"/>
      <c r="E300" s="4227"/>
      <c r="F300" s="4227"/>
      <c r="G300" s="4227"/>
      <c r="H300" s="4227"/>
      <c r="I300" s="4227"/>
      <c r="J300" s="4227"/>
      <c r="K300" s="4227"/>
      <c r="L300" s="4227"/>
      <c r="M300" s="4227"/>
      <c r="N300" s="150" t="s">
        <v>1840</v>
      </c>
      <c r="O300" s="879"/>
      <c r="P300" s="878"/>
      <c r="Q300" s="330"/>
      <c r="R300" s="1732"/>
      <c r="S300" s="1732"/>
      <c r="T300" s="1732"/>
      <c r="U300" s="1732"/>
    </row>
    <row r="301" spans="1:24" s="331" customFormat="1" ht="10.5" customHeight="1">
      <c r="A301" s="1511"/>
      <c r="B301" s="349" t="s">
        <v>2325</v>
      </c>
      <c r="C301" s="670" t="s">
        <v>4578</v>
      </c>
      <c r="D301" s="870"/>
      <c r="E301" s="870"/>
      <c r="F301" s="870"/>
      <c r="G301" s="870"/>
      <c r="H301" s="870"/>
      <c r="I301" s="870"/>
      <c r="J301" s="870"/>
      <c r="K301" s="870"/>
      <c r="L301" s="870"/>
      <c r="M301" s="870"/>
      <c r="N301" s="150" t="s">
        <v>2325</v>
      </c>
      <c r="O301" s="870"/>
      <c r="P301" s="870"/>
      <c r="Q301" s="330"/>
      <c r="R301" s="1732"/>
      <c r="S301" s="1732"/>
      <c r="T301" s="1732"/>
      <c r="U301" s="1732"/>
    </row>
    <row r="302" spans="1:24" s="36" customFormat="1" ht="11.25" customHeight="1">
      <c r="A302" s="120"/>
      <c r="B302" s="128" t="s">
        <v>2233</v>
      </c>
      <c r="C302" s="29" t="s">
        <v>4481</v>
      </c>
      <c r="D302" s="863"/>
      <c r="E302" s="70"/>
      <c r="F302" s="70"/>
      <c r="G302" s="70"/>
      <c r="H302" s="38"/>
      <c r="I302" s="42"/>
      <c r="M302" s="119"/>
      <c r="N302" s="128" t="s">
        <v>2233</v>
      </c>
      <c r="O302" s="175"/>
      <c r="P302" s="418"/>
      <c r="Q302" s="86"/>
      <c r="R302" s="862"/>
      <c r="S302" s="862"/>
      <c r="T302" s="862"/>
      <c r="U302" s="862"/>
    </row>
    <row r="303" spans="1:24" s="36" customFormat="1" ht="11.25" customHeight="1">
      <c r="A303" s="120"/>
      <c r="B303" s="49" t="s">
        <v>2234</v>
      </c>
      <c r="C303" s="29" t="s">
        <v>4482</v>
      </c>
      <c r="D303" s="863"/>
      <c r="E303" s="70"/>
      <c r="F303" s="70"/>
      <c r="G303" s="70"/>
      <c r="H303" s="38"/>
      <c r="I303" s="42"/>
      <c r="J303" s="41"/>
      <c r="K303" s="41"/>
      <c r="L303" s="70"/>
      <c r="M303" s="70"/>
      <c r="N303" s="49" t="s">
        <v>2234</v>
      </c>
      <c r="O303" s="299"/>
      <c r="P303" s="419"/>
      <c r="Q303" s="86"/>
      <c r="R303" s="862"/>
      <c r="S303" s="862"/>
      <c r="T303" s="862"/>
      <c r="U303" s="862"/>
    </row>
    <row r="304" spans="1:24" s="331" customFormat="1" ht="21.75" customHeight="1">
      <c r="A304" s="1511"/>
      <c r="B304" s="349" t="s">
        <v>1149</v>
      </c>
      <c r="C304" s="4227" t="s">
        <v>4483</v>
      </c>
      <c r="D304" s="4227"/>
      <c r="E304" s="4227"/>
      <c r="F304" s="4227"/>
      <c r="G304" s="4227"/>
      <c r="H304" s="4227"/>
      <c r="I304" s="4227"/>
      <c r="J304" s="4227"/>
      <c r="K304" s="4227"/>
      <c r="L304" s="4227"/>
      <c r="M304" s="4227"/>
      <c r="N304" s="150" t="s">
        <v>1149</v>
      </c>
      <c r="O304" s="879"/>
      <c r="P304" s="878"/>
      <c r="Q304" s="330"/>
      <c r="R304" s="1732"/>
      <c r="S304" s="1732"/>
      <c r="T304" s="1732"/>
      <c r="U304" s="1732"/>
    </row>
    <row r="305" spans="1:22" s="36" customFormat="1" ht="10.5" customHeight="1" thickBot="1">
      <c r="A305" s="35"/>
      <c r="B305" s="920" t="s">
        <v>3155</v>
      </c>
      <c r="C305" s="35"/>
      <c r="D305" s="41"/>
      <c r="E305" s="41"/>
      <c r="F305" s="41"/>
      <c r="G305" s="41"/>
      <c r="H305" s="29"/>
      <c r="I305" s="29"/>
      <c r="J305" s="29"/>
      <c r="K305" s="29"/>
      <c r="M305" s="39"/>
      <c r="N305" s="47"/>
      <c r="O305" s="3"/>
      <c r="P305" s="24"/>
      <c r="R305" s="1532"/>
      <c r="S305" s="1532"/>
      <c r="T305" s="1532"/>
      <c r="U305" s="1532"/>
      <c r="V305" s="1532"/>
    </row>
    <row r="306" spans="1:22" s="36" customFormat="1" ht="34.950000000000003" customHeight="1" thickTop="1" thickBot="1">
      <c r="A306" s="4467"/>
      <c r="B306" s="4468"/>
      <c r="C306" s="4468"/>
      <c r="D306" s="4468"/>
      <c r="E306" s="4468"/>
      <c r="F306" s="4468"/>
      <c r="G306" s="4468"/>
      <c r="H306" s="4468"/>
      <c r="I306" s="4468"/>
      <c r="J306" s="4468"/>
      <c r="K306" s="4468"/>
      <c r="L306" s="4468"/>
      <c r="M306" s="4468"/>
      <c r="N306" s="4468"/>
      <c r="O306" s="4468"/>
      <c r="P306" s="4469"/>
      <c r="Q306" s="354" t="s">
        <v>1179</v>
      </c>
    </row>
    <row r="307" spans="1:22" s="36" customFormat="1" ht="10.5" customHeight="1" thickTop="1">
      <c r="A307" s="35"/>
      <c r="B307" s="65" t="s">
        <v>1724</v>
      </c>
      <c r="C307" s="35"/>
      <c r="D307" s="65"/>
      <c r="E307" s="870"/>
      <c r="F307" s="870"/>
      <c r="G307" s="870"/>
      <c r="H307" s="870"/>
      <c r="I307" s="870"/>
      <c r="J307" s="870"/>
      <c r="K307" s="870"/>
      <c r="L307" s="870"/>
      <c r="M307" s="870"/>
      <c r="N307" s="55"/>
      <c r="O307" s="52"/>
      <c r="P307" s="119"/>
    </row>
    <row r="308" spans="1:22" s="36" customFormat="1" ht="11.25" customHeight="1">
      <c r="A308" s="4526"/>
      <c r="B308" s="4527"/>
      <c r="C308" s="4527"/>
      <c r="D308" s="4527"/>
      <c r="E308" s="4527"/>
      <c r="F308" s="4527"/>
      <c r="G308" s="4527"/>
      <c r="H308" s="4527"/>
      <c r="I308" s="4527"/>
      <c r="J308" s="4527"/>
      <c r="K308" s="4527"/>
      <c r="L308" s="4527"/>
      <c r="M308" s="4527"/>
      <c r="N308" s="4527"/>
      <c r="O308" s="4527"/>
      <c r="P308" s="4528"/>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3278</v>
      </c>
      <c r="B310" s="83" t="s">
        <v>4472</v>
      </c>
      <c r="D310" s="38"/>
      <c r="E310" s="38"/>
      <c r="G310" s="1527"/>
      <c r="H310" s="147"/>
      <c r="I310" s="147"/>
      <c r="J310" s="147"/>
      <c r="K310" s="147"/>
      <c r="L310" s="147"/>
      <c r="M310" s="119">
        <v>2</v>
      </c>
      <c r="N310" s="5"/>
      <c r="O310" s="851">
        <f>IF(OR(O311=$M311,O312=$M312),$M$310,0)</f>
        <v>0</v>
      </c>
      <c r="P310" s="851">
        <f>IF(OR(P311=$M311,P312=$M312),$M$310,0)</f>
        <v>0</v>
      </c>
      <c r="Q310" s="86" t="s">
        <v>415</v>
      </c>
      <c r="R310" s="1532"/>
      <c r="S310" s="1532"/>
      <c r="T310" s="1532"/>
      <c r="U310" s="1532"/>
      <c r="V310" s="1532"/>
    </row>
    <row r="311" spans="1:22" ht="11.25" customHeight="1">
      <c r="A311" s="671" t="s">
        <v>1835</v>
      </c>
      <c r="B311" s="868" t="s">
        <v>4473</v>
      </c>
      <c r="D311" s="371"/>
      <c r="E311" s="371" t="s">
        <v>4484</v>
      </c>
      <c r="F311" s="371"/>
      <c r="G311" s="371"/>
      <c r="H311" s="371"/>
      <c r="I311" s="4492"/>
      <c r="J311" s="4493"/>
      <c r="K311" s="4493"/>
      <c r="L311" s="4494"/>
      <c r="M311" s="865">
        <v>2</v>
      </c>
      <c r="N311" s="48" t="s">
        <v>1835</v>
      </c>
      <c r="O311" s="1252"/>
      <c r="P311" s="1253"/>
      <c r="Q311" s="1733" t="str">
        <f>IF(OR(O311=0,O311="",O311=$M311),"","Check!")</f>
        <v/>
      </c>
      <c r="R311" s="850" t="s">
        <v>2451</v>
      </c>
      <c r="S311" s="1532"/>
      <c r="T311" s="1532"/>
      <c r="U311" s="1532"/>
      <c r="V311" s="1532"/>
    </row>
    <row r="312" spans="1:22" ht="11.25" customHeight="1">
      <c r="A312" s="671" t="s">
        <v>1837</v>
      </c>
      <c r="B312" s="868" t="s">
        <v>4474</v>
      </c>
      <c r="D312" s="371"/>
      <c r="L312" s="371"/>
      <c r="M312" s="865">
        <v>2</v>
      </c>
      <c r="N312" s="48" t="s">
        <v>1837</v>
      </c>
      <c r="O312" s="406"/>
      <c r="P312" s="414"/>
      <c r="Q312" s="1733" t="str">
        <f>IF(OR(O312=0,O312="",O312=$M312),"","Check!")</f>
        <v/>
      </c>
      <c r="R312" s="850" t="s">
        <v>2451</v>
      </c>
      <c r="S312" s="1532"/>
      <c r="T312" s="1532"/>
      <c r="U312" s="1532"/>
      <c r="V312" s="1532"/>
    </row>
    <row r="313" spans="1:22" s="36" customFormat="1" ht="10.5" customHeight="1" thickBot="1">
      <c r="A313" s="35"/>
      <c r="B313" s="920" t="s">
        <v>3155</v>
      </c>
      <c r="C313" s="35"/>
      <c r="D313" s="41"/>
      <c r="E313" s="41"/>
      <c r="F313" s="41"/>
      <c r="G313" s="41"/>
      <c r="H313" s="29"/>
      <c r="I313" s="29"/>
      <c r="J313" s="29"/>
      <c r="K313" s="29"/>
      <c r="M313" s="39"/>
      <c r="N313" s="47"/>
      <c r="O313" s="3"/>
      <c r="P313" s="24"/>
      <c r="R313" s="1532"/>
      <c r="S313" s="1532"/>
      <c r="T313" s="1532"/>
      <c r="U313" s="1532"/>
      <c r="V313" s="1532"/>
    </row>
    <row r="314" spans="1:22" s="36" customFormat="1" ht="34.950000000000003" customHeight="1" thickTop="1" thickBot="1">
      <c r="A314" s="4467"/>
      <c r="B314" s="4468"/>
      <c r="C314" s="4468"/>
      <c r="D314" s="4468"/>
      <c r="E314" s="4468"/>
      <c r="F314" s="4468"/>
      <c r="G314" s="4468"/>
      <c r="H314" s="4468"/>
      <c r="I314" s="4468"/>
      <c r="J314" s="4468"/>
      <c r="K314" s="4468"/>
      <c r="L314" s="4468"/>
      <c r="M314" s="4468"/>
      <c r="N314" s="4468"/>
      <c r="O314" s="4468"/>
      <c r="P314" s="4469"/>
      <c r="Q314" s="354" t="s">
        <v>1179</v>
      </c>
    </row>
    <row r="315" spans="1:22" s="36" customFormat="1" ht="10.5" customHeight="1" thickTop="1">
      <c r="A315" s="35"/>
      <c r="B315" s="65" t="s">
        <v>1724</v>
      </c>
      <c r="C315" s="35"/>
      <c r="D315" s="65"/>
      <c r="E315" s="870"/>
      <c r="F315" s="870"/>
      <c r="G315" s="870"/>
      <c r="H315" s="870"/>
      <c r="I315" s="870"/>
      <c r="J315" s="870"/>
      <c r="K315" s="870"/>
      <c r="L315" s="870"/>
      <c r="M315" s="870"/>
      <c r="N315" s="55"/>
      <c r="O315" s="52"/>
      <c r="P315" s="119"/>
    </row>
    <row r="316" spans="1:22" s="36" customFormat="1" ht="11.25" customHeight="1">
      <c r="A316" s="4526"/>
      <c r="B316" s="4527"/>
      <c r="C316" s="4527"/>
      <c r="D316" s="4527"/>
      <c r="E316" s="4527"/>
      <c r="F316" s="4527"/>
      <c r="G316" s="4527"/>
      <c r="H316" s="4527"/>
      <c r="I316" s="4527"/>
      <c r="J316" s="4527"/>
      <c r="K316" s="4527"/>
      <c r="L316" s="4527"/>
      <c r="M316" s="4527"/>
      <c r="N316" s="4527"/>
      <c r="O316" s="4527"/>
      <c r="P316" s="4528"/>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29" t="s">
        <v>3281</v>
      </c>
      <c r="B318" s="83" t="s">
        <v>3252</v>
      </c>
      <c r="C318" s="67"/>
      <c r="D318" s="44"/>
      <c r="E318" s="29"/>
      <c r="G318" s="44"/>
      <c r="I318" s="1525" t="s">
        <v>4140</v>
      </c>
      <c r="J318" s="1453"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1">
        <f>P320+P326</f>
        <v>0</v>
      </c>
      <c r="Q318" s="86" t="s">
        <v>415</v>
      </c>
    </row>
    <row r="319" spans="1:22" s="36" customFormat="1" ht="13.5" customHeight="1">
      <c r="A319" s="120"/>
      <c r="B319" s="29" t="s">
        <v>4123</v>
      </c>
      <c r="C319" s="870"/>
      <c r="D319" s="870"/>
      <c r="E319" s="870"/>
      <c r="F319" s="870"/>
      <c r="G319" s="870"/>
      <c r="H319" s="870"/>
      <c r="I319" s="870"/>
      <c r="J319" s="870"/>
      <c r="K319" s="870"/>
      <c r="L319" s="1126"/>
      <c r="M319" s="119"/>
      <c r="N319" s="55"/>
      <c r="O319" s="372"/>
      <c r="P319" s="1015"/>
      <c r="Q319" s="86"/>
      <c r="T319" s="828"/>
      <c r="U319" s="828"/>
    </row>
    <row r="320" spans="1:22" s="36" customFormat="1" ht="12" customHeight="1">
      <c r="A320" s="671" t="s">
        <v>1835</v>
      </c>
      <c r="B320" s="141" t="s">
        <v>3253</v>
      </c>
      <c r="C320" s="67"/>
      <c r="D320" s="44"/>
      <c r="E320" s="29"/>
      <c r="G320" s="1373"/>
      <c r="I320" s="33" t="s">
        <v>3943</v>
      </c>
      <c r="K320" s="1508">
        <f>'Part VIII Scoring Criteria OLD'!P42</f>
        <v>0</v>
      </c>
      <c r="M320" s="457">
        <v>2</v>
      </c>
      <c r="N320" s="48" t="s">
        <v>1835</v>
      </c>
      <c r="P320" s="415"/>
      <c r="Q320" s="86"/>
      <c r="R320" s="850" t="s">
        <v>2451</v>
      </c>
    </row>
    <row r="321" spans="1:19" s="70" customFormat="1" ht="10.5" customHeight="1">
      <c r="A321" s="671"/>
      <c r="B321" s="306" t="s">
        <v>1838</v>
      </c>
      <c r="C321" s="29" t="s">
        <v>3714</v>
      </c>
      <c r="D321" s="26"/>
      <c r="N321" s="347" t="s">
        <v>3715</v>
      </c>
      <c r="O321" s="175"/>
      <c r="P321" s="418"/>
      <c r="R321" s="307"/>
    </row>
    <row r="322" spans="1:19" s="70" customFormat="1" ht="10.5" customHeight="1">
      <c r="A322" s="671"/>
      <c r="B322" s="306"/>
      <c r="C322" s="29" t="s">
        <v>4464</v>
      </c>
      <c r="D322" s="26"/>
      <c r="N322" s="347" t="s">
        <v>3716</v>
      </c>
      <c r="O322" s="299"/>
      <c r="P322" s="419"/>
      <c r="R322" s="307"/>
    </row>
    <row r="323" spans="1:19" s="70" customFormat="1" ht="10.5" customHeight="1">
      <c r="A323" s="671"/>
      <c r="B323" s="306" t="s">
        <v>1840</v>
      </c>
      <c r="C323" s="29" t="s">
        <v>3258</v>
      </c>
      <c r="D323" s="26"/>
      <c r="N323" s="347" t="s">
        <v>1840</v>
      </c>
      <c r="O323" s="299"/>
      <c r="P323" s="419"/>
      <c r="R323" s="307"/>
    </row>
    <row r="324" spans="1:19" s="70" customFormat="1" ht="10.5" customHeight="1">
      <c r="A324" s="671"/>
      <c r="B324" s="306" t="s">
        <v>2325</v>
      </c>
      <c r="C324" s="29" t="s">
        <v>3717</v>
      </c>
      <c r="D324" s="26"/>
      <c r="N324" s="347" t="s">
        <v>2325</v>
      </c>
      <c r="O324" s="299"/>
      <c r="P324" s="419"/>
      <c r="R324" s="307"/>
    </row>
    <row r="325" spans="1:19" s="70" customFormat="1" ht="10.5" customHeight="1">
      <c r="A325" s="918"/>
      <c r="B325" s="306" t="s">
        <v>1149</v>
      </c>
      <c r="C325" s="29" t="s">
        <v>3259</v>
      </c>
      <c r="D325" s="26"/>
      <c r="N325" s="347" t="s">
        <v>1149</v>
      </c>
      <c r="O325" s="176"/>
      <c r="P325" s="419"/>
      <c r="R325" s="307"/>
    </row>
    <row r="326" spans="1:19" s="36" customFormat="1" ht="12" customHeight="1">
      <c r="A326" s="671" t="s">
        <v>1837</v>
      </c>
      <c r="B326" s="141" t="s">
        <v>3254</v>
      </c>
      <c r="C326" s="67"/>
      <c r="D326" s="44"/>
      <c r="E326" s="29"/>
      <c r="G326" s="1373"/>
      <c r="I326" s="379"/>
      <c r="L326" s="903"/>
      <c r="M326" s="457">
        <v>2</v>
      </c>
      <c r="N326" s="48" t="s">
        <v>1837</v>
      </c>
      <c r="P326" s="415"/>
      <c r="Q326" s="86"/>
      <c r="R326" s="850" t="s">
        <v>2451</v>
      </c>
    </row>
    <row r="327" spans="1:19" s="70" customFormat="1" ht="10.5" customHeight="1">
      <c r="A327" s="121"/>
      <c r="B327" s="306" t="s">
        <v>1838</v>
      </c>
      <c r="C327" s="29" t="s">
        <v>3714</v>
      </c>
      <c r="D327" s="29"/>
      <c r="E327" s="29"/>
      <c r="M327" s="119"/>
      <c r="N327" s="347" t="s">
        <v>3715</v>
      </c>
      <c r="O327" s="175"/>
      <c r="P327" s="418"/>
      <c r="Q327" s="86"/>
    </row>
    <row r="328" spans="1:19" s="70" customFormat="1" ht="10.5" customHeight="1">
      <c r="A328" s="107"/>
      <c r="B328" s="306"/>
      <c r="C328" s="29" t="s">
        <v>4465</v>
      </c>
      <c r="D328" s="26"/>
      <c r="N328" s="347" t="s">
        <v>3716</v>
      </c>
      <c r="O328" s="299"/>
      <c r="P328" s="419"/>
      <c r="R328" s="307"/>
    </row>
    <row r="329" spans="1:19" s="70" customFormat="1" ht="10.5" customHeight="1">
      <c r="A329" s="107"/>
      <c r="B329" s="306" t="s">
        <v>1840</v>
      </c>
      <c r="C329" s="29" t="s">
        <v>3270</v>
      </c>
      <c r="D329" s="26"/>
      <c r="N329" s="347" t="s">
        <v>1840</v>
      </c>
      <c r="O329" s="299"/>
      <c r="P329" s="419"/>
      <c r="R329" s="307"/>
    </row>
    <row r="330" spans="1:19" s="70" customFormat="1" ht="10.5" customHeight="1">
      <c r="B330" s="306" t="s">
        <v>2325</v>
      </c>
      <c r="C330" s="29" t="s">
        <v>3259</v>
      </c>
      <c r="D330" s="26"/>
      <c r="N330" s="347" t="s">
        <v>2325</v>
      </c>
      <c r="O330" s="176"/>
      <c r="P330" s="420"/>
      <c r="R330" s="307"/>
    </row>
    <row r="331" spans="1:19" s="36" customFormat="1" ht="10.5" customHeight="1">
      <c r="B331" s="65" t="s">
        <v>1724</v>
      </c>
      <c r="C331" s="77"/>
      <c r="D331" s="65"/>
      <c r="E331" s="78"/>
      <c r="F331" s="870"/>
      <c r="G331" s="870"/>
      <c r="H331" s="870"/>
      <c r="I331" s="870"/>
      <c r="J331" s="870"/>
      <c r="K331" s="870"/>
      <c r="L331" s="870"/>
      <c r="M331" s="870"/>
      <c r="N331" s="55"/>
      <c r="O331" s="52"/>
      <c r="P331" s="119"/>
    </row>
    <row r="332" spans="1:19" s="36" customFormat="1" ht="11.25" customHeight="1">
      <c r="A332" s="4266"/>
      <c r="B332" s="4267"/>
      <c r="C332" s="4267"/>
      <c r="D332" s="4267"/>
      <c r="E332" s="4267"/>
      <c r="F332" s="4267"/>
      <c r="G332" s="4267"/>
      <c r="H332" s="4267"/>
      <c r="I332" s="4267"/>
      <c r="J332" s="4267"/>
      <c r="K332" s="4267"/>
      <c r="L332" s="4267"/>
      <c r="M332" s="4267"/>
      <c r="N332" s="4267"/>
      <c r="O332" s="4267"/>
      <c r="P332" s="4268"/>
      <c r="Q332" s="353"/>
    </row>
    <row r="333" spans="1:19" ht="2.25" customHeight="1" thickBot="1"/>
    <row r="334" spans="1:19" s="36" customFormat="1" ht="13.5" customHeight="1" thickBot="1">
      <c r="A334" s="121" t="s">
        <v>3282</v>
      </c>
      <c r="B334" s="83" t="s">
        <v>1553</v>
      </c>
      <c r="D334" s="67"/>
      <c r="E334" s="67"/>
      <c r="G334" s="29"/>
      <c r="M334" s="119">
        <v>2</v>
      </c>
      <c r="N334" s="320"/>
      <c r="O334" s="882"/>
      <c r="P334" s="866"/>
      <c r="Q334" s="86" t="s">
        <v>415</v>
      </c>
      <c r="R334" s="1549" t="s">
        <v>3924</v>
      </c>
      <c r="S334" s="1549"/>
    </row>
    <row r="335" spans="1:19" s="36" customFormat="1" ht="11.25" customHeight="1">
      <c r="A335" s="107"/>
      <c r="B335" s="89" t="s">
        <v>3067</v>
      </c>
      <c r="D335" s="67"/>
      <c r="E335" s="67"/>
      <c r="G335" s="29"/>
      <c r="I335" s="3542" t="s">
        <v>3957</v>
      </c>
      <c r="J335" s="3543"/>
      <c r="K335" s="3543"/>
      <c r="L335" s="3544"/>
      <c r="M335" s="53"/>
      <c r="N335" s="874"/>
      <c r="O335" s="903"/>
      <c r="P335" s="903"/>
      <c r="Q335" s="781"/>
      <c r="R335" s="1549"/>
      <c r="S335" s="154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0" t="s">
        <v>3155</v>
      </c>
      <c r="C337" s="35"/>
      <c r="D337" s="41"/>
      <c r="E337" s="41"/>
      <c r="F337" s="41"/>
      <c r="G337" s="41"/>
      <c r="H337" s="29"/>
      <c r="I337" s="29"/>
      <c r="J337" s="29"/>
      <c r="K337" s="29"/>
      <c r="M337" s="39"/>
      <c r="N337" s="5"/>
      <c r="O337" s="3"/>
      <c r="P337" s="119"/>
    </row>
    <row r="338" spans="1:20" s="36" customFormat="1" ht="10.95" customHeight="1" thickTop="1" thickBot="1">
      <c r="A338" s="4467"/>
      <c r="B338" s="4468"/>
      <c r="C338" s="4468"/>
      <c r="D338" s="4468"/>
      <c r="E338" s="4468"/>
      <c r="F338" s="4468"/>
      <c r="G338" s="4468"/>
      <c r="H338" s="4468"/>
      <c r="I338" s="4468"/>
      <c r="J338" s="4468"/>
      <c r="K338" s="4468"/>
      <c r="L338" s="4468"/>
      <c r="M338" s="4468"/>
      <c r="N338" s="4468"/>
      <c r="O338" s="4468"/>
      <c r="P338" s="4469"/>
      <c r="Q338" s="354" t="s">
        <v>1179</v>
      </c>
    </row>
    <row r="339" spans="1:20" s="70" customFormat="1" ht="10.5" customHeight="1" thickTop="1">
      <c r="A339" s="35"/>
      <c r="B339" s="76" t="s">
        <v>1724</v>
      </c>
      <c r="C339" s="35"/>
      <c r="D339" s="76"/>
      <c r="E339" s="872"/>
      <c r="F339" s="872"/>
      <c r="G339" s="872"/>
      <c r="H339" s="872"/>
      <c r="I339" s="872"/>
      <c r="J339" s="872"/>
      <c r="K339" s="872"/>
      <c r="L339" s="872"/>
      <c r="M339" s="872"/>
      <c r="N339" s="71"/>
      <c r="O339" s="656"/>
      <c r="P339" s="119"/>
      <c r="Q339" s="36"/>
    </row>
    <row r="340" spans="1:20" s="36" customFormat="1" ht="11.25" customHeight="1">
      <c r="A340" s="4266"/>
      <c r="B340" s="4267"/>
      <c r="C340" s="4267"/>
      <c r="D340" s="4267"/>
      <c r="E340" s="4267"/>
      <c r="F340" s="4267"/>
      <c r="G340" s="4267"/>
      <c r="H340" s="4267"/>
      <c r="I340" s="4267"/>
      <c r="J340" s="4267"/>
      <c r="K340" s="4267"/>
      <c r="L340" s="4267"/>
      <c r="M340" s="4267"/>
      <c r="N340" s="4267"/>
      <c r="O340" s="4267"/>
      <c r="P340" s="4268"/>
      <c r="Q340" s="353"/>
    </row>
    <row r="341" spans="1:20" ht="3" customHeight="1" thickBot="1"/>
    <row r="342" spans="1:20" s="36" customFormat="1" ht="13.5" customHeight="1" thickBot="1">
      <c r="A342" s="120" t="s">
        <v>3285</v>
      </c>
      <c r="B342" s="83" t="s">
        <v>3256</v>
      </c>
      <c r="D342" s="67"/>
      <c r="E342" s="67"/>
      <c r="F342" s="29"/>
      <c r="G342" s="29"/>
      <c r="H342" s="29"/>
      <c r="J342" s="1856" t="s">
        <v>4034</v>
      </c>
      <c r="K342" s="1783" t="e">
        <f>IF(OR($M$34="9% Credit Competitive Round only", $M$34="9% Credit &amp; HOME"),"9%",IF(OR($M$34="4% Credit/TE Bond", $M$34="4% Credit/TE Bond &amp; HOME", $M$34="4% Credit/TE Bond &amp; HOME NOFA", $M$34="4% Credit &amp; NHTF", $M$34="4% Credit &amp; NHTF &amp; HOME"),"4%",""))</f>
        <v>#REF!</v>
      </c>
      <c r="M342" s="3">
        <v>4</v>
      </c>
      <c r="N342" s="5"/>
      <c r="O342" s="883">
        <f>O349+O369</f>
        <v>0</v>
      </c>
      <c r="P342" s="883">
        <f>P349+P369</f>
        <v>0</v>
      </c>
      <c r="Q342" s="86" t="s">
        <v>415</v>
      </c>
    </row>
    <row r="343" spans="1:20" s="36" customFormat="1" ht="10.5" customHeight="1">
      <c r="A343" s="35"/>
      <c r="B343" s="89" t="s">
        <v>4486</v>
      </c>
      <c r="E343" s="67"/>
      <c r="F343" s="29"/>
      <c r="G343" s="29"/>
      <c r="H343" s="29"/>
      <c r="I343" s="29"/>
      <c r="K343" s="31"/>
      <c r="L343" s="45"/>
      <c r="O343" s="31" t="s">
        <v>2301</v>
      </c>
      <c r="P343" s="31" t="s">
        <v>2301</v>
      </c>
    </row>
    <row r="344" spans="1:20" s="79" customFormat="1" ht="12.75" customHeight="1">
      <c r="B344" s="49" t="s">
        <v>2233</v>
      </c>
      <c r="C344" s="29" t="s">
        <v>2508</v>
      </c>
      <c r="E344" s="67"/>
      <c r="F344" s="29"/>
      <c r="G344" s="29"/>
      <c r="H344" s="29"/>
      <c r="I344" s="29"/>
      <c r="J344" s="36"/>
      <c r="K344" s="31"/>
      <c r="L344" s="4622" t="str">
        <f>IF(OR(O344="No",O344="",O345="No",O345="",O346="No",O346="",O347="No",O347=""),"Unmet criterion results in no points!","")</f>
        <v>Unmet criterion results in no points!</v>
      </c>
      <c r="M344" s="4622"/>
      <c r="N344" s="49" t="s">
        <v>2233</v>
      </c>
      <c r="O344" s="175"/>
      <c r="P344" s="418"/>
      <c r="R344" s="4618" t="str">
        <f>IF(OR(P344="No",P344="",P345="No",P345="",P346="No",P346="",P347="No",P347=""),"Unmet criterion results in no points!","")</f>
        <v>Unmet criterion results in no points!</v>
      </c>
      <c r="S344" s="4618" t="e">
        <f>IF(OR(V344="No",V344="",V345="No",V345="",V346="No",V346="",V347="No",V347="",#REF!="No",#REF!="",#REF!="No",#REF!=""),"Unmet criterion results in no points!","")</f>
        <v>#REF!</v>
      </c>
    </row>
    <row r="345" spans="1:20" s="79" customFormat="1" ht="12.75" customHeight="1">
      <c r="B345" s="49" t="s">
        <v>2234</v>
      </c>
      <c r="C345" s="29" t="s">
        <v>3189</v>
      </c>
      <c r="L345" s="4622"/>
      <c r="M345" s="4622"/>
      <c r="N345" s="49" t="s">
        <v>2234</v>
      </c>
      <c r="O345" s="299"/>
      <c r="P345" s="419"/>
      <c r="R345" s="4618"/>
      <c r="S345" s="4618"/>
    </row>
    <row r="346" spans="1:20" s="79" customFormat="1" ht="12.75" customHeight="1">
      <c r="B346" s="49" t="s">
        <v>2235</v>
      </c>
      <c r="C346" s="29" t="s">
        <v>3188</v>
      </c>
      <c r="L346" s="4622"/>
      <c r="M346" s="4622"/>
      <c r="N346" s="49" t="s">
        <v>2235</v>
      </c>
      <c r="O346" s="299"/>
      <c r="P346" s="419"/>
      <c r="R346" s="4618"/>
      <c r="S346" s="4618"/>
    </row>
    <row r="347" spans="1:20" s="79" customFormat="1" ht="33.75" customHeight="1">
      <c r="B347" s="117" t="s">
        <v>2236</v>
      </c>
      <c r="C347" s="4227" t="s">
        <v>4485</v>
      </c>
      <c r="D347" s="4227"/>
      <c r="E347" s="4227"/>
      <c r="F347" s="4227"/>
      <c r="G347" s="4227"/>
      <c r="H347" s="4227"/>
      <c r="I347" s="4227"/>
      <c r="J347" s="4227"/>
      <c r="K347" s="4227"/>
      <c r="L347" s="4227"/>
      <c r="M347" s="4227"/>
      <c r="N347" s="117" t="s">
        <v>2236</v>
      </c>
      <c r="O347" s="879"/>
      <c r="P347" s="878"/>
    </row>
    <row r="348" spans="1:20" ht="3" customHeight="1" thickBot="1">
      <c r="C348" s="4227"/>
      <c r="D348" s="4227"/>
      <c r="E348" s="4227"/>
      <c r="F348" s="4227"/>
      <c r="G348" s="4227"/>
      <c r="H348" s="4227"/>
      <c r="I348" s="4227"/>
      <c r="J348" s="4227"/>
      <c r="K348" s="4227"/>
      <c r="L348" s="4227"/>
      <c r="M348" s="4227"/>
    </row>
    <row r="349" spans="1:20" ht="12.75" customHeight="1" thickBot="1">
      <c r="A349" s="789" t="s">
        <v>1835</v>
      </c>
      <c r="B349" s="141" t="s">
        <v>3257</v>
      </c>
      <c r="L349" s="307" t="str">
        <f>IF(O349&lt;=M349,"","* * Check Score! * *")</f>
        <v/>
      </c>
      <c r="M349" s="457">
        <v>3</v>
      </c>
      <c r="N349" s="48" t="s">
        <v>1835</v>
      </c>
      <c r="O349" s="1528"/>
      <c r="P349" s="1529"/>
      <c r="Q349" s="781" t="str">
        <f>IF(O349&lt;=M349,"","*CHECK!*")</f>
        <v/>
      </c>
      <c r="R349" s="392" t="s">
        <v>3924</v>
      </c>
      <c r="S349" s="392"/>
      <c r="T349" s="1353"/>
    </row>
    <row r="350" spans="1:20" ht="12.75" customHeight="1">
      <c r="A350" s="789"/>
      <c r="B350" s="670" t="s">
        <v>4596</v>
      </c>
      <c r="C350" s="108"/>
      <c r="D350" s="108"/>
      <c r="E350" s="108"/>
      <c r="F350" s="108"/>
      <c r="G350" s="108"/>
      <c r="H350" s="108"/>
      <c r="I350" s="108"/>
      <c r="N350"/>
      <c r="O350" s="1328"/>
      <c r="P350" s="1327"/>
      <c r="R350" s="392"/>
      <c r="S350" s="392"/>
      <c r="T350" s="1353"/>
    </row>
    <row r="351" spans="1:20" ht="12.75" customHeight="1">
      <c r="A351" s="789"/>
      <c r="B351" s="1828" t="s">
        <v>4595</v>
      </c>
      <c r="C351" s="108"/>
      <c r="D351" s="108"/>
      <c r="E351" s="108"/>
      <c r="F351" s="108"/>
      <c r="G351" s="108"/>
      <c r="H351" s="108"/>
      <c r="I351" s="108"/>
      <c r="J351" s="4568" t="s">
        <v>1842</v>
      </c>
      <c r="K351" s="4568"/>
      <c r="M351" s="4568" t="s">
        <v>1842</v>
      </c>
      <c r="N351" s="4568"/>
      <c r="O351" s="4568"/>
      <c r="P351" s="4568"/>
      <c r="R351" s="1728"/>
      <c r="S351" s="1728"/>
      <c r="T351" s="1353"/>
    </row>
    <row r="352" spans="1:20" s="36" customFormat="1" ht="12.75" customHeight="1">
      <c r="A352" s="151"/>
      <c r="B352" s="150" t="s">
        <v>4487</v>
      </c>
      <c r="C352" s="29" t="s">
        <v>1386</v>
      </c>
      <c r="I352" s="49" t="s">
        <v>2233</v>
      </c>
      <c r="J352" s="4558"/>
      <c r="K352" s="4559"/>
      <c r="L352" s="49" t="s">
        <v>2233</v>
      </c>
      <c r="M352" s="4661"/>
      <c r="N352" s="4662"/>
      <c r="O352" s="4662"/>
      <c r="P352" s="4663"/>
      <c r="R352" s="307"/>
    </row>
    <row r="353" spans="1:18" ht="12.75" customHeight="1">
      <c r="A353" s="152"/>
      <c r="B353" s="117" t="s">
        <v>2234</v>
      </c>
      <c r="C353" s="29" t="s">
        <v>3069</v>
      </c>
      <c r="I353" s="117" t="s">
        <v>2234</v>
      </c>
      <c r="J353" s="4563"/>
      <c r="K353" s="4564"/>
      <c r="L353" s="117" t="s">
        <v>2234</v>
      </c>
      <c r="M353" s="4565"/>
      <c r="N353" s="4566"/>
      <c r="O353" s="4566"/>
      <c r="P353" s="4567"/>
      <c r="R353" s="307"/>
    </row>
    <row r="354" spans="1:18" ht="12.75" customHeight="1">
      <c r="B354" s="49" t="s">
        <v>2235</v>
      </c>
      <c r="C354" s="29" t="s">
        <v>3825</v>
      </c>
      <c r="I354" s="49" t="s">
        <v>2235</v>
      </c>
      <c r="J354" s="4563"/>
      <c r="K354" s="4564"/>
      <c r="L354" s="49" t="s">
        <v>2235</v>
      </c>
      <c r="M354" s="4565"/>
      <c r="N354" s="4566"/>
      <c r="O354" s="4566"/>
      <c r="P354" s="4567"/>
      <c r="R354" s="307"/>
    </row>
    <row r="355" spans="1:18" ht="12.75" customHeight="1">
      <c r="A355" s="152"/>
      <c r="B355" s="49" t="s">
        <v>2236</v>
      </c>
      <c r="C355" s="29" t="s">
        <v>2986</v>
      </c>
      <c r="I355" s="49" t="s">
        <v>2236</v>
      </c>
      <c r="J355" s="4563"/>
      <c r="K355" s="4564"/>
      <c r="L355" s="49" t="s">
        <v>2236</v>
      </c>
      <c r="M355" s="4565"/>
      <c r="N355" s="4566"/>
      <c r="O355" s="4566"/>
      <c r="P355" s="4567"/>
      <c r="R355" s="307"/>
    </row>
    <row r="356" spans="1:18" s="36" customFormat="1" ht="12.75" customHeight="1">
      <c r="A356" s="151"/>
      <c r="B356" s="117" t="s">
        <v>2237</v>
      </c>
      <c r="C356" s="29" t="s">
        <v>2465</v>
      </c>
      <c r="I356" s="117" t="s">
        <v>2237</v>
      </c>
      <c r="J356" s="4563"/>
      <c r="K356" s="4564"/>
      <c r="L356" s="117" t="s">
        <v>2237</v>
      </c>
      <c r="M356" s="4565"/>
      <c r="N356" s="4566"/>
      <c r="O356" s="4566"/>
      <c r="P356" s="4567"/>
      <c r="R356" s="307"/>
    </row>
    <row r="357" spans="1:18" ht="12.75" customHeight="1">
      <c r="B357" s="49" t="s">
        <v>2253</v>
      </c>
      <c r="C357" s="29" t="s">
        <v>1385</v>
      </c>
      <c r="I357" s="49" t="s">
        <v>2253</v>
      </c>
      <c r="J357" s="4563"/>
      <c r="K357" s="4564"/>
      <c r="L357" s="49" t="s">
        <v>2253</v>
      </c>
      <c r="M357" s="4565"/>
      <c r="N357" s="4566"/>
      <c r="O357" s="4566"/>
      <c r="P357" s="4567"/>
      <c r="R357" s="307"/>
    </row>
    <row r="358" spans="1:18" ht="12.75" customHeight="1">
      <c r="B358" s="49" t="s">
        <v>2254</v>
      </c>
      <c r="C358" s="29" t="s">
        <v>4124</v>
      </c>
      <c r="I358" s="49" t="s">
        <v>2254</v>
      </c>
      <c r="J358" s="4563"/>
      <c r="K358" s="4564"/>
      <c r="L358" s="49" t="s">
        <v>2254</v>
      </c>
      <c r="M358" s="1504"/>
      <c r="N358" s="1505"/>
      <c r="O358" s="1505"/>
      <c r="P358" s="1506"/>
      <c r="R358" s="307"/>
    </row>
    <row r="359" spans="1:18" ht="12.75" customHeight="1">
      <c r="A359" s="152"/>
      <c r="B359" s="48" t="s">
        <v>2255</v>
      </c>
      <c r="C359" s="29" t="s">
        <v>3068</v>
      </c>
      <c r="I359" s="48" t="s">
        <v>2255</v>
      </c>
      <c r="J359" s="4563"/>
      <c r="K359" s="4564"/>
      <c r="L359" s="48" t="s">
        <v>2255</v>
      </c>
      <c r="M359" s="4565"/>
      <c r="N359" s="4566"/>
      <c r="O359" s="4566"/>
      <c r="P359" s="4567"/>
      <c r="R359" s="307"/>
    </row>
    <row r="360" spans="1:18" ht="12.75" customHeight="1">
      <c r="B360" s="48" t="s">
        <v>2256</v>
      </c>
      <c r="C360" s="29" t="s">
        <v>4488</v>
      </c>
      <c r="I360" s="48" t="s">
        <v>2256</v>
      </c>
      <c r="J360" s="4563"/>
      <c r="K360" s="4564"/>
      <c r="L360" s="48" t="s">
        <v>2256</v>
      </c>
      <c r="M360" s="4565"/>
      <c r="N360" s="4566"/>
      <c r="O360" s="4566"/>
      <c r="P360" s="4567"/>
      <c r="R360" s="307"/>
    </row>
    <row r="361" spans="1:18" ht="12.75" customHeight="1">
      <c r="B361" s="48" t="s">
        <v>3070</v>
      </c>
      <c r="C361" s="29" t="s">
        <v>3700</v>
      </c>
      <c r="I361" s="48" t="s">
        <v>3070</v>
      </c>
      <c r="J361" s="4563"/>
      <c r="K361" s="4564"/>
      <c r="L361" s="48" t="s">
        <v>3070</v>
      </c>
      <c r="M361" s="4565"/>
      <c r="N361" s="4566"/>
      <c r="O361" s="4566"/>
      <c r="P361" s="4567"/>
      <c r="R361" s="307"/>
    </row>
    <row r="362" spans="1:18" ht="12.75" customHeight="1" thickBot="1">
      <c r="B362" s="48" t="s">
        <v>4125</v>
      </c>
      <c r="C362" s="29" t="s">
        <v>4126</v>
      </c>
      <c r="I362" s="48" t="s">
        <v>4125</v>
      </c>
      <c r="J362" s="4563"/>
      <c r="K362" s="4564"/>
      <c r="L362" s="48" t="s">
        <v>4125</v>
      </c>
      <c r="M362" s="4652"/>
      <c r="N362" s="4653"/>
      <c r="O362" s="4653"/>
      <c r="P362" s="4654"/>
      <c r="R362" s="307"/>
    </row>
    <row r="363" spans="1:18" ht="12.75" customHeight="1" thickBot="1">
      <c r="B363" s="902" t="s">
        <v>4489</v>
      </c>
      <c r="H363" s="89" t="s">
        <v>2405</v>
      </c>
      <c r="J363" s="4554">
        <f>SUM(J352:K362)</f>
        <v>0</v>
      </c>
      <c r="K363" s="4555"/>
      <c r="M363" s="4554">
        <f>SUM($M352:$M362)</f>
        <v>0</v>
      </c>
      <c r="N363" s="4557"/>
      <c r="O363" s="4557"/>
      <c r="P363" s="4555"/>
      <c r="R363" s="307"/>
    </row>
    <row r="364" spans="1:18" ht="6" customHeight="1">
      <c r="M364" s="392"/>
      <c r="N364" s="392"/>
      <c r="O364" s="115"/>
      <c r="P364" s="392"/>
    </row>
    <row r="365" spans="1:18" s="36" customFormat="1" ht="12" customHeight="1">
      <c r="A365" s="35"/>
      <c r="B365" s="1129" t="s">
        <v>1840</v>
      </c>
      <c r="C365" s="399" t="s">
        <v>2404</v>
      </c>
      <c r="D365" s="230"/>
      <c r="E365" s="230"/>
      <c r="F365" s="33" t="s">
        <v>4127</v>
      </c>
      <c r="H365"/>
      <c r="I365"/>
      <c r="J365" s="4671" t="e">
        <f>#REF!</f>
        <v>#REF!</v>
      </c>
      <c r="K365" s="4672"/>
      <c r="L365" s="429"/>
      <c r="M365" s="392"/>
      <c r="N365" s="392"/>
      <c r="O365" s="864"/>
      <c r="P365" s="392"/>
    </row>
    <row r="366" spans="1:18" ht="13.5" customHeight="1">
      <c r="C366" s="230"/>
      <c r="D366" s="230"/>
      <c r="E366" s="230"/>
      <c r="F366" s="348" t="s">
        <v>4128</v>
      </c>
      <c r="J366" s="4669" t="e">
        <f>IF(J365=0,0,J363/J365)</f>
        <v>#REF!</v>
      </c>
      <c r="K366" s="4670"/>
      <c r="M366" s="4560" t="e">
        <f>IF($J365=0,0,$M363/$J365)</f>
        <v>#REF!</v>
      </c>
      <c r="N366" s="4561"/>
      <c r="O366" s="4561"/>
      <c r="P366" s="4562"/>
    </row>
    <row r="367" spans="1:18" s="36" customFormat="1" ht="12.75" customHeight="1">
      <c r="C367" s="230"/>
      <c r="D367" s="230"/>
      <c r="E367" s="230"/>
      <c r="F367" s="44" t="s">
        <v>4129</v>
      </c>
      <c r="I367"/>
      <c r="J367" s="4643">
        <f>IF(L344="", IF($J366&gt;=30000, 3,IF($J366&gt;=20000, 2,IF($J366&gt;=10000,1,0))),0)</f>
        <v>0</v>
      </c>
      <c r="K367" s="4644"/>
      <c r="L367" s="397"/>
      <c r="M367" s="4643">
        <f>IF(R344="", IF($M366&gt;=30000, 3,IF($M366&gt;=20000, 2,IF($M366&gt;=10000,1,0))),0)</f>
        <v>0</v>
      </c>
      <c r="N367" s="4668"/>
      <c r="O367" s="4668"/>
      <c r="P367" s="4644"/>
    </row>
    <row r="368" spans="1:18" ht="9" customHeight="1" thickBot="1"/>
    <row r="369" spans="1:22" s="70" customFormat="1" ht="12.75" customHeight="1" thickBot="1">
      <c r="A369" s="671" t="s">
        <v>1837</v>
      </c>
      <c r="B369" s="153" t="s">
        <v>3071</v>
      </c>
      <c r="D369" s="32"/>
      <c r="E369" s="29"/>
      <c r="F369" s="119"/>
      <c r="H369" s="29"/>
      <c r="I369" s="119"/>
      <c r="J369" s="33"/>
      <c r="K369" s="33"/>
      <c r="L369" s="307" t="str">
        <f>IF(OR($O369=$M369,$O369=0,$O369=""),"","* * Check Score! * *")</f>
        <v/>
      </c>
      <c r="M369" s="457">
        <v>1</v>
      </c>
      <c r="N369" s="48" t="s">
        <v>1837</v>
      </c>
      <c r="O369" s="882"/>
      <c r="P369" s="866"/>
      <c r="Q369" s="778" t="s">
        <v>3924</v>
      </c>
      <c r="V369" s="828"/>
    </row>
    <row r="370" spans="1:22" s="36" customFormat="1" ht="22.5" customHeight="1">
      <c r="A370" s="107"/>
      <c r="B370" s="349" t="s">
        <v>1838</v>
      </c>
      <c r="C370" s="4227" t="s">
        <v>4490</v>
      </c>
      <c r="D370" s="4227"/>
      <c r="E370" s="4227"/>
      <c r="F370" s="4227"/>
      <c r="G370" s="4227"/>
      <c r="H370" s="4227"/>
      <c r="I370" s="4227"/>
      <c r="J370" s="4227"/>
      <c r="K370" s="4227"/>
      <c r="L370" s="4227"/>
      <c r="M370" s="4227"/>
      <c r="N370" s="373" t="s">
        <v>1838</v>
      </c>
      <c r="O370" s="821"/>
      <c r="P370" s="1493"/>
      <c r="V370" s="828"/>
    </row>
    <row r="371" spans="1:22" s="36" customFormat="1" ht="12.75" customHeight="1">
      <c r="A371" s="107"/>
      <c r="B371" s="306" t="s">
        <v>1840</v>
      </c>
      <c r="C371" s="29" t="s">
        <v>3183</v>
      </c>
      <c r="D371" s="29"/>
      <c r="E371" s="29"/>
      <c r="F371" s="29"/>
      <c r="G371" s="29"/>
      <c r="H371" s="29"/>
      <c r="I371" s="29"/>
      <c r="J371" s="29"/>
      <c r="K371" s="29"/>
      <c r="M371" s="29"/>
      <c r="N371" s="347" t="s">
        <v>1840</v>
      </c>
      <c r="O371" s="299"/>
      <c r="P371" s="419"/>
      <c r="V371" s="828"/>
    </row>
    <row r="372" spans="1:22" ht="12.75" customHeight="1">
      <c r="B372" s="306" t="s">
        <v>2325</v>
      </c>
      <c r="C372" s="44" t="s">
        <v>3701</v>
      </c>
      <c r="N372" s="347" t="s">
        <v>2325</v>
      </c>
      <c r="O372" s="176"/>
      <c r="P372" s="420"/>
    </row>
    <row r="373" spans="1:22" ht="12" customHeight="1" thickBot="1">
      <c r="B373" s="920" t="s">
        <v>3155</v>
      </c>
    </row>
    <row r="374" spans="1:22" s="36" customFormat="1" ht="21.75" customHeight="1" thickTop="1" thickBot="1">
      <c r="A374" s="4467"/>
      <c r="B374" s="4468"/>
      <c r="C374" s="4468"/>
      <c r="D374" s="4468"/>
      <c r="E374" s="4468"/>
      <c r="F374" s="4468"/>
      <c r="G374" s="4468"/>
      <c r="H374" s="4468"/>
      <c r="I374" s="4468"/>
      <c r="J374" s="4468"/>
      <c r="K374" s="4468"/>
      <c r="L374" s="4468"/>
      <c r="M374" s="4468"/>
      <c r="N374" s="4468"/>
      <c r="O374" s="4468"/>
      <c r="P374" s="4469"/>
      <c r="Q374" s="354" t="s">
        <v>1179</v>
      </c>
    </row>
    <row r="375" spans="1:22" s="70" customFormat="1" ht="11.25" customHeight="1" thickTop="1">
      <c r="A375" s="35"/>
      <c r="B375" s="394" t="s">
        <v>1724</v>
      </c>
      <c r="C375" s="77"/>
      <c r="D375" s="76"/>
      <c r="E375" s="154"/>
      <c r="F375" s="872"/>
      <c r="G375" s="872"/>
      <c r="H375" s="872"/>
      <c r="I375" s="872"/>
      <c r="J375" s="872"/>
      <c r="K375" s="872"/>
      <c r="L375" s="872"/>
      <c r="M375" s="872"/>
      <c r="N375" s="71"/>
      <c r="O375" s="656"/>
      <c r="P375" s="119"/>
      <c r="Q375" s="36"/>
    </row>
    <row r="376" spans="1:22" s="36" customFormat="1" ht="11.25" customHeight="1">
      <c r="A376" s="4266"/>
      <c r="B376" s="4267"/>
      <c r="C376" s="4267"/>
      <c r="D376" s="4267"/>
      <c r="E376" s="4267"/>
      <c r="F376" s="4267"/>
      <c r="G376" s="4267"/>
      <c r="H376" s="4267"/>
      <c r="I376" s="4267"/>
      <c r="J376" s="4267"/>
      <c r="K376" s="4267"/>
      <c r="L376" s="4267"/>
      <c r="M376" s="4267"/>
      <c r="N376" s="4267"/>
      <c r="O376" s="4267"/>
      <c r="P376" s="4268"/>
      <c r="Q376" s="353"/>
    </row>
    <row r="377" spans="1:22" s="36" customFormat="1" ht="3" customHeight="1" thickBot="1">
      <c r="A377" s="35"/>
      <c r="B377" s="35"/>
      <c r="C377" s="870"/>
      <c r="D377" s="870"/>
      <c r="E377" s="870"/>
      <c r="F377" s="870"/>
      <c r="G377" s="870"/>
      <c r="H377" s="870"/>
      <c r="I377" s="870"/>
      <c r="J377" s="870"/>
      <c r="K377" s="870"/>
      <c r="L377" s="870"/>
      <c r="M377" s="870"/>
      <c r="N377" s="55"/>
      <c r="O377" s="52"/>
      <c r="P377" s="119"/>
    </row>
    <row r="378" spans="1:22" s="36" customFormat="1" ht="13.5" customHeight="1" thickBot="1">
      <c r="A378" s="120" t="s">
        <v>3286</v>
      </c>
      <c r="B378" s="83" t="s">
        <v>2461</v>
      </c>
      <c r="D378" s="33"/>
      <c r="G378" s="46" t="s">
        <v>3980</v>
      </c>
      <c r="I378" s="1454" t="s">
        <v>4140</v>
      </c>
      <c r="J378" s="1453" t="e">
        <f>IF(OR($M$34="9% Credit Competitive Round only", $M$34="9% Credit &amp; HOME"),"9%",IF(OR($M$34="4% Credit/TE Bond", $M$34="4% Credit/TE Bond &amp; HOME", $M$34="4% Credit/TE Bond &amp; HOME NOFA", $M$34="4% Credit &amp; NHTF", $M$34="4% Credit &amp; NHTF &amp; HOME"),"4%",""))</f>
        <v>#REF!</v>
      </c>
      <c r="K378" s="1454" t="s">
        <v>362</v>
      </c>
      <c r="L378" s="1453" t="str">
        <f>M55</f>
        <v>&lt;&lt; Select Activity Type &gt;&gt;</v>
      </c>
      <c r="M378" s="119">
        <v>2</v>
      </c>
      <c r="N378" s="48"/>
      <c r="O378" s="851">
        <f>MIN($M378,O382+O389)</f>
        <v>0</v>
      </c>
      <c r="P378" s="881">
        <f>MIN($M378,P382+P389)</f>
        <v>0</v>
      </c>
      <c r="Q378" s="86" t="s">
        <v>415</v>
      </c>
      <c r="R378" s="1834" t="str">
        <f>IF(AND(O378&gt;0,NOT($M$55="New Supply")), "Ineligible to score in this section, not New Supply!","")</f>
        <v/>
      </c>
    </row>
    <row r="379" spans="1:22" s="331" customFormat="1" ht="1.5" customHeight="1">
      <c r="B379" s="349"/>
      <c r="F379" s="346"/>
      <c r="G379" s="671"/>
      <c r="M379" s="332"/>
      <c r="N379" s="332"/>
      <c r="O379" s="332"/>
      <c r="P379" s="332"/>
      <c r="Q379" s="147"/>
    </row>
    <row r="380" spans="1:22" s="331" customFormat="1" ht="12.75" customHeight="1">
      <c r="A380" s="121"/>
      <c r="B380" s="670" t="s">
        <v>2987</v>
      </c>
      <c r="D380" s="3542" t="s">
        <v>3760</v>
      </c>
      <c r="E380" s="3543"/>
      <c r="F380" s="3543"/>
      <c r="G380" s="3543"/>
      <c r="H380" s="3543"/>
      <c r="I380" s="3544"/>
      <c r="J380" s="108" t="s">
        <v>2511</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1" t="s">
        <v>1835</v>
      </c>
      <c r="B382" s="66" t="s">
        <v>3826</v>
      </c>
      <c r="C382" s="108"/>
      <c r="D382" s="108"/>
      <c r="E382" s="108"/>
      <c r="F382" s="108"/>
      <c r="G382" s="108"/>
      <c r="H382" s="108"/>
      <c r="I382" s="108"/>
      <c r="M382" s="1740">
        <v>2</v>
      </c>
      <c r="N382" s="128" t="s">
        <v>1835</v>
      </c>
      <c r="O382" s="458"/>
      <c r="P382" s="1014"/>
      <c r="Q382" s="781" t="str">
        <f>IF(OR($O382=$M382,$O382=0,$O382=""),"","*CHECK!*")</f>
        <v/>
      </c>
      <c r="R382" s="778" t="s">
        <v>3924</v>
      </c>
    </row>
    <row r="383" spans="1:22" s="331" customFormat="1" ht="12" customHeight="1">
      <c r="A383" s="330"/>
      <c r="B383" s="4249" t="s">
        <v>4491</v>
      </c>
      <c r="C383" s="4249"/>
      <c r="D383" s="4249"/>
      <c r="E383" s="4249"/>
      <c r="F383" s="4249"/>
      <c r="G383" s="4249"/>
      <c r="H383" s="4249"/>
      <c r="I383" s="4249"/>
      <c r="J383" s="4249"/>
      <c r="K383" s="4249"/>
      <c r="L383" s="4249"/>
      <c r="M383" s="4651" t="s">
        <v>3761</v>
      </c>
      <c r="N383" s="4651"/>
      <c r="Q383" s="147"/>
    </row>
    <row r="384" spans="1:22" s="331" customFormat="1" ht="12" customHeight="1">
      <c r="B384" s="4249"/>
      <c r="C384" s="4249"/>
      <c r="D384" s="4249"/>
      <c r="E384" s="4249"/>
      <c r="F384" s="4249"/>
      <c r="G384" s="4249"/>
      <c r="H384" s="4249"/>
      <c r="I384" s="4249"/>
      <c r="J384" s="4249"/>
      <c r="K384" s="4249"/>
      <c r="L384" s="4249"/>
      <c r="M384" s="4651"/>
      <c r="N384" s="4651"/>
      <c r="O384" s="4657" t="e">
        <f>#REF!</f>
        <v>#REF!</v>
      </c>
      <c r="P384" s="4658"/>
      <c r="Q384" s="147"/>
    </row>
    <row r="385" spans="1:19" s="331" customFormat="1" ht="12" customHeight="1">
      <c r="B385" s="4249"/>
      <c r="C385" s="4249"/>
      <c r="D385" s="4249"/>
      <c r="E385" s="4249"/>
      <c r="F385" s="4249"/>
      <c r="G385" s="4249"/>
      <c r="H385" s="4249"/>
      <c r="I385" s="4249"/>
      <c r="J385" s="4249"/>
      <c r="K385" s="4249"/>
      <c r="L385" s="4249"/>
      <c r="M385" s="241" t="s">
        <v>2509</v>
      </c>
      <c r="N385" s="332"/>
      <c r="O385" s="4655" t="e">
        <f>#REF!</f>
        <v>#REF!</v>
      </c>
      <c r="P385" s="4656"/>
      <c r="Q385" s="147"/>
    </row>
    <row r="386" spans="1:19" s="331" customFormat="1" ht="12" customHeight="1">
      <c r="B386" s="4648"/>
      <c r="C386" s="4648"/>
      <c r="D386" s="4648"/>
      <c r="E386" s="4648"/>
      <c r="F386" s="4648"/>
      <c r="G386" s="4648"/>
      <c r="H386" s="4648"/>
      <c r="I386" s="4648"/>
      <c r="J386" s="4648"/>
      <c r="K386" s="4648"/>
      <c r="L386" s="4648"/>
      <c r="M386" s="1130" t="s">
        <v>2510</v>
      </c>
      <c r="N386" s="332"/>
      <c r="O386" s="4649" t="e">
        <f>IF(O385=0,0,O384/O385)</f>
        <v>#REF!</v>
      </c>
      <c r="P386" s="4650"/>
      <c r="Q386" s="147"/>
    </row>
    <row r="387" spans="1:19" s="36" customFormat="1" ht="105.75" customHeight="1">
      <c r="A387" s="410"/>
      <c r="B387" s="4278" t="s">
        <v>3324</v>
      </c>
      <c r="C387" s="4279"/>
      <c r="D387" s="4279"/>
      <c r="E387" s="4279"/>
      <c r="F387" s="4279"/>
      <c r="G387" s="4279"/>
      <c r="H387" s="4279"/>
      <c r="I387" s="4279"/>
      <c r="J387" s="4279"/>
      <c r="K387" s="4279"/>
      <c r="L387" s="4279"/>
      <c r="M387" s="4279"/>
      <c r="N387" s="4279"/>
      <c r="O387" s="4279"/>
      <c r="P387" s="4280"/>
      <c r="Q387" s="353" t="s">
        <v>1179</v>
      </c>
      <c r="R387" s="354"/>
      <c r="S387" s="354"/>
    </row>
    <row r="388" spans="1:19" s="331" customFormat="1" ht="1.5" customHeight="1">
      <c r="A388" s="455"/>
      <c r="B388" s="349"/>
      <c r="F388" s="346"/>
      <c r="G388" s="671"/>
      <c r="M388" s="332"/>
      <c r="N388" s="332"/>
      <c r="O388" s="332"/>
      <c r="P388" s="332"/>
      <c r="Q388" s="147"/>
    </row>
    <row r="389" spans="1:19" s="331" customFormat="1" ht="12" customHeight="1">
      <c r="A389" s="411" t="s">
        <v>3323</v>
      </c>
      <c r="B389" s="100" t="s">
        <v>3827</v>
      </c>
      <c r="C389" s="108"/>
      <c r="H389" s="108"/>
      <c r="M389" s="332">
        <v>2</v>
      </c>
      <c r="N389" s="128" t="s">
        <v>1837</v>
      </c>
      <c r="O389" s="458"/>
      <c r="P389" s="1014"/>
      <c r="Q389" s="781" t="str">
        <f>IF(OR($O389=$M389,$O389=0,$O389=""),"","*CHECK!*")</f>
        <v/>
      </c>
      <c r="R389" s="778" t="s">
        <v>3924</v>
      </c>
    </row>
    <row r="390" spans="1:19" s="331" customFormat="1" ht="11.25" customHeight="1">
      <c r="A390" s="411"/>
      <c r="B390" s="108" t="s">
        <v>4492</v>
      </c>
      <c r="C390" s="108"/>
      <c r="D390" s="108"/>
      <c r="E390" s="108"/>
      <c r="F390" s="108"/>
      <c r="G390" s="108"/>
      <c r="H390" s="108"/>
      <c r="I390" s="108"/>
      <c r="J390" s="108"/>
      <c r="K390" s="108"/>
      <c r="L390" s="108"/>
      <c r="Q390" s="147"/>
    </row>
    <row r="391" spans="1:19" s="331" customFormat="1" ht="11.25" customHeight="1">
      <c r="A391" s="411"/>
      <c r="E391" s="1734"/>
      <c r="G391" s="1175" t="s">
        <v>3702</v>
      </c>
      <c r="H391" s="1736" t="e">
        <f>#REF!</f>
        <v>#REF!</v>
      </c>
      <c r="I391" s="930" t="s">
        <v>2509</v>
      </c>
      <c r="J391" s="409" t="e">
        <f>#REF!</f>
        <v>#REF!</v>
      </c>
      <c r="K391" s="1738" t="s">
        <v>2510</v>
      </c>
      <c r="L391" s="1737" t="e">
        <f>IF(J391=0,0,H391/J391)</f>
        <v>#REF!</v>
      </c>
      <c r="N391" s="1735"/>
      <c r="Q391" s="147"/>
    </row>
    <row r="392" spans="1:19" s="36" customFormat="1" ht="11.25" customHeight="1" thickBot="1">
      <c r="A392" s="35"/>
      <c r="B392" s="920" t="s">
        <v>3155</v>
      </c>
      <c r="C392" s="35"/>
      <c r="D392" s="41"/>
      <c r="E392" s="41"/>
      <c r="F392" s="41"/>
      <c r="G392" s="41"/>
      <c r="H392" s="29"/>
      <c r="I392" s="29"/>
      <c r="J392" s="29"/>
      <c r="K392" s="29"/>
      <c r="M392" s="39"/>
      <c r="N392" s="47"/>
      <c r="O392" s="3"/>
      <c r="P392" s="24"/>
    </row>
    <row r="393" spans="1:19" s="36" customFormat="1" ht="73.5" customHeight="1" thickTop="1" thickBot="1">
      <c r="A393" s="4467"/>
      <c r="B393" s="4468"/>
      <c r="C393" s="4468"/>
      <c r="D393" s="4468"/>
      <c r="E393" s="4468"/>
      <c r="F393" s="4468"/>
      <c r="G393" s="4468"/>
      <c r="H393" s="4468"/>
      <c r="I393" s="4468"/>
      <c r="J393" s="4468"/>
      <c r="K393" s="4468"/>
      <c r="L393" s="4468"/>
      <c r="M393" s="4468"/>
      <c r="N393" s="4468"/>
      <c r="O393" s="4468"/>
      <c r="P393" s="4469"/>
      <c r="Q393" s="354" t="s">
        <v>1179</v>
      </c>
      <c r="R393" s="354"/>
    </row>
    <row r="394" spans="1:19" s="36" customFormat="1" ht="10.5" customHeight="1" thickTop="1">
      <c r="B394" s="65" t="s">
        <v>1724</v>
      </c>
      <c r="C394" s="77"/>
      <c r="D394" s="65"/>
      <c r="E394" s="78"/>
      <c r="F394" s="870"/>
      <c r="G394" s="870"/>
      <c r="H394" s="870"/>
      <c r="I394" s="870"/>
      <c r="J394" s="870"/>
      <c r="K394" s="870"/>
      <c r="L394" s="870"/>
      <c r="M394" s="870"/>
      <c r="N394" s="55"/>
      <c r="O394" s="52"/>
      <c r="P394" s="119"/>
    </row>
    <row r="395" spans="1:19" s="36" customFormat="1" ht="22.2" customHeight="1">
      <c r="A395" s="4266"/>
      <c r="B395" s="4267"/>
      <c r="C395" s="4267"/>
      <c r="D395" s="4267"/>
      <c r="E395" s="4267"/>
      <c r="F395" s="4267"/>
      <c r="G395" s="4267"/>
      <c r="H395" s="4267"/>
      <c r="I395" s="4267"/>
      <c r="J395" s="4267"/>
      <c r="K395" s="4267"/>
      <c r="L395" s="4267"/>
      <c r="M395" s="4267"/>
      <c r="N395" s="4267"/>
      <c r="O395" s="4267"/>
      <c r="P395" s="4268"/>
      <c r="Q395" s="353"/>
    </row>
    <row r="396" spans="1:19" s="36" customFormat="1" ht="6" customHeight="1" thickBot="1">
      <c r="A396" s="35"/>
      <c r="B396" s="35"/>
      <c r="C396" s="870"/>
      <c r="D396" s="870"/>
      <c r="E396" s="870"/>
      <c r="F396" s="870"/>
      <c r="G396" s="870"/>
      <c r="H396" s="870"/>
      <c r="I396" s="870"/>
      <c r="J396" s="870"/>
      <c r="K396" s="870"/>
      <c r="L396" s="870"/>
      <c r="M396" s="870"/>
      <c r="N396" s="55"/>
      <c r="O396" s="52"/>
      <c r="P396" s="119"/>
    </row>
    <row r="397" spans="1:19" s="70" customFormat="1" ht="14.25" customHeight="1" thickBot="1">
      <c r="A397" s="121" t="s">
        <v>3287</v>
      </c>
      <c r="B397" s="83" t="s">
        <v>3903</v>
      </c>
      <c r="D397" s="38"/>
      <c r="E397" s="38"/>
      <c r="F397" s="32"/>
      <c r="G397" s="29"/>
      <c r="I397" s="29"/>
      <c r="J397" s="29"/>
      <c r="K397" s="29"/>
      <c r="L397" s="307" t="str">
        <f>IF(OR($O397=$M397,$O397&lt;=0,$O397=""),"","* * Check Score! * *")</f>
        <v/>
      </c>
      <c r="M397" s="119">
        <v>10</v>
      </c>
      <c r="N397" s="5"/>
      <c r="O397" s="851">
        <f>MIN($M$397,O399-O400+O401)</f>
        <v>10</v>
      </c>
      <c r="P397" s="851">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3091</v>
      </c>
      <c r="D399" s="38"/>
      <c r="E399" s="38"/>
      <c r="F399" s="32"/>
      <c r="G399" s="29"/>
      <c r="I399" s="29"/>
      <c r="J399" s="29"/>
      <c r="K399" s="29"/>
      <c r="L399" s="307"/>
      <c r="M399" s="119"/>
      <c r="N399" s="5"/>
      <c r="O399" s="1763">
        <v>10</v>
      </c>
      <c r="P399" s="1763">
        <v>10</v>
      </c>
      <c r="Q399" s="86"/>
    </row>
    <row r="400" spans="1:19" s="70" customFormat="1" ht="12.75" customHeight="1">
      <c r="A400" s="121"/>
      <c r="B400" s="66" t="s">
        <v>3092</v>
      </c>
      <c r="D400" s="38"/>
      <c r="E400" s="38"/>
      <c r="F400" s="32"/>
      <c r="G400" s="29"/>
      <c r="I400" s="29"/>
      <c r="J400" s="29"/>
      <c r="K400" s="29"/>
      <c r="L400" s="307"/>
      <c r="M400" s="119"/>
      <c r="N400" s="5"/>
      <c r="O400" s="886"/>
      <c r="P400" s="884"/>
      <c r="Q400" s="86"/>
    </row>
    <row r="401" spans="1:21" s="70" customFormat="1" ht="12.75" customHeight="1">
      <c r="A401" s="121"/>
      <c r="B401" s="66" t="s">
        <v>3093</v>
      </c>
      <c r="D401" s="38"/>
      <c r="E401" s="38"/>
      <c r="F401" s="32"/>
      <c r="G401" s="29"/>
      <c r="I401" s="29"/>
      <c r="J401" s="29"/>
      <c r="K401" s="29"/>
      <c r="L401" s="307"/>
      <c r="M401" s="119"/>
      <c r="N401" s="5"/>
      <c r="O401" s="678"/>
      <c r="P401" s="414"/>
      <c r="Q401" s="86"/>
    </row>
    <row r="402" spans="1:21" s="70" customFormat="1" ht="12.75" customHeight="1">
      <c r="A402" s="42"/>
      <c r="B402" s="42" t="s">
        <v>1724</v>
      </c>
      <c r="C402" s="35"/>
      <c r="D402" s="42"/>
      <c r="E402" s="872"/>
      <c r="F402" s="872"/>
      <c r="G402" s="872"/>
      <c r="H402" s="872"/>
      <c r="I402" s="872"/>
      <c r="J402" s="872"/>
      <c r="K402" s="872"/>
      <c r="L402" s="872"/>
      <c r="M402" s="872"/>
      <c r="N402" s="71"/>
      <c r="O402" s="656"/>
      <c r="P402" s="119"/>
    </row>
    <row r="403" spans="1:21" s="36" customFormat="1" ht="12.75" customHeight="1">
      <c r="A403" s="4266"/>
      <c r="B403" s="4267"/>
      <c r="C403" s="4267"/>
      <c r="D403" s="4267"/>
      <c r="E403" s="4267"/>
      <c r="F403" s="4267"/>
      <c r="G403" s="4267"/>
      <c r="H403" s="4267"/>
      <c r="I403" s="4267"/>
      <c r="J403" s="4267"/>
      <c r="K403" s="4267"/>
      <c r="L403" s="4267"/>
      <c r="M403" s="4267"/>
      <c r="N403" s="4267"/>
      <c r="O403" s="4267"/>
      <c r="P403" s="4268"/>
      <c r="Q403" s="354" t="s">
        <v>1179</v>
      </c>
      <c r="R403" s="354"/>
    </row>
    <row r="404" spans="1:21" s="36" customFormat="1" ht="6" customHeight="1" thickBot="1">
      <c r="A404" s="121"/>
      <c r="B404" s="35"/>
      <c r="C404" s="870"/>
      <c r="D404" s="870"/>
      <c r="E404" s="870"/>
      <c r="F404" s="870"/>
      <c r="G404" s="870"/>
      <c r="H404" s="870"/>
      <c r="I404" s="870"/>
      <c r="J404" s="870"/>
      <c r="K404" s="870"/>
      <c r="L404" s="870"/>
      <c r="M404" s="870"/>
      <c r="N404" s="55"/>
      <c r="O404" s="52"/>
      <c r="P404" s="119"/>
    </row>
    <row r="405" spans="1:21" s="36" customFormat="1" ht="13.5" customHeight="1" thickBot="1">
      <c r="A405" s="121" t="s">
        <v>3288</v>
      </c>
      <c r="B405" s="83" t="s">
        <v>4493</v>
      </c>
      <c r="C405" s="870"/>
      <c r="D405" s="870"/>
      <c r="E405" s="870"/>
      <c r="F405" s="870"/>
      <c r="G405" s="46"/>
      <c r="H405" s="870"/>
      <c r="K405" s="870"/>
      <c r="L405" s="870"/>
      <c r="M405" s="119">
        <v>3</v>
      </c>
      <c r="N405" s="55"/>
      <c r="O405" s="851">
        <f>IF(OR((O407+O408+O409+O410)&gt;3,(O407+O408+O409)&gt;1,O410&gt;$M$410),"Check",IF((O407+O408+O409+O410)&lt;=$M$405,(O407+O408+O409+O410),""))</f>
        <v>2</v>
      </c>
      <c r="P405" s="851">
        <f>IF(OR((P407+P408+P409+P410)&gt;3,(P407+P408+P409)&gt;1,P410&gt;$M$410),"Check",IF((P407+P408+P409+P410)&lt;=$M$405,(P407+P408+P409+P410),""))</f>
        <v>2</v>
      </c>
      <c r="Q405" s="86" t="s">
        <v>415</v>
      </c>
      <c r="R405" s="778"/>
    </row>
    <row r="406" spans="1:21" s="36" customFormat="1" ht="9" customHeight="1">
      <c r="A406" s="121"/>
      <c r="B406" s="29" t="s">
        <v>4494</v>
      </c>
      <c r="C406" s="870"/>
      <c r="D406" s="870"/>
      <c r="E406" s="870"/>
      <c r="F406" s="870"/>
      <c r="G406" s="870"/>
      <c r="H406" s="870"/>
      <c r="I406" s="870"/>
      <c r="J406" s="870"/>
      <c r="K406" s="870"/>
      <c r="L406" s="870"/>
      <c r="M406" s="870"/>
      <c r="N406" s="55"/>
      <c r="O406" s="52"/>
      <c r="P406" s="119"/>
    </row>
    <row r="407" spans="1:21" s="36" customFormat="1" ht="12" customHeight="1">
      <c r="A407" s="671" t="s">
        <v>1835</v>
      </c>
      <c r="B407" s="141" t="s">
        <v>4495</v>
      </c>
      <c r="C407" s="26"/>
      <c r="D407" s="70"/>
      <c r="E407" s="66"/>
      <c r="F407" s="29"/>
      <c r="G407" s="29"/>
      <c r="H407" s="29"/>
      <c r="I407" s="70"/>
      <c r="J407" s="70"/>
      <c r="K407" s="31"/>
      <c r="L407" s="1859"/>
      <c r="M407" s="457">
        <v>1</v>
      </c>
      <c r="N407" s="1563" t="s">
        <v>1835</v>
      </c>
      <c r="O407" s="1252"/>
      <c r="P407" s="1253"/>
      <c r="Q407" s="781" t="str">
        <f>IF(OR($O407=$M407,$O407=0,$O407=""),"","*CHECK!*")</f>
        <v/>
      </c>
      <c r="R407" s="778" t="s">
        <v>2451</v>
      </c>
    </row>
    <row r="408" spans="1:21" s="108" customFormat="1" ht="12" customHeight="1">
      <c r="A408" s="671" t="s">
        <v>1837</v>
      </c>
      <c r="B408" s="141" t="s">
        <v>4496</v>
      </c>
      <c r="C408" s="103"/>
      <c r="D408" s="103"/>
      <c r="E408" s="103"/>
      <c r="F408" s="103"/>
      <c r="G408" s="29"/>
      <c r="H408" s="103"/>
      <c r="I408" s="103"/>
      <c r="J408" s="103"/>
      <c r="K408" s="103"/>
      <c r="L408" s="103"/>
      <c r="M408" s="457">
        <v>1</v>
      </c>
      <c r="N408" s="1563" t="s">
        <v>1837</v>
      </c>
      <c r="O408" s="405"/>
      <c r="P408" s="413"/>
      <c r="Q408" s="781" t="str">
        <f>IF(OR($O408=$M408,$O408=0,$O408=""),"","*CHECK!*")</f>
        <v/>
      </c>
      <c r="R408" s="778" t="s">
        <v>2451</v>
      </c>
    </row>
    <row r="409" spans="1:21" ht="12" customHeight="1">
      <c r="A409" s="671" t="s">
        <v>697</v>
      </c>
      <c r="B409" s="141" t="s">
        <v>4130</v>
      </c>
      <c r="C409" s="26"/>
      <c r="D409" s="26"/>
      <c r="E409" s="26"/>
      <c r="F409" s="26"/>
      <c r="G409" s="26"/>
      <c r="H409" s="26"/>
      <c r="I409" s="26"/>
      <c r="J409" s="26"/>
      <c r="K409" s="26"/>
      <c r="L409" s="26"/>
      <c r="M409" s="457">
        <v>1</v>
      </c>
      <c r="N409" s="1563" t="s">
        <v>697</v>
      </c>
      <c r="O409" s="1765"/>
      <c r="P409" s="1766"/>
      <c r="Q409" s="781" t="str">
        <f>IF(OR($O409=$M409,$O409=0,$O409=""),"","*CHECK!*")</f>
        <v/>
      </c>
      <c r="R409" s="778" t="s">
        <v>2451</v>
      </c>
      <c r="S409" s="36"/>
      <c r="T409" s="36"/>
      <c r="U409" s="36"/>
    </row>
    <row r="410" spans="1:21" s="72" customFormat="1" ht="12" customHeight="1">
      <c r="A410" s="671" t="s">
        <v>1956</v>
      </c>
      <c r="B410" s="141" t="s">
        <v>4497</v>
      </c>
      <c r="H410" s="29"/>
      <c r="M410" s="457">
        <v>2</v>
      </c>
      <c r="N410" s="1563" t="s">
        <v>1956</v>
      </c>
      <c r="O410" s="887">
        <f>O411-O412</f>
        <v>2</v>
      </c>
      <c r="P410" s="887">
        <f>P411-P412</f>
        <v>2</v>
      </c>
      <c r="Q410" s="781" t="str">
        <f>IF(OR($O410=$M410,$O410=0,$O410=""),"","*CHECK!*")</f>
        <v/>
      </c>
    </row>
    <row r="411" spans="1:21" s="70" customFormat="1" ht="12" customHeight="1">
      <c r="A411" s="121"/>
      <c r="C411" s="66" t="s">
        <v>3091</v>
      </c>
      <c r="D411" s="38"/>
      <c r="E411" s="38"/>
      <c r="I411" s="29"/>
      <c r="J411" s="29"/>
      <c r="K411" s="29"/>
      <c r="L411" s="307"/>
      <c r="M411" s="119"/>
      <c r="N411" s="5"/>
      <c r="O411" s="1831">
        <v>2</v>
      </c>
      <c r="P411" s="1831">
        <v>2</v>
      </c>
      <c r="Q411" s="86"/>
    </row>
    <row r="412" spans="1:21" s="70" customFormat="1" ht="12" customHeight="1">
      <c r="A412" s="121"/>
      <c r="C412" s="66" t="s">
        <v>3092</v>
      </c>
      <c r="D412" s="38"/>
      <c r="E412" s="38"/>
      <c r="F412" s="32"/>
      <c r="G412" s="29"/>
      <c r="I412" s="29"/>
      <c r="J412" s="29"/>
      <c r="K412" s="29"/>
      <c r="L412" s="307"/>
      <c r="M412" s="119"/>
      <c r="N412" s="5"/>
      <c r="O412" s="1764"/>
      <c r="P412" s="650"/>
      <c r="Q412" s="86"/>
      <c r="R412" s="778" t="s">
        <v>2451</v>
      </c>
    </row>
    <row r="413" spans="1:21" s="36" customFormat="1" ht="10.5" customHeight="1" thickBot="1">
      <c r="A413" s="35"/>
      <c r="B413" s="920" t="s">
        <v>3155</v>
      </c>
      <c r="C413" s="35"/>
      <c r="D413" s="41"/>
      <c r="E413" s="41"/>
      <c r="F413" s="41"/>
      <c r="G413" s="41"/>
      <c r="H413" s="29"/>
      <c r="I413" s="29"/>
      <c r="J413" s="29"/>
      <c r="K413" s="29"/>
      <c r="M413" s="39"/>
      <c r="N413" s="47"/>
      <c r="O413" s="3"/>
      <c r="P413" s="24"/>
    </row>
    <row r="414" spans="1:21" s="36" customFormat="1" ht="45.75" customHeight="1" thickTop="1" thickBot="1">
      <c r="A414" s="4467"/>
      <c r="B414" s="4468"/>
      <c r="C414" s="4468"/>
      <c r="D414" s="4468"/>
      <c r="E414" s="4468"/>
      <c r="F414" s="4468"/>
      <c r="G414" s="4468"/>
      <c r="H414" s="4468"/>
      <c r="I414" s="4468"/>
      <c r="J414" s="4468"/>
      <c r="K414" s="4468"/>
      <c r="L414" s="4468"/>
      <c r="M414" s="4468"/>
      <c r="N414" s="4468"/>
      <c r="O414" s="4468"/>
      <c r="P414" s="4469"/>
      <c r="Q414" s="354" t="s">
        <v>1179</v>
      </c>
      <c r="R414" s="354"/>
    </row>
    <row r="415" spans="1:21" s="36" customFormat="1" ht="10.5" customHeight="1" thickTop="1">
      <c r="B415" s="65" t="s">
        <v>1724</v>
      </c>
      <c r="C415" s="77"/>
      <c r="D415" s="65"/>
      <c r="E415" s="78"/>
      <c r="F415" s="870"/>
      <c r="G415" s="870"/>
      <c r="H415" s="870"/>
      <c r="I415" s="870"/>
      <c r="J415" s="870"/>
      <c r="K415" s="870"/>
      <c r="L415" s="870"/>
      <c r="M415" s="870"/>
      <c r="N415" s="55"/>
      <c r="O415" s="52"/>
      <c r="P415" s="119"/>
    </row>
    <row r="416" spans="1:21" s="36" customFormat="1" ht="9.75" customHeight="1">
      <c r="A416" s="4266"/>
      <c r="B416" s="4267"/>
      <c r="C416" s="4267"/>
      <c r="D416" s="4267"/>
      <c r="E416" s="4267"/>
      <c r="F416" s="4267"/>
      <c r="G416" s="4267"/>
      <c r="H416" s="4267"/>
      <c r="I416" s="4267"/>
      <c r="J416" s="4267"/>
      <c r="K416" s="4267"/>
      <c r="L416" s="4267"/>
      <c r="M416" s="4267"/>
      <c r="N416" s="4267"/>
      <c r="O416" s="4267"/>
      <c r="P416" s="4268"/>
      <c r="Q416" s="353"/>
    </row>
    <row r="417" spans="1:18" s="36" customFormat="1" ht="2.25" customHeight="1" thickBot="1">
      <c r="A417" s="121"/>
      <c r="B417" s="35"/>
      <c r="C417" s="870"/>
      <c r="D417" s="870"/>
      <c r="E417" s="870"/>
      <c r="F417" s="870"/>
      <c r="G417" s="870"/>
      <c r="H417" s="870"/>
      <c r="I417" s="870"/>
      <c r="J417" s="870"/>
      <c r="K417" s="870"/>
      <c r="L417" s="870"/>
      <c r="M417" s="870"/>
      <c r="N417" s="55"/>
      <c r="O417" s="52"/>
      <c r="P417" s="119"/>
    </row>
    <row r="418" spans="1:18" s="70" customFormat="1" ht="11.25" customHeight="1" thickBot="1">
      <c r="A418" s="121" t="s">
        <v>3289</v>
      </c>
      <c r="B418" s="83" t="s">
        <v>4131</v>
      </c>
      <c r="D418" s="38"/>
      <c r="E418" s="38"/>
      <c r="F418" s="32"/>
      <c r="L418" s="781"/>
      <c r="M418" s="119">
        <v>6</v>
      </c>
      <c r="N418" s="5"/>
      <c r="O418" s="882"/>
      <c r="P418" s="866"/>
      <c r="Q418" s="86" t="s">
        <v>415</v>
      </c>
      <c r="R418" s="778" t="s">
        <v>2451</v>
      </c>
    </row>
    <row r="419" spans="1:18" s="36" customFormat="1" ht="10.5" customHeight="1" thickBot="1">
      <c r="A419" s="35"/>
      <c r="B419" s="920" t="s">
        <v>3155</v>
      </c>
      <c r="C419" s="35"/>
      <c r="D419" s="41"/>
      <c r="E419" s="41"/>
      <c r="F419" s="41"/>
      <c r="G419" s="41"/>
      <c r="H419" s="29"/>
      <c r="I419" s="29"/>
      <c r="J419" s="29"/>
      <c r="K419" s="29"/>
      <c r="M419" s="39"/>
      <c r="N419" s="47"/>
      <c r="O419" s="3"/>
      <c r="P419" s="24"/>
    </row>
    <row r="420" spans="1:18" s="36" customFormat="1" ht="45.75" customHeight="1" thickTop="1" thickBot="1">
      <c r="A420" s="4467"/>
      <c r="B420" s="4468"/>
      <c r="C420" s="4468"/>
      <c r="D420" s="4468"/>
      <c r="E420" s="4468"/>
      <c r="F420" s="4468"/>
      <c r="G420" s="4468"/>
      <c r="H420" s="4468"/>
      <c r="I420" s="4468"/>
      <c r="J420" s="4468"/>
      <c r="K420" s="4468"/>
      <c r="L420" s="4468"/>
      <c r="M420" s="4468"/>
      <c r="N420" s="4468"/>
      <c r="O420" s="4468"/>
      <c r="P420" s="4469"/>
      <c r="Q420" s="354" t="s">
        <v>1179</v>
      </c>
      <c r="R420" s="354"/>
    </row>
    <row r="421" spans="1:18" s="70" customFormat="1" ht="10.5" customHeight="1" thickTop="1">
      <c r="A421" s="42"/>
      <c r="B421" s="42" t="s">
        <v>1724</v>
      </c>
      <c r="C421" s="35"/>
      <c r="D421" s="42"/>
      <c r="E421" s="872"/>
      <c r="F421" s="872"/>
      <c r="G421" s="872"/>
      <c r="H421" s="872"/>
      <c r="I421" s="872"/>
      <c r="J421" s="872"/>
      <c r="K421" s="872"/>
      <c r="L421" s="872"/>
      <c r="M421" s="872"/>
      <c r="N421" s="71"/>
      <c r="O421" s="656"/>
      <c r="P421" s="119"/>
    </row>
    <row r="422" spans="1:18" s="36" customFormat="1" ht="10.95" customHeight="1">
      <c r="A422" s="4266"/>
      <c r="B422" s="4267"/>
      <c r="C422" s="4267"/>
      <c r="D422" s="4267"/>
      <c r="E422" s="4267"/>
      <c r="F422" s="4267"/>
      <c r="G422" s="4267"/>
      <c r="H422" s="4267"/>
      <c r="I422" s="4267"/>
      <c r="J422" s="4267"/>
      <c r="K422" s="4267"/>
      <c r="L422" s="4267"/>
      <c r="M422" s="4267"/>
      <c r="N422" s="4267"/>
      <c r="O422" s="4267"/>
      <c r="P422" s="4268"/>
      <c r="Q422" s="354"/>
      <c r="R422" s="354"/>
    </row>
    <row r="423" spans="1:18" s="36" customFormat="1" ht="2.25" customHeight="1" thickBot="1">
      <c r="A423" s="121"/>
      <c r="B423" s="35"/>
      <c r="C423" s="870"/>
      <c r="D423" s="870"/>
      <c r="E423" s="870"/>
      <c r="F423" s="870"/>
      <c r="G423" s="870"/>
      <c r="H423" s="870"/>
      <c r="I423" s="870"/>
      <c r="J423" s="870"/>
      <c r="K423" s="870"/>
      <c r="L423" s="870"/>
      <c r="M423" s="870"/>
      <c r="N423" s="55"/>
      <c r="O423" s="52"/>
      <c r="P423" s="119"/>
    </row>
    <row r="424" spans="1:18" s="70" customFormat="1" ht="11.25" customHeight="1" thickBot="1">
      <c r="A424" s="121" t="s">
        <v>3290</v>
      </c>
      <c r="B424" s="83" t="s">
        <v>4498</v>
      </c>
      <c r="D424" s="38"/>
      <c r="E424" s="38"/>
      <c r="F424" s="488"/>
      <c r="G424" s="29"/>
      <c r="L424" s="781" t="str">
        <f>IF(OR($O424=$M424,$O424=0,$O424=""),"","*CHECK!*")</f>
        <v/>
      </c>
      <c r="M424" s="119">
        <v>6</v>
      </c>
      <c r="N424" s="5"/>
      <c r="O424" s="5"/>
      <c r="P424" s="866"/>
      <c r="Q424" s="86" t="s">
        <v>415</v>
      </c>
      <c r="R424" s="778" t="s">
        <v>2451</v>
      </c>
    </row>
    <row r="425" spans="1:18" s="70" customFormat="1" ht="10.5" customHeight="1">
      <c r="A425" s="42"/>
      <c r="B425" s="42" t="s">
        <v>1724</v>
      </c>
      <c r="C425" s="35"/>
      <c r="D425" s="42"/>
      <c r="E425" s="872"/>
      <c r="F425" s="872"/>
      <c r="G425" s="872"/>
      <c r="H425" s="872"/>
      <c r="I425" s="872"/>
      <c r="J425" s="872"/>
      <c r="K425" s="872"/>
      <c r="L425" s="872"/>
      <c r="M425" s="872"/>
      <c r="N425" s="71"/>
      <c r="O425" s="656"/>
      <c r="P425" s="119"/>
    </row>
    <row r="426" spans="1:18" s="36" customFormat="1" ht="10.95" customHeight="1">
      <c r="A426" s="4266"/>
      <c r="B426" s="4267"/>
      <c r="C426" s="4267"/>
      <c r="D426" s="4267"/>
      <c r="E426" s="4267"/>
      <c r="F426" s="4267"/>
      <c r="G426" s="4267"/>
      <c r="H426" s="4267"/>
      <c r="I426" s="4267"/>
      <c r="J426" s="4267"/>
      <c r="K426" s="4267"/>
      <c r="L426" s="4267"/>
      <c r="M426" s="4267"/>
      <c r="N426" s="4267"/>
      <c r="O426" s="4267"/>
      <c r="P426" s="4268"/>
      <c r="Q426" s="354"/>
      <c r="R426" s="354"/>
    </row>
    <row r="427" spans="1:18" s="36" customFormat="1" ht="2.25" customHeight="1" thickBot="1">
      <c r="A427" s="121"/>
      <c r="B427" s="35"/>
      <c r="C427" s="870"/>
      <c r="D427" s="870"/>
      <c r="E427" s="870"/>
      <c r="F427" s="870"/>
      <c r="G427" s="870"/>
      <c r="H427" s="870"/>
      <c r="I427" s="870"/>
      <c r="J427" s="870"/>
      <c r="K427" s="870"/>
      <c r="L427" s="870"/>
      <c r="M427" s="870"/>
      <c r="N427" s="55"/>
      <c r="O427" s="52"/>
      <c r="P427" s="119"/>
    </row>
    <row r="428" spans="1:18" s="70" customFormat="1" ht="11.25" customHeight="1" thickBot="1">
      <c r="A428" s="121" t="s">
        <v>3677</v>
      </c>
      <c r="B428" s="83" t="s">
        <v>4499</v>
      </c>
      <c r="D428" s="38"/>
      <c r="L428" s="781"/>
      <c r="M428" s="119">
        <v>4</v>
      </c>
      <c r="N428" s="5"/>
      <c r="O428" s="882"/>
      <c r="P428" s="866"/>
      <c r="Q428" s="86" t="s">
        <v>415</v>
      </c>
      <c r="R428" s="778" t="s">
        <v>2451</v>
      </c>
    </row>
    <row r="429" spans="1:18" s="36" customFormat="1" ht="10.5" customHeight="1" thickBot="1">
      <c r="A429" s="35"/>
      <c r="B429" s="920" t="s">
        <v>3155</v>
      </c>
      <c r="C429" s="35"/>
      <c r="D429" s="41"/>
      <c r="E429" s="41"/>
      <c r="F429" s="41"/>
      <c r="G429" s="41"/>
      <c r="H429" s="29"/>
      <c r="I429" s="29"/>
      <c r="J429" s="29"/>
      <c r="K429" s="29"/>
      <c r="M429" s="39"/>
      <c r="N429" s="47"/>
      <c r="O429" s="3"/>
      <c r="P429" s="24"/>
    </row>
    <row r="430" spans="1:18" s="36" customFormat="1" ht="45.75" customHeight="1" thickTop="1" thickBot="1">
      <c r="A430" s="4467"/>
      <c r="B430" s="4468"/>
      <c r="C430" s="4468"/>
      <c r="D430" s="4468"/>
      <c r="E430" s="4468"/>
      <c r="F430" s="4468"/>
      <c r="G430" s="4468"/>
      <c r="H430" s="4468"/>
      <c r="I430" s="4468"/>
      <c r="J430" s="4468"/>
      <c r="K430" s="4468"/>
      <c r="L430" s="4468"/>
      <c r="M430" s="4468"/>
      <c r="N430" s="4468"/>
      <c r="O430" s="4468"/>
      <c r="P430" s="4469"/>
      <c r="Q430" s="354" t="s">
        <v>1179</v>
      </c>
      <c r="R430" s="354"/>
    </row>
    <row r="431" spans="1:18" s="70" customFormat="1" ht="10.5" customHeight="1" thickTop="1">
      <c r="A431" s="42"/>
      <c r="B431" s="42" t="s">
        <v>1724</v>
      </c>
      <c r="C431" s="35"/>
      <c r="D431" s="42"/>
      <c r="E431" s="872"/>
      <c r="F431" s="872"/>
      <c r="G431" s="872"/>
      <c r="H431" s="872"/>
      <c r="I431" s="872"/>
      <c r="J431" s="872"/>
      <c r="K431" s="872"/>
      <c r="L431" s="872"/>
      <c r="M431" s="872"/>
      <c r="N431" s="71"/>
      <c r="O431" s="656"/>
      <c r="P431" s="119"/>
    </row>
    <row r="432" spans="1:18" s="36" customFormat="1" ht="10.95" customHeight="1">
      <c r="A432" s="4266"/>
      <c r="B432" s="4267"/>
      <c r="C432" s="4267"/>
      <c r="D432" s="4267"/>
      <c r="E432" s="4267"/>
      <c r="F432" s="4267"/>
      <c r="G432" s="4267"/>
      <c r="H432" s="4267"/>
      <c r="I432" s="4267"/>
      <c r="J432" s="4267"/>
      <c r="K432" s="4267"/>
      <c r="L432" s="4267"/>
      <c r="M432" s="4267"/>
      <c r="N432" s="4267"/>
      <c r="O432" s="4267"/>
      <c r="P432" s="4268"/>
      <c r="Q432" s="354"/>
      <c r="R432" s="354"/>
    </row>
    <row r="433" spans="1:27" s="36" customFormat="1" ht="2.25" customHeight="1" thickBot="1">
      <c r="A433" s="121"/>
      <c r="B433" s="35"/>
      <c r="C433" s="870"/>
      <c r="D433" s="870"/>
      <c r="E433" s="870"/>
      <c r="F433" s="870"/>
      <c r="G433" s="870"/>
      <c r="H433" s="870"/>
      <c r="I433" s="870"/>
      <c r="J433" s="870"/>
      <c r="K433" s="870"/>
      <c r="L433" s="870"/>
      <c r="M433" s="870"/>
      <c r="N433" s="55"/>
      <c r="O433" s="52"/>
      <c r="P433" s="119"/>
    </row>
    <row r="434" spans="1:27" s="70" customFormat="1" ht="11.25" customHeight="1" thickBot="1">
      <c r="A434" s="121" t="s">
        <v>4444</v>
      </c>
      <c r="B434" s="83" t="s">
        <v>4500</v>
      </c>
      <c r="D434" s="38"/>
      <c r="G434" s="46" t="s">
        <v>3980</v>
      </c>
      <c r="L434" s="781" t="str">
        <f>IF(OR($O434&lt;=$M434,$O434=0,$O434=""),"","*CHECK!*")</f>
        <v/>
      </c>
      <c r="M434" s="119">
        <v>6</v>
      </c>
      <c r="N434" s="5"/>
      <c r="O434" s="851">
        <f>IF(SUM(O435:O436)&gt;$M$434,"Check",SUM(O435:O436))</f>
        <v>0</v>
      </c>
      <c r="P434" s="851">
        <f>IF(SUM(P435:P436)&gt;$M$434,"Check",SUM(P435:P436))</f>
        <v>0</v>
      </c>
      <c r="Q434" s="86" t="s">
        <v>415</v>
      </c>
      <c r="R434" s="778" t="s">
        <v>2451</v>
      </c>
    </row>
    <row r="435" spans="1:27" s="36" customFormat="1" ht="12" customHeight="1">
      <c r="A435" s="671" t="s">
        <v>1835</v>
      </c>
      <c r="B435" s="141" t="s">
        <v>4028</v>
      </c>
      <c r="C435"/>
      <c r="E435" s="67"/>
      <c r="F435" s="29"/>
      <c r="G435" s="29"/>
      <c r="H435" s="29"/>
      <c r="K435" s="31"/>
      <c r="L435" s="45"/>
      <c r="M435" s="457">
        <v>6</v>
      </c>
      <c r="N435" s="1563" t="s">
        <v>1835</v>
      </c>
      <c r="O435" s="1741"/>
      <c r="P435" s="1742"/>
      <c r="Q435" s="781" t="str">
        <f>IF(OR($O435&lt;=$M435,$O435=0,$O435=""),"","*CHECK!*")</f>
        <v/>
      </c>
      <c r="R435" s="778" t="s">
        <v>2451</v>
      </c>
    </row>
    <row r="436" spans="1:27" s="108" customFormat="1" ht="12" customHeight="1">
      <c r="A436" s="1739" t="s">
        <v>1837</v>
      </c>
      <c r="B436" s="880" t="s">
        <v>4029</v>
      </c>
      <c r="C436" s="456"/>
      <c r="D436" s="456"/>
      <c r="E436" s="456"/>
      <c r="F436" s="456"/>
      <c r="H436" s="456"/>
      <c r="I436" s="456"/>
      <c r="J436" s="103"/>
      <c r="K436" s="103"/>
      <c r="L436" s="103"/>
      <c r="M436" s="457">
        <v>4</v>
      </c>
      <c r="N436" s="1563" t="s">
        <v>1837</v>
      </c>
      <c r="O436" s="406"/>
      <c r="P436" s="414"/>
      <c r="Q436" s="781" t="str">
        <f>IF(OR($O436&lt;=$M436,$O436=0,$O436=""),"","*CHECK!*")</f>
        <v/>
      </c>
      <c r="R436" s="778" t="s">
        <v>2451</v>
      </c>
    </row>
    <row r="437" spans="1:27" s="36" customFormat="1" ht="10.5" customHeight="1" thickBot="1">
      <c r="A437" s="35"/>
      <c r="B437" s="920" t="s">
        <v>3155</v>
      </c>
      <c r="C437" s="35"/>
      <c r="D437" s="41"/>
      <c r="E437" s="41"/>
      <c r="F437" s="41"/>
      <c r="G437" s="41"/>
      <c r="H437" s="29"/>
      <c r="I437" s="29"/>
      <c r="J437" s="29"/>
      <c r="K437" s="29"/>
      <c r="M437" s="39"/>
      <c r="N437" s="47"/>
      <c r="O437" s="3"/>
      <c r="P437" s="24"/>
    </row>
    <row r="438" spans="1:27" s="36" customFormat="1" ht="45.75" customHeight="1" thickTop="1" thickBot="1">
      <c r="A438" s="4467"/>
      <c r="B438" s="4468"/>
      <c r="C438" s="4468"/>
      <c r="D438" s="4468"/>
      <c r="E438" s="4468"/>
      <c r="F438" s="4468"/>
      <c r="G438" s="4468"/>
      <c r="H438" s="4468"/>
      <c r="I438" s="4468"/>
      <c r="J438" s="4468"/>
      <c r="K438" s="4468"/>
      <c r="L438" s="4468"/>
      <c r="M438" s="4468"/>
      <c r="N438" s="4468"/>
      <c r="O438" s="4468"/>
      <c r="P438" s="4469"/>
      <c r="Q438" s="354" t="s">
        <v>1179</v>
      </c>
      <c r="R438" s="354"/>
    </row>
    <row r="439" spans="1:27" s="70" customFormat="1" ht="10.5" customHeight="1" thickTop="1">
      <c r="A439" s="42"/>
      <c r="B439" s="42" t="s">
        <v>1724</v>
      </c>
      <c r="C439" s="35"/>
      <c r="D439" s="42"/>
      <c r="E439" s="872"/>
      <c r="F439" s="872"/>
      <c r="G439" s="872"/>
      <c r="H439" s="872"/>
      <c r="I439" s="872"/>
      <c r="J439" s="872"/>
      <c r="K439" s="872"/>
      <c r="L439" s="872"/>
      <c r="M439" s="872"/>
      <c r="N439" s="71"/>
      <c r="O439" s="656"/>
      <c r="P439" s="119"/>
    </row>
    <row r="440" spans="1:27" s="36" customFormat="1" ht="10.5" customHeight="1">
      <c r="A440" s="4266"/>
      <c r="B440" s="4267"/>
      <c r="C440" s="4267"/>
      <c r="D440" s="4267"/>
      <c r="E440" s="4267"/>
      <c r="F440" s="4267"/>
      <c r="G440" s="4267"/>
      <c r="H440" s="4267"/>
      <c r="I440" s="4267"/>
      <c r="J440" s="4267"/>
      <c r="K440" s="4267"/>
      <c r="L440" s="4267"/>
      <c r="M440" s="4267"/>
      <c r="N440" s="4267"/>
      <c r="O440" s="4267"/>
      <c r="P440" s="4268"/>
      <c r="Q440" s="354"/>
      <c r="R440" s="354"/>
    </row>
    <row r="441" spans="1:27" ht="13.5" customHeight="1" thickBot="1">
      <c r="Q441" s="4750" t="s">
        <v>4625</v>
      </c>
      <c r="R441" s="4750"/>
      <c r="S441" s="4750"/>
      <c r="T441" s="4750"/>
      <c r="U441" s="4750"/>
      <c r="V441" s="4750"/>
      <c r="W441" s="4750"/>
      <c r="X441" s="4750"/>
      <c r="Y441" s="4750"/>
      <c r="Z441" s="4750"/>
      <c r="AA441" s="4750"/>
    </row>
    <row r="442" spans="1:27" s="35" customFormat="1" ht="12.75" customHeight="1" thickTop="1" thickBot="1">
      <c r="A442" s="122" t="s">
        <v>401</v>
      </c>
      <c r="B442" s="50"/>
      <c r="D442" s="28"/>
      <c r="E442" s="28"/>
      <c r="F442" s="36"/>
      <c r="I442" s="123"/>
      <c r="J442" s="123"/>
      <c r="K442" s="123"/>
      <c r="L442" s="70"/>
      <c r="M442" s="1537" t="e">
        <f>IF(AND(P37="9%",M55="New Supply"),G63,IF(AND(P37="4%",M55="New Supply"),H63,IF(AND(P37="9%",M55="Rehabilitation"),J63,IF(AND(P37="4%",M55="Rehabilitation"),I63,K63))))</f>
        <v>#REF!</v>
      </c>
      <c r="N442" s="124"/>
      <c r="O442" s="1521" t="e">
        <f>O64+O89+O103+O113+O152+O169+O205+O225+O233+O242+O252+O261+O274+O285+O310+O334+O342+O378+O397+O405+O418+O428+O434</f>
        <v>#REF!</v>
      </c>
      <c r="P442" s="1521" t="e">
        <f>-P10+P64+P89+P103+P113+P152+P169+P190+P205+P225+P233+P242+P252+P261+P274+P285+P310+P318+P334+P342+P378+P397+P405+P418+P424+P428+P434</f>
        <v>#REF!</v>
      </c>
      <c r="Q442" s="4750"/>
      <c r="R442" s="4750"/>
      <c r="S442" s="4750"/>
      <c r="T442" s="4750"/>
      <c r="U442" s="4750"/>
      <c r="V442" s="4750"/>
      <c r="W442" s="4750"/>
      <c r="X442" s="4750"/>
      <c r="Y442" s="4750"/>
      <c r="Z442" s="4750"/>
      <c r="AA442" s="4750"/>
    </row>
    <row r="443" spans="1:27" s="36" customFormat="1" ht="15" thickTop="1">
      <c r="A443" s="35"/>
      <c r="C443" s="870"/>
      <c r="D443" s="870"/>
      <c r="E443" s="870"/>
      <c r="F443" s="870"/>
      <c r="G443" s="870"/>
      <c r="H443" s="870"/>
      <c r="I443" s="870"/>
      <c r="J443" s="870"/>
      <c r="K443" s="870"/>
      <c r="L443" s="870"/>
      <c r="M443" s="870"/>
      <c r="N443" s="870"/>
      <c r="O443" s="870"/>
      <c r="P443" s="870"/>
      <c r="Q443" s="4750"/>
      <c r="R443" s="4750"/>
      <c r="S443" s="4750"/>
      <c r="T443" s="4750"/>
      <c r="U443" s="4750"/>
      <c r="V443" s="4750"/>
      <c r="W443" s="4750"/>
      <c r="X443" s="4750"/>
      <c r="Y443" s="4750"/>
      <c r="Z443" s="4750"/>
      <c r="AA443" s="4750"/>
    </row>
    <row r="444" spans="1:27" s="115" customFormat="1" ht="6.75" customHeight="1">
      <c r="A444" s="36"/>
      <c r="B444" s="50"/>
      <c r="C444" s="36"/>
      <c r="F444" s="33"/>
      <c r="G444" s="33"/>
      <c r="H444" s="51"/>
      <c r="I444" s="51"/>
      <c r="L444" s="36"/>
      <c r="N444" s="119"/>
      <c r="O444" s="119"/>
      <c r="P444" s="3"/>
      <c r="Q444" s="4750"/>
      <c r="R444" s="4750"/>
      <c r="S444" s="4750"/>
      <c r="T444" s="4750"/>
      <c r="U444" s="4750"/>
      <c r="V444" s="4750"/>
      <c r="W444" s="4750"/>
      <c r="X444" s="4750"/>
      <c r="Y444" s="4750"/>
      <c r="Z444" s="4750"/>
      <c r="AA444" s="4750"/>
    </row>
    <row r="445" spans="1:27" s="36" customFormat="1" ht="22.5" customHeight="1">
      <c r="A445" s="4556" t="s">
        <v>4580</v>
      </c>
      <c r="B445" s="4556"/>
      <c r="C445" s="4556"/>
      <c r="D445" s="4556"/>
      <c r="E445" s="4556"/>
      <c r="F445" s="4556"/>
      <c r="G445" s="4556"/>
      <c r="H445" s="4556"/>
      <c r="I445" s="4556"/>
      <c r="J445" s="4556"/>
      <c r="K445" s="4556"/>
      <c r="L445" s="4556"/>
      <c r="M445" s="4556"/>
      <c r="N445" s="4556"/>
      <c r="O445" s="4556"/>
      <c r="P445" s="4556"/>
      <c r="Q445" s="4750"/>
      <c r="R445" s="4750"/>
      <c r="S445" s="4750"/>
      <c r="T445" s="4750"/>
      <c r="U445" s="4750"/>
      <c r="V445" s="4750"/>
      <c r="W445" s="4750"/>
      <c r="X445" s="4750"/>
      <c r="Y445" s="4750"/>
      <c r="Z445" s="4750"/>
      <c r="AA445" s="4750"/>
    </row>
    <row r="446" spans="1:27" s="36" customFormat="1" ht="409.2" customHeight="1">
      <c r="A446" s="4241"/>
      <c r="B446" s="4242"/>
      <c r="C446" s="4242"/>
      <c r="D446" s="4242"/>
      <c r="E446" s="4242"/>
      <c r="F446" s="4242"/>
      <c r="G446" s="4242"/>
      <c r="H446" s="4242"/>
      <c r="I446" s="4242"/>
      <c r="J446" s="4242"/>
      <c r="K446" s="4242"/>
      <c r="L446" s="4242"/>
      <c r="M446" s="4242"/>
      <c r="N446" s="4242"/>
      <c r="O446" s="4242"/>
      <c r="P446" s="4243"/>
      <c r="Q446" s="1854"/>
      <c r="R446" s="1854"/>
      <c r="S446" s="1854"/>
      <c r="T446" s="1854"/>
      <c r="U446" s="1854"/>
      <c r="V446" s="1854"/>
      <c r="W446" s="1854"/>
      <c r="X446" s="1854"/>
      <c r="Y446" s="1854"/>
    </row>
    <row r="447" spans="1:27" s="115" customFormat="1">
      <c r="C447" s="68" t="s">
        <v>1933</v>
      </c>
      <c r="D447" s="68"/>
      <c r="E447" s="68"/>
      <c r="F447" s="68"/>
      <c r="G447" s="68"/>
      <c r="H447" s="68"/>
      <c r="I447" s="68"/>
      <c r="J447" s="379" t="s">
        <v>1535</v>
      </c>
      <c r="K447" s="68"/>
      <c r="L447" s="68"/>
      <c r="M447" s="68"/>
      <c r="N447" s="865"/>
      <c r="O447" s="2011"/>
      <c r="P447" s="2011"/>
      <c r="Q447" s="230"/>
      <c r="R447" s="230"/>
      <c r="S447" s="230"/>
      <c r="T447" s="1854"/>
      <c r="U447" s="1854"/>
      <c r="V447" s="1854"/>
      <c r="W447" s="1854"/>
      <c r="X447" s="1854"/>
      <c r="Y447" s="1854"/>
    </row>
    <row r="448" spans="1:27" s="115" customFormat="1">
      <c r="C448" s="68" t="s">
        <v>1934</v>
      </c>
      <c r="D448" s="68"/>
      <c r="E448" s="68"/>
      <c r="F448" s="68"/>
      <c r="G448" s="68"/>
      <c r="H448" s="68"/>
      <c r="I448" s="68"/>
      <c r="J448" s="379" t="s">
        <v>1536</v>
      </c>
      <c r="K448" s="68"/>
      <c r="L448" s="68"/>
      <c r="M448" s="68"/>
      <c r="N448" s="865"/>
      <c r="O448" s="2011"/>
      <c r="P448" s="2011"/>
      <c r="Q448" s="68"/>
    </row>
    <row r="449" spans="3:17" s="115" customFormat="1">
      <c r="C449" s="68" t="s">
        <v>1935</v>
      </c>
      <c r="D449" s="68"/>
      <c r="E449" s="68"/>
      <c r="F449" s="68"/>
      <c r="G449" s="68"/>
      <c r="H449" s="68"/>
      <c r="I449" s="68"/>
      <c r="J449" s="379" t="s">
        <v>2299</v>
      </c>
      <c r="K449" s="68"/>
      <c r="L449" s="68"/>
      <c r="M449" s="68"/>
      <c r="N449" s="865"/>
      <c r="O449" s="2011"/>
      <c r="P449" s="2011"/>
      <c r="Q449" s="68"/>
    </row>
    <row r="450" spans="3:17" s="115" customFormat="1">
      <c r="C450" s="68" t="s">
        <v>1936</v>
      </c>
      <c r="D450" s="68"/>
      <c r="E450" s="68"/>
      <c r="F450" s="68"/>
      <c r="G450" s="68"/>
      <c r="H450" s="68"/>
      <c r="I450" s="68"/>
      <c r="J450" s="379" t="s">
        <v>1537</v>
      </c>
      <c r="K450" s="68"/>
      <c r="L450" s="68"/>
      <c r="M450" s="68"/>
      <c r="N450" s="865"/>
      <c r="O450" s="2011"/>
      <c r="P450" s="2011"/>
      <c r="Q450" s="68"/>
    </row>
    <row r="451" spans="3:17" s="115" customFormat="1">
      <c r="C451" s="68"/>
      <c r="D451" s="68"/>
      <c r="E451" s="68"/>
      <c r="F451" s="68"/>
      <c r="G451" s="68"/>
      <c r="H451" s="68"/>
      <c r="I451" s="68"/>
      <c r="J451" s="379" t="s">
        <v>1538</v>
      </c>
      <c r="K451" s="68"/>
      <c r="L451" s="68"/>
      <c r="M451" s="68"/>
      <c r="N451" s="865"/>
      <c r="O451" s="2011"/>
      <c r="P451" s="2011"/>
      <c r="Q451" s="68"/>
    </row>
    <row r="452" spans="3:17" s="115" customFormat="1">
      <c r="C452" s="68" t="s">
        <v>1641</v>
      </c>
      <c r="D452" s="68"/>
      <c r="E452" s="68"/>
      <c r="F452" s="68"/>
      <c r="G452" s="68"/>
      <c r="H452" s="68"/>
      <c r="I452" s="68"/>
      <c r="J452" s="379" t="s">
        <v>1539</v>
      </c>
      <c r="K452" s="68"/>
      <c r="L452" s="68"/>
      <c r="M452" s="68"/>
      <c r="N452" s="865"/>
      <c r="O452" s="2011"/>
      <c r="P452" s="2011"/>
      <c r="Q452" s="68"/>
    </row>
    <row r="453" spans="3:17" s="115" customFormat="1">
      <c r="C453" s="1333" t="s">
        <v>1310</v>
      </c>
      <c r="D453" s="68"/>
      <c r="E453" s="68"/>
      <c r="F453" s="68"/>
      <c r="G453" s="68"/>
      <c r="H453" s="68"/>
      <c r="I453" s="68"/>
      <c r="J453" s="379" t="s">
        <v>1540</v>
      </c>
      <c r="K453" s="68"/>
      <c r="L453" s="68"/>
      <c r="M453" s="68"/>
      <c r="N453" s="865"/>
      <c r="O453" s="2011"/>
      <c r="P453" s="2011"/>
      <c r="Q453" s="68"/>
    </row>
    <row r="454" spans="3:17" s="115" customFormat="1">
      <c r="C454" s="1333" t="s">
        <v>1311</v>
      </c>
      <c r="D454" s="68"/>
      <c r="E454" s="68"/>
      <c r="F454" s="68"/>
      <c r="G454" s="68"/>
      <c r="H454" s="68"/>
      <c r="I454" s="68"/>
      <c r="J454" s="379" t="s">
        <v>1541</v>
      </c>
      <c r="K454" s="68"/>
      <c r="L454" s="68"/>
      <c r="M454" s="68"/>
      <c r="N454" s="865"/>
      <c r="O454" s="2011"/>
      <c r="P454" s="2011"/>
      <c r="Q454" s="68"/>
    </row>
    <row r="455" spans="3:17" s="115" customFormat="1">
      <c r="C455" s="1333" t="s">
        <v>1974</v>
      </c>
      <c r="D455" s="68"/>
      <c r="E455" s="68"/>
      <c r="F455" s="68"/>
      <c r="G455" s="68"/>
      <c r="H455" s="68"/>
      <c r="I455" s="68"/>
      <c r="J455" s="379" t="s">
        <v>1542</v>
      </c>
      <c r="K455" s="68"/>
      <c r="L455" s="68"/>
      <c r="M455" s="68"/>
      <c r="N455" s="865"/>
      <c r="O455" s="2011"/>
      <c r="P455" s="2011"/>
      <c r="Q455" s="68"/>
    </row>
    <row r="456" spans="3:17" s="115" customFormat="1">
      <c r="C456" s="1333" t="s">
        <v>1307</v>
      </c>
      <c r="D456" s="68"/>
      <c r="E456" s="68"/>
      <c r="F456" s="68"/>
      <c r="G456" s="68"/>
      <c r="H456" s="68"/>
      <c r="I456" s="68"/>
      <c r="J456" s="379" t="s">
        <v>548</v>
      </c>
      <c r="K456" s="68"/>
      <c r="L456" s="68"/>
      <c r="M456" s="68"/>
      <c r="N456" s="865"/>
      <c r="O456" s="2011"/>
      <c r="P456" s="2011"/>
      <c r="Q456" s="68"/>
    </row>
    <row r="457" spans="3:17" s="115" customFormat="1">
      <c r="C457" s="1333" t="s">
        <v>1308</v>
      </c>
      <c r="D457" s="68"/>
      <c r="E457" s="68"/>
      <c r="F457" s="68"/>
      <c r="G457" s="68"/>
      <c r="H457" s="68"/>
      <c r="I457" s="68"/>
      <c r="J457" s="379" t="s">
        <v>1543</v>
      </c>
      <c r="K457" s="68"/>
      <c r="L457" s="68"/>
      <c r="M457" s="68"/>
      <c r="N457" s="865"/>
      <c r="O457" s="2011"/>
      <c r="P457" s="2011"/>
      <c r="Q457" s="68"/>
    </row>
    <row r="458" spans="3:17" s="115" customFormat="1">
      <c r="C458" s="1333" t="s">
        <v>1969</v>
      </c>
      <c r="D458" s="68"/>
      <c r="E458" s="68"/>
      <c r="F458" s="68"/>
      <c r="G458" s="68"/>
      <c r="H458" s="68"/>
      <c r="I458" s="68"/>
      <c r="J458" s="379" t="s">
        <v>1544</v>
      </c>
      <c r="K458" s="68"/>
      <c r="L458" s="68"/>
      <c r="M458" s="68"/>
      <c r="N458" s="865"/>
      <c r="O458" s="2011"/>
      <c r="P458" s="2011"/>
      <c r="Q458" s="68"/>
    </row>
    <row r="459" spans="3:17" s="115" customFormat="1">
      <c r="C459" s="1333" t="s">
        <v>1970</v>
      </c>
      <c r="D459" s="68"/>
      <c r="E459" s="68"/>
      <c r="F459" s="68"/>
      <c r="G459" s="68"/>
      <c r="H459" s="68"/>
      <c r="I459" s="68"/>
      <c r="J459" s="379" t="s">
        <v>1545</v>
      </c>
      <c r="K459" s="68"/>
      <c r="L459" s="68"/>
      <c r="M459" s="68"/>
      <c r="N459" s="865"/>
      <c r="O459" s="2011"/>
      <c r="P459" s="2011"/>
      <c r="Q459" s="68"/>
    </row>
    <row r="460" spans="3:17" s="115" customFormat="1">
      <c r="C460" s="1333" t="s">
        <v>1971</v>
      </c>
      <c r="D460" s="68"/>
      <c r="E460" s="68"/>
      <c r="F460" s="68"/>
      <c r="G460" s="68"/>
      <c r="H460" s="68"/>
      <c r="I460" s="68"/>
      <c r="J460" s="379" t="s">
        <v>32</v>
      </c>
      <c r="K460" s="68"/>
      <c r="L460" s="68"/>
      <c r="M460" s="68"/>
      <c r="N460" s="865"/>
      <c r="O460" s="2011"/>
      <c r="P460" s="2011"/>
      <c r="Q460" s="68"/>
    </row>
    <row r="461" spans="3:17" s="115" customFormat="1">
      <c r="C461" s="1333" t="s">
        <v>1972</v>
      </c>
      <c r="D461" s="68"/>
      <c r="E461" s="68"/>
      <c r="F461" s="68"/>
      <c r="G461" s="68"/>
      <c r="H461" s="68"/>
      <c r="I461" s="68"/>
      <c r="J461" s="68"/>
      <c r="K461" s="68"/>
      <c r="L461" s="68"/>
      <c r="M461" s="68"/>
      <c r="N461" s="865"/>
      <c r="O461" s="2011"/>
      <c r="P461" s="2011"/>
      <c r="Q461" s="68"/>
    </row>
    <row r="462" spans="3:17" s="115" customFormat="1">
      <c r="C462" s="1333" t="s">
        <v>1973</v>
      </c>
      <c r="D462" s="68"/>
      <c r="E462" s="68"/>
      <c r="F462" s="68"/>
      <c r="G462" s="68"/>
      <c r="H462" s="68"/>
      <c r="I462" s="68"/>
      <c r="J462" s="2012" t="s">
        <v>2953</v>
      </c>
      <c r="K462" s="68"/>
      <c r="L462" s="68"/>
      <c r="M462" s="68"/>
      <c r="N462" s="865"/>
      <c r="O462" s="2012" t="s">
        <v>3166</v>
      </c>
      <c r="P462" s="2011"/>
      <c r="Q462" s="68"/>
    </row>
    <row r="463" spans="3:17" s="115" customFormat="1">
      <c r="C463" s="1333" t="s">
        <v>1309</v>
      </c>
      <c r="D463" s="68"/>
      <c r="E463" s="68"/>
      <c r="F463" s="68"/>
      <c r="G463" s="68"/>
      <c r="H463" s="68"/>
      <c r="I463" s="68"/>
      <c r="J463" s="379" t="s">
        <v>2954</v>
      </c>
      <c r="K463" s="68"/>
      <c r="L463" s="68"/>
      <c r="M463" s="68"/>
      <c r="N463" s="865"/>
      <c r="O463" s="2011"/>
      <c r="P463" s="2011"/>
      <c r="Q463" s="68"/>
    </row>
    <row r="464" spans="3:17" s="115" customFormat="1">
      <c r="C464" s="1333" t="s">
        <v>2102</v>
      </c>
      <c r="D464" s="68"/>
      <c r="E464" s="68"/>
      <c r="F464" s="68"/>
      <c r="G464" s="68"/>
      <c r="H464" s="68"/>
      <c r="I464" s="68"/>
      <c r="J464" s="68" t="s">
        <v>2938</v>
      </c>
      <c r="K464" s="68"/>
      <c r="L464" s="68"/>
      <c r="M464" s="68"/>
      <c r="N464" s="865"/>
      <c r="O464" s="2011">
        <v>2</v>
      </c>
      <c r="P464" s="2011"/>
      <c r="Q464" s="68"/>
    </row>
    <row r="465" spans="1:17" s="115" customFormat="1">
      <c r="C465" s="68"/>
      <c r="D465" s="68"/>
      <c r="E465" s="68"/>
      <c r="F465" s="68"/>
      <c r="G465" s="68"/>
      <c r="H465" s="68"/>
      <c r="I465" s="68"/>
      <c r="J465" s="68" t="s">
        <v>2939</v>
      </c>
      <c r="K465" s="68"/>
      <c r="L465" s="68"/>
      <c r="M465" s="68"/>
      <c r="N465" s="865"/>
      <c r="O465" s="2011">
        <v>2</v>
      </c>
      <c r="P465" s="2011"/>
      <c r="Q465" s="68"/>
    </row>
    <row r="466" spans="1:17" s="115" customFormat="1">
      <c r="C466" s="68"/>
      <c r="D466" s="68"/>
      <c r="E466" s="68"/>
      <c r="F466" s="68"/>
      <c r="G466" s="4553" t="s">
        <v>1405</v>
      </c>
      <c r="H466" s="4553"/>
      <c r="I466" s="4553"/>
      <c r="J466" s="68" t="s">
        <v>2940</v>
      </c>
      <c r="K466" s="68"/>
      <c r="L466" s="68"/>
      <c r="M466" s="68"/>
      <c r="N466" s="865"/>
      <c r="O466" s="2011">
        <v>2</v>
      </c>
      <c r="P466" s="2011"/>
      <c r="Q466" s="68"/>
    </row>
    <row r="467" spans="1:17" s="115" customFormat="1">
      <c r="C467" s="68"/>
      <c r="D467" s="68"/>
      <c r="E467" s="68"/>
      <c r="F467" s="68"/>
      <c r="G467" s="1740" t="s">
        <v>3929</v>
      </c>
      <c r="H467" s="68" t="s">
        <v>3930</v>
      </c>
      <c r="I467" s="1740" t="s">
        <v>3928</v>
      </c>
      <c r="J467" s="68" t="s">
        <v>2941</v>
      </c>
      <c r="K467" s="68"/>
      <c r="L467" s="1740"/>
      <c r="M467" s="68"/>
      <c r="N467" s="865"/>
      <c r="O467" s="2011">
        <v>2</v>
      </c>
      <c r="P467" s="2011"/>
      <c r="Q467" s="68"/>
    </row>
    <row r="468" spans="1:17" s="115" customFormat="1">
      <c r="C468" s="501"/>
      <c r="D468" s="68"/>
      <c r="E468" s="68"/>
      <c r="F468" s="68"/>
      <c r="G468" s="1414" t="s">
        <v>2313</v>
      </c>
      <c r="H468" s="68"/>
      <c r="I468" s="1414"/>
      <c r="J468" s="68" t="s">
        <v>3164</v>
      </c>
      <c r="K468" s="68"/>
      <c r="L468" s="1414"/>
      <c r="M468" s="68"/>
      <c r="N468" s="865"/>
      <c r="O468" s="2011">
        <v>2</v>
      </c>
      <c r="P468" s="2011"/>
      <c r="Q468" s="68"/>
    </row>
    <row r="469" spans="1:17" s="115" customFormat="1">
      <c r="C469" s="501"/>
      <c r="D469" s="68"/>
      <c r="E469" s="68"/>
      <c r="F469" s="68"/>
      <c r="G469" s="1414" t="s">
        <v>435</v>
      </c>
      <c r="H469" s="865" t="s">
        <v>3932</v>
      </c>
      <c r="I469" s="1740" t="s">
        <v>2445</v>
      </c>
      <c r="J469" s="68" t="s">
        <v>2942</v>
      </c>
      <c r="K469" s="68"/>
      <c r="L469" s="501"/>
      <c r="M469" s="68"/>
      <c r="N469" s="865"/>
      <c r="O469" s="2011">
        <v>1</v>
      </c>
      <c r="P469" s="2011"/>
      <c r="Q469" s="68"/>
    </row>
    <row r="470" spans="1:17" s="115" customFormat="1">
      <c r="C470" s="501"/>
      <c r="D470" s="68"/>
      <c r="E470" s="68"/>
      <c r="F470" s="68"/>
      <c r="G470" s="1414" t="s">
        <v>1652</v>
      </c>
      <c r="H470" s="865">
        <v>2020</v>
      </c>
      <c r="I470" s="865" t="s">
        <v>3931</v>
      </c>
      <c r="J470" s="68" t="s">
        <v>2943</v>
      </c>
      <c r="K470" s="68"/>
      <c r="L470" s="501"/>
      <c r="M470" s="68"/>
      <c r="N470" s="865"/>
      <c r="O470" s="2011">
        <v>1</v>
      </c>
      <c r="P470" s="2011"/>
      <c r="Q470" s="68"/>
    </row>
    <row r="471" spans="1:17" s="115" customFormat="1">
      <c r="C471" s="501"/>
      <c r="D471" s="68"/>
      <c r="E471" s="68"/>
      <c r="F471" s="68"/>
      <c r="G471" s="1414" t="s">
        <v>2344</v>
      </c>
      <c r="H471" s="865" t="s">
        <v>1607</v>
      </c>
      <c r="I471" s="1740" t="s">
        <v>2445</v>
      </c>
      <c r="J471" s="68" t="s">
        <v>2944</v>
      </c>
      <c r="K471" s="68"/>
      <c r="L471" s="501"/>
      <c r="M471" s="68"/>
      <c r="N471" s="865"/>
      <c r="O471" s="2011">
        <v>1</v>
      </c>
      <c r="P471" s="2011"/>
      <c r="Q471" s="68"/>
    </row>
    <row r="472" spans="1:17" s="115" customFormat="1">
      <c r="C472" s="501"/>
      <c r="D472" s="68"/>
      <c r="E472" s="68"/>
      <c r="F472" s="68"/>
      <c r="G472" s="1414" t="s">
        <v>970</v>
      </c>
      <c r="H472" s="865">
        <v>2020</v>
      </c>
      <c r="I472" s="865" t="s">
        <v>3931</v>
      </c>
      <c r="J472" s="68" t="s">
        <v>3165</v>
      </c>
      <c r="K472" s="68"/>
      <c r="L472" s="501"/>
      <c r="M472" s="68"/>
      <c r="N472" s="865"/>
      <c r="O472" s="2011">
        <v>1</v>
      </c>
      <c r="P472" s="2011"/>
      <c r="Q472" s="68"/>
    </row>
    <row r="473" spans="1:17" s="115" customFormat="1">
      <c r="C473" s="501"/>
      <c r="D473" s="68"/>
      <c r="E473" s="68"/>
      <c r="F473" s="68"/>
      <c r="G473" s="1414" t="s">
        <v>3187</v>
      </c>
      <c r="H473" s="865">
        <v>2019</v>
      </c>
      <c r="I473" s="865" t="s">
        <v>3931</v>
      </c>
      <c r="J473" s="68" t="s">
        <v>2952</v>
      </c>
      <c r="K473" s="68"/>
      <c r="L473" s="501"/>
      <c r="M473" s="68"/>
      <c r="N473" s="865"/>
      <c r="O473" s="2011">
        <v>1</v>
      </c>
      <c r="P473" s="2011"/>
      <c r="Q473" s="68"/>
    </row>
    <row r="474" spans="1:17" s="115" customFormat="1">
      <c r="C474" s="501"/>
      <c r="D474" s="68"/>
      <c r="E474" s="68"/>
      <c r="F474" s="68"/>
      <c r="G474" s="1414" t="s">
        <v>340</v>
      </c>
      <c r="H474" s="865" t="s">
        <v>1607</v>
      </c>
      <c r="I474" s="1740" t="s">
        <v>2445</v>
      </c>
      <c r="J474" s="68" t="s">
        <v>2945</v>
      </c>
      <c r="K474" s="68"/>
      <c r="L474" s="501"/>
      <c r="M474" s="68"/>
      <c r="N474" s="865"/>
      <c r="O474" s="2011">
        <v>1</v>
      </c>
      <c r="P474" s="2011"/>
      <c r="Q474" s="68"/>
    </row>
    <row r="475" spans="1:17" s="115" customFormat="1">
      <c r="C475" s="501"/>
      <c r="D475" s="68"/>
      <c r="E475" s="68"/>
      <c r="F475" s="68"/>
      <c r="G475" s="1414" t="s">
        <v>1630</v>
      </c>
      <c r="H475" s="865">
        <v>2020</v>
      </c>
      <c r="I475" s="865" t="s">
        <v>3931</v>
      </c>
      <c r="J475" s="68" t="s">
        <v>2946</v>
      </c>
      <c r="K475" s="68"/>
      <c r="L475" s="501"/>
      <c r="M475" s="68"/>
      <c r="N475" s="865"/>
      <c r="O475" s="2011">
        <v>1</v>
      </c>
      <c r="P475" s="2011"/>
      <c r="Q475" s="68"/>
    </row>
    <row r="476" spans="1:17" s="115" customFormat="1">
      <c r="C476" s="501"/>
      <c r="D476" s="68"/>
      <c r="E476" s="68"/>
      <c r="F476" s="68"/>
      <c r="G476" s="1414" t="s">
        <v>1903</v>
      </c>
      <c r="H476" s="865" t="s">
        <v>3932</v>
      </c>
      <c r="I476" s="1740" t="s">
        <v>2445</v>
      </c>
      <c r="J476" s="68" t="s">
        <v>2947</v>
      </c>
      <c r="K476" s="68"/>
      <c r="L476" s="501"/>
      <c r="M476" s="68"/>
      <c r="N476" s="865"/>
      <c r="O476" s="2011">
        <v>1</v>
      </c>
      <c r="P476" s="2011"/>
      <c r="Q476" s="68"/>
    </row>
    <row r="477" spans="1:17" s="115" customFormat="1">
      <c r="C477" s="68"/>
      <c r="D477" s="68"/>
      <c r="E477" s="68"/>
      <c r="F477" s="68"/>
      <c r="G477" s="1414" t="s">
        <v>82</v>
      </c>
      <c r="H477" s="865" t="s">
        <v>3932</v>
      </c>
      <c r="I477" s="1740" t="s">
        <v>2445</v>
      </c>
      <c r="J477" s="68" t="s">
        <v>2948</v>
      </c>
      <c r="K477" s="68"/>
      <c r="L477" s="501"/>
      <c r="M477" s="68"/>
      <c r="N477" s="865"/>
      <c r="O477" s="2011">
        <v>1</v>
      </c>
      <c r="P477" s="2011"/>
      <c r="Q477" s="68"/>
    </row>
    <row r="478" spans="1:17" s="115" customFormat="1">
      <c r="C478" s="68"/>
      <c r="D478" s="68"/>
      <c r="E478" s="68"/>
      <c r="F478" s="68"/>
      <c r="G478" s="1414" t="s">
        <v>836</v>
      </c>
      <c r="H478" s="865">
        <v>2019</v>
      </c>
      <c r="I478" s="865" t="s">
        <v>3931</v>
      </c>
      <c r="J478" s="68" t="s">
        <v>2951</v>
      </c>
      <c r="K478" s="68"/>
      <c r="L478" s="501"/>
      <c r="M478" s="68"/>
      <c r="N478" s="865"/>
      <c r="O478" s="2011">
        <v>1</v>
      </c>
      <c r="P478" s="2011"/>
      <c r="Q478" s="68"/>
    </row>
    <row r="479" spans="1:17" s="115" customFormat="1">
      <c r="A479" s="44" t="s">
        <v>2490</v>
      </c>
      <c r="C479" s="68"/>
      <c r="D479" s="68"/>
      <c r="E479" s="68"/>
      <c r="F479" s="68"/>
      <c r="G479" s="1414" t="s">
        <v>1980</v>
      </c>
      <c r="H479" s="865" t="s">
        <v>3932</v>
      </c>
      <c r="I479" s="1740" t="s">
        <v>2445</v>
      </c>
      <c r="J479" s="68" t="s">
        <v>2949</v>
      </c>
      <c r="K479" s="68"/>
      <c r="L479" s="501"/>
      <c r="M479" s="68"/>
      <c r="N479" s="865"/>
      <c r="O479" s="2011">
        <v>1</v>
      </c>
      <c r="P479" s="2011"/>
      <c r="Q479" s="68"/>
    </row>
    <row r="480" spans="1:17" s="115" customFormat="1">
      <c r="A480" s="44" t="s">
        <v>2505</v>
      </c>
      <c r="C480" s="68"/>
      <c r="D480" s="68"/>
      <c r="E480" s="68"/>
      <c r="F480" s="68"/>
      <c r="G480" s="1414" t="s">
        <v>1901</v>
      </c>
      <c r="H480" s="865">
        <v>2019</v>
      </c>
      <c r="I480" s="865" t="s">
        <v>3931</v>
      </c>
      <c r="J480" s="68" t="s">
        <v>2950</v>
      </c>
      <c r="K480" s="68"/>
      <c r="L480" s="501"/>
      <c r="M480" s="68"/>
      <c r="N480" s="865"/>
      <c r="O480" s="2011">
        <v>1</v>
      </c>
      <c r="P480" s="2011"/>
      <c r="Q480" s="68"/>
    </row>
    <row r="481" spans="1:17" s="115" customFormat="1">
      <c r="A481" s="108" t="s">
        <v>2932</v>
      </c>
      <c r="C481" s="68"/>
      <c r="D481" s="501"/>
      <c r="E481" s="501">
        <v>3</v>
      </c>
      <c r="F481" s="68"/>
      <c r="G481" s="1414" t="s">
        <v>322</v>
      </c>
      <c r="H481" s="865">
        <v>2019</v>
      </c>
      <c r="I481" s="865" t="s">
        <v>3931</v>
      </c>
      <c r="J481" s="68"/>
      <c r="K481" s="68"/>
      <c r="L481" s="501"/>
      <c r="M481" s="68"/>
      <c r="N481" s="865"/>
      <c r="O481" s="2011"/>
      <c r="P481" s="2011"/>
      <c r="Q481" s="68"/>
    </row>
    <row r="482" spans="1:17" s="115" customFormat="1">
      <c r="A482" s="108" t="s">
        <v>2933</v>
      </c>
      <c r="C482" s="68"/>
      <c r="D482" s="501"/>
      <c r="E482" s="501">
        <v>2</v>
      </c>
      <c r="F482" s="68"/>
      <c r="G482" s="1414" t="s">
        <v>814</v>
      </c>
      <c r="H482" s="865">
        <v>2019</v>
      </c>
      <c r="I482" s="865" t="s">
        <v>3931</v>
      </c>
      <c r="J482" s="68"/>
      <c r="K482" s="68"/>
      <c r="L482" s="501"/>
      <c r="M482" s="68"/>
      <c r="N482" s="865"/>
      <c r="O482" s="2011"/>
      <c r="P482" s="2011"/>
      <c r="Q482" s="68"/>
    </row>
    <row r="483" spans="1:17" s="115" customFormat="1">
      <c r="A483" s="108" t="s">
        <v>2934</v>
      </c>
      <c r="C483" s="68"/>
      <c r="D483" s="501"/>
      <c r="E483" s="501">
        <v>10</v>
      </c>
      <c r="F483" s="68"/>
      <c r="G483" s="1414" t="s">
        <v>1783</v>
      </c>
      <c r="H483" s="865">
        <v>2019</v>
      </c>
      <c r="I483" s="865" t="s">
        <v>3931</v>
      </c>
      <c r="J483" s="399" t="s">
        <v>3175</v>
      </c>
      <c r="K483" s="68"/>
      <c r="L483" s="501"/>
      <c r="M483" s="68"/>
      <c r="N483" s="865"/>
      <c r="O483" s="2011"/>
      <c r="P483" s="2011"/>
      <c r="Q483" s="68"/>
    </row>
    <row r="484" spans="1:17" s="115" customFormat="1">
      <c r="A484" s="108" t="s">
        <v>2506</v>
      </c>
      <c r="C484" s="68"/>
      <c r="D484" s="501"/>
      <c r="E484" s="501"/>
      <c r="F484" s="68"/>
      <c r="G484" s="1414" t="s">
        <v>394</v>
      </c>
      <c r="H484" s="865">
        <v>2019</v>
      </c>
      <c r="I484" s="865" t="s">
        <v>3931</v>
      </c>
      <c r="J484" s="68" t="s">
        <v>3246</v>
      </c>
      <c r="K484" s="68"/>
      <c r="L484" s="501"/>
      <c r="M484" s="68"/>
      <c r="N484" s="865"/>
      <c r="O484" s="2011"/>
      <c r="P484" s="2011"/>
      <c r="Q484" s="68"/>
    </row>
    <row r="485" spans="1:17" s="115" customFormat="1">
      <c r="C485" s="501"/>
      <c r="D485" s="68"/>
      <c r="E485" s="68"/>
      <c r="F485" s="68"/>
      <c r="G485" s="1414" t="s">
        <v>920</v>
      </c>
      <c r="H485" s="865">
        <v>2020</v>
      </c>
      <c r="I485" s="865" t="s">
        <v>3931</v>
      </c>
      <c r="J485" s="68" t="s">
        <v>3241</v>
      </c>
      <c r="K485" s="68"/>
      <c r="L485" s="501"/>
      <c r="M485" s="68"/>
      <c r="N485" s="865"/>
      <c r="O485" s="2011"/>
      <c r="P485" s="2011"/>
      <c r="Q485" s="68"/>
    </row>
    <row r="486" spans="1:17" s="115" customFormat="1">
      <c r="C486" s="501"/>
      <c r="D486" s="68"/>
      <c r="E486" s="68"/>
      <c r="F486" s="68"/>
      <c r="G486" s="1414" t="s">
        <v>531</v>
      </c>
      <c r="H486" s="865">
        <v>2020</v>
      </c>
      <c r="I486" s="865" t="s">
        <v>3931</v>
      </c>
      <c r="J486" s="68" t="s">
        <v>3168</v>
      </c>
      <c r="K486" s="68"/>
      <c r="L486" s="501"/>
      <c r="M486" s="68"/>
      <c r="N486" s="865"/>
      <c r="O486" s="2011"/>
      <c r="P486" s="2011"/>
      <c r="Q486" s="68"/>
    </row>
    <row r="487" spans="1:17" s="115" customFormat="1">
      <c r="C487" s="501"/>
      <c r="D487" s="68"/>
      <c r="E487" s="68"/>
      <c r="F487" s="68"/>
      <c r="G487" s="1414" t="s">
        <v>808</v>
      </c>
      <c r="H487" s="865" t="s">
        <v>3932</v>
      </c>
      <c r="I487" s="1740" t="s">
        <v>2445</v>
      </c>
      <c r="J487" s="68" t="s">
        <v>3237</v>
      </c>
      <c r="K487" s="68"/>
      <c r="L487" s="501"/>
      <c r="M487" s="68"/>
      <c r="N487" s="865"/>
      <c r="O487" s="2011"/>
      <c r="P487" s="2011"/>
      <c r="Q487" s="68"/>
    </row>
    <row r="488" spans="1:17" s="115" customFormat="1">
      <c r="C488" s="501"/>
      <c r="D488" s="68"/>
      <c r="E488" s="68"/>
      <c r="F488" s="68"/>
      <c r="G488" s="1414" t="s">
        <v>2935</v>
      </c>
      <c r="H488" s="865">
        <v>2019</v>
      </c>
      <c r="I488" s="865" t="s">
        <v>3931</v>
      </c>
      <c r="J488" s="68" t="s">
        <v>3169</v>
      </c>
      <c r="K488" s="68"/>
      <c r="L488" s="501"/>
      <c r="M488" s="68"/>
      <c r="N488" s="865"/>
      <c r="O488" s="2011"/>
      <c r="P488" s="2011"/>
      <c r="Q488" s="68"/>
    </row>
    <row r="489" spans="1:17" s="115" customFormat="1">
      <c r="C489" s="68"/>
      <c r="D489" s="68"/>
      <c r="E489" s="68"/>
      <c r="F489" s="68"/>
      <c r="G489" s="1414" t="s">
        <v>763</v>
      </c>
      <c r="H489" s="865">
        <v>2019</v>
      </c>
      <c r="I489" s="865" t="s">
        <v>3931</v>
      </c>
      <c r="J489" s="68" t="s">
        <v>3238</v>
      </c>
      <c r="K489" s="68"/>
      <c r="L489" s="501"/>
      <c r="M489" s="68"/>
      <c r="N489" s="865"/>
      <c r="O489" s="2011"/>
      <c r="P489" s="2011"/>
      <c r="Q489" s="68"/>
    </row>
    <row r="490" spans="1:17" s="115" customFormat="1">
      <c r="C490" s="68"/>
      <c r="D490" s="68"/>
      <c r="E490" s="68"/>
      <c r="F490" s="68"/>
      <c r="G490" s="1414" t="s">
        <v>172</v>
      </c>
      <c r="H490" s="865">
        <v>2019</v>
      </c>
      <c r="I490" s="865" t="s">
        <v>3931</v>
      </c>
      <c r="J490" s="68" t="s">
        <v>3170</v>
      </c>
      <c r="K490" s="68"/>
      <c r="L490" s="68"/>
      <c r="M490" s="68"/>
      <c r="N490" s="865"/>
      <c r="O490" s="2011"/>
      <c r="P490" s="2011"/>
      <c r="Q490" s="68"/>
    </row>
    <row r="491" spans="1:17" s="115" customFormat="1">
      <c r="C491" s="68"/>
      <c r="D491" s="68"/>
      <c r="E491" s="68"/>
      <c r="F491" s="68"/>
      <c r="G491" s="1414" t="s">
        <v>3255</v>
      </c>
      <c r="H491" s="865" t="s">
        <v>3932</v>
      </c>
      <c r="I491" s="1740" t="s">
        <v>2445</v>
      </c>
      <c r="J491" s="68" t="s">
        <v>3239</v>
      </c>
      <c r="K491" s="68"/>
      <c r="L491" s="501"/>
      <c r="M491" s="68"/>
      <c r="N491" s="865"/>
      <c r="O491" s="2011"/>
      <c r="P491" s="2011"/>
      <c r="Q491" s="68"/>
    </row>
    <row r="492" spans="1:17" s="115" customFormat="1">
      <c r="C492" s="68"/>
      <c r="D492" s="68"/>
      <c r="E492" s="68"/>
      <c r="F492" s="68"/>
      <c r="G492" s="1414" t="s">
        <v>506</v>
      </c>
      <c r="H492" s="865">
        <v>2020</v>
      </c>
      <c r="I492" s="865" t="s">
        <v>3931</v>
      </c>
      <c r="J492" s="68" t="s">
        <v>3242</v>
      </c>
      <c r="K492" s="68"/>
      <c r="L492" s="501"/>
      <c r="M492" s="68"/>
      <c r="N492" s="865"/>
      <c r="O492" s="2011"/>
      <c r="P492" s="2011"/>
      <c r="Q492" s="68"/>
    </row>
    <row r="493" spans="1:17" s="115" customFormat="1">
      <c r="C493" s="68"/>
      <c r="D493" s="68"/>
      <c r="E493" s="68"/>
      <c r="F493" s="68"/>
      <c r="G493" s="1414" t="s">
        <v>375</v>
      </c>
      <c r="H493" s="865">
        <v>2020</v>
      </c>
      <c r="I493" s="865" t="s">
        <v>3931</v>
      </c>
      <c r="J493" s="68" t="s">
        <v>3245</v>
      </c>
      <c r="K493" s="68"/>
      <c r="L493" s="68"/>
      <c r="M493" s="68"/>
      <c r="N493" s="865"/>
      <c r="O493" s="2011"/>
      <c r="P493" s="2011"/>
      <c r="Q493" s="68"/>
    </row>
    <row r="494" spans="1:17" s="115" customFormat="1">
      <c r="C494" s="68"/>
      <c r="D494" s="682"/>
      <c r="E494" s="68"/>
      <c r="F494" s="68"/>
      <c r="G494" s="1414" t="s">
        <v>1347</v>
      </c>
      <c r="H494" s="865" t="s">
        <v>3932</v>
      </c>
      <c r="I494" s="1740" t="s">
        <v>2445</v>
      </c>
      <c r="J494" s="68" t="s">
        <v>3171</v>
      </c>
      <c r="K494" s="68"/>
      <c r="L494" s="501"/>
      <c r="M494" s="68"/>
      <c r="N494" s="865"/>
      <c r="O494" s="2011"/>
      <c r="P494" s="2011"/>
      <c r="Q494" s="68"/>
    </row>
    <row r="495" spans="1:17" s="115" customFormat="1">
      <c r="C495" s="68"/>
      <c r="D495" s="682"/>
      <c r="E495" s="68"/>
      <c r="F495" s="68"/>
      <c r="G495" s="1414" t="s">
        <v>1701</v>
      </c>
      <c r="H495" s="865" t="s">
        <v>3932</v>
      </c>
      <c r="I495" s="1740" t="s">
        <v>2445</v>
      </c>
      <c r="J495" s="68" t="s">
        <v>3172</v>
      </c>
      <c r="K495" s="68"/>
      <c r="L495" s="501"/>
      <c r="M495" s="68"/>
      <c r="N495" s="865"/>
      <c r="O495" s="2011"/>
      <c r="P495" s="2011"/>
      <c r="Q495" s="68"/>
    </row>
    <row r="496" spans="1:17" s="115" customFormat="1">
      <c r="C496" s="68"/>
      <c r="D496" s="68"/>
      <c r="E496" s="68"/>
      <c r="F496" s="68"/>
      <c r="G496" s="1414" t="s">
        <v>1963</v>
      </c>
      <c r="H496" s="865">
        <v>2020</v>
      </c>
      <c r="I496" s="865" t="s">
        <v>3931</v>
      </c>
      <c r="J496" s="68" t="s">
        <v>3240</v>
      </c>
      <c r="K496" s="68"/>
      <c r="L496" s="501"/>
      <c r="M496" s="68"/>
      <c r="N496" s="865"/>
      <c r="O496" s="2011"/>
      <c r="P496" s="2011"/>
      <c r="Q496" s="68"/>
    </row>
    <row r="497" spans="3:17" s="115" customFormat="1">
      <c r="C497" s="68"/>
      <c r="D497" s="68"/>
      <c r="E497" s="68"/>
      <c r="F497" s="68"/>
      <c r="G497" s="1414" t="s">
        <v>1350</v>
      </c>
      <c r="H497" s="865">
        <v>2019</v>
      </c>
      <c r="I497" s="865" t="s">
        <v>3931</v>
      </c>
      <c r="J497" s="68" t="s">
        <v>3243</v>
      </c>
      <c r="K497" s="68"/>
      <c r="L497" s="68"/>
      <c r="M497" s="68"/>
      <c r="N497" s="865"/>
      <c r="O497" s="2011"/>
      <c r="P497" s="2011"/>
      <c r="Q497" s="68"/>
    </row>
    <row r="498" spans="3:17" s="115" customFormat="1">
      <c r="C498" s="68"/>
      <c r="D498" s="68"/>
      <c r="E498" s="68"/>
      <c r="F498" s="68"/>
      <c r="G498" s="1414" t="s">
        <v>235</v>
      </c>
      <c r="H498" s="865">
        <v>2019</v>
      </c>
      <c r="I498" s="865" t="s">
        <v>3931</v>
      </c>
      <c r="J498" s="68" t="s">
        <v>3244</v>
      </c>
      <c r="K498" s="68"/>
      <c r="L498" s="501"/>
      <c r="M498" s="68"/>
      <c r="N498" s="865"/>
      <c r="O498" s="2011"/>
      <c r="P498" s="2011"/>
      <c r="Q498" s="68"/>
    </row>
    <row r="499" spans="3:17" s="115" customFormat="1">
      <c r="C499" s="68"/>
      <c r="D499" s="68"/>
      <c r="E499" s="68"/>
      <c r="F499" s="68"/>
      <c r="G499" s="1414" t="s">
        <v>977</v>
      </c>
      <c r="H499" s="865">
        <v>2020</v>
      </c>
      <c r="I499" s="865" t="s">
        <v>3931</v>
      </c>
      <c r="J499" s="68" t="s">
        <v>3173</v>
      </c>
      <c r="K499" s="68"/>
      <c r="L499" s="501"/>
      <c r="M499" s="68"/>
      <c r="N499" s="865"/>
      <c r="O499" s="2011"/>
      <c r="P499" s="2011"/>
      <c r="Q499" s="68"/>
    </row>
    <row r="500" spans="3:17" s="115" customFormat="1">
      <c r="C500" s="682"/>
      <c r="D500" s="68"/>
      <c r="E500" s="68"/>
      <c r="F500" s="68"/>
      <c r="G500" s="1414" t="s">
        <v>2090</v>
      </c>
      <c r="H500" s="865">
        <v>2020</v>
      </c>
      <c r="I500" s="865" t="s">
        <v>3931</v>
      </c>
      <c r="J500" s="68" t="s">
        <v>3174</v>
      </c>
      <c r="K500" s="68"/>
      <c r="L500" s="501"/>
      <c r="M500" s="68"/>
      <c r="N500" s="865"/>
      <c r="O500" s="2011"/>
      <c r="P500" s="2011"/>
      <c r="Q500" s="68"/>
    </row>
    <row r="501" spans="3:17" s="115" customFormat="1">
      <c r="C501" s="682"/>
      <c r="D501" s="68"/>
      <c r="E501" s="68"/>
      <c r="F501" s="68"/>
      <c r="G501" s="1414" t="s">
        <v>3926</v>
      </c>
      <c r="H501" s="865" t="s">
        <v>3932</v>
      </c>
      <c r="I501" s="1740" t="s">
        <v>2445</v>
      </c>
      <c r="J501" s="68"/>
      <c r="K501" s="68"/>
      <c r="L501" s="501"/>
      <c r="M501" s="68"/>
      <c r="N501" s="865"/>
      <c r="O501" s="2011"/>
      <c r="P501" s="2011"/>
      <c r="Q501" s="68"/>
    </row>
    <row r="502" spans="3:17" s="115" customFormat="1">
      <c r="C502" s="682"/>
      <c r="D502" s="68"/>
      <c r="E502" s="68"/>
      <c r="F502" s="68"/>
      <c r="G502" s="1414" t="s">
        <v>1743</v>
      </c>
      <c r="H502" s="865" t="s">
        <v>3932</v>
      </c>
      <c r="I502" s="1740" t="s">
        <v>2445</v>
      </c>
      <c r="J502" s="68"/>
      <c r="K502" s="68"/>
      <c r="L502" s="501"/>
      <c r="M502" s="68"/>
      <c r="N502" s="865"/>
      <c r="O502" s="2011"/>
      <c r="P502" s="2011"/>
      <c r="Q502" s="68"/>
    </row>
    <row r="503" spans="3:17" s="115" customFormat="1">
      <c r="C503" s="682"/>
      <c r="D503" s="68"/>
      <c r="E503" s="68"/>
      <c r="F503" s="68"/>
      <c r="G503" s="1414" t="s">
        <v>471</v>
      </c>
      <c r="H503" s="865" t="s">
        <v>3932</v>
      </c>
      <c r="I503" s="1740" t="s">
        <v>2445</v>
      </c>
      <c r="J503" s="68"/>
      <c r="K503" s="68"/>
      <c r="L503" s="501"/>
      <c r="M503" s="68"/>
      <c r="N503" s="865"/>
      <c r="O503" s="2011"/>
      <c r="P503" s="2011"/>
      <c r="Q503" s="68"/>
    </row>
    <row r="504" spans="3:17" s="115" customFormat="1">
      <c r="C504" s="682"/>
      <c r="D504" s="68"/>
      <c r="E504" s="68"/>
      <c r="F504" s="68"/>
      <c r="G504" s="1414" t="s">
        <v>1945</v>
      </c>
      <c r="H504" s="865" t="s">
        <v>3932</v>
      </c>
      <c r="I504" s="1740" t="s">
        <v>2445</v>
      </c>
      <c r="J504" s="68"/>
      <c r="K504" s="68"/>
      <c r="L504" s="501"/>
      <c r="M504" s="68"/>
      <c r="N504" s="865"/>
      <c r="O504" s="2011"/>
      <c r="P504" s="2011"/>
      <c r="Q504" s="68"/>
    </row>
    <row r="505" spans="3:17" s="115" customFormat="1">
      <c r="C505" s="682"/>
      <c r="D505" s="68"/>
      <c r="E505" s="68"/>
      <c r="F505" s="68"/>
      <c r="G505" s="1414" t="s">
        <v>2082</v>
      </c>
      <c r="H505" s="865">
        <v>2020</v>
      </c>
      <c r="I505" s="865" t="s">
        <v>3931</v>
      </c>
      <c r="J505" s="68"/>
      <c r="K505" s="68"/>
      <c r="L505" s="501"/>
      <c r="M505" s="68"/>
      <c r="N505" s="865"/>
      <c r="O505" s="2011"/>
      <c r="P505" s="2011"/>
      <c r="Q505" s="68"/>
    </row>
    <row r="506" spans="3:17" s="115" customFormat="1">
      <c r="C506" s="682"/>
      <c r="D506" s="68"/>
      <c r="E506" s="68"/>
      <c r="F506" s="68"/>
      <c r="G506" s="1414" t="s">
        <v>1968</v>
      </c>
      <c r="H506" s="865">
        <v>2020</v>
      </c>
      <c r="I506" s="865" t="s">
        <v>3931</v>
      </c>
      <c r="J506" s="68"/>
      <c r="K506" s="68"/>
      <c r="L506" s="68"/>
      <c r="M506" s="68"/>
      <c r="N506" s="865"/>
      <c r="O506" s="2011"/>
      <c r="P506" s="2011"/>
      <c r="Q506" s="68"/>
    </row>
    <row r="507" spans="3:17" s="115" customFormat="1">
      <c r="C507" s="68"/>
      <c r="D507" s="68"/>
      <c r="E507" s="68"/>
      <c r="F507" s="68"/>
      <c r="G507" s="1414" t="s">
        <v>2147</v>
      </c>
      <c r="H507" s="865">
        <v>2019</v>
      </c>
      <c r="I507" s="865" t="s">
        <v>3931</v>
      </c>
      <c r="J507" s="68"/>
      <c r="K507" s="68"/>
      <c r="L507" s="68"/>
      <c r="M507" s="68"/>
      <c r="N507" s="865"/>
      <c r="O507" s="2011"/>
      <c r="P507" s="2011"/>
      <c r="Q507" s="68"/>
    </row>
    <row r="508" spans="3:17" s="115" customFormat="1">
      <c r="C508" s="68"/>
      <c r="D508" s="68"/>
      <c r="E508" s="68"/>
      <c r="F508" s="68"/>
      <c r="G508" s="1414" t="s">
        <v>3927</v>
      </c>
      <c r="H508" s="68"/>
      <c r="I508" s="68"/>
      <c r="J508" s="68"/>
      <c r="K508" s="68"/>
      <c r="L508" s="68"/>
      <c r="M508" s="68"/>
      <c r="N508" s="865"/>
      <c r="O508" s="2011"/>
      <c r="P508" s="2011"/>
      <c r="Q508" s="68"/>
    </row>
    <row r="509" spans="3:17" s="115" customFormat="1">
      <c r="C509" s="68"/>
      <c r="D509" s="68"/>
      <c r="E509" s="68"/>
      <c r="F509" s="68"/>
      <c r="G509" s="1414" t="s">
        <v>1572</v>
      </c>
      <c r="H509" s="865">
        <v>2019</v>
      </c>
      <c r="I509" s="865" t="s">
        <v>3931</v>
      </c>
      <c r="J509" s="68"/>
      <c r="K509" s="68"/>
      <c r="L509" s="68"/>
      <c r="M509" s="68"/>
      <c r="N509" s="865"/>
      <c r="O509" s="2011"/>
      <c r="P509" s="2011"/>
      <c r="Q509" s="68"/>
    </row>
    <row r="510" spans="3:17" s="115" customFormat="1">
      <c r="C510" s="68"/>
      <c r="D510" s="68"/>
      <c r="E510" s="68"/>
      <c r="F510" s="68"/>
      <c r="G510" s="1414" t="s">
        <v>1575</v>
      </c>
      <c r="H510" s="865">
        <v>2020</v>
      </c>
      <c r="I510" s="865" t="s">
        <v>3931</v>
      </c>
      <c r="J510" s="68"/>
      <c r="K510" s="68"/>
      <c r="L510" s="68"/>
      <c r="M510" s="68"/>
      <c r="N510" s="865"/>
      <c r="O510" s="2011"/>
      <c r="P510" s="2011"/>
      <c r="Q510" s="68"/>
    </row>
    <row r="511" spans="3:17" s="115" customFormat="1">
      <c r="C511" s="68"/>
      <c r="D511" s="68"/>
      <c r="E511" s="68"/>
      <c r="F511" s="68"/>
      <c r="G511" s="1414" t="s">
        <v>1580</v>
      </c>
      <c r="H511" s="865">
        <v>2020</v>
      </c>
      <c r="I511" s="865" t="s">
        <v>3931</v>
      </c>
      <c r="J511" s="68"/>
      <c r="K511" s="68"/>
      <c r="L511" s="68"/>
      <c r="M511" s="68"/>
      <c r="N511" s="865"/>
      <c r="O511" s="2011"/>
      <c r="P511" s="2011"/>
      <c r="Q511" s="68"/>
    </row>
    <row r="512" spans="3:17" s="115" customFormat="1">
      <c r="C512" s="68"/>
      <c r="D512" s="68"/>
      <c r="E512" s="68"/>
      <c r="F512" s="68"/>
      <c r="G512" s="1414" t="s">
        <v>1588</v>
      </c>
      <c r="H512" s="865">
        <v>2020</v>
      </c>
      <c r="I512" s="865" t="s">
        <v>3931</v>
      </c>
      <c r="J512" s="68"/>
      <c r="K512" s="68"/>
      <c r="L512" s="68"/>
      <c r="M512" s="68"/>
      <c r="N512" s="865"/>
      <c r="O512" s="2011"/>
      <c r="P512" s="2011"/>
      <c r="Q512" s="68"/>
    </row>
    <row r="513" spans="3:17" s="115" customFormat="1">
      <c r="C513" s="68"/>
      <c r="D513" s="68"/>
      <c r="E513" s="68"/>
      <c r="F513" s="68"/>
      <c r="G513" s="1414" t="s">
        <v>1589</v>
      </c>
      <c r="H513" s="865">
        <v>2019</v>
      </c>
      <c r="I513" s="865" t="s">
        <v>3931</v>
      </c>
      <c r="J513" s="68"/>
      <c r="K513" s="68"/>
      <c r="L513" s="68"/>
      <c r="M513" s="68"/>
      <c r="N513" s="865"/>
      <c r="O513" s="2011"/>
      <c r="P513" s="2011"/>
      <c r="Q513" s="68"/>
    </row>
    <row r="514" spans="3:17" s="115" customFormat="1">
      <c r="C514" s="68"/>
      <c r="D514" s="68"/>
      <c r="E514" s="68"/>
      <c r="F514" s="68"/>
      <c r="G514" s="1414" t="s">
        <v>100</v>
      </c>
      <c r="H514" s="865">
        <v>2020</v>
      </c>
      <c r="I514" s="865" t="s">
        <v>3931</v>
      </c>
      <c r="J514" s="68"/>
      <c r="K514" s="68"/>
      <c r="L514" s="68"/>
      <c r="M514" s="68"/>
      <c r="N514" s="865"/>
      <c r="O514" s="2011"/>
      <c r="P514" s="2011"/>
      <c r="Q514" s="68"/>
    </row>
    <row r="515" spans="3:17" s="115" customFormat="1">
      <c r="C515" s="68"/>
      <c r="D515" s="68"/>
      <c r="E515" s="68"/>
      <c r="F515" s="68"/>
      <c r="G515" s="1414" t="s">
        <v>285</v>
      </c>
      <c r="H515" s="865">
        <v>2020</v>
      </c>
      <c r="I515" s="865" t="s">
        <v>3931</v>
      </c>
      <c r="J515" s="68"/>
      <c r="K515" s="68"/>
      <c r="L515" s="68"/>
      <c r="M515" s="68"/>
      <c r="N515" s="865"/>
      <c r="O515" s="2011"/>
      <c r="P515" s="2011"/>
      <c r="Q515" s="68"/>
    </row>
    <row r="516" spans="3:17" s="115" customFormat="1">
      <c r="C516" s="68"/>
      <c r="D516" s="68"/>
      <c r="E516" s="68"/>
      <c r="F516" s="68"/>
      <c r="G516" s="1414" t="s">
        <v>1440</v>
      </c>
      <c r="H516" s="865" t="s">
        <v>3932</v>
      </c>
      <c r="I516" s="1740" t="s">
        <v>2445</v>
      </c>
      <c r="J516" s="68"/>
      <c r="K516" s="68"/>
      <c r="L516" s="68"/>
      <c r="M516" s="68"/>
      <c r="N516" s="865"/>
      <c r="O516" s="2011"/>
      <c r="P516" s="2011"/>
      <c r="Q516" s="68"/>
    </row>
    <row r="517" spans="3:17" s="115" customFormat="1" ht="30" customHeight="1">
      <c r="C517" s="68"/>
      <c r="D517" s="68"/>
      <c r="E517" s="68"/>
      <c r="F517" s="68"/>
      <c r="G517" s="1414"/>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3" customWidth="1"/>
    <col min="4" max="4" width="15.44140625" style="503" customWidth="1"/>
    <col min="5" max="5" width="4.6640625" style="503" customWidth="1"/>
    <col min="6" max="9" width="12.6640625" style="503" customWidth="1"/>
    <col min="10" max="10" width="5.33203125" style="503" customWidth="1"/>
    <col min="11" max="16384" width="9.33203125" style="503"/>
  </cols>
  <sheetData>
    <row r="1" spans="1:16" ht="15.6">
      <c r="A1" s="4760" t="s">
        <v>2573</v>
      </c>
      <c r="B1" s="4760"/>
      <c r="C1" s="4760"/>
      <c r="D1" s="4760"/>
      <c r="E1" s="4760"/>
      <c r="F1" s="4760"/>
      <c r="G1" s="4760"/>
      <c r="H1" s="4760"/>
      <c r="I1" s="4760"/>
      <c r="J1" s="4760"/>
    </row>
    <row r="2" spans="1:16" ht="15.6">
      <c r="A2" s="4760" t="str">
        <f>'Sensitivity Analysis'!C8</f>
        <v>Retreat at Madison Place</v>
      </c>
      <c r="B2" s="4760"/>
      <c r="C2" s="4760"/>
      <c r="D2" s="4760"/>
      <c r="E2" s="4760"/>
      <c r="F2" s="4760"/>
      <c r="G2" s="4760"/>
      <c r="H2" s="4760"/>
      <c r="I2" s="4760"/>
      <c r="J2" s="4760"/>
    </row>
    <row r="3" spans="1:16" ht="15.6">
      <c r="A3" s="4760" t="str">
        <f>'Subsidy Layering Memo'!F14</f>
        <v>Decatur, DeKalb</v>
      </c>
      <c r="B3" s="4760"/>
      <c r="C3" s="4760"/>
      <c r="D3" s="4760"/>
      <c r="E3" s="4760"/>
      <c r="F3" s="4760"/>
      <c r="G3" s="4760"/>
      <c r="H3" s="4760"/>
      <c r="I3" s="4760"/>
      <c r="J3" s="4760"/>
    </row>
    <row r="4" spans="1:16" ht="15.6">
      <c r="A4" s="4761" t="s">
        <v>2574</v>
      </c>
      <c r="B4" s="4760"/>
      <c r="C4" s="4760"/>
      <c r="D4" s="4760"/>
      <c r="E4" s="4760"/>
      <c r="F4" s="4760"/>
      <c r="G4" s="4760"/>
      <c r="H4" s="4760"/>
      <c r="I4" s="4760"/>
      <c r="J4" s="4760"/>
    </row>
    <row r="5" spans="1:16" ht="5.25" customHeight="1"/>
    <row r="6" spans="1:16" ht="5.25" customHeight="1"/>
    <row r="7" spans="1:16" ht="15.6">
      <c r="A7" s="4762" t="s">
        <v>2575</v>
      </c>
      <c r="B7" s="4762"/>
      <c r="C7" s="4763"/>
      <c r="M7" s="4764"/>
      <c r="N7" s="4764"/>
      <c r="O7" s="4764"/>
      <c r="P7" s="4764"/>
    </row>
    <row r="8" spans="1:16" ht="57" customHeight="1">
      <c r="A8" s="4765" t="s">
        <v>4046</v>
      </c>
      <c r="B8" s="4765"/>
      <c r="C8" s="4765"/>
      <c r="D8" s="4765"/>
      <c r="E8" s="4765"/>
      <c r="F8" s="4765"/>
      <c r="G8" s="4765"/>
      <c r="H8" s="4765"/>
      <c r="I8" s="4765"/>
      <c r="J8" s="4765"/>
      <c r="K8" s="504"/>
    </row>
    <row r="9" spans="1:16" ht="45.75" customHeight="1">
      <c r="A9" s="476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Decatur, DeKalb County, Georgia, with the development of 160 units set aside for &lt;&lt; Select PROPOSED Tenancy &gt;&gt;.</v>
      </c>
      <c r="B9" s="4765"/>
      <c r="C9" s="4765"/>
      <c r="D9" s="4765"/>
      <c r="E9" s="4765"/>
      <c r="F9" s="4765"/>
      <c r="G9" s="4765"/>
      <c r="H9" s="4765"/>
      <c r="I9" s="4765"/>
      <c r="J9" s="4765"/>
      <c r="K9" s="504"/>
    </row>
    <row r="10" spans="1:16" ht="15.6">
      <c r="A10" s="505" t="s">
        <v>2576</v>
      </c>
    </row>
    <row r="11" spans="1:16" ht="16.5" customHeight="1">
      <c r="A11" s="4765" t="str">
        <f>'Subsidy Layering Memo'!A50</f>
        <v xml:space="preserve">Ownership entity:  (NAME) LP, a Georgia Limited Partnership, will be the ownership entity for the proposed project. </v>
      </c>
      <c r="B11" s="4767"/>
      <c r="C11" s="4767"/>
      <c r="D11" s="4767"/>
      <c r="E11" s="4767"/>
      <c r="F11" s="4767"/>
      <c r="G11" s="4767"/>
      <c r="H11" s="4767"/>
      <c r="I11" s="4767"/>
      <c r="J11" s="4765"/>
    </row>
    <row r="12" spans="1:16" ht="63.75" customHeight="1">
      <c r="A12" s="476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5"/>
      <c r="C12" s="4765"/>
      <c r="D12" s="4765"/>
      <c r="E12" s="4765"/>
      <c r="F12" s="4765"/>
      <c r="G12" s="4765"/>
      <c r="H12" s="4765"/>
      <c r="I12" s="4765"/>
      <c r="J12" s="4765"/>
    </row>
    <row r="13" spans="1:16" ht="48.75" customHeight="1">
      <c r="A13" s="476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5"/>
      <c r="C13" s="4765"/>
      <c r="D13" s="4765"/>
      <c r="E13" s="4765"/>
      <c r="F13" s="4765"/>
      <c r="G13" s="4765"/>
      <c r="H13" s="4765"/>
      <c r="I13" s="4765"/>
      <c r="J13" s="4765"/>
    </row>
    <row r="14" spans="1:16" ht="15.6">
      <c r="A14" s="505" t="s">
        <v>2577</v>
      </c>
      <c r="B14" s="506"/>
    </row>
    <row r="15" spans="1:16">
      <c r="A15" s="503" t="s">
        <v>2578</v>
      </c>
      <c r="D15" s="997" t="s">
        <v>2579</v>
      </c>
    </row>
    <row r="16" spans="1:16">
      <c r="A16" s="503" t="s">
        <v>2580</v>
      </c>
      <c r="D16" s="1187">
        <f>'Sensitivity Analysis'!C25</f>
        <v>13500000</v>
      </c>
    </row>
    <row r="17" spans="1:11">
      <c r="A17" s="507" t="s">
        <v>2581</v>
      </c>
      <c r="D17" s="1188">
        <f>'Sensitivity Analysis'!C13</f>
        <v>160</v>
      </c>
    </row>
    <row r="18" spans="1:11" ht="14.25" customHeight="1"/>
    <row r="19" spans="1:11" ht="15.6">
      <c r="A19" s="505" t="s">
        <v>2582</v>
      </c>
      <c r="B19" s="506"/>
      <c r="C19" s="506"/>
    </row>
    <row r="20" spans="1:11" ht="48.75" customHeight="1">
      <c r="A20" s="476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8"/>
      <c r="C20" s="4768"/>
      <c r="D20" s="4768"/>
      <c r="E20" s="4768"/>
      <c r="F20" s="4768"/>
      <c r="G20" s="4768"/>
      <c r="H20" s="4768"/>
      <c r="I20" s="4768"/>
      <c r="J20" s="4768"/>
    </row>
    <row r="21" spans="1:11" ht="72.75" customHeight="1">
      <c r="A21" s="4765" t="str">
        <f>'Subsidy Layering Memo'!A67</f>
        <v xml:space="preserve"> will make a capital contribution totaling 12066047.4 via the syndication of the 2024 Federal LIHTC allocation of 1386902 per annum. will make a capital contribution totaling 7350580.6 via the syndication of the 2024 State LIHTC allocation of 1386902 per annum.</v>
      </c>
      <c r="B21" s="4765"/>
      <c r="C21" s="4765"/>
      <c r="D21" s="4765"/>
      <c r="E21" s="4765"/>
      <c r="F21" s="4765"/>
      <c r="G21" s="4765"/>
      <c r="H21" s="4765"/>
      <c r="I21" s="4765"/>
      <c r="J21" s="4765"/>
    </row>
    <row r="22" spans="1:11" ht="43.5" customHeight="1">
      <c r="A22" s="4769" t="str">
        <f>'Subsidy Layering Memo'!A68</f>
        <v xml:space="preserve">The total equity price per credit will be 1.4 (0.87 Federal tax credit and 0.53 State tax credit) for a (X%) ownership interest of the Federal Credits and a (X%) ownership interest of the State Credits. </v>
      </c>
      <c r="B22" s="4769"/>
      <c r="C22" s="4769"/>
      <c r="D22" s="4769"/>
      <c r="E22" s="4769"/>
      <c r="F22" s="4769"/>
      <c r="G22" s="4769"/>
      <c r="H22" s="4769"/>
      <c r="I22" s="4769"/>
      <c r="J22" s="4769"/>
    </row>
    <row r="23" spans="1:11" ht="15.6">
      <c r="A23" s="505" t="s">
        <v>4047</v>
      </c>
      <c r="B23" s="506"/>
      <c r="C23" s="506"/>
      <c r="D23" s="506"/>
      <c r="E23" s="506"/>
      <c r="F23" s="506"/>
    </row>
    <row r="24" spans="1:11" ht="102.75" customHeight="1">
      <c r="A24" s="476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5"/>
      <c r="C24" s="4765"/>
      <c r="D24" s="4765"/>
      <c r="E24" s="4765"/>
      <c r="F24" s="4765"/>
      <c r="G24" s="4765"/>
      <c r="H24" s="4765"/>
      <c r="I24" s="4765"/>
      <c r="J24" s="4765"/>
    </row>
    <row r="25" spans="1:11" ht="15" customHeight="1">
      <c r="A25" s="4766"/>
      <c r="B25" s="4766"/>
      <c r="C25" s="4766"/>
      <c r="D25" s="4766"/>
      <c r="E25" s="4766"/>
      <c r="F25" s="4766"/>
      <c r="G25" s="4766"/>
      <c r="H25" s="4766"/>
      <c r="I25" s="4766"/>
      <c r="J25" s="4766"/>
      <c r="K25" s="503" t="s">
        <v>233</v>
      </c>
    </row>
    <row r="26" spans="1:11" ht="15" customHeight="1">
      <c r="B26" s="996"/>
      <c r="C26" s="996"/>
      <c r="D26" s="996"/>
      <c r="E26" s="996"/>
      <c r="F26" s="996"/>
      <c r="G26" s="996"/>
      <c r="H26" s="996"/>
      <c r="I26" s="996" t="s">
        <v>233</v>
      </c>
      <c r="J26" s="996"/>
    </row>
    <row r="27" spans="1:11" ht="15.6">
      <c r="A27" s="506" t="s">
        <v>2583</v>
      </c>
    </row>
    <row r="29" spans="1:11" ht="15.6" thickBot="1">
      <c r="A29" s="508"/>
      <c r="B29" s="508"/>
      <c r="C29" s="508"/>
      <c r="D29" s="508"/>
      <c r="F29" s="508"/>
      <c r="G29" s="508"/>
      <c r="H29" s="508"/>
      <c r="I29" s="508"/>
    </row>
    <row r="30" spans="1:11">
      <c r="A30" s="503" t="s">
        <v>2584</v>
      </c>
      <c r="D30" s="503" t="s">
        <v>866</v>
      </c>
      <c r="F30" s="503" t="s">
        <v>2585</v>
      </c>
      <c r="I30" s="503" t="s">
        <v>866</v>
      </c>
      <c r="J30" s="503" t="s">
        <v>233</v>
      </c>
    </row>
  </sheetData>
  <sheetProtection algorithmName="SHA-512" hashValue="r2Uh+D7JOQp16iO2/dVKcaPsBJZYix7TGWGAEl5y8yMEBsh0nS76gGTW/4CIFVlfRYiibO7Dv8XiHxQ2/rmFPQ==" saltValue="+UNKC4wcZksiH8yPr9/mIQ==" spinCount="100000" sheet="1" objects="1" scenarios="1" formatColumns="0" formatRows="0"/>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opLeftCell="A39" zoomScale="110" zoomScaleNormal="110" workbookViewId="0">
      <selection activeCell="O13" sqref="O1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83"/>
    <col min="27" max="16384" width="9.33203125" style="145"/>
  </cols>
  <sheetData>
    <row r="1" spans="1:28" s="1607" customFormat="1" hidden="1">
      <c r="A1" s="1606"/>
      <c r="B1" s="1606" t="s">
        <v>4198</v>
      </c>
      <c r="C1" s="1606"/>
      <c r="D1" s="1606"/>
      <c r="E1" s="1606"/>
      <c r="F1" s="1606" t="s">
        <v>4199</v>
      </c>
      <c r="G1" s="1606" t="s">
        <v>4200</v>
      </c>
      <c r="H1" s="1606" t="s">
        <v>4201</v>
      </c>
      <c r="I1" s="1606" t="s">
        <v>4202</v>
      </c>
      <c r="J1" s="1606" t="s">
        <v>4203</v>
      </c>
      <c r="K1" s="1606" t="s">
        <v>4204</v>
      </c>
      <c r="L1" s="1606"/>
      <c r="M1" s="1606"/>
      <c r="N1" s="1606" t="s">
        <v>4205</v>
      </c>
      <c r="O1" s="1606" t="s">
        <v>4206</v>
      </c>
      <c r="P1" s="1606" t="s">
        <v>4207</v>
      </c>
      <c r="Z1" s="1608">
        <v>1</v>
      </c>
    </row>
    <row r="2" spans="1:28" s="144" customFormat="1" ht="14.1" customHeight="1">
      <c r="A2" s="3063" t="str">
        <f>CONCATENATE("Part I-Project Identification"," - ",$O$7," ",$F$26,", ",$F$27,", ",J27," County")</f>
        <v>Part I-Project Identification - 2025-0 Retreat at Madison Place, Decatur, DeKalb County</v>
      </c>
      <c r="B2" s="3064"/>
      <c r="C2" s="3064"/>
      <c r="D2" s="3064"/>
      <c r="E2" s="3064"/>
      <c r="F2" s="3064"/>
      <c r="G2" s="3064"/>
      <c r="H2" s="3064"/>
      <c r="I2" s="3064"/>
      <c r="J2" s="3064"/>
      <c r="K2" s="3064"/>
      <c r="L2" s="3064"/>
      <c r="M2" s="3064"/>
      <c r="N2" s="3064"/>
      <c r="O2" s="3064"/>
      <c r="P2" s="3065"/>
      <c r="Z2" s="1608">
        <v>2</v>
      </c>
      <c r="AA2" s="1711">
        <v>1</v>
      </c>
    </row>
    <row r="3" spans="1:28" s="144" customFormat="1" ht="6" customHeight="1">
      <c r="A3" s="374"/>
      <c r="B3" s="374"/>
      <c r="C3" s="374"/>
      <c r="D3" s="374"/>
      <c r="E3" s="374"/>
      <c r="F3" s="374"/>
      <c r="G3" s="374"/>
      <c r="H3" s="374"/>
      <c r="I3" s="374"/>
      <c r="J3" s="374"/>
      <c r="K3" s="374"/>
      <c r="L3" s="374"/>
      <c r="M3" s="374"/>
      <c r="N3" s="374"/>
      <c r="O3" s="374"/>
      <c r="P3" s="374"/>
      <c r="Z3" s="1608">
        <v>3</v>
      </c>
      <c r="AA3" s="1711">
        <v>2</v>
      </c>
    </row>
    <row r="4" spans="1:28" s="144" customFormat="1" ht="87.75" customHeight="1">
      <c r="A4" s="3066" t="s">
        <v>5064</v>
      </c>
      <c r="B4" s="3066"/>
      <c r="C4" s="3066"/>
      <c r="D4" s="3066"/>
      <c r="E4" s="3066"/>
      <c r="F4" s="3066"/>
      <c r="G4" s="3066"/>
      <c r="H4" s="3066"/>
      <c r="I4" s="3066"/>
      <c r="J4" s="3066"/>
      <c r="K4" s="3066"/>
      <c r="L4" s="3066"/>
      <c r="M4" s="3066"/>
      <c r="N4" s="3066"/>
      <c r="O4" s="3066"/>
      <c r="P4" s="3066"/>
      <c r="Z4" s="1608">
        <v>4</v>
      </c>
      <c r="AA4" s="1711">
        <v>3</v>
      </c>
    </row>
    <row r="5" spans="1:28" s="144" customFormat="1" ht="9.75" customHeight="1">
      <c r="A5" s="374"/>
      <c r="B5" s="374"/>
      <c r="C5" s="374"/>
      <c r="D5" s="374"/>
      <c r="E5" s="374"/>
      <c r="F5" s="374"/>
      <c r="G5" s="374"/>
      <c r="H5" s="374"/>
      <c r="I5" s="374"/>
      <c r="J5" s="374"/>
      <c r="K5" s="374"/>
      <c r="L5" s="374"/>
      <c r="M5" s="374"/>
      <c r="N5" s="374"/>
      <c r="O5" s="374"/>
      <c r="P5" s="374"/>
      <c r="Z5" s="1608">
        <v>5</v>
      </c>
      <c r="AA5" s="1711">
        <v>4</v>
      </c>
    </row>
    <row r="6" spans="1:28" s="144" customFormat="1" ht="12" customHeight="1" thickBot="1">
      <c r="A6" s="3067" t="s">
        <v>5114</v>
      </c>
      <c r="B6" s="3067"/>
      <c r="C6" s="3067"/>
      <c r="D6" s="3067"/>
      <c r="F6" s="242"/>
      <c r="G6" s="224" t="s">
        <v>3698</v>
      </c>
      <c r="L6" s="374"/>
      <c r="P6" s="1680" t="s">
        <v>3203</v>
      </c>
      <c r="Z6" s="1608">
        <v>6</v>
      </c>
      <c r="AA6" s="1711">
        <v>5</v>
      </c>
    </row>
    <row r="7" spans="1:28" s="144" customFormat="1" ht="12" customHeight="1" thickBot="1">
      <c r="A7" s="3067"/>
      <c r="B7" s="3067"/>
      <c r="C7" s="3067"/>
      <c r="D7" s="3067"/>
      <c r="E7" s="978"/>
      <c r="F7" s="244"/>
      <c r="G7" s="224" t="s">
        <v>3979</v>
      </c>
      <c r="H7" s="248"/>
      <c r="I7" s="248"/>
      <c r="J7" s="248"/>
      <c r="O7" s="3068" t="s">
        <v>5001</v>
      </c>
      <c r="P7" s="3069"/>
      <c r="Q7" s="3070" t="s">
        <v>4523</v>
      </c>
      <c r="R7" s="3070"/>
      <c r="S7" s="3071"/>
      <c r="Z7" s="1608">
        <v>7</v>
      </c>
      <c r="AA7" s="1711">
        <v>6</v>
      </c>
    </row>
    <row r="8" spans="1:28" s="144" customFormat="1" ht="12" customHeight="1">
      <c r="A8" s="3067"/>
      <c r="B8" s="3067"/>
      <c r="C8" s="3067"/>
      <c r="D8" s="3067"/>
      <c r="E8" s="978"/>
      <c r="F8" s="407"/>
      <c r="G8" s="147" t="s">
        <v>2891</v>
      </c>
      <c r="H8" s="248"/>
      <c r="I8" s="248"/>
      <c r="J8" s="248"/>
      <c r="Q8" s="3072"/>
      <c r="R8" s="3073"/>
      <c r="S8" s="3074"/>
      <c r="Z8" s="1608">
        <v>8</v>
      </c>
      <c r="AA8" s="1711">
        <v>7</v>
      </c>
    </row>
    <row r="9" spans="1:28" s="144" customFormat="1" ht="6" customHeight="1">
      <c r="A9" s="374"/>
      <c r="E9" s="248"/>
      <c r="H9" s="248"/>
      <c r="I9" s="248"/>
      <c r="M9" s="248"/>
      <c r="Q9" s="3072"/>
      <c r="R9" s="3073"/>
      <c r="S9" s="3074"/>
      <c r="Z9" s="1608">
        <v>9</v>
      </c>
      <c r="AA9" s="1711">
        <v>8</v>
      </c>
    </row>
    <row r="10" spans="1:28" s="144" customFormat="1" ht="13.35" customHeight="1">
      <c r="A10" s="243" t="s">
        <v>572</v>
      </c>
      <c r="B10" s="243" t="s">
        <v>2185</v>
      </c>
      <c r="D10" s="145"/>
      <c r="E10" s="245"/>
      <c r="F10" s="246" t="s">
        <v>3181</v>
      </c>
      <c r="I10" s="3078">
        <f>'Part III-A-Uses of Funds'!$J$192</f>
        <v>1386902</v>
      </c>
      <c r="J10" s="3079"/>
      <c r="L10" s="144" t="s">
        <v>3182</v>
      </c>
      <c r="O10" s="3080">
        <f>'Part II-Sources of Funds'!$H$6</f>
        <v>0</v>
      </c>
      <c r="P10" s="3081"/>
      <c r="Q10" s="3072"/>
      <c r="R10" s="3073"/>
      <c r="S10" s="3074"/>
      <c r="Z10" s="1608">
        <v>10</v>
      </c>
      <c r="AA10" s="1711">
        <v>9</v>
      </c>
    </row>
    <row r="11" spans="1:28" s="144" customFormat="1" ht="6" customHeight="1">
      <c r="A11" s="243"/>
      <c r="B11" s="243"/>
      <c r="D11" s="145"/>
      <c r="E11" s="245"/>
      <c r="F11" s="245"/>
      <c r="I11" s="222"/>
      <c r="N11" s="247"/>
      <c r="Q11" s="3072"/>
      <c r="R11" s="3073"/>
      <c r="S11" s="3074"/>
      <c r="Z11" s="1608">
        <v>11</v>
      </c>
      <c r="AA11" s="1711">
        <v>10</v>
      </c>
    </row>
    <row r="12" spans="1:28" s="144" customFormat="1">
      <c r="A12" s="222" t="s">
        <v>688</v>
      </c>
      <c r="B12" s="243" t="s">
        <v>1885</v>
      </c>
      <c r="F12" s="3082" t="s">
        <v>5213</v>
      </c>
      <c r="G12" s="3083"/>
      <c r="H12" s="3084"/>
      <c r="I12" s="1681" t="s">
        <v>4406</v>
      </c>
      <c r="J12" s="1448" t="s">
        <v>5002</v>
      </c>
      <c r="K12" s="243"/>
      <c r="L12" s="248"/>
      <c r="O12" s="3085" t="s">
        <v>5247</v>
      </c>
      <c r="P12" s="3086"/>
      <c r="Q12" s="3072"/>
      <c r="R12" s="3073"/>
      <c r="S12" s="3074"/>
      <c r="Z12" s="1608">
        <v>12</v>
      </c>
      <c r="AA12" s="1711">
        <v>11</v>
      </c>
    </row>
    <row r="13" spans="1:28" s="1966" customFormat="1">
      <c r="A13" s="1940"/>
      <c r="C13" s="1945"/>
      <c r="D13" s="1945"/>
      <c r="E13" s="1945"/>
      <c r="F13" s="2065" t="s">
        <v>4797</v>
      </c>
      <c r="H13" s="2063"/>
      <c r="I13" s="2063"/>
      <c r="J13" s="2063"/>
      <c r="K13" s="2063"/>
      <c r="L13" s="2063"/>
      <c r="M13" s="2063"/>
      <c r="N13" s="2063"/>
      <c r="O13" s="2064"/>
      <c r="P13" s="2059" t="s">
        <v>2640</v>
      </c>
      <c r="Q13" s="3072"/>
      <c r="R13" s="3073"/>
      <c r="S13" s="3074"/>
      <c r="T13" s="2028"/>
      <c r="U13" s="2028"/>
      <c r="V13" s="2028"/>
      <c r="W13" s="2028"/>
      <c r="X13" s="2028"/>
      <c r="Y13" s="2028"/>
      <c r="Z13" s="1608">
        <v>13</v>
      </c>
      <c r="AA13" s="1711">
        <v>12</v>
      </c>
      <c r="AB13" s="2028"/>
    </row>
    <row r="14" spans="1:28" s="144" customFormat="1">
      <c r="A14" s="374"/>
      <c r="B14" s="145"/>
      <c r="C14" s="145"/>
      <c r="D14" s="145"/>
      <c r="E14" s="145"/>
      <c r="H14" s="248"/>
      <c r="J14" s="393"/>
      <c r="K14" s="222"/>
      <c r="M14" s="248"/>
      <c r="Q14" s="3072"/>
      <c r="R14" s="3073"/>
      <c r="S14" s="3074"/>
      <c r="Z14" s="1608">
        <v>14</v>
      </c>
      <c r="AA14" s="1711">
        <v>13</v>
      </c>
    </row>
    <row r="15" spans="1:28" s="144" customFormat="1">
      <c r="A15" s="222" t="s">
        <v>690</v>
      </c>
      <c r="B15" s="243" t="s">
        <v>3550</v>
      </c>
      <c r="D15" s="246"/>
      <c r="E15" s="245"/>
      <c r="G15" s="245"/>
      <c r="H15" s="245"/>
      <c r="I15" s="735" t="s">
        <v>3208</v>
      </c>
      <c r="L15" s="247"/>
      <c r="Q15" s="3072"/>
      <c r="R15" s="3073"/>
      <c r="S15" s="3074"/>
      <c r="Z15" s="1608">
        <v>15</v>
      </c>
      <c r="AA15" s="1711">
        <v>14</v>
      </c>
    </row>
    <row r="16" spans="1:28" s="144" customFormat="1">
      <c r="B16" s="144" t="s">
        <v>3209</v>
      </c>
      <c r="F16" s="3060" t="s">
        <v>5198</v>
      </c>
      <c r="G16" s="3061"/>
      <c r="H16" s="3062"/>
      <c r="I16" s="2016" t="s">
        <v>1665</v>
      </c>
      <c r="J16" s="3029" t="s">
        <v>5199</v>
      </c>
      <c r="K16" s="3031"/>
      <c r="L16" s="3056"/>
      <c r="M16" s="1787" t="s">
        <v>1833</v>
      </c>
      <c r="N16" s="3060" t="s">
        <v>5201</v>
      </c>
      <c r="O16" s="3061"/>
      <c r="P16" s="3062"/>
      <c r="Q16" s="3072"/>
      <c r="R16" s="3073"/>
      <c r="S16" s="3074"/>
      <c r="Z16" s="1608">
        <v>16</v>
      </c>
      <c r="AA16" s="1711">
        <v>15</v>
      </c>
    </row>
    <row r="17" spans="1:27" s="144" customFormat="1" ht="12.75" customHeight="1">
      <c r="B17" s="246" t="s">
        <v>1597</v>
      </c>
      <c r="F17" s="3025">
        <v>7708508280</v>
      </c>
      <c r="G17" s="3026"/>
      <c r="H17" s="3027"/>
      <c r="I17" s="2017" t="s">
        <v>1596</v>
      </c>
      <c r="J17" s="806"/>
      <c r="M17" s="246" t="s">
        <v>1598</v>
      </c>
      <c r="N17" s="3025">
        <v>6784602869</v>
      </c>
      <c r="O17" s="3026"/>
      <c r="P17" s="3027"/>
      <c r="Q17" s="3072"/>
      <c r="R17" s="3073"/>
      <c r="S17" s="3074"/>
      <c r="V17" s="735"/>
      <c r="W17" s="735"/>
      <c r="X17" s="735"/>
      <c r="Z17" s="1608">
        <v>17</v>
      </c>
      <c r="AA17" s="1711">
        <v>16</v>
      </c>
    </row>
    <row r="18" spans="1:27" s="144" customFormat="1">
      <c r="B18" s="246" t="s">
        <v>1836</v>
      </c>
      <c r="F18" s="3054" t="s">
        <v>5200</v>
      </c>
      <c r="G18" s="3055"/>
      <c r="H18" s="3055"/>
      <c r="I18" s="3031"/>
      <c r="J18" s="3055"/>
      <c r="K18" s="3031"/>
      <c r="L18" s="3056"/>
      <c r="M18" s="246" t="s">
        <v>1832</v>
      </c>
      <c r="N18" s="3057">
        <v>6782093079</v>
      </c>
      <c r="O18" s="3058"/>
      <c r="P18" s="3059"/>
      <c r="Q18" s="3072"/>
      <c r="R18" s="3073"/>
      <c r="S18" s="3074"/>
      <c r="U18" s="735"/>
      <c r="V18" s="735"/>
      <c r="W18" s="735"/>
      <c r="X18" s="735"/>
      <c r="Z18" s="1608">
        <v>18</v>
      </c>
      <c r="AA18" s="1711">
        <v>17</v>
      </c>
    </row>
    <row r="19" spans="1:27" s="144" customFormat="1">
      <c r="A19" s="374"/>
      <c r="B19" s="243" t="s">
        <v>3549</v>
      </c>
      <c r="C19" s="145"/>
      <c r="H19" s="248"/>
      <c r="J19" s="145"/>
      <c r="P19" s="248"/>
      <c r="Q19" s="3072"/>
      <c r="R19" s="3073"/>
      <c r="S19" s="3074"/>
      <c r="Z19" s="1608">
        <v>19</v>
      </c>
      <c r="AA19" s="1711">
        <v>18</v>
      </c>
    </row>
    <row r="20" spans="1:27" s="144" customFormat="1">
      <c r="B20" s="144" t="s">
        <v>3209</v>
      </c>
      <c r="F20" s="3060" t="s">
        <v>5198</v>
      </c>
      <c r="G20" s="3061"/>
      <c r="H20" s="3062"/>
      <c r="I20" s="2016" t="s">
        <v>1665</v>
      </c>
      <c r="J20" s="3029" t="s">
        <v>5203</v>
      </c>
      <c r="K20" s="3031"/>
      <c r="L20" s="3056"/>
      <c r="M20" s="1787" t="s">
        <v>1833</v>
      </c>
      <c r="N20" s="3060" t="s">
        <v>5202</v>
      </c>
      <c r="O20" s="3061"/>
      <c r="P20" s="3062"/>
      <c r="Q20" s="3072"/>
      <c r="R20" s="3073"/>
      <c r="S20" s="3074"/>
      <c r="Z20" s="1608">
        <v>20</v>
      </c>
      <c r="AA20" s="1711">
        <v>19</v>
      </c>
    </row>
    <row r="21" spans="1:27" s="144" customFormat="1">
      <c r="B21" s="246" t="s">
        <v>1597</v>
      </c>
      <c r="F21" s="3025">
        <v>7708508280</v>
      </c>
      <c r="G21" s="3026"/>
      <c r="H21" s="3027"/>
      <c r="I21" s="2017" t="s">
        <v>1596</v>
      </c>
      <c r="J21" s="806"/>
      <c r="M21" s="246" t="s">
        <v>1598</v>
      </c>
      <c r="N21" s="3025">
        <v>6784602862</v>
      </c>
      <c r="O21" s="3026"/>
      <c r="P21" s="3027"/>
      <c r="Q21" s="3072"/>
      <c r="R21" s="3073"/>
      <c r="S21" s="3074"/>
      <c r="U21" s="230"/>
      <c r="V21" s="230"/>
      <c r="W21" s="230"/>
      <c r="X21" s="230"/>
      <c r="Z21" s="1608">
        <v>21</v>
      </c>
      <c r="AA21" s="1711">
        <v>20</v>
      </c>
    </row>
    <row r="22" spans="1:27" s="144" customFormat="1">
      <c r="B22" s="246" t="s">
        <v>1836</v>
      </c>
      <c r="F22" s="3054" t="s">
        <v>5204</v>
      </c>
      <c r="G22" s="3055"/>
      <c r="H22" s="3055"/>
      <c r="I22" s="3031"/>
      <c r="J22" s="3055"/>
      <c r="K22" s="3031"/>
      <c r="L22" s="3056"/>
      <c r="M22" s="246" t="s">
        <v>1832</v>
      </c>
      <c r="N22" s="3057">
        <v>4043178953</v>
      </c>
      <c r="O22" s="3058"/>
      <c r="P22" s="3059"/>
      <c r="Q22" s="3072"/>
      <c r="R22" s="3073"/>
      <c r="S22" s="3074"/>
      <c r="Z22" s="1608">
        <v>22</v>
      </c>
      <c r="AA22" s="1711">
        <v>21</v>
      </c>
    </row>
    <row r="23" spans="1:27" s="144" customFormat="1">
      <c r="I23" s="145"/>
      <c r="J23" s="145"/>
      <c r="K23" s="145"/>
      <c r="L23" s="145"/>
      <c r="M23" s="145"/>
      <c r="N23" s="145"/>
      <c r="O23" s="145"/>
      <c r="P23" s="145"/>
      <c r="Q23" s="3072"/>
      <c r="R23" s="3073"/>
      <c r="S23" s="3074"/>
      <c r="Z23" s="1608">
        <v>23</v>
      </c>
      <c r="AA23" s="1711">
        <v>22</v>
      </c>
    </row>
    <row r="24" spans="1:27" s="144" customFormat="1">
      <c r="A24" s="222" t="s">
        <v>1661</v>
      </c>
      <c r="B24" s="243" t="s">
        <v>1379</v>
      </c>
      <c r="D24" s="145"/>
      <c r="E24" s="245"/>
      <c r="F24" s="245"/>
      <c r="G24" s="246"/>
      <c r="H24" s="245"/>
      <c r="I24" s="245"/>
      <c r="J24" s="245"/>
      <c r="Q24" s="3072"/>
      <c r="R24" s="3073"/>
      <c r="S24" s="3074"/>
      <c r="Z24" s="1608">
        <v>24</v>
      </c>
      <c r="AA24" s="1711">
        <v>23</v>
      </c>
    </row>
    <row r="25" spans="1:27" s="144" customFormat="1" ht="1.5" customHeight="1">
      <c r="A25" s="222"/>
      <c r="B25" s="243"/>
      <c r="D25" s="145"/>
      <c r="E25" s="245"/>
      <c r="F25" s="245"/>
      <c r="G25" s="246"/>
      <c r="H25" s="245"/>
      <c r="I25" s="245"/>
      <c r="J25" s="245"/>
      <c r="L25" s="247"/>
      <c r="M25" s="247"/>
      <c r="Q25" s="3072"/>
      <c r="R25" s="3073"/>
      <c r="S25" s="3074"/>
      <c r="Z25" s="1608">
        <v>25</v>
      </c>
      <c r="AA25" s="1711">
        <v>24</v>
      </c>
    </row>
    <row r="26" spans="1:27" s="144" customFormat="1" ht="13.35" customHeight="1">
      <c r="A26" s="243"/>
      <c r="B26" s="144" t="s">
        <v>573</v>
      </c>
      <c r="D26" s="243"/>
      <c r="F26" s="3029" t="s">
        <v>5212</v>
      </c>
      <c r="G26" s="3030"/>
      <c r="H26" s="3030"/>
      <c r="I26" s="3031"/>
      <c r="J26" s="3030"/>
      <c r="K26" s="3032"/>
      <c r="M26" s="246" t="s">
        <v>424</v>
      </c>
      <c r="P26" s="1788" t="s">
        <v>2640</v>
      </c>
      <c r="Q26" s="3072"/>
      <c r="R26" s="3073"/>
      <c r="S26" s="3074"/>
      <c r="Z26" s="1608">
        <v>26</v>
      </c>
      <c r="AA26" s="1711">
        <v>25</v>
      </c>
    </row>
    <row r="27" spans="1:27" s="144" customFormat="1">
      <c r="A27" s="374"/>
      <c r="B27" s="144" t="s">
        <v>574</v>
      </c>
      <c r="F27" s="3033" t="s">
        <v>189</v>
      </c>
      <c r="G27" s="3034"/>
      <c r="H27" s="3035"/>
      <c r="I27" s="257" t="s">
        <v>575</v>
      </c>
      <c r="J27" s="3036" t="str">
        <f>IF(F27="","",VLOOKUP(F27,'DCA Underwriting Assumptions'!$T$167:$U$796,2,FALSE))</f>
        <v>DeKalb</v>
      </c>
      <c r="K27" s="3037"/>
      <c r="M27" s="246" t="s">
        <v>425</v>
      </c>
      <c r="P27" s="1845" t="s">
        <v>2643</v>
      </c>
      <c r="Q27" s="3072"/>
      <c r="R27" s="3073"/>
      <c r="S27" s="3074"/>
      <c r="U27" s="374"/>
      <c r="Z27" s="1608">
        <v>27</v>
      </c>
      <c r="AA27" s="1711">
        <v>26</v>
      </c>
    </row>
    <row r="28" spans="1:27" s="144" customFormat="1">
      <c r="A28" s="374"/>
      <c r="B28" s="144" t="s">
        <v>3778</v>
      </c>
      <c r="C28" s="251"/>
      <c r="D28" s="252"/>
      <c r="E28" s="252"/>
      <c r="F28" s="3033" t="s">
        <v>5248</v>
      </c>
      <c r="G28" s="3038"/>
      <c r="H28" s="3039"/>
      <c r="I28" s="248"/>
      <c r="J28" s="391" t="s">
        <v>4605</v>
      </c>
      <c r="K28" s="248"/>
      <c r="M28" s="246" t="s">
        <v>4548</v>
      </c>
      <c r="O28" s="3040">
        <v>5.48</v>
      </c>
      <c r="P28" s="3041"/>
      <c r="Q28" s="3072"/>
      <c r="R28" s="3073"/>
      <c r="S28" s="3074"/>
      <c r="Z28" s="1608">
        <v>28</v>
      </c>
      <c r="AA28" s="1711">
        <v>27</v>
      </c>
    </row>
    <row r="29" spans="1:27" s="144" customFormat="1">
      <c r="A29" s="374"/>
      <c r="B29" s="144" t="s">
        <v>1453</v>
      </c>
      <c r="F29" s="1190" t="s">
        <v>2643</v>
      </c>
      <c r="G29" s="803"/>
      <c r="I29" s="1844"/>
      <c r="J29" s="248" t="s">
        <v>2491</v>
      </c>
      <c r="K29" s="1846" t="str">
        <f>IF(F29="Yes","Rural","Urban")</f>
        <v>Urban</v>
      </c>
      <c r="M29" s="246" t="s">
        <v>2392</v>
      </c>
      <c r="N29" s="1847" t="str">
        <f>VLOOKUP($J$27,'DCA Underwriting Assumptions'!$G$167:$J$326,4)</f>
        <v>MSA</v>
      </c>
      <c r="O29" s="3036" t="str">
        <f>IF($F$27="","",VLOOKUP($J$27,'DCA Underwriting Assumptions'!$G$167:$L$326,3,FALSE))</f>
        <v>Atlanta-Sandy Springs-Marietta</v>
      </c>
      <c r="P29" s="3037"/>
      <c r="Q29" s="3072"/>
      <c r="R29" s="3073"/>
      <c r="S29" s="3074"/>
      <c r="Z29" s="1608">
        <v>29</v>
      </c>
      <c r="AA29" s="1711">
        <v>28</v>
      </c>
    </row>
    <row r="30" spans="1:27" s="144" customFormat="1">
      <c r="A30" s="374"/>
      <c r="B30" s="374"/>
      <c r="C30" s="251"/>
      <c r="D30" s="252"/>
      <c r="E30" s="252"/>
      <c r="F30" s="248"/>
      <c r="G30" s="248"/>
      <c r="H30" s="248"/>
      <c r="I30" s="248"/>
      <c r="J30" s="252"/>
      <c r="K30" s="248"/>
      <c r="L30" s="248"/>
      <c r="P30" s="248"/>
      <c r="Q30" s="3072"/>
      <c r="R30" s="3073"/>
      <c r="S30" s="3074"/>
      <c r="Z30" s="1608">
        <v>30</v>
      </c>
      <c r="AA30" s="1711">
        <v>29</v>
      </c>
    </row>
    <row r="31" spans="1:27" s="144" customFormat="1">
      <c r="A31" s="222" t="s">
        <v>1663</v>
      </c>
      <c r="B31" s="222" t="s">
        <v>4537</v>
      </c>
      <c r="D31" s="253"/>
      <c r="E31" s="253"/>
      <c r="F31" s="253"/>
      <c r="G31" s="248"/>
      <c r="H31" s="248"/>
      <c r="I31" s="248"/>
      <c r="J31" s="252"/>
      <c r="K31" s="248"/>
      <c r="L31" s="248"/>
      <c r="P31" s="1826"/>
      <c r="Q31" s="3072"/>
      <c r="R31" s="3073"/>
      <c r="S31" s="3074"/>
      <c r="Z31" s="1608">
        <v>31</v>
      </c>
      <c r="AA31" s="1711">
        <v>30</v>
      </c>
    </row>
    <row r="32" spans="1:27" s="144" customFormat="1" ht="2.25" customHeight="1">
      <c r="A32" s="374"/>
      <c r="B32" s="374"/>
      <c r="M32" s="246"/>
      <c r="N32" s="1149"/>
      <c r="O32" s="1149"/>
      <c r="P32" s="1457"/>
      <c r="Q32" s="3072"/>
      <c r="R32" s="3073"/>
      <c r="S32" s="3074"/>
      <c r="Z32" s="1608">
        <v>32</v>
      </c>
      <c r="AA32" s="1711">
        <v>31</v>
      </c>
    </row>
    <row r="33" spans="1:27" s="144" customFormat="1">
      <c r="A33" s="374"/>
      <c r="B33" s="222" t="s">
        <v>4536</v>
      </c>
      <c r="D33" s="800"/>
      <c r="E33" s="800"/>
      <c r="F33" s="800"/>
      <c r="G33" s="800"/>
      <c r="H33" s="248"/>
      <c r="J33" s="145"/>
      <c r="K33" s="252"/>
      <c r="P33" s="248"/>
      <c r="Q33" s="3072"/>
      <c r="R33" s="3073"/>
      <c r="S33" s="3074"/>
      <c r="Z33" s="1608">
        <v>33</v>
      </c>
      <c r="AA33" s="1711">
        <v>32</v>
      </c>
    </row>
    <row r="34" spans="1:27" s="144" customFormat="1" ht="1.5" customHeight="1">
      <c r="A34" s="374"/>
      <c r="B34" s="374"/>
      <c r="C34" s="222"/>
      <c r="D34" s="800"/>
      <c r="E34" s="800"/>
      <c r="F34" s="800"/>
      <c r="G34" s="800"/>
      <c r="H34" s="248"/>
      <c r="J34" s="145"/>
      <c r="K34" s="252"/>
      <c r="P34" s="248"/>
      <c r="Q34" s="3072"/>
      <c r="R34" s="3073"/>
      <c r="S34" s="3074"/>
      <c r="Z34" s="1608">
        <v>34</v>
      </c>
      <c r="AA34" s="1711">
        <v>33</v>
      </c>
    </row>
    <row r="35" spans="1:27" s="144" customFormat="1" ht="13.5" hidden="1" customHeight="1">
      <c r="A35" s="374"/>
      <c r="B35" s="374"/>
      <c r="C35" s="144" t="s">
        <v>1206</v>
      </c>
      <c r="D35" s="258"/>
      <c r="I35" s="1181"/>
      <c r="K35" s="243"/>
      <c r="L35" s="144" t="s">
        <v>3000</v>
      </c>
      <c r="P35" s="1782"/>
      <c r="Q35" s="3072"/>
      <c r="R35" s="3073"/>
      <c r="S35" s="3074"/>
      <c r="Z35" s="1608">
        <v>35</v>
      </c>
      <c r="AA35" s="1711">
        <v>34</v>
      </c>
    </row>
    <row r="36" spans="1:27" s="144" customFormat="1" ht="12.75" hidden="1" customHeight="1">
      <c r="A36" s="374"/>
      <c r="B36" s="243"/>
      <c r="C36" s="144" t="s">
        <v>3804</v>
      </c>
      <c r="I36" s="1776"/>
      <c r="J36" s="257" t="s">
        <v>2475</v>
      </c>
      <c r="O36" s="3042"/>
      <c r="P36" s="3043"/>
      <c r="Q36" s="3072"/>
      <c r="R36" s="3073"/>
      <c r="S36" s="3074"/>
      <c r="Z36" s="1608">
        <v>36</v>
      </c>
      <c r="AA36" s="1711">
        <v>35</v>
      </c>
    </row>
    <row r="37" spans="1:27" s="144" customFormat="1" ht="12.75" customHeight="1">
      <c r="A37" s="374"/>
      <c r="B37" s="243"/>
      <c r="C37" s="144" t="s">
        <v>1671</v>
      </c>
      <c r="I37" s="1181" t="s">
        <v>2643</v>
      </c>
      <c r="J37" s="257" t="s">
        <v>2475</v>
      </c>
      <c r="O37" s="3044"/>
      <c r="P37" s="3045"/>
      <c r="Q37" s="3072"/>
      <c r="R37" s="3073"/>
      <c r="S37" s="3074"/>
      <c r="Z37" s="1608">
        <v>37</v>
      </c>
      <c r="AA37" s="1711">
        <v>36</v>
      </c>
    </row>
    <row r="38" spans="1:27" s="144" customFormat="1" ht="12.6" customHeight="1">
      <c r="A38" s="374"/>
      <c r="B38" s="374"/>
      <c r="C38" s="144" t="s">
        <v>2566</v>
      </c>
      <c r="I38" s="845" t="s">
        <v>2643</v>
      </c>
      <c r="J38" s="257" t="s">
        <v>2475</v>
      </c>
      <c r="O38" s="3046"/>
      <c r="P38" s="3047"/>
      <c r="Q38" s="3075"/>
      <c r="R38" s="3076"/>
      <c r="S38" s="3077"/>
      <c r="Z38" s="1608">
        <v>38</v>
      </c>
      <c r="AA38" s="1711">
        <v>37</v>
      </c>
    </row>
    <row r="39" spans="1:27" s="144" customFormat="1" ht="3" customHeight="1">
      <c r="A39" s="374"/>
      <c r="B39" s="374"/>
      <c r="P39" s="145"/>
      <c r="Z39" s="1608">
        <v>39</v>
      </c>
      <c r="AA39" s="1711">
        <v>38</v>
      </c>
    </row>
    <row r="40" spans="1:27" s="144" customFormat="1" ht="8.25" customHeight="1">
      <c r="B40" s="243"/>
      <c r="L40" s="145"/>
      <c r="M40" s="145"/>
      <c r="N40" s="145"/>
      <c r="O40" s="145"/>
      <c r="P40" s="247"/>
      <c r="Z40" s="1608">
        <v>40</v>
      </c>
      <c r="AA40" s="1711">
        <v>39</v>
      </c>
    </row>
    <row r="41" spans="1:27" ht="12" customHeight="1">
      <c r="A41" s="222" t="s">
        <v>495</v>
      </c>
      <c r="C41" s="253" t="s">
        <v>529</v>
      </c>
      <c r="M41" s="222" t="s">
        <v>719</v>
      </c>
      <c r="N41" s="253" t="s">
        <v>74</v>
      </c>
      <c r="Z41" s="1608">
        <v>41</v>
      </c>
      <c r="AA41" s="1711">
        <v>40</v>
      </c>
    </row>
    <row r="42" spans="1:27" ht="12" customHeight="1">
      <c r="A42" s="222"/>
      <c r="C42" s="253"/>
      <c r="M42" s="222"/>
      <c r="N42" s="253"/>
      <c r="Z42" s="1608">
        <v>42</v>
      </c>
      <c r="AA42" s="1711">
        <v>41</v>
      </c>
    </row>
    <row r="43" spans="1:27" ht="409.5" customHeight="1">
      <c r="A43" s="3048" t="s">
        <v>5214</v>
      </c>
      <c r="B43" s="3049"/>
      <c r="C43" s="3049"/>
      <c r="D43" s="3049"/>
      <c r="E43" s="3049"/>
      <c r="F43" s="3049"/>
      <c r="G43" s="3049"/>
      <c r="H43" s="3049"/>
      <c r="I43" s="3049"/>
      <c r="J43" s="3049"/>
      <c r="K43" s="3049"/>
      <c r="L43" s="3050"/>
      <c r="M43" s="3051"/>
      <c r="N43" s="3052"/>
      <c r="O43" s="3052"/>
      <c r="P43" s="3053"/>
      <c r="Q43" s="3028"/>
      <c r="R43" s="3024"/>
      <c r="S43" s="3024"/>
      <c r="T43" s="366"/>
      <c r="U43" s="366"/>
      <c r="Z43" s="1608">
        <v>43</v>
      </c>
      <c r="AA43" s="1711">
        <v>42</v>
      </c>
    </row>
    <row r="44" spans="1:27" ht="12" customHeight="1">
      <c r="Q44" s="366"/>
      <c r="R44" s="366"/>
      <c r="S44" s="366"/>
      <c r="T44" s="366"/>
      <c r="U44" s="366"/>
      <c r="Z44" s="1609"/>
      <c r="AA44" s="1711">
        <v>43</v>
      </c>
    </row>
    <row r="45" spans="1:27">
      <c r="Z45" s="1609"/>
      <c r="AA45" s="1711">
        <v>44</v>
      </c>
    </row>
    <row r="46" spans="1:27">
      <c r="AA46" s="1711">
        <v>45</v>
      </c>
    </row>
    <row r="47" spans="1:27">
      <c r="P47" s="840"/>
      <c r="Q47" s="840"/>
      <c r="R47" s="840"/>
      <c r="AA47" s="144"/>
    </row>
    <row r="48" spans="1:27">
      <c r="P48" s="840"/>
      <c r="Q48" s="840"/>
      <c r="R48" s="840"/>
      <c r="AA48" s="144"/>
    </row>
    <row r="49" spans="1:44">
      <c r="P49" s="840"/>
      <c r="Q49" s="840"/>
      <c r="R49" s="840"/>
      <c r="AA49" s="144"/>
    </row>
    <row r="50" spans="1:44">
      <c r="P50" s="840"/>
      <c r="Q50" s="840"/>
      <c r="R50" s="840"/>
      <c r="AA50" s="144"/>
    </row>
    <row r="51" spans="1:44" s="377" customFormat="1" ht="12" customHeight="1">
      <c r="A51" s="145"/>
      <c r="B51" s="253"/>
      <c r="C51" s="145"/>
      <c r="D51" s="145"/>
      <c r="E51" s="145"/>
      <c r="F51" s="145"/>
      <c r="G51" s="145"/>
      <c r="H51" s="145"/>
      <c r="I51" s="145"/>
      <c r="J51" s="145"/>
      <c r="K51" s="145"/>
      <c r="L51" s="145"/>
      <c r="M51" s="145"/>
      <c r="N51" s="145"/>
      <c r="O51" s="145"/>
      <c r="P51" s="840"/>
      <c r="Q51" s="840"/>
      <c r="R51" s="840"/>
      <c r="X51" s="145"/>
      <c r="Y51" s="145"/>
      <c r="Z51" s="158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1"/>
      <c r="Q52" s="840"/>
      <c r="R52" s="840"/>
      <c r="T52" s="401"/>
      <c r="U52" s="400"/>
      <c r="X52" s="145"/>
      <c r="Y52" s="145"/>
      <c r="Z52" s="158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1"/>
      <c r="Q53" s="840"/>
      <c r="R53" s="840"/>
      <c r="T53" s="378"/>
      <c r="U53" s="378"/>
      <c r="X53" s="145"/>
      <c r="Y53" s="145"/>
      <c r="Z53" s="158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1"/>
      <c r="Q54" s="840"/>
      <c r="R54" s="840"/>
      <c r="T54" s="378"/>
      <c r="U54" s="378"/>
      <c r="X54" s="145"/>
      <c r="Y54" s="145"/>
      <c r="Z54" s="1583"/>
      <c r="AA54" s="144"/>
      <c r="AB54" s="145"/>
      <c r="AC54" s="145"/>
      <c r="AD54" s="145"/>
      <c r="AE54" s="145"/>
      <c r="AF54" s="145"/>
      <c r="AG54" s="145"/>
      <c r="AH54" s="145"/>
      <c r="AI54" s="145"/>
      <c r="AJ54" s="145"/>
      <c r="AK54" s="145"/>
      <c r="AL54" s="145"/>
      <c r="AM54" s="145"/>
      <c r="AN54" s="145"/>
      <c r="AO54" s="145"/>
      <c r="AP54" s="145"/>
      <c r="AQ54" s="145"/>
      <c r="AR54" s="145"/>
    </row>
    <row r="55" spans="1:44" s="840" customFormat="1" ht="12" customHeight="1">
      <c r="P55" s="841"/>
      <c r="T55" s="844"/>
      <c r="U55" s="844"/>
      <c r="Z55" s="1583"/>
      <c r="AA55" s="144"/>
    </row>
    <row r="56" spans="1:44" s="377" customFormat="1" ht="12" customHeight="1">
      <c r="A56" s="145"/>
      <c r="B56" s="145"/>
      <c r="C56" s="145"/>
      <c r="D56" s="145"/>
      <c r="E56" s="145"/>
      <c r="F56" s="145"/>
      <c r="G56" s="145"/>
      <c r="H56" s="145"/>
      <c r="I56" s="145"/>
      <c r="J56" s="145"/>
      <c r="K56" s="145"/>
      <c r="L56" s="145"/>
      <c r="M56" s="145"/>
      <c r="N56" s="145"/>
      <c r="O56" s="145"/>
      <c r="P56" s="841"/>
      <c r="Q56" s="840"/>
      <c r="R56" s="840"/>
      <c r="T56" s="378"/>
      <c r="U56" s="378"/>
      <c r="X56" s="145"/>
      <c r="Y56" s="145"/>
      <c r="Z56" s="158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1"/>
      <c r="Q57" s="840"/>
      <c r="R57" s="840"/>
      <c r="T57" s="378"/>
      <c r="U57" s="378"/>
      <c r="X57" s="145"/>
      <c r="Y57" s="145"/>
      <c r="Z57" s="158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1"/>
      <c r="Q58" s="840"/>
      <c r="R58" s="840"/>
      <c r="T58" s="378"/>
      <c r="U58" s="378"/>
      <c r="X58" s="145"/>
      <c r="Y58" s="145"/>
      <c r="Z58" s="158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1"/>
      <c r="Q59" s="840"/>
      <c r="R59" s="840"/>
      <c r="T59" s="378"/>
      <c r="U59" s="378"/>
      <c r="X59" s="145"/>
      <c r="Y59" s="145"/>
      <c r="Z59" s="158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1"/>
      <c r="Q60" s="842"/>
      <c r="R60" s="840"/>
      <c r="X60" s="145"/>
      <c r="Y60" s="145"/>
      <c r="Z60" s="158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1"/>
      <c r="Q61" s="842"/>
      <c r="R61" s="840"/>
      <c r="X61" s="145"/>
      <c r="Y61" s="145"/>
      <c r="Z61" s="158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1"/>
      <c r="Q62" s="842"/>
      <c r="R62" s="840"/>
      <c r="X62" s="145"/>
      <c r="Y62" s="145"/>
      <c r="Z62" s="158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1"/>
      <c r="Q63" s="842"/>
      <c r="R63" s="840"/>
      <c r="X63" s="145"/>
      <c r="Y63" s="145"/>
      <c r="Z63" s="158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0" t="s">
        <v>2551</v>
      </c>
      <c r="K64" s="145"/>
      <c r="L64" s="145"/>
      <c r="M64" s="145"/>
      <c r="N64" s="145"/>
      <c r="O64" s="145"/>
      <c r="P64" s="841"/>
      <c r="Q64" s="842"/>
      <c r="R64" s="840"/>
      <c r="X64" s="145"/>
      <c r="Y64" s="145"/>
      <c r="Z64" s="158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0" t="s">
        <v>2552</v>
      </c>
      <c r="K65" s="145"/>
      <c r="L65" s="145"/>
      <c r="M65" s="145"/>
      <c r="N65" s="145"/>
      <c r="O65" s="145"/>
      <c r="P65" s="841"/>
      <c r="Q65" s="842"/>
      <c r="R65" s="840"/>
      <c r="X65" s="145"/>
      <c r="Y65" s="145"/>
      <c r="Z65" s="158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0" t="s">
        <v>2553</v>
      </c>
      <c r="K66" s="145"/>
      <c r="L66" s="145"/>
      <c r="M66" s="145"/>
      <c r="N66" s="145"/>
      <c r="O66" s="145"/>
      <c r="P66" s="841"/>
      <c r="Q66" s="842"/>
      <c r="R66" s="840"/>
      <c r="X66" s="145"/>
      <c r="Y66" s="145"/>
      <c r="Z66" s="158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0" t="s">
        <v>2554</v>
      </c>
      <c r="K67" s="145"/>
      <c r="L67" s="145"/>
      <c r="M67" s="145"/>
      <c r="N67" s="145"/>
      <c r="O67" s="145"/>
      <c r="P67" s="841"/>
      <c r="Q67" s="842"/>
      <c r="R67" s="840"/>
      <c r="X67" s="145"/>
      <c r="Y67" s="145"/>
      <c r="Z67" s="158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0" t="s">
        <v>2555</v>
      </c>
      <c r="K68" s="145"/>
      <c r="L68" s="145"/>
      <c r="M68" s="145"/>
      <c r="N68" s="145"/>
      <c r="O68" s="145"/>
      <c r="P68" s="841"/>
      <c r="Q68" s="842"/>
      <c r="R68" s="840"/>
      <c r="X68" s="145"/>
      <c r="Y68" s="145"/>
      <c r="Z68" s="158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0" t="s">
        <v>2556</v>
      </c>
      <c r="K69" s="145"/>
      <c r="L69" s="145"/>
      <c r="M69" s="145"/>
      <c r="N69" s="145"/>
      <c r="O69" s="145"/>
      <c r="P69" s="841"/>
      <c r="Q69" s="842"/>
      <c r="R69" s="840"/>
      <c r="X69" s="145"/>
      <c r="Y69" s="145"/>
      <c r="Z69" s="158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0" t="s">
        <v>2557</v>
      </c>
      <c r="K70" s="145"/>
      <c r="L70" s="145"/>
      <c r="M70" s="145"/>
      <c r="N70" s="145"/>
      <c r="O70" s="145"/>
      <c r="P70" s="841"/>
      <c r="Q70" s="842"/>
      <c r="R70" s="840"/>
      <c r="X70" s="145"/>
      <c r="Y70" s="145"/>
      <c r="Z70" s="158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0" t="s">
        <v>2558</v>
      </c>
      <c r="K71" s="145"/>
      <c r="L71" s="145"/>
      <c r="M71" s="145"/>
      <c r="N71" s="145"/>
      <c r="O71" s="145"/>
      <c r="P71" s="841"/>
      <c r="Q71" s="842"/>
      <c r="R71" s="840"/>
      <c r="X71" s="145"/>
      <c r="Y71" s="145"/>
      <c r="Z71" s="158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0" t="s">
        <v>2559</v>
      </c>
      <c r="K72" s="145"/>
      <c r="L72" s="145"/>
      <c r="M72" s="145"/>
      <c r="N72" s="145"/>
      <c r="O72" s="145"/>
      <c r="P72" s="841"/>
      <c r="Q72" s="842"/>
      <c r="R72" s="840"/>
      <c r="X72" s="145"/>
      <c r="Y72" s="145"/>
      <c r="Z72" s="158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0" t="s">
        <v>3204</v>
      </c>
      <c r="K73" s="145"/>
      <c r="L73" s="145"/>
      <c r="M73" s="145"/>
      <c r="N73" s="145"/>
      <c r="O73" s="145"/>
      <c r="P73" s="841"/>
      <c r="Q73" s="842"/>
      <c r="R73" s="840"/>
      <c r="X73" s="145"/>
      <c r="Y73" s="145"/>
      <c r="Z73" s="158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1"/>
      <c r="Q74" s="842"/>
      <c r="R74" s="840"/>
      <c r="X74" s="145"/>
      <c r="Y74" s="145"/>
      <c r="Z74" s="158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1"/>
      <c r="Q75" s="842"/>
      <c r="R75" s="840"/>
      <c r="X75" s="145"/>
      <c r="Y75" s="145"/>
      <c r="Z75" s="158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1"/>
      <c r="Q76" s="842"/>
      <c r="R76" s="840"/>
      <c r="X76" s="145"/>
      <c r="Y76" s="145"/>
      <c r="Z76" s="158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1"/>
      <c r="Q77" s="842"/>
      <c r="R77" s="840"/>
      <c r="X77" s="145"/>
      <c r="Y77" s="145"/>
      <c r="Z77" s="158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1"/>
      <c r="Q78" s="842"/>
      <c r="R78" s="840"/>
      <c r="X78" s="145"/>
      <c r="Y78" s="145"/>
      <c r="Z78" s="158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3"/>
      <c r="Q79" s="840"/>
      <c r="R79" s="840"/>
      <c r="X79" s="145"/>
      <c r="Y79" s="145"/>
      <c r="Z79" s="158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1"/>
      <c r="Q80" s="842"/>
      <c r="R80" s="840"/>
      <c r="X80" s="145"/>
      <c r="Y80" s="145"/>
      <c r="Z80" s="158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1"/>
      <c r="Q81" s="842"/>
      <c r="R81" s="840"/>
      <c r="X81" s="145"/>
      <c r="Y81" s="145"/>
      <c r="Z81" s="158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1"/>
      <c r="Q82" s="842"/>
      <c r="R82" s="840"/>
      <c r="X82" s="145"/>
      <c r="Y82" s="145"/>
      <c r="Z82" s="158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3"/>
      <c r="Q83" s="840"/>
      <c r="R83" s="840"/>
      <c r="X83" s="145"/>
      <c r="Y83" s="145"/>
      <c r="Z83" s="158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1"/>
      <c r="Q84" s="842"/>
      <c r="R84" s="840"/>
      <c r="X84" s="145"/>
      <c r="Y84" s="145"/>
      <c r="Z84" s="158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1"/>
      <c r="Q85" s="842"/>
      <c r="R85" s="840"/>
      <c r="X85" s="145"/>
      <c r="Y85" s="145"/>
      <c r="Z85" s="158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1"/>
      <c r="Q86" s="842"/>
      <c r="R86" s="840"/>
      <c r="X86" s="145"/>
      <c r="Y86" s="145"/>
      <c r="Z86" s="158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1"/>
      <c r="Q87" s="842"/>
      <c r="R87" s="840"/>
      <c r="X87" s="145"/>
      <c r="Y87" s="145"/>
      <c r="Z87" s="158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1"/>
      <c r="Q88" s="842"/>
      <c r="R88" s="840"/>
      <c r="X88" s="145"/>
      <c r="Y88" s="145"/>
      <c r="Z88" s="158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1"/>
      <c r="Q89" s="842"/>
      <c r="R89" s="840"/>
      <c r="X89" s="145"/>
      <c r="Y89" s="145"/>
      <c r="Z89" s="158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1"/>
      <c r="Q90" s="842"/>
      <c r="R90" s="840"/>
      <c r="X90" s="145"/>
      <c r="Y90" s="145"/>
      <c r="Z90" s="158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1"/>
      <c r="Q91" s="842"/>
      <c r="R91" s="840"/>
      <c r="X91" s="145"/>
      <c r="Y91" s="145"/>
      <c r="Z91" s="158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1"/>
      <c r="Q92" s="842"/>
      <c r="R92" s="840"/>
      <c r="X92" s="145"/>
      <c r="Y92" s="145"/>
      <c r="Z92" s="158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1"/>
      <c r="Q93" s="842"/>
      <c r="R93" s="840"/>
      <c r="X93" s="145"/>
      <c r="Y93" s="145"/>
      <c r="Z93" s="158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1"/>
      <c r="Q94" s="842"/>
      <c r="R94" s="840"/>
      <c r="X94" s="145"/>
      <c r="Y94" s="145"/>
      <c r="Z94" s="158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1"/>
      <c r="Q95" s="842"/>
      <c r="R95" s="840"/>
      <c r="X95" s="145"/>
      <c r="Y95" s="145"/>
      <c r="Z95" s="158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1"/>
      <c r="Q96" s="842"/>
      <c r="R96" s="840"/>
      <c r="X96" s="145"/>
      <c r="Y96" s="145"/>
      <c r="Z96" s="158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3"/>
      <c r="Q97" s="842"/>
      <c r="R97" s="841"/>
      <c r="S97" s="402"/>
      <c r="X97" s="145"/>
      <c r="Y97" s="145"/>
      <c r="Z97" s="158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1"/>
      <c r="Q98" s="842"/>
      <c r="R98" s="841"/>
      <c r="S98" s="402"/>
      <c r="X98" s="145"/>
      <c r="Y98" s="145"/>
      <c r="Z98" s="158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1"/>
      <c r="Q99" s="842"/>
      <c r="R99" s="841"/>
      <c r="S99" s="402"/>
      <c r="X99" s="145"/>
      <c r="Y99" s="145"/>
      <c r="Z99" s="158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1"/>
      <c r="Q100" s="842"/>
      <c r="R100" s="841"/>
      <c r="S100" s="402"/>
      <c r="X100" s="145"/>
      <c r="Y100" s="145"/>
      <c r="Z100" s="158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1"/>
      <c r="Q101" s="840"/>
      <c r="R101" s="840"/>
      <c r="X101" s="145"/>
      <c r="Y101" s="145"/>
      <c r="Z101" s="158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3"/>
      <c r="Q102" s="840"/>
      <c r="R102" s="840"/>
      <c r="X102" s="145"/>
      <c r="Y102" s="145"/>
      <c r="Z102" s="158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1"/>
      <c r="Q103" s="842"/>
      <c r="R103" s="840"/>
      <c r="X103" s="145"/>
      <c r="Y103" s="145"/>
      <c r="Z103" s="158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1"/>
      <c r="Q104" s="842"/>
      <c r="R104" s="840"/>
      <c r="X104" s="145"/>
      <c r="Y104" s="145"/>
      <c r="Z104" s="158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3"/>
      <c r="Q105" s="842"/>
      <c r="R105" s="840"/>
      <c r="X105" s="145"/>
      <c r="Y105" s="145"/>
      <c r="Z105" s="158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1"/>
      <c r="Q106" s="842"/>
      <c r="R106" s="840"/>
      <c r="X106" s="145"/>
      <c r="Y106" s="145"/>
      <c r="Z106" s="158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1"/>
      <c r="Q107" s="842"/>
      <c r="R107" s="840"/>
      <c r="X107" s="145"/>
      <c r="Y107" s="145"/>
      <c r="Z107" s="158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1"/>
      <c r="Q108" s="842"/>
      <c r="R108" s="840"/>
      <c r="X108" s="145"/>
      <c r="Y108" s="145"/>
      <c r="Z108" s="158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1"/>
      <c r="Q109" s="842"/>
      <c r="R109" s="840"/>
      <c r="X109" s="145"/>
      <c r="Y109" s="145"/>
      <c r="Z109" s="158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1"/>
      <c r="Q110" s="842"/>
      <c r="R110" s="840"/>
      <c r="X110" s="145"/>
      <c r="Y110" s="145"/>
      <c r="Z110" s="158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1"/>
      <c r="Q111" s="842"/>
      <c r="R111" s="840"/>
      <c r="X111" s="145"/>
      <c r="Y111" s="145"/>
      <c r="Z111" s="158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1"/>
      <c r="Q112" s="842"/>
      <c r="R112" s="840"/>
      <c r="X112" s="145"/>
      <c r="Y112" s="145"/>
      <c r="Z112" s="158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3"/>
      <c r="Q113" s="842"/>
      <c r="R113" s="840"/>
      <c r="X113" s="145"/>
      <c r="Y113" s="145"/>
      <c r="Z113" s="158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1"/>
      <c r="Q114" s="842"/>
      <c r="R114" s="840"/>
      <c r="X114" s="145"/>
      <c r="Y114" s="145"/>
      <c r="Z114" s="158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1"/>
      <c r="Q115" s="842"/>
      <c r="R115" s="840"/>
      <c r="X115" s="145"/>
      <c r="Y115" s="145"/>
      <c r="Z115" s="158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1"/>
      <c r="Q116" s="842"/>
      <c r="R116" s="840"/>
      <c r="X116" s="145"/>
      <c r="Y116" s="145"/>
      <c r="Z116" s="158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1"/>
      <c r="Q117" s="842"/>
      <c r="R117" s="840"/>
      <c r="X117" s="145"/>
      <c r="Y117" s="145"/>
      <c r="Z117" s="158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1"/>
      <c r="Q118" s="842"/>
      <c r="R118" s="840"/>
      <c r="X118" s="145"/>
      <c r="Y118" s="145"/>
      <c r="Z118" s="158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1"/>
      <c r="Q119" s="842"/>
      <c r="R119" s="840"/>
      <c r="X119" s="145"/>
      <c r="Y119" s="145"/>
      <c r="Z119" s="158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1"/>
      <c r="Q120" s="842"/>
      <c r="R120" s="840"/>
      <c r="X120" s="145"/>
      <c r="Y120" s="145"/>
      <c r="Z120" s="158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1"/>
      <c r="Q121" s="842"/>
      <c r="R121" s="840"/>
      <c r="X121" s="145"/>
      <c r="Y121" s="145"/>
      <c r="Z121" s="158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1"/>
      <c r="Q122" s="842"/>
      <c r="R122" s="840"/>
      <c r="X122" s="145"/>
      <c r="Y122" s="145"/>
      <c r="Z122" s="158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1"/>
      <c r="Q123" s="842"/>
      <c r="R123" s="840"/>
      <c r="X123" s="145"/>
      <c r="Y123" s="145"/>
      <c r="Z123" s="158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1"/>
      <c r="Q124" s="842"/>
      <c r="R124" s="840"/>
      <c r="X124" s="145"/>
      <c r="Y124" s="145"/>
      <c r="Z124" s="158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1"/>
      <c r="Q125" s="842"/>
      <c r="R125" s="840"/>
      <c r="X125" s="145"/>
      <c r="Y125" s="145"/>
      <c r="Z125" s="158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1"/>
      <c r="Q126" s="842"/>
      <c r="R126" s="840"/>
      <c r="X126" s="145"/>
      <c r="Y126" s="145"/>
      <c r="Z126" s="158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1"/>
      <c r="Q127" s="842"/>
      <c r="R127" s="840"/>
      <c r="X127" s="145"/>
      <c r="Y127" s="145"/>
      <c r="Z127" s="158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4"/>
      <c r="Q128" s="842"/>
      <c r="R128" s="840"/>
      <c r="X128" s="145"/>
      <c r="Y128" s="145"/>
      <c r="Z128" s="158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1"/>
      <c r="Q129" s="842"/>
      <c r="R129" s="840"/>
      <c r="X129" s="145"/>
      <c r="Y129" s="145"/>
      <c r="Z129" s="158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1"/>
      <c r="Q130" s="842"/>
      <c r="R130" s="840"/>
      <c r="X130" s="145"/>
      <c r="Y130" s="145"/>
      <c r="Z130" s="158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1"/>
      <c r="Q131" s="842"/>
      <c r="R131" s="840"/>
      <c r="X131" s="145"/>
      <c r="Y131" s="145"/>
      <c r="Z131" s="158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1"/>
      <c r="Q132" s="842"/>
      <c r="R132" s="840"/>
      <c r="X132" s="145"/>
      <c r="Y132" s="145"/>
      <c r="Z132" s="158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1"/>
      <c r="Q133" s="842"/>
      <c r="R133" s="840"/>
      <c r="X133" s="145"/>
      <c r="Y133" s="145"/>
      <c r="Z133" s="158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1"/>
      <c r="Q134" s="842"/>
      <c r="R134" s="840"/>
      <c r="X134" s="145"/>
      <c r="Y134" s="145"/>
      <c r="Z134" s="158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1"/>
      <c r="Q135" s="842"/>
      <c r="R135" s="840"/>
      <c r="X135" s="145"/>
      <c r="Y135" s="145"/>
      <c r="Z135" s="158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1"/>
      <c r="Q136" s="842"/>
      <c r="R136" s="840"/>
      <c r="X136" s="145"/>
      <c r="Y136" s="145"/>
      <c r="Z136" s="158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1"/>
      <c r="Q137" s="842"/>
      <c r="R137" s="840"/>
      <c r="X137" s="145"/>
      <c r="Y137" s="145"/>
      <c r="Z137" s="158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1"/>
      <c r="Q138" s="842"/>
      <c r="R138" s="840"/>
      <c r="X138" s="145"/>
      <c r="Y138" s="145"/>
      <c r="Z138" s="158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1"/>
      <c r="Q139" s="842"/>
      <c r="R139" s="840"/>
      <c r="X139" s="145"/>
      <c r="Y139" s="145"/>
      <c r="Z139" s="158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1"/>
      <c r="Q140" s="842"/>
      <c r="R140" s="840"/>
      <c r="X140" s="145"/>
      <c r="Y140" s="145"/>
      <c r="Z140" s="158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1"/>
      <c r="Q141" s="842"/>
      <c r="R141" s="840"/>
      <c r="X141" s="145"/>
      <c r="Y141" s="145"/>
      <c r="Z141" s="158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1"/>
      <c r="Q142" s="842"/>
      <c r="R142" s="840"/>
      <c r="X142" s="145"/>
      <c r="Y142" s="145"/>
      <c r="Z142" s="158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1"/>
      <c r="Q143" s="842"/>
      <c r="R143" s="840"/>
      <c r="X143" s="145"/>
      <c r="Y143" s="145"/>
      <c r="Z143" s="158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1"/>
      <c r="Q144" s="842"/>
      <c r="R144" s="840"/>
      <c r="X144" s="145"/>
      <c r="Y144" s="145"/>
      <c r="Z144" s="158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1"/>
      <c r="Q145" s="842"/>
      <c r="R145" s="840"/>
      <c r="X145" s="145"/>
      <c r="Y145" s="145"/>
      <c r="Z145" s="158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1"/>
      <c r="Q146" s="842"/>
      <c r="R146" s="840"/>
      <c r="X146" s="145"/>
      <c r="Y146" s="145"/>
      <c r="Z146" s="158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1"/>
      <c r="Q147" s="842"/>
      <c r="R147" s="840"/>
      <c r="X147" s="145"/>
      <c r="Y147" s="145"/>
      <c r="Z147" s="158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1"/>
      <c r="Q148" s="842"/>
      <c r="R148" s="840"/>
      <c r="X148" s="145"/>
      <c r="Y148" s="145"/>
      <c r="Z148" s="158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1"/>
      <c r="Q149" s="842"/>
      <c r="R149" s="840"/>
      <c r="X149" s="145"/>
      <c r="Y149" s="145"/>
      <c r="Z149" s="158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1"/>
      <c r="Q150" s="842"/>
      <c r="R150" s="840"/>
      <c r="X150" s="145"/>
      <c r="Y150" s="145"/>
      <c r="Z150" s="158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1"/>
      <c r="Q151" s="842"/>
      <c r="R151" s="840"/>
      <c r="X151" s="145"/>
      <c r="Y151" s="145"/>
      <c r="Z151" s="158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1"/>
      <c r="Q152" s="842"/>
      <c r="R152" s="840"/>
      <c r="X152" s="145"/>
      <c r="Y152" s="145"/>
      <c r="Z152" s="158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1"/>
      <c r="Q153" s="842"/>
      <c r="R153" s="840"/>
      <c r="X153" s="145"/>
      <c r="Y153" s="145"/>
      <c r="Z153" s="158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1"/>
      <c r="Q154" s="842"/>
      <c r="R154" s="840"/>
      <c r="X154" s="145"/>
      <c r="Y154" s="145"/>
      <c r="Z154" s="158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3"/>
      <c r="Q155" s="842"/>
      <c r="R155" s="840"/>
      <c r="X155" s="145"/>
      <c r="Y155" s="145"/>
      <c r="Z155" s="158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1"/>
      <c r="Q156" s="842"/>
      <c r="R156" s="840"/>
      <c r="X156" s="145"/>
      <c r="Y156" s="145"/>
      <c r="Z156" s="158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1"/>
      <c r="Q157" s="842"/>
      <c r="R157" s="840"/>
      <c r="X157" s="145"/>
      <c r="Y157" s="145"/>
      <c r="Z157" s="158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1"/>
      <c r="Q158" s="842"/>
      <c r="R158" s="840"/>
      <c r="X158" s="145"/>
      <c r="Y158" s="145"/>
      <c r="Z158" s="158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1"/>
      <c r="Q159" s="842"/>
      <c r="R159" s="840"/>
      <c r="X159" s="145"/>
      <c r="Y159" s="145"/>
      <c r="Z159" s="158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1"/>
      <c r="Q160" s="842"/>
      <c r="R160" s="840"/>
      <c r="X160" s="145"/>
      <c r="Y160" s="145"/>
      <c r="Z160" s="158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1"/>
      <c r="Q161" s="842"/>
      <c r="R161" s="840"/>
      <c r="X161" s="145"/>
      <c r="Y161" s="145"/>
      <c r="Z161" s="158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1"/>
      <c r="Q162" s="842"/>
      <c r="R162" s="840"/>
      <c r="X162" s="145"/>
      <c r="Y162" s="145"/>
      <c r="Z162" s="158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1"/>
      <c r="Q163" s="842"/>
      <c r="R163" s="840"/>
      <c r="X163" s="145"/>
      <c r="Y163" s="145"/>
      <c r="Z163" s="158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1"/>
      <c r="Q164" s="842"/>
      <c r="R164" s="840"/>
      <c r="X164" s="145"/>
      <c r="Y164" s="145"/>
      <c r="Z164" s="158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1"/>
      <c r="Q165" s="842"/>
      <c r="R165" s="840"/>
      <c r="X165" s="145"/>
      <c r="Y165" s="145"/>
      <c r="Z165" s="158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1"/>
      <c r="Q166" s="840"/>
      <c r="R166" s="840"/>
      <c r="X166" s="145"/>
      <c r="Y166" s="145"/>
      <c r="Z166" s="158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1"/>
      <c r="Q167" s="842"/>
      <c r="R167" s="840"/>
      <c r="X167" s="145"/>
      <c r="Y167" s="145"/>
      <c r="Z167" s="158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1"/>
      <c r="Q168" s="842"/>
      <c r="R168" s="840"/>
      <c r="X168" s="145"/>
      <c r="Y168" s="145"/>
      <c r="Z168" s="158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1"/>
      <c r="Q169" s="842"/>
      <c r="R169" s="840"/>
      <c r="X169" s="145"/>
      <c r="Y169" s="145"/>
      <c r="Z169" s="158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3"/>
      <c r="Q170" s="840"/>
      <c r="R170" s="840"/>
      <c r="X170" s="145"/>
      <c r="Y170" s="145"/>
      <c r="Z170" s="158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1"/>
      <c r="Q171" s="842"/>
      <c r="R171" s="840"/>
      <c r="X171" s="145"/>
      <c r="Y171" s="145"/>
      <c r="Z171" s="15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1"/>
      <c r="Q172" s="842"/>
      <c r="R172" s="840"/>
      <c r="X172" s="145"/>
      <c r="Y172" s="145"/>
      <c r="Z172" s="15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1"/>
      <c r="Q173" s="842"/>
      <c r="R173" s="840"/>
      <c r="X173" s="145"/>
      <c r="Y173" s="145"/>
      <c r="Z173" s="15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3"/>
      <c r="Q174" s="840"/>
      <c r="R174" s="840"/>
      <c r="X174" s="145"/>
      <c r="Y174" s="145"/>
      <c r="Z174" s="15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1"/>
      <c r="Q175" s="842"/>
      <c r="R175" s="840"/>
      <c r="X175" s="145"/>
      <c r="Y175" s="145"/>
      <c r="Z175" s="15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1"/>
      <c r="Q176" s="842"/>
      <c r="R176" s="840"/>
      <c r="X176" s="145"/>
      <c r="Y176" s="145"/>
      <c r="Z176" s="15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1"/>
      <c r="Q177" s="840"/>
      <c r="R177" s="840"/>
      <c r="X177" s="145"/>
      <c r="Y177" s="145"/>
      <c r="Z177" s="15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3"/>
      <c r="Q178" s="840"/>
      <c r="R178" s="840"/>
      <c r="X178" s="145"/>
      <c r="Y178" s="145"/>
      <c r="Z178" s="15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1"/>
      <c r="Q179" s="842"/>
      <c r="R179" s="840"/>
      <c r="X179" s="145"/>
      <c r="Y179" s="145"/>
      <c r="Z179" s="15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1"/>
      <c r="Q180" s="842"/>
      <c r="R180" s="840"/>
      <c r="X180" s="145"/>
      <c r="Y180" s="145"/>
      <c r="Z180" s="15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1"/>
      <c r="Q181" s="842"/>
      <c r="R181" s="840"/>
      <c r="X181" s="145"/>
      <c r="Y181" s="145"/>
      <c r="Z181" s="15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3"/>
      <c r="Q182" s="840"/>
      <c r="R182" s="840"/>
      <c r="X182" s="145"/>
      <c r="Y182" s="145"/>
      <c r="Z182" s="15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1"/>
      <c r="Q183" s="842"/>
      <c r="R183" s="840"/>
      <c r="X183" s="145"/>
      <c r="Y183" s="145"/>
      <c r="Z183" s="15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3"/>
      <c r="Q184" s="842"/>
      <c r="R184" s="840"/>
      <c r="X184" s="145"/>
      <c r="Y184" s="145"/>
      <c r="Z184" s="15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1"/>
      <c r="Q185" s="840"/>
      <c r="R185" s="840"/>
      <c r="X185" s="145"/>
      <c r="Y185" s="145"/>
      <c r="Z185" s="15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1"/>
      <c r="Q186" s="842"/>
      <c r="R186" s="840"/>
      <c r="X186" s="145"/>
      <c r="Y186" s="145"/>
      <c r="Z186" s="15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1"/>
      <c r="Q187" s="842"/>
      <c r="R187" s="840"/>
      <c r="X187" s="145"/>
      <c r="Y187" s="145"/>
      <c r="Z187" s="15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1"/>
      <c r="Q188" s="842"/>
      <c r="R188" s="840"/>
      <c r="X188" s="145"/>
      <c r="Y188" s="145"/>
      <c r="Z188" s="15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1"/>
      <c r="Q189" s="840"/>
      <c r="R189" s="840"/>
      <c r="X189" s="145"/>
      <c r="Y189" s="145"/>
      <c r="Z189" s="15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3"/>
      <c r="Q190" s="842"/>
      <c r="R190" s="840"/>
      <c r="X190" s="145"/>
      <c r="Y190" s="145"/>
      <c r="Z190" s="15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1"/>
      <c r="Q191" s="842"/>
      <c r="R191" s="840"/>
      <c r="X191" s="145"/>
      <c r="Y191" s="145"/>
      <c r="Z191" s="15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1"/>
      <c r="Q192" s="842"/>
      <c r="R192" s="840"/>
      <c r="X192" s="145"/>
      <c r="Y192" s="145"/>
      <c r="Z192" s="15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1"/>
      <c r="Q193" s="842"/>
      <c r="R193" s="840"/>
      <c r="X193" s="145"/>
      <c r="Y193" s="145"/>
      <c r="Z193" s="15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1"/>
      <c r="Q194" s="842"/>
      <c r="R194" s="840"/>
      <c r="X194" s="145"/>
      <c r="Y194" s="145"/>
      <c r="Z194" s="15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1"/>
      <c r="Q195" s="842"/>
      <c r="R195" s="840"/>
      <c r="X195" s="145"/>
      <c r="Y195" s="145"/>
      <c r="Z195" s="15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1"/>
      <c r="Q196" s="842"/>
      <c r="R196" s="840"/>
      <c r="X196" s="145"/>
      <c r="Y196" s="145"/>
      <c r="Z196" s="15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1"/>
      <c r="Q197" s="842"/>
      <c r="R197" s="840"/>
      <c r="X197" s="145"/>
      <c r="Y197" s="145"/>
      <c r="Z197" s="15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1"/>
      <c r="Q198" s="842"/>
      <c r="R198" s="840"/>
      <c r="X198" s="145"/>
      <c r="Y198" s="145"/>
      <c r="Z198" s="15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1"/>
      <c r="Q199" s="842"/>
      <c r="R199" s="840"/>
      <c r="X199" s="145"/>
      <c r="Y199" s="145"/>
      <c r="Z199" s="15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1"/>
      <c r="Q200" s="842"/>
      <c r="R200" s="840"/>
      <c r="X200" s="145"/>
      <c r="Y200" s="145"/>
      <c r="Z200" s="15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1"/>
      <c r="Q201" s="842"/>
      <c r="R201" s="840"/>
      <c r="X201" s="145"/>
      <c r="Y201" s="145"/>
      <c r="Z201" s="15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1"/>
      <c r="Q202" s="842"/>
      <c r="R202" s="840"/>
      <c r="X202" s="145"/>
      <c r="Y202" s="145"/>
      <c r="Z202" s="15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1"/>
      <c r="Q203" s="842"/>
      <c r="R203" s="840"/>
      <c r="X203" s="145"/>
      <c r="Y203" s="145"/>
      <c r="Z203" s="15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1"/>
      <c r="Q204" s="842"/>
      <c r="R204" s="840"/>
      <c r="X204" s="145"/>
      <c r="Y204" s="145"/>
      <c r="Z204" s="15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1"/>
      <c r="Q205" s="842"/>
      <c r="R205" s="840"/>
      <c r="X205" s="145"/>
      <c r="Y205" s="145"/>
      <c r="Z205" s="15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1"/>
      <c r="Q206" s="842"/>
      <c r="R206" s="840"/>
      <c r="X206" s="145"/>
      <c r="Y206" s="145"/>
      <c r="Z206" s="15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1"/>
      <c r="Q207" s="842"/>
      <c r="R207" s="840"/>
      <c r="X207" s="145"/>
      <c r="Y207" s="145"/>
      <c r="Z207" s="15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3"/>
      <c r="Q208" s="842"/>
      <c r="R208" s="840"/>
      <c r="X208" s="145"/>
      <c r="Y208" s="145"/>
      <c r="Z208" s="15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1"/>
      <c r="Q209" s="842"/>
      <c r="R209" s="840"/>
      <c r="X209" s="145"/>
      <c r="Y209" s="145"/>
      <c r="Z209" s="15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1"/>
      <c r="Q210" s="842"/>
      <c r="R210" s="841"/>
      <c r="S210" s="402"/>
      <c r="X210" s="145"/>
      <c r="Y210" s="145"/>
      <c r="Z210" s="15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1"/>
      <c r="Q211" s="842"/>
      <c r="R211" s="841"/>
      <c r="S211" s="402"/>
      <c r="X211" s="145"/>
      <c r="Y211" s="145"/>
      <c r="Z211" s="15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1"/>
      <c r="Q212" s="842"/>
      <c r="R212" s="841"/>
      <c r="S212" s="402"/>
      <c r="X212" s="145"/>
      <c r="Y212" s="145"/>
      <c r="Z212" s="15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1"/>
      <c r="Q213" s="840"/>
      <c r="R213" s="841"/>
      <c r="S213" s="402"/>
      <c r="X213" s="145"/>
      <c r="Y213" s="145"/>
      <c r="Z213" s="15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3"/>
      <c r="Q214" s="840"/>
      <c r="R214" s="841"/>
      <c r="S214" s="402"/>
      <c r="X214" s="145"/>
      <c r="Y214" s="145"/>
      <c r="Z214" s="15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1"/>
      <c r="Q215" s="840"/>
      <c r="R215" s="841"/>
      <c r="S215" s="402"/>
      <c r="X215" s="145"/>
      <c r="Y215" s="145"/>
      <c r="Z215" s="15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1"/>
      <c r="Q216" s="840"/>
      <c r="R216" s="841"/>
      <c r="S216" s="402"/>
      <c r="X216" s="145"/>
      <c r="Y216" s="145"/>
      <c r="Z216" s="15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1"/>
      <c r="Q217" s="840"/>
      <c r="R217" s="840"/>
      <c r="X217" s="145"/>
      <c r="Y217" s="145"/>
      <c r="Z217" s="15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1"/>
      <c r="Q218" s="840"/>
      <c r="R218" s="840"/>
      <c r="X218" s="145"/>
      <c r="Y218" s="145"/>
      <c r="Z218" s="15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1"/>
      <c r="Q219" s="840"/>
      <c r="R219" s="840"/>
      <c r="X219" s="145"/>
      <c r="Y219" s="145"/>
      <c r="Z219" s="15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1"/>
      <c r="Q220" s="840"/>
      <c r="R220" s="840"/>
      <c r="X220" s="145"/>
      <c r="Y220" s="145"/>
      <c r="Z220" s="15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3"/>
      <c r="Q221" s="840"/>
      <c r="R221" s="840"/>
      <c r="X221" s="145"/>
      <c r="Y221" s="145"/>
      <c r="Z221" s="15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1"/>
      <c r="Q222" s="840"/>
      <c r="R222" s="840"/>
      <c r="X222" s="145"/>
      <c r="Y222" s="145"/>
      <c r="Z222" s="15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1"/>
      <c r="Q223" s="840"/>
      <c r="R223" s="840"/>
      <c r="X223" s="145"/>
      <c r="Y223" s="145"/>
      <c r="Z223" s="15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1"/>
      <c r="Q224" s="840"/>
      <c r="R224" s="840"/>
      <c r="X224" s="145"/>
      <c r="Y224" s="145"/>
      <c r="Z224" s="15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1"/>
      <c r="Q225" s="840"/>
      <c r="R225" s="840"/>
      <c r="X225" s="145"/>
      <c r="Y225" s="145"/>
      <c r="Z225" s="15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1"/>
      <c r="Q226" s="840"/>
      <c r="R226" s="840"/>
      <c r="X226" s="145"/>
      <c r="Y226" s="145"/>
      <c r="Z226" s="15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1"/>
      <c r="Q227" s="840"/>
      <c r="R227" s="840"/>
      <c r="X227" s="145"/>
      <c r="Y227" s="145"/>
      <c r="Z227" s="15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1"/>
      <c r="Q228" s="840"/>
      <c r="R228" s="840"/>
      <c r="X228" s="145"/>
      <c r="Y228" s="145"/>
      <c r="Z228" s="15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3"/>
      <c r="Q229" s="840"/>
      <c r="R229" s="840"/>
      <c r="X229" s="145"/>
      <c r="Y229" s="145"/>
      <c r="Z229" s="15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3"/>
      <c r="Q230" s="840"/>
      <c r="R230" s="840"/>
      <c r="X230" s="145"/>
      <c r="Y230" s="145"/>
      <c r="Z230" s="15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1"/>
      <c r="Q231" s="840"/>
      <c r="R231" s="840"/>
      <c r="X231" s="145"/>
      <c r="Y231" s="145"/>
      <c r="Z231" s="15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1"/>
      <c r="Q232" s="840"/>
      <c r="R232" s="840"/>
      <c r="X232" s="145"/>
      <c r="Y232" s="145"/>
      <c r="Z232" s="15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1"/>
      <c r="Q233" s="840"/>
      <c r="R233" s="840"/>
      <c r="X233" s="145"/>
      <c r="Y233" s="145"/>
      <c r="Z233" s="15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1"/>
      <c r="Q234" s="840"/>
      <c r="R234" s="840"/>
      <c r="X234" s="145"/>
      <c r="Y234" s="145"/>
      <c r="Z234" s="15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1"/>
      <c r="Q235" s="840"/>
      <c r="R235" s="840"/>
      <c r="X235" s="145"/>
      <c r="Y235" s="145"/>
      <c r="Z235" s="15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1"/>
      <c r="Q236" s="840"/>
      <c r="R236" s="840"/>
      <c r="X236" s="145"/>
      <c r="Y236" s="145"/>
      <c r="Z236" s="15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1"/>
      <c r="Q237" s="840"/>
      <c r="R237" s="840"/>
      <c r="X237" s="145"/>
      <c r="Y237" s="145"/>
      <c r="Z237" s="15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1"/>
      <c r="Q238" s="840"/>
      <c r="R238" s="840"/>
      <c r="X238" s="145"/>
      <c r="Y238" s="145"/>
      <c r="Z238" s="15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0"/>
      <c r="C239" s="840"/>
      <c r="D239" s="840"/>
      <c r="E239" s="840"/>
      <c r="F239" s="840"/>
      <c r="G239" s="840"/>
      <c r="H239" s="840"/>
      <c r="I239" s="840"/>
      <c r="J239" s="840"/>
      <c r="K239" s="840"/>
      <c r="L239" s="840"/>
      <c r="M239" s="840"/>
      <c r="N239" s="840"/>
      <c r="O239" s="840"/>
      <c r="P239" s="841"/>
      <c r="Q239" s="840"/>
      <c r="R239" s="840"/>
      <c r="X239" s="145"/>
      <c r="Y239" s="145"/>
      <c r="Z239" s="15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0"/>
      <c r="C240" s="840"/>
      <c r="D240" s="840"/>
      <c r="E240" s="840"/>
      <c r="F240" s="840"/>
      <c r="G240" s="840"/>
      <c r="H240" s="840"/>
      <c r="I240" s="840"/>
      <c r="J240" s="840"/>
      <c r="K240" s="840"/>
      <c r="L240" s="840"/>
      <c r="M240" s="840"/>
      <c r="N240" s="840"/>
      <c r="O240" s="840"/>
      <c r="P240" s="841"/>
      <c r="Q240" s="840"/>
      <c r="R240" s="840"/>
      <c r="X240" s="145"/>
      <c r="Y240" s="145"/>
      <c r="Z240" s="15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0"/>
      <c r="C241" s="840"/>
      <c r="D241" s="840"/>
      <c r="E241" s="840"/>
      <c r="F241" s="840"/>
      <c r="G241" s="840"/>
      <c r="H241" s="840"/>
      <c r="I241" s="840"/>
      <c r="J241" s="840"/>
      <c r="K241" s="840"/>
      <c r="L241" s="840"/>
      <c r="M241" s="840"/>
      <c r="N241" s="840"/>
      <c r="O241" s="840"/>
      <c r="P241" s="841"/>
      <c r="Q241" s="840"/>
      <c r="R241" s="840"/>
      <c r="X241" s="145"/>
      <c r="Y241" s="145"/>
      <c r="Z241" s="15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0"/>
      <c r="C242" s="840"/>
      <c r="D242" s="840"/>
      <c r="E242" s="840"/>
      <c r="F242" s="840"/>
      <c r="G242" s="840"/>
      <c r="H242" s="840"/>
      <c r="I242" s="840"/>
      <c r="J242" s="840"/>
      <c r="K242" s="840"/>
      <c r="L242" s="840"/>
      <c r="M242" s="840"/>
      <c r="N242" s="840"/>
      <c r="O242" s="840"/>
      <c r="P242" s="841"/>
      <c r="Q242" s="840"/>
      <c r="R242" s="840"/>
      <c r="X242" s="145"/>
      <c r="Y242" s="145"/>
      <c r="Z242" s="15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0"/>
      <c r="C243" s="840"/>
      <c r="D243" s="840"/>
      <c r="E243" s="840"/>
      <c r="F243" s="840"/>
      <c r="G243" s="840"/>
      <c r="H243" s="840"/>
      <c r="I243" s="840"/>
      <c r="J243" s="840"/>
      <c r="K243" s="840"/>
      <c r="L243" s="840"/>
      <c r="M243" s="840"/>
      <c r="N243" s="840"/>
      <c r="O243" s="840"/>
      <c r="P243" s="841"/>
      <c r="Q243" s="840"/>
      <c r="R243" s="840"/>
      <c r="X243" s="145"/>
      <c r="Y243" s="145"/>
      <c r="Z243" s="15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0"/>
      <c r="C244" s="840"/>
      <c r="D244" s="840"/>
      <c r="E244" s="840"/>
      <c r="F244" s="840"/>
      <c r="G244" s="840"/>
      <c r="H244" s="840"/>
      <c r="I244" s="840"/>
      <c r="J244" s="840"/>
      <c r="K244" s="840"/>
      <c r="L244" s="840"/>
      <c r="M244" s="840"/>
      <c r="N244" s="840"/>
      <c r="O244" s="840"/>
      <c r="P244" s="841"/>
      <c r="Q244" s="840"/>
      <c r="R244" s="840"/>
      <c r="X244" s="145"/>
      <c r="Y244" s="145"/>
      <c r="Z244" s="15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0"/>
      <c r="C245" s="840"/>
      <c r="D245" s="840"/>
      <c r="E245" s="840"/>
      <c r="F245" s="840"/>
      <c r="G245" s="840"/>
      <c r="H245" s="840"/>
      <c r="I245" s="840"/>
      <c r="J245" s="840"/>
      <c r="K245" s="840"/>
      <c r="L245" s="840"/>
      <c r="M245" s="840"/>
      <c r="N245" s="840"/>
      <c r="O245" s="840"/>
      <c r="P245" s="843"/>
      <c r="Q245" s="840"/>
      <c r="R245" s="840"/>
      <c r="X245" s="145"/>
      <c r="Y245" s="145"/>
      <c r="Z245" s="15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0"/>
      <c r="C246" s="840"/>
      <c r="D246" s="840"/>
      <c r="E246" s="840"/>
      <c r="F246" s="840"/>
      <c r="G246" s="840"/>
      <c r="H246" s="840"/>
      <c r="I246" s="840"/>
      <c r="J246" s="840"/>
      <c r="K246" s="840"/>
      <c r="L246" s="840"/>
      <c r="M246" s="840"/>
      <c r="N246" s="840"/>
      <c r="O246" s="840"/>
      <c r="P246" s="843"/>
      <c r="Q246" s="840"/>
      <c r="R246" s="840"/>
      <c r="X246" s="145"/>
      <c r="Y246" s="145"/>
      <c r="Z246" s="15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0"/>
      <c r="C247" s="840"/>
      <c r="D247" s="840"/>
      <c r="E247" s="840"/>
      <c r="F247" s="840"/>
      <c r="G247" s="840"/>
      <c r="H247" s="840"/>
      <c r="I247" s="840"/>
      <c r="J247" s="840"/>
      <c r="K247" s="840"/>
      <c r="L247" s="840"/>
      <c r="M247" s="840"/>
      <c r="N247" s="840"/>
      <c r="O247" s="840"/>
      <c r="P247" s="843"/>
      <c r="Q247" s="840"/>
      <c r="R247" s="840"/>
      <c r="X247" s="145"/>
      <c r="Y247" s="145"/>
      <c r="Z247" s="15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0"/>
      <c r="C248" s="840"/>
      <c r="D248" s="840"/>
      <c r="E248" s="840"/>
      <c r="F248" s="840"/>
      <c r="G248" s="840"/>
      <c r="H248" s="840"/>
      <c r="I248" s="840"/>
      <c r="J248" s="840"/>
      <c r="K248" s="840"/>
      <c r="L248" s="840"/>
      <c r="M248" s="840"/>
      <c r="N248" s="840"/>
      <c r="O248" s="840"/>
      <c r="P248" s="841"/>
      <c r="Q248" s="840"/>
      <c r="R248" s="840"/>
      <c r="X248" s="145"/>
      <c r="Y248" s="145"/>
      <c r="Z248" s="15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0"/>
      <c r="C249" s="840"/>
      <c r="D249" s="840"/>
      <c r="E249" s="840"/>
      <c r="F249" s="840"/>
      <c r="G249" s="840"/>
      <c r="H249" s="840"/>
      <c r="I249" s="840"/>
      <c r="J249" s="840"/>
      <c r="K249" s="840"/>
      <c r="L249" s="840"/>
      <c r="M249" s="840"/>
      <c r="N249" s="840"/>
      <c r="O249" s="840"/>
      <c r="P249" s="841"/>
      <c r="Q249" s="840"/>
      <c r="R249" s="840"/>
      <c r="X249" s="145"/>
      <c r="Y249" s="145"/>
      <c r="Z249" s="15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0"/>
      <c r="C250" s="840"/>
      <c r="D250" s="840"/>
      <c r="E250" s="840"/>
      <c r="F250" s="840"/>
      <c r="G250" s="840"/>
      <c r="H250" s="840"/>
      <c r="I250" s="840"/>
      <c r="J250" s="840"/>
      <c r="K250" s="840"/>
      <c r="L250" s="840"/>
      <c r="M250" s="840"/>
      <c r="N250" s="840"/>
      <c r="O250" s="840"/>
      <c r="P250" s="843"/>
      <c r="Q250" s="840"/>
      <c r="R250" s="840"/>
      <c r="X250" s="145"/>
      <c r="Y250" s="145"/>
      <c r="Z250" s="15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0"/>
      <c r="C251" s="840"/>
      <c r="D251" s="840"/>
      <c r="E251" s="840"/>
      <c r="F251" s="840"/>
      <c r="G251" s="840"/>
      <c r="H251" s="840"/>
      <c r="I251" s="840"/>
      <c r="J251" s="840"/>
      <c r="K251" s="840"/>
      <c r="L251" s="840"/>
      <c r="M251" s="840"/>
      <c r="N251" s="840"/>
      <c r="O251" s="840"/>
      <c r="P251" s="841"/>
      <c r="Q251" s="840"/>
      <c r="R251" s="840"/>
      <c r="X251" s="145"/>
      <c r="Y251" s="145"/>
      <c r="Z251" s="15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0"/>
      <c r="C252" s="840"/>
      <c r="D252" s="840"/>
      <c r="E252" s="840"/>
      <c r="F252" s="840"/>
      <c r="G252" s="840"/>
      <c r="H252" s="840"/>
      <c r="I252" s="840"/>
      <c r="J252" s="840"/>
      <c r="K252" s="840"/>
      <c r="L252" s="840"/>
      <c r="M252" s="840"/>
      <c r="N252" s="840"/>
      <c r="O252" s="840"/>
      <c r="P252" s="841"/>
      <c r="Q252" s="840"/>
      <c r="R252" s="840"/>
      <c r="X252" s="145"/>
      <c r="Y252" s="145"/>
      <c r="Z252" s="15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0"/>
      <c r="C253" s="840"/>
      <c r="D253" s="840"/>
      <c r="E253" s="840"/>
      <c r="F253" s="840"/>
      <c r="G253" s="840"/>
      <c r="H253" s="840"/>
      <c r="I253" s="840"/>
      <c r="J253" s="840"/>
      <c r="K253" s="840"/>
      <c r="L253" s="840"/>
      <c r="M253" s="840"/>
      <c r="N253" s="840"/>
      <c r="O253" s="840"/>
      <c r="P253" s="841"/>
      <c r="Q253" s="840"/>
      <c r="R253" s="840"/>
      <c r="X253" s="145"/>
      <c r="Y253" s="145"/>
      <c r="Z253" s="15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0"/>
      <c r="C254" s="840"/>
      <c r="D254" s="840"/>
      <c r="E254" s="840"/>
      <c r="F254" s="840"/>
      <c r="G254" s="840"/>
      <c r="H254" s="840"/>
      <c r="I254" s="840"/>
      <c r="J254" s="840"/>
      <c r="K254" s="840"/>
      <c r="L254" s="840"/>
      <c r="M254" s="840"/>
      <c r="N254" s="840"/>
      <c r="O254" s="840"/>
      <c r="P254" s="841"/>
      <c r="Q254" s="840"/>
      <c r="R254" s="840"/>
      <c r="X254" s="145"/>
      <c r="Y254" s="145"/>
      <c r="Z254" s="15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0"/>
      <c r="C255" s="840"/>
      <c r="D255" s="840"/>
      <c r="E255" s="840"/>
      <c r="F255" s="840"/>
      <c r="G255" s="840"/>
      <c r="H255" s="840"/>
      <c r="I255" s="840"/>
      <c r="J255" s="840"/>
      <c r="K255" s="840"/>
      <c r="L255" s="840"/>
      <c r="M255" s="840"/>
      <c r="N255" s="840"/>
      <c r="O255" s="840"/>
      <c r="P255" s="841"/>
      <c r="Q255" s="840"/>
      <c r="R255" s="840"/>
      <c r="X255" s="145"/>
      <c r="Y255" s="145"/>
      <c r="Z255" s="15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0"/>
      <c r="C256" s="840"/>
      <c r="D256" s="840"/>
      <c r="E256" s="840"/>
      <c r="F256" s="840"/>
      <c r="G256" s="840"/>
      <c r="H256" s="840"/>
      <c r="I256" s="840"/>
      <c r="J256" s="840"/>
      <c r="K256" s="840"/>
      <c r="L256" s="840"/>
      <c r="M256" s="840"/>
      <c r="N256" s="840"/>
      <c r="O256" s="840"/>
      <c r="P256" s="841"/>
      <c r="Q256" s="840"/>
      <c r="R256" s="840"/>
      <c r="X256" s="145"/>
      <c r="Y256" s="145"/>
      <c r="Z256" s="15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0"/>
      <c r="C257" s="840"/>
      <c r="D257" s="840"/>
      <c r="E257" s="840"/>
      <c r="F257" s="840"/>
      <c r="G257" s="840"/>
      <c r="H257" s="840"/>
      <c r="I257" s="840"/>
      <c r="J257" s="840"/>
      <c r="K257" s="840"/>
      <c r="L257" s="840"/>
      <c r="M257" s="840"/>
      <c r="N257" s="840"/>
      <c r="O257" s="840"/>
      <c r="P257" s="841"/>
      <c r="Q257" s="840"/>
      <c r="R257" s="840"/>
      <c r="X257" s="145"/>
      <c r="Y257" s="145"/>
      <c r="Z257" s="15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0"/>
      <c r="C258" s="840"/>
      <c r="D258" s="840"/>
      <c r="E258" s="840"/>
      <c r="F258" s="840"/>
      <c r="G258" s="840"/>
      <c r="H258" s="840"/>
      <c r="I258" s="840"/>
      <c r="J258" s="840"/>
      <c r="K258" s="840"/>
      <c r="L258" s="840"/>
      <c r="M258" s="840"/>
      <c r="N258" s="840"/>
      <c r="O258" s="840"/>
      <c r="P258" s="841"/>
      <c r="Q258" s="840"/>
      <c r="R258" s="840"/>
      <c r="X258" s="145"/>
      <c r="Y258" s="145"/>
      <c r="Z258" s="15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0"/>
      <c r="C259" s="840"/>
      <c r="D259" s="840"/>
      <c r="E259" s="840"/>
      <c r="F259" s="840"/>
      <c r="G259" s="840"/>
      <c r="H259" s="840"/>
      <c r="I259" s="840"/>
      <c r="J259" s="840"/>
      <c r="K259" s="840"/>
      <c r="L259" s="840"/>
      <c r="M259" s="840"/>
      <c r="N259" s="840"/>
      <c r="O259" s="840"/>
      <c r="P259" s="841"/>
      <c r="Q259" s="840"/>
      <c r="R259" s="840"/>
      <c r="X259" s="145"/>
      <c r="Y259" s="145"/>
      <c r="Z259" s="15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0"/>
      <c r="C260" s="840"/>
      <c r="D260" s="840"/>
      <c r="E260" s="840"/>
      <c r="F260" s="840"/>
      <c r="G260" s="840"/>
      <c r="H260" s="840"/>
      <c r="I260" s="840"/>
      <c r="J260" s="840"/>
      <c r="K260" s="840"/>
      <c r="L260" s="840"/>
      <c r="M260" s="840"/>
      <c r="N260" s="840"/>
      <c r="O260" s="840"/>
      <c r="P260" s="841"/>
      <c r="Q260" s="840"/>
      <c r="R260" s="840"/>
      <c r="X260" s="145"/>
      <c r="Y260" s="145"/>
      <c r="Z260" s="15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0"/>
      <c r="C261" s="840"/>
      <c r="D261" s="840"/>
      <c r="E261" s="840"/>
      <c r="F261" s="840"/>
      <c r="G261" s="840"/>
      <c r="H261" s="840"/>
      <c r="I261" s="840"/>
      <c r="J261" s="840"/>
      <c r="K261" s="840"/>
      <c r="L261" s="840"/>
      <c r="M261" s="840"/>
      <c r="N261" s="840"/>
      <c r="O261" s="840"/>
      <c r="P261" s="841"/>
      <c r="Q261" s="840"/>
      <c r="R261" s="840"/>
      <c r="X261" s="145"/>
      <c r="Y261" s="145"/>
      <c r="Z261" s="15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0"/>
      <c r="C262" s="840"/>
      <c r="D262" s="840"/>
      <c r="E262" s="840"/>
      <c r="F262" s="840"/>
      <c r="G262" s="840"/>
      <c r="H262" s="840"/>
      <c r="I262" s="840"/>
      <c r="J262" s="840"/>
      <c r="K262" s="840"/>
      <c r="L262" s="840"/>
      <c r="M262" s="840"/>
      <c r="N262" s="840"/>
      <c r="O262" s="840"/>
      <c r="P262" s="843"/>
      <c r="Q262" s="840"/>
      <c r="R262" s="840"/>
      <c r="X262" s="145"/>
      <c r="Y262" s="145"/>
      <c r="Z262" s="15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0"/>
      <c r="C263" s="840"/>
      <c r="D263" s="840"/>
      <c r="E263" s="840"/>
      <c r="F263" s="840"/>
      <c r="G263" s="840"/>
      <c r="H263" s="840"/>
      <c r="I263" s="840"/>
      <c r="J263" s="840"/>
      <c r="K263" s="840"/>
      <c r="L263" s="840"/>
      <c r="M263" s="840"/>
      <c r="N263" s="840"/>
      <c r="O263" s="840"/>
      <c r="P263" s="841"/>
      <c r="Q263" s="840"/>
      <c r="R263" s="840"/>
      <c r="X263" s="145"/>
      <c r="Y263" s="145"/>
      <c r="Z263" s="15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0"/>
      <c r="C264" s="840"/>
      <c r="D264" s="840"/>
      <c r="E264" s="840"/>
      <c r="F264" s="840"/>
      <c r="G264" s="840"/>
      <c r="H264" s="840"/>
      <c r="I264" s="840"/>
      <c r="J264" s="840"/>
      <c r="K264" s="840"/>
      <c r="L264" s="840"/>
      <c r="M264" s="840"/>
      <c r="N264" s="840"/>
      <c r="O264" s="840"/>
      <c r="P264" s="841"/>
      <c r="Q264" s="840"/>
      <c r="R264" s="840"/>
      <c r="X264" s="145"/>
      <c r="Y264" s="145"/>
      <c r="Z264" s="15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0"/>
      <c r="C265" s="840"/>
      <c r="D265" s="840"/>
      <c r="E265" s="840"/>
      <c r="F265" s="840"/>
      <c r="G265" s="840"/>
      <c r="H265" s="840"/>
      <c r="I265" s="840"/>
      <c r="J265" s="840"/>
      <c r="K265" s="840"/>
      <c r="L265" s="840"/>
      <c r="M265" s="840"/>
      <c r="N265" s="840"/>
      <c r="O265" s="840"/>
      <c r="P265" s="841"/>
      <c r="Q265" s="840"/>
      <c r="R265" s="840"/>
      <c r="X265" s="145"/>
      <c r="Y265" s="145"/>
      <c r="Z265" s="15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0"/>
      <c r="C266" s="840"/>
      <c r="D266" s="840"/>
      <c r="E266" s="840"/>
      <c r="F266" s="840"/>
      <c r="G266" s="840"/>
      <c r="H266" s="840"/>
      <c r="I266" s="840"/>
      <c r="J266" s="840"/>
      <c r="K266" s="840"/>
      <c r="L266" s="840"/>
      <c r="M266" s="840"/>
      <c r="N266" s="840"/>
      <c r="O266" s="840"/>
      <c r="P266" s="841"/>
      <c r="Q266" s="840"/>
      <c r="R266" s="840"/>
      <c r="X266" s="145"/>
      <c r="Y266" s="145"/>
      <c r="Z266" s="15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0"/>
      <c r="C267" s="840"/>
      <c r="D267" s="840"/>
      <c r="E267" s="840"/>
      <c r="F267" s="840"/>
      <c r="G267" s="840"/>
      <c r="H267" s="840"/>
      <c r="I267" s="840"/>
      <c r="J267" s="840"/>
      <c r="K267" s="840"/>
      <c r="L267" s="840"/>
      <c r="M267" s="840"/>
      <c r="N267" s="840"/>
      <c r="O267" s="840"/>
      <c r="P267" s="841"/>
      <c r="Q267" s="840"/>
      <c r="R267" s="840"/>
      <c r="X267" s="145"/>
      <c r="Y267" s="145"/>
      <c r="Z267" s="15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0"/>
      <c r="C268" s="840"/>
      <c r="D268" s="840"/>
      <c r="E268" s="840"/>
      <c r="F268" s="840"/>
      <c r="G268" s="840"/>
      <c r="H268" s="840"/>
      <c r="I268" s="840"/>
      <c r="J268" s="840"/>
      <c r="K268" s="840"/>
      <c r="L268" s="840"/>
      <c r="M268" s="840"/>
      <c r="N268" s="840"/>
      <c r="O268" s="840"/>
      <c r="P268" s="841"/>
      <c r="Q268" s="840"/>
      <c r="R268" s="840"/>
      <c r="X268" s="145"/>
      <c r="Y268" s="145"/>
      <c r="Z268" s="15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2351</v>
      </c>
      <c r="S471" s="402" t="s">
        <v>584</v>
      </c>
      <c r="T471" s="403" t="s">
        <v>1981</v>
      </c>
      <c r="X471" s="145"/>
      <c r="Y471" s="145"/>
      <c r="Z471" s="15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2352</v>
      </c>
      <c r="S472" s="402" t="s">
        <v>306</v>
      </c>
      <c r="T472" s="403" t="s">
        <v>1981</v>
      </c>
      <c r="X472" s="145"/>
      <c r="Y472" s="145"/>
      <c r="Z472" s="15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2353</v>
      </c>
      <c r="S473" s="402" t="s">
        <v>2280</v>
      </c>
      <c r="T473" s="403" t="s">
        <v>1981</v>
      </c>
      <c r="X473" s="145"/>
      <c r="Y473" s="145"/>
      <c r="Z473" s="15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2354</v>
      </c>
      <c r="S474" s="402"/>
      <c r="T474" s="403" t="s">
        <v>1981</v>
      </c>
      <c r="X474" s="145"/>
      <c r="Y474" s="145"/>
      <c r="Z474" s="15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2355</v>
      </c>
      <c r="S475" s="402" t="s">
        <v>1856</v>
      </c>
      <c r="T475" s="403" t="s">
        <v>1981</v>
      </c>
      <c r="X475" s="145"/>
      <c r="Y475" s="145"/>
      <c r="Z475" s="15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2356</v>
      </c>
      <c r="S476" s="402" t="s">
        <v>2280</v>
      </c>
      <c r="T476" s="403" t="s">
        <v>1981</v>
      </c>
      <c r="X476" s="145"/>
      <c r="Y476" s="145"/>
      <c r="Z476" s="15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2357</v>
      </c>
      <c r="S477" s="402" t="s">
        <v>1247</v>
      </c>
      <c r="T477" s="403" t="s">
        <v>1981</v>
      </c>
      <c r="X477" s="145"/>
      <c r="Y477" s="145"/>
      <c r="Z477" s="15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2358</v>
      </c>
      <c r="S478" s="402" t="s">
        <v>1858</v>
      </c>
      <c r="T478" s="403" t="s">
        <v>1981</v>
      </c>
      <c r="X478" s="145"/>
      <c r="Y478" s="145"/>
      <c r="Z478" s="15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2359</v>
      </c>
      <c r="S479" s="402" t="s">
        <v>619</v>
      </c>
      <c r="T479" s="403" t="s">
        <v>1981</v>
      </c>
      <c r="X479" s="145"/>
      <c r="Y479" s="145"/>
      <c r="Z479" s="15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2360</v>
      </c>
      <c r="S480" s="402" t="s">
        <v>584</v>
      </c>
      <c r="T480" s="403" t="s">
        <v>1981</v>
      </c>
      <c r="X480" s="145"/>
      <c r="Y480" s="145"/>
      <c r="Z480" s="15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2361</v>
      </c>
      <c r="S481" s="402" t="s">
        <v>2009</v>
      </c>
      <c r="T481" s="403" t="s">
        <v>1981</v>
      </c>
      <c r="X481" s="145"/>
      <c r="Y481" s="145"/>
      <c r="Z481" s="15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2362</v>
      </c>
      <c r="S482" s="402" t="s">
        <v>2322</v>
      </c>
      <c r="T482" s="403" t="s">
        <v>1981</v>
      </c>
      <c r="X482" s="145"/>
      <c r="Y482" s="145"/>
      <c r="Z482" s="15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2069</v>
      </c>
      <c r="S483" s="402" t="s">
        <v>2319</v>
      </c>
      <c r="T483" s="403" t="s">
        <v>1981</v>
      </c>
      <c r="X483" s="145"/>
      <c r="Y483" s="145"/>
      <c r="Z483" s="15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2363</v>
      </c>
      <c r="S484" s="402" t="s">
        <v>2009</v>
      </c>
      <c r="T484" s="403" t="s">
        <v>1981</v>
      </c>
      <c r="X484" s="145"/>
      <c r="Y484" s="145"/>
      <c r="Z484" s="15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2364</v>
      </c>
      <c r="S485" s="402" t="s">
        <v>2283</v>
      </c>
      <c r="T485" s="403" t="s">
        <v>1981</v>
      </c>
      <c r="X485" s="145"/>
      <c r="Y485" s="145"/>
      <c r="Z485" s="15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2365</v>
      </c>
      <c r="S486" s="402" t="s">
        <v>1856</v>
      </c>
      <c r="T486" s="403" t="s">
        <v>1981</v>
      </c>
      <c r="X486" s="145"/>
      <c r="Y486" s="145"/>
      <c r="Z486" s="15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1981</v>
      </c>
      <c r="X487" s="145"/>
      <c r="Y487" s="145"/>
      <c r="Z487" s="15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1981</v>
      </c>
      <c r="X488" s="145"/>
      <c r="Y488" s="145"/>
      <c r="Z488" s="15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1981</v>
      </c>
      <c r="X489" s="145"/>
      <c r="Y489" s="145"/>
      <c r="Z489" s="15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1766</v>
      </c>
      <c r="T490" s="403" t="s">
        <v>1981</v>
      </c>
      <c r="X490" s="145"/>
      <c r="Y490" s="145"/>
      <c r="Z490" s="15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1854</v>
      </c>
      <c r="T491" s="403" t="s">
        <v>1981</v>
      </c>
      <c r="X491" s="145"/>
      <c r="Y491" s="145"/>
      <c r="Z491" s="15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1981</v>
      </c>
      <c r="X492" s="145"/>
      <c r="Y492" s="145"/>
      <c r="Z492" s="15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1981</v>
      </c>
      <c r="X493" s="145"/>
      <c r="Y493" s="145"/>
      <c r="Z493" s="15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2280</v>
      </c>
      <c r="T494" s="403" t="s">
        <v>1981</v>
      </c>
      <c r="X494" s="145"/>
      <c r="Y494" s="145"/>
      <c r="Z494" s="15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1981</v>
      </c>
      <c r="X495" s="145"/>
      <c r="Y495" s="145"/>
      <c r="Z495" s="15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1981</v>
      </c>
      <c r="X496" s="145"/>
      <c r="Y496" s="145"/>
      <c r="Z496" s="15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1981</v>
      </c>
      <c r="X497" s="145"/>
      <c r="Y497" s="145"/>
      <c r="Z497" s="15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1981</v>
      </c>
      <c r="X498" s="145"/>
      <c r="Y498" s="145"/>
      <c r="Z498" s="15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1854</v>
      </c>
      <c r="T499" s="403" t="s">
        <v>1981</v>
      </c>
      <c r="X499" s="145"/>
      <c r="Y499" s="145"/>
      <c r="Z499" s="15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1981</v>
      </c>
      <c r="X500" s="145"/>
      <c r="Y500" s="145"/>
      <c r="Z500" s="15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2283</v>
      </c>
      <c r="T501" s="403" t="s">
        <v>1981</v>
      </c>
      <c r="X501" s="145"/>
      <c r="Y501" s="145"/>
      <c r="Z501" s="15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2319</v>
      </c>
      <c r="T502" s="403" t="s">
        <v>1981</v>
      </c>
      <c r="X502" s="145"/>
      <c r="Y502" s="145"/>
      <c r="Z502" s="15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1981</v>
      </c>
      <c r="X503" s="145"/>
      <c r="Y503" s="145"/>
      <c r="Z503" s="15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1981</v>
      </c>
      <c r="X504" s="145"/>
      <c r="Y504" s="145"/>
      <c r="Z504" s="15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1981</v>
      </c>
      <c r="X505" s="145"/>
      <c r="Y505" s="145"/>
      <c r="Z505" s="15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2104</v>
      </c>
      <c r="S506" s="402" t="s">
        <v>1131</v>
      </c>
      <c r="T506" s="403" t="s">
        <v>1981</v>
      </c>
      <c r="X506" s="145"/>
      <c r="Y506" s="145"/>
      <c r="Z506" s="15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1981</v>
      </c>
      <c r="X507" s="145"/>
      <c r="Y507" s="145"/>
      <c r="Z507" s="15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1981</v>
      </c>
      <c r="X508" s="145"/>
      <c r="Y508" s="145"/>
      <c r="Z508" s="15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1981</v>
      </c>
      <c r="X509" s="145"/>
      <c r="Y509" s="145"/>
      <c r="Z509" s="15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1981</v>
      </c>
      <c r="X510" s="145"/>
      <c r="Y510" s="145"/>
      <c r="Z510" s="15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1981</v>
      </c>
      <c r="X511" s="145"/>
      <c r="Y511" s="145"/>
      <c r="Z511" s="15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1981</v>
      </c>
      <c r="X512" s="145"/>
      <c r="Y512" s="145"/>
      <c r="Z512" s="15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1981</v>
      </c>
      <c r="X513" s="145"/>
      <c r="Y513" s="145"/>
      <c r="Z513" s="15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1981</v>
      </c>
      <c r="X514" s="145"/>
      <c r="Y514" s="145"/>
      <c r="Z514" s="15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1981</v>
      </c>
      <c r="X515" s="145"/>
      <c r="Y515" s="145"/>
      <c r="Z515" s="15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1981</v>
      </c>
      <c r="X516" s="145"/>
      <c r="Y516" s="145"/>
      <c r="Z516" s="15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1981</v>
      </c>
      <c r="X517" s="145"/>
      <c r="Y517" s="145"/>
      <c r="Z517" s="15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1981</v>
      </c>
      <c r="X518" s="145"/>
      <c r="Y518" s="145"/>
      <c r="Z518" s="15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1981</v>
      </c>
      <c r="X519" s="145"/>
      <c r="Y519" s="145"/>
      <c r="Z519" s="15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1981</v>
      </c>
      <c r="X520" s="145"/>
      <c r="Y520" s="145"/>
      <c r="Z520" s="15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1981</v>
      </c>
      <c r="X521" s="145"/>
      <c r="Y521" s="145"/>
      <c r="Z521" s="15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1981</v>
      </c>
      <c r="X522" s="145"/>
      <c r="Y522" s="145"/>
      <c r="Z522" s="15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1766</v>
      </c>
      <c r="T523" s="403" t="s">
        <v>1981</v>
      </c>
      <c r="X523" s="145"/>
      <c r="Y523" s="145"/>
      <c r="Z523" s="15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1854</v>
      </c>
      <c r="T524" s="403" t="s">
        <v>1981</v>
      </c>
      <c r="X524" s="145"/>
      <c r="Y524" s="145"/>
      <c r="Z524" s="15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1981</v>
      </c>
      <c r="X525" s="145"/>
      <c r="Y525" s="145"/>
      <c r="Z525" s="15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1981</v>
      </c>
      <c r="X526" s="145"/>
      <c r="Y526" s="145"/>
      <c r="Z526" s="15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2283</v>
      </c>
      <c r="T527" s="403" t="s">
        <v>1981</v>
      </c>
      <c r="X527" s="145"/>
      <c r="Y527" s="145"/>
      <c r="Z527" s="15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1981</v>
      </c>
      <c r="X528" s="145"/>
      <c r="Y528" s="145"/>
      <c r="Z528" s="15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1981</v>
      </c>
      <c r="X529" s="145"/>
      <c r="Y529" s="145"/>
      <c r="Z529" s="15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83"/>
      <c r="AA669" s="145"/>
      <c r="AB669" s="145"/>
      <c r="AC669" s="145"/>
      <c r="AD669" s="145"/>
      <c r="AE669" s="145"/>
      <c r="AF669" s="145"/>
      <c r="AG669" s="145"/>
    </row>
    <row r="670" spans="1:44" s="377" customFormat="1" ht="12" customHeight="1">
      <c r="A670" s="145"/>
      <c r="P670" s="145"/>
      <c r="X670" s="145"/>
      <c r="Y670" s="145"/>
      <c r="Z670" s="1583"/>
      <c r="AA670" s="145"/>
      <c r="AB670" s="145"/>
      <c r="AC670" s="145"/>
      <c r="AD670" s="145"/>
      <c r="AE670" s="145"/>
      <c r="AF670" s="145"/>
      <c r="AG670" s="145"/>
    </row>
    <row r="671" spans="1:44" s="377" customFormat="1" ht="12" customHeight="1">
      <c r="A671" s="145"/>
      <c r="P671" s="145"/>
      <c r="X671" s="145"/>
      <c r="Y671" s="145"/>
      <c r="Z671" s="1583"/>
      <c r="AA671" s="145"/>
      <c r="AB671" s="145"/>
      <c r="AC671" s="145"/>
      <c r="AD671" s="145"/>
      <c r="AE671" s="145"/>
      <c r="AF671" s="145"/>
      <c r="AG671" s="145"/>
    </row>
    <row r="672" spans="1:44" s="377" customFormat="1" ht="12" customHeight="1">
      <c r="A672" s="145"/>
      <c r="P672" s="145"/>
      <c r="X672" s="145"/>
      <c r="Y672" s="145"/>
      <c r="Z672" s="1583"/>
      <c r="AA672" s="145"/>
      <c r="AB672" s="145"/>
      <c r="AC672" s="145"/>
      <c r="AD672" s="145"/>
      <c r="AE672" s="145"/>
      <c r="AF672" s="145"/>
      <c r="AG672" s="145"/>
    </row>
    <row r="673" spans="1:33" s="377" customFormat="1" ht="12" customHeight="1">
      <c r="A673" s="145"/>
      <c r="P673" s="145"/>
      <c r="X673" s="145"/>
      <c r="Y673" s="145"/>
      <c r="Z673" s="1583"/>
      <c r="AA673" s="145"/>
      <c r="AB673" s="145"/>
      <c r="AC673" s="145"/>
      <c r="AD673" s="145"/>
      <c r="AE673" s="145"/>
      <c r="AF673" s="145"/>
      <c r="AG673" s="145"/>
    </row>
    <row r="674" spans="1:33" s="377" customFormat="1" ht="12" customHeight="1">
      <c r="A674" s="145"/>
      <c r="P674" s="145"/>
      <c r="X674" s="145"/>
      <c r="Y674" s="145"/>
      <c r="Z674" s="1583"/>
      <c r="AA674" s="145"/>
      <c r="AB674" s="145"/>
      <c r="AC674" s="145"/>
      <c r="AD674" s="145"/>
      <c r="AE674" s="145"/>
      <c r="AF674" s="145"/>
      <c r="AG674" s="145"/>
    </row>
    <row r="675" spans="1:33" s="377" customFormat="1" ht="12" customHeight="1">
      <c r="A675" s="145"/>
      <c r="P675" s="145"/>
      <c r="X675" s="145"/>
      <c r="Y675" s="145"/>
      <c r="Z675" s="1583"/>
      <c r="AA675" s="145"/>
      <c r="AB675" s="145"/>
      <c r="AC675" s="145"/>
      <c r="AD675" s="145"/>
      <c r="AE675" s="145"/>
      <c r="AF675" s="145"/>
      <c r="AG675" s="145"/>
    </row>
    <row r="676" spans="1:33" s="377" customFormat="1" ht="12" customHeight="1">
      <c r="A676" s="145"/>
      <c r="P676" s="145"/>
      <c r="X676" s="145"/>
      <c r="Y676" s="145"/>
      <c r="Z676" s="1583"/>
      <c r="AA676" s="145"/>
      <c r="AB676" s="145"/>
      <c r="AC676" s="145"/>
      <c r="AD676" s="145"/>
      <c r="AE676" s="145"/>
      <c r="AF676" s="145"/>
      <c r="AG676" s="145"/>
    </row>
    <row r="677" spans="1:33" s="377" customFormat="1" ht="12" customHeight="1">
      <c r="A677" s="145"/>
      <c r="P677" s="145"/>
      <c r="X677" s="145"/>
      <c r="Y677" s="145"/>
      <c r="Z677" s="1583"/>
      <c r="AA677" s="145"/>
      <c r="AB677" s="145"/>
      <c r="AC677" s="145"/>
      <c r="AD677" s="145"/>
      <c r="AE677" s="145"/>
      <c r="AF677" s="145"/>
      <c r="AG677" s="145"/>
    </row>
    <row r="678" spans="1:33" s="377" customFormat="1" ht="12" customHeight="1">
      <c r="A678" s="145"/>
      <c r="P678" s="145"/>
      <c r="X678" s="145"/>
      <c r="Y678" s="145"/>
      <c r="Z678" s="1583"/>
      <c r="AA678" s="145"/>
      <c r="AB678" s="145"/>
      <c r="AC678" s="145"/>
      <c r="AD678" s="145"/>
      <c r="AE678" s="145"/>
      <c r="AF678" s="145"/>
      <c r="AG678" s="145"/>
    </row>
    <row r="679" spans="1:33" s="377" customFormat="1" ht="12" customHeight="1">
      <c r="A679" s="145"/>
      <c r="P679" s="145"/>
      <c r="X679" s="145"/>
      <c r="Y679" s="145"/>
      <c r="Z679" s="1583"/>
      <c r="AA679" s="145"/>
      <c r="AB679" s="145"/>
      <c r="AC679" s="145"/>
      <c r="AD679" s="145"/>
      <c r="AE679" s="145"/>
      <c r="AF679" s="145"/>
      <c r="AG679" s="145"/>
    </row>
    <row r="680" spans="1:33" s="377" customFormat="1" ht="12" customHeight="1">
      <c r="A680" s="145"/>
      <c r="P680" s="145"/>
      <c r="X680" s="145"/>
      <c r="Y680" s="145"/>
      <c r="Z680" s="1583"/>
      <c r="AA680" s="145"/>
      <c r="AB680" s="145"/>
      <c r="AC680" s="145"/>
      <c r="AD680" s="145"/>
      <c r="AE680" s="145"/>
      <c r="AF680" s="145"/>
      <c r="AG680" s="145"/>
    </row>
    <row r="681" spans="1:33" s="377" customFormat="1" ht="12" customHeight="1">
      <c r="A681" s="145"/>
      <c r="P681" s="145"/>
      <c r="X681" s="145"/>
      <c r="Y681" s="145"/>
      <c r="Z681" s="1583"/>
      <c r="AA681" s="145"/>
      <c r="AB681" s="145"/>
      <c r="AC681" s="145"/>
      <c r="AD681" s="145"/>
      <c r="AE681" s="145"/>
      <c r="AF681" s="145"/>
      <c r="AG681" s="145"/>
    </row>
    <row r="682" spans="1:33" s="377" customFormat="1" ht="12" customHeight="1">
      <c r="A682" s="145"/>
      <c r="P682" s="145"/>
      <c r="X682" s="145"/>
      <c r="Y682" s="145"/>
      <c r="Z682" s="1583"/>
      <c r="AA682" s="145"/>
      <c r="AB682" s="145"/>
      <c r="AC682" s="145"/>
      <c r="AD682" s="145"/>
      <c r="AE682" s="145"/>
      <c r="AF682" s="145"/>
      <c r="AG682" s="145"/>
    </row>
    <row r="683" spans="1:33" s="377" customFormat="1" ht="12" customHeight="1">
      <c r="A683" s="145"/>
      <c r="P683" s="145"/>
      <c r="X683" s="145"/>
      <c r="Y683" s="145"/>
      <c r="Z683" s="1583"/>
      <c r="AA683" s="145"/>
      <c r="AB683" s="145"/>
      <c r="AC683" s="145"/>
      <c r="AD683" s="145"/>
      <c r="AE683" s="145"/>
      <c r="AF683" s="145"/>
      <c r="AG683" s="145"/>
    </row>
    <row r="684" spans="1:33" s="377" customFormat="1" ht="12" customHeight="1">
      <c r="B684" s="376"/>
      <c r="X684" s="145"/>
      <c r="Y684" s="145"/>
      <c r="Z684" s="1583"/>
      <c r="AA684" s="145"/>
      <c r="AB684" s="145"/>
      <c r="AC684" s="145"/>
      <c r="AD684" s="145"/>
      <c r="AE684" s="145"/>
      <c r="AF684" s="145"/>
      <c r="AG684" s="145"/>
    </row>
    <row r="685" spans="1:33" s="377" customFormat="1" ht="12" customHeight="1">
      <c r="B685" s="376"/>
      <c r="Z685" s="1583"/>
    </row>
    <row r="686" spans="1:33" s="377" customFormat="1" ht="12" customHeight="1">
      <c r="B686" s="376"/>
      <c r="Z686" s="1583"/>
    </row>
    <row r="687" spans="1:33" s="377" customFormat="1" ht="12" customHeight="1">
      <c r="B687" s="376"/>
      <c r="Z687" s="1583"/>
    </row>
    <row r="688" spans="1:33" s="377" customFormat="1" ht="12" customHeight="1">
      <c r="B688" s="376"/>
      <c r="Z688" s="1583"/>
    </row>
    <row r="689" spans="2:26" s="377" customFormat="1" ht="12" customHeight="1">
      <c r="B689" s="376"/>
      <c r="Z689" s="1583"/>
    </row>
    <row r="690" spans="2:26" s="377" customFormat="1" ht="12" customHeight="1">
      <c r="B690" s="376"/>
      <c r="Z690" s="1583"/>
    </row>
    <row r="691" spans="2:26" s="377" customFormat="1" ht="12" customHeight="1">
      <c r="B691" s="376"/>
      <c r="Z691" s="1583"/>
    </row>
    <row r="692" spans="2:26" s="377" customFormat="1" ht="12" customHeight="1">
      <c r="B692" s="376"/>
      <c r="Z692" s="1583"/>
    </row>
    <row r="693" spans="2:26" s="377" customFormat="1" ht="12" customHeight="1">
      <c r="B693" s="376"/>
      <c r="Z693" s="1583"/>
    </row>
    <row r="694" spans="2:26" s="377" customFormat="1" ht="12" customHeight="1">
      <c r="B694" s="376"/>
      <c r="Z694" s="1583"/>
    </row>
    <row r="695" spans="2:26" s="377" customFormat="1" ht="12" customHeight="1">
      <c r="B695" s="376"/>
      <c r="Z695" s="1583"/>
    </row>
    <row r="696" spans="2:26" s="377" customFormat="1" ht="12" customHeight="1">
      <c r="B696" s="376"/>
      <c r="Z696" s="1583"/>
    </row>
    <row r="697" spans="2:26" s="377" customFormat="1" ht="12" customHeight="1">
      <c r="B697" s="376"/>
      <c r="Z697" s="1583"/>
    </row>
    <row r="698" spans="2:26" s="377" customFormat="1" ht="12" customHeight="1">
      <c r="B698" s="376"/>
      <c r="Z698" s="1583"/>
    </row>
    <row r="699" spans="2:26" s="377" customFormat="1" ht="12" customHeight="1">
      <c r="B699" s="376"/>
      <c r="Z699" s="1583"/>
    </row>
    <row r="700" spans="2:26" s="377" customFormat="1" ht="12" customHeight="1">
      <c r="B700" s="376"/>
      <c r="Z700" s="1583"/>
    </row>
    <row r="701" spans="2:26" s="377" customFormat="1" ht="12" customHeight="1">
      <c r="B701" s="376"/>
      <c r="Z701" s="1583"/>
    </row>
    <row r="702" spans="2:26" s="377" customFormat="1" ht="12" customHeight="1">
      <c r="B702" s="376"/>
      <c r="Z702" s="1583"/>
    </row>
    <row r="703" spans="2:26" s="377" customFormat="1" ht="12" customHeight="1">
      <c r="B703" s="376"/>
      <c r="Z703" s="1583"/>
    </row>
    <row r="704" spans="2:26" s="377" customFormat="1" ht="12" customHeight="1">
      <c r="B704" s="376"/>
      <c r="Z704" s="1583"/>
    </row>
    <row r="705" spans="2:27" s="377" customFormat="1" ht="12" customHeight="1">
      <c r="B705" s="376"/>
      <c r="Z705" s="1583"/>
    </row>
    <row r="706" spans="2:27" s="377" customFormat="1" ht="12" customHeight="1">
      <c r="B706" s="376"/>
      <c r="Z706" s="1583"/>
    </row>
    <row r="707" spans="2:27" s="377" customFormat="1" ht="12" customHeight="1">
      <c r="B707" s="376"/>
      <c r="Z707" s="1583"/>
    </row>
    <row r="708" spans="2:27" s="377" customFormat="1" ht="12" customHeight="1">
      <c r="B708" s="376"/>
      <c r="Z708" s="1583"/>
    </row>
    <row r="709" spans="2:27" s="377" customFormat="1" ht="12" customHeight="1">
      <c r="B709" s="376"/>
      <c r="Z709" s="1583"/>
    </row>
    <row r="710" spans="2:27" s="377" customFormat="1" ht="12" customHeight="1">
      <c r="B710" s="376"/>
      <c r="Z710" s="1583"/>
    </row>
    <row r="711" spans="2:27" s="377" customFormat="1" ht="12" customHeight="1">
      <c r="B711" s="376"/>
      <c r="Z711" s="1583"/>
    </row>
    <row r="712" spans="2:27" s="377" customFormat="1" ht="12" customHeight="1">
      <c r="B712" s="376"/>
      <c r="N712" s="145"/>
      <c r="O712" s="145"/>
      <c r="Z712" s="158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FK5Rz8UEtxHdksfzoN5yazIxYCrn52GVu4WGUFZKID22Sjhbz/2WF3zF2qWihcRe8YidU739kYFAg9h3g2G1A==" saltValue="2Z19/Y7nvOTa1xxVZXpTC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2"/>
    <col min="2" max="2" width="7.6640625" style="512" customWidth="1"/>
    <col min="3" max="3" width="14.6640625" style="512" customWidth="1"/>
    <col min="4" max="4" width="20.33203125" style="512" customWidth="1"/>
    <col min="5" max="5" width="8" style="512" customWidth="1"/>
    <col min="6" max="6" width="5.33203125" style="512" customWidth="1"/>
    <col min="7" max="7" width="5.44140625" style="512" customWidth="1"/>
    <col min="8" max="8" width="8.5546875" style="512" customWidth="1"/>
    <col min="9" max="9" width="28.5546875" style="512" customWidth="1"/>
    <col min="10" max="10" width="4.33203125" style="512" hidden="1" customWidth="1"/>
    <col min="11" max="11" width="9.33203125" style="512"/>
    <col min="12" max="12" width="16.33203125" style="512" customWidth="1"/>
    <col min="13" max="13" width="11.33203125" style="512" customWidth="1"/>
    <col min="14" max="14" width="10.6640625" style="512" bestFit="1" customWidth="1"/>
    <col min="15" max="15" width="28.5546875" style="512" customWidth="1"/>
    <col min="16" max="16384" width="9.33203125" style="512"/>
  </cols>
  <sheetData>
    <row r="2" spans="1:10">
      <c r="A2" s="509" t="s">
        <v>2586</v>
      </c>
      <c r="B2" s="510"/>
      <c r="C2" s="510"/>
      <c r="D2" s="510"/>
      <c r="E2" s="511"/>
      <c r="F2" s="510"/>
      <c r="G2" s="510"/>
      <c r="H2" s="510"/>
      <c r="I2" s="510"/>
      <c r="J2" s="510"/>
    </row>
    <row r="3" spans="1:10">
      <c r="A3" s="513"/>
    </row>
    <row r="4" spans="1:10">
      <c r="A4" s="513" t="s">
        <v>2587</v>
      </c>
      <c r="D4" s="512" t="s">
        <v>2588</v>
      </c>
    </row>
    <row r="5" spans="1:10">
      <c r="A5" s="513"/>
    </row>
    <row r="6" spans="1:10">
      <c r="A6" s="513" t="s">
        <v>2589</v>
      </c>
      <c r="D6" s="512" t="s">
        <v>2590</v>
      </c>
    </row>
    <row r="7" spans="1:10">
      <c r="A7" s="513"/>
    </row>
    <row r="8" spans="1:10">
      <c r="A8" s="513" t="s">
        <v>2591</v>
      </c>
      <c r="D8" s="514" t="s">
        <v>2592</v>
      </c>
    </row>
    <row r="9" spans="1:10">
      <c r="A9" s="513"/>
    </row>
    <row r="10" spans="1:10">
      <c r="A10" s="513" t="s">
        <v>2593</v>
      </c>
      <c r="D10" s="514" t="s">
        <v>2594</v>
      </c>
    </row>
    <row r="11" spans="1:10">
      <c r="A11" s="513"/>
      <c r="D11" s="998"/>
    </row>
    <row r="12" spans="1:10">
      <c r="A12" s="513" t="s">
        <v>2595</v>
      </c>
      <c r="D12" s="512" t="s">
        <v>573</v>
      </c>
      <c r="F12" s="998" t="str">
        <f>'Sensitivity Analysis'!$C$8</f>
        <v>Retreat at Madison Place</v>
      </c>
    </row>
    <row r="13" spans="1:10">
      <c r="A13" s="513"/>
      <c r="D13" s="512" t="s">
        <v>2596</v>
      </c>
      <c r="F13" s="998" t="str">
        <f>'Sensitivity Analysis'!E8</f>
        <v>2025-0</v>
      </c>
    </row>
    <row r="14" spans="1:10">
      <c r="A14" s="513"/>
      <c r="D14" s="512" t="s">
        <v>2597</v>
      </c>
      <c r="F14" s="998" t="str">
        <f>'Sensitivity Analysis'!H8</f>
        <v>Decatur, DeKalb</v>
      </c>
    </row>
    <row r="15" spans="1:10">
      <c r="A15" s="513"/>
      <c r="D15" s="512" t="s">
        <v>2880</v>
      </c>
      <c r="F15" s="4779">
        <f>'Sensitivity Analysis'!$C$25</f>
        <v>13500000</v>
      </c>
      <c r="G15" s="4779"/>
      <c r="H15" s="4779"/>
    </row>
    <row r="16" spans="1:10">
      <c r="D16" s="515" t="s">
        <v>4912</v>
      </c>
      <c r="F16" s="2347">
        <f>'Sensitivity Analysis'!C13</f>
        <v>160</v>
      </c>
      <c r="G16" s="2345">
        <f>'Sensitivity Analysis'!E13</f>
        <v>160</v>
      </c>
      <c r="H16" s="2346">
        <f>ProrationMethodCostAllocatnDCA!$D$64</f>
        <v>0</v>
      </c>
    </row>
    <row r="17" spans="1:18">
      <c r="A17" s="515"/>
      <c r="D17" s="515" t="s">
        <v>2567</v>
      </c>
      <c r="F17" s="516" t="str">
        <f>'Sensitivity Analysis'!C14</f>
        <v>&lt;&lt; Select PROPOSED Tenancy &gt;&gt;</v>
      </c>
    </row>
    <row r="18" spans="1:18">
      <c r="A18" s="513"/>
      <c r="D18" s="515" t="s">
        <v>2884</v>
      </c>
      <c r="F18" s="998" t="str">
        <f>'Sensitivity Analysis'!H15</f>
        <v>Urban</v>
      </c>
    </row>
    <row r="19" spans="1:18">
      <c r="A19" s="513"/>
      <c r="D19" s="515" t="s">
        <v>2881</v>
      </c>
      <c r="F19" s="998">
        <f>'Sensitivity Analysis'!E16</f>
        <v>0</v>
      </c>
    </row>
    <row r="20" spans="1:18">
      <c r="A20" s="513"/>
      <c r="D20" s="515"/>
    </row>
    <row r="21" spans="1:18">
      <c r="A21" s="518" t="s">
        <v>4049</v>
      </c>
    </row>
    <row r="22" spans="1:18" ht="111.75" customHeight="1">
      <c r="A22" s="4771" t="s">
        <v>3012</v>
      </c>
      <c r="B22" s="4771"/>
      <c r="C22" s="4771"/>
      <c r="D22" s="4771"/>
      <c r="E22" s="4771"/>
      <c r="F22" s="4771"/>
      <c r="G22" s="4771"/>
      <c r="H22" s="4771"/>
      <c r="I22" s="4771"/>
      <c r="J22" s="4771"/>
      <c r="K22" s="4770" t="s">
        <v>3772</v>
      </c>
      <c r="L22" s="4770"/>
      <c r="M22" s="4770"/>
      <c r="N22" s="4770"/>
      <c r="O22" s="1189"/>
      <c r="P22" s="1189"/>
      <c r="Q22" s="1189"/>
      <c r="R22" s="1189"/>
    </row>
    <row r="23" spans="1:18" ht="0.75" hidden="1" customHeight="1">
      <c r="A23" s="1182"/>
      <c r="B23" s="1182"/>
      <c r="C23" s="1182"/>
      <c r="D23" s="1182"/>
      <c r="E23" s="1182"/>
      <c r="F23" s="1182"/>
      <c r="G23" s="1182"/>
      <c r="H23" s="1182"/>
      <c r="I23" s="1182"/>
      <c r="J23" s="1182"/>
    </row>
    <row r="24" spans="1:18" ht="9.75" hidden="1" customHeight="1">
      <c r="A24" s="4772"/>
      <c r="B24" s="4772"/>
      <c r="C24" s="4772"/>
      <c r="D24" s="4772"/>
      <c r="E24" s="4772"/>
      <c r="F24" s="4772"/>
      <c r="G24" s="4772"/>
      <c r="H24" s="4772"/>
      <c r="I24" s="4772"/>
      <c r="J24" s="4772"/>
    </row>
    <row r="25" spans="1:18" ht="10.5" hidden="1" customHeight="1">
      <c r="A25" s="4769"/>
      <c r="B25" s="4769"/>
      <c r="C25" s="4769"/>
      <c r="D25" s="4769"/>
      <c r="E25" s="4769"/>
      <c r="F25" s="4769"/>
      <c r="G25" s="4769"/>
      <c r="H25" s="4769"/>
      <c r="I25" s="4769"/>
      <c r="J25" s="4769"/>
    </row>
    <row r="26" spans="1:18">
      <c r="A26" s="518" t="s">
        <v>4048</v>
      </c>
    </row>
    <row r="27" spans="1:18" ht="14.25" customHeight="1">
      <c r="A27" s="4773" t="s">
        <v>4050</v>
      </c>
      <c r="B27" s="4773"/>
      <c r="C27" s="4773"/>
      <c r="D27" s="4773"/>
      <c r="E27" s="4773"/>
      <c r="F27" s="4773"/>
      <c r="G27" s="4773"/>
      <c r="H27" s="4773"/>
      <c r="I27" s="4773"/>
      <c r="J27" s="4773"/>
    </row>
    <row r="28" spans="1:18" ht="14.25" customHeight="1">
      <c r="A28" s="4773"/>
      <c r="B28" s="4773"/>
      <c r="C28" s="4773"/>
      <c r="D28" s="4773"/>
      <c r="E28" s="4773"/>
      <c r="F28" s="4773"/>
      <c r="G28" s="4773"/>
      <c r="H28" s="4773"/>
      <c r="I28" s="4773"/>
      <c r="J28" s="4773"/>
    </row>
    <row r="29" spans="1:18" ht="6.75" customHeight="1">
      <c r="A29" s="4773"/>
      <c r="B29" s="4773"/>
      <c r="C29" s="4773"/>
      <c r="D29" s="4773"/>
      <c r="E29" s="4773"/>
      <c r="F29" s="4773"/>
      <c r="G29" s="4773"/>
      <c r="H29" s="4773"/>
      <c r="I29" s="4773"/>
      <c r="J29" s="4773"/>
    </row>
    <row r="30" spans="1:18" ht="21.75" customHeight="1">
      <c r="A30" s="4773"/>
      <c r="B30" s="4773"/>
      <c r="C30" s="4773"/>
      <c r="D30" s="4773"/>
      <c r="E30" s="4773"/>
      <c r="F30" s="4773"/>
      <c r="G30" s="4773"/>
      <c r="H30" s="4773"/>
      <c r="I30" s="4773"/>
      <c r="J30" s="4773"/>
    </row>
    <row r="31" spans="1:18" ht="20.25" customHeight="1">
      <c r="A31" s="4773"/>
      <c r="B31" s="4773"/>
      <c r="C31" s="4773"/>
      <c r="D31" s="4773"/>
      <c r="E31" s="4773"/>
      <c r="F31" s="4773"/>
      <c r="G31" s="4773"/>
      <c r="H31" s="4773"/>
      <c r="I31" s="4773"/>
      <c r="J31" s="4773"/>
    </row>
    <row r="32" spans="1:18" ht="54.75" customHeight="1">
      <c r="A32" s="4773"/>
      <c r="B32" s="4773"/>
      <c r="C32" s="4773"/>
      <c r="D32" s="4773"/>
      <c r="E32" s="4773"/>
      <c r="F32" s="4773"/>
      <c r="G32" s="4773"/>
      <c r="H32" s="4773"/>
      <c r="I32" s="4773"/>
      <c r="J32" s="4773"/>
    </row>
    <row r="33" spans="1:10" ht="0.75" hidden="1" customHeight="1">
      <c r="A33" s="4773"/>
      <c r="B33" s="4773"/>
      <c r="C33" s="4773"/>
      <c r="D33" s="4773"/>
      <c r="E33" s="4773"/>
      <c r="F33" s="4773"/>
      <c r="G33" s="4773"/>
      <c r="H33" s="4773"/>
      <c r="I33" s="4773"/>
      <c r="J33" s="4773"/>
    </row>
    <row r="34" spans="1:10" ht="3.75" hidden="1" customHeight="1">
      <c r="A34" s="4773"/>
      <c r="B34" s="4773"/>
      <c r="C34" s="4773"/>
      <c r="D34" s="4773"/>
      <c r="E34" s="4773"/>
      <c r="F34" s="4773"/>
      <c r="G34" s="4773"/>
      <c r="H34" s="4773"/>
      <c r="I34" s="4773"/>
      <c r="J34" s="4773"/>
    </row>
    <row r="35" spans="1:10" ht="5.25" customHeight="1">
      <c r="A35" s="1184"/>
      <c r="B35" s="1184"/>
      <c r="C35" s="1184"/>
      <c r="D35" s="1184"/>
      <c r="E35" s="1184"/>
      <c r="F35" s="1184"/>
      <c r="G35" s="1184"/>
      <c r="H35" s="1184"/>
      <c r="I35" s="1184"/>
      <c r="J35" s="1184"/>
    </row>
    <row r="36" spans="1:10" ht="19.5" customHeight="1">
      <c r="A36" s="4772" t="s">
        <v>4051</v>
      </c>
      <c r="B36" s="4772"/>
      <c r="C36" s="4772"/>
      <c r="D36" s="1182"/>
      <c r="E36" s="1182"/>
      <c r="F36" s="1182"/>
      <c r="G36" s="1182"/>
      <c r="H36" s="1182"/>
      <c r="I36" s="1182"/>
      <c r="J36" s="1182"/>
    </row>
    <row r="37" spans="1:10" ht="22.5" customHeight="1">
      <c r="A37" s="4769" t="s">
        <v>1611</v>
      </c>
      <c r="B37" s="4769"/>
      <c r="C37" s="4769"/>
      <c r="D37" s="4769"/>
      <c r="E37" s="4769"/>
      <c r="F37" s="4769"/>
      <c r="G37" s="4769"/>
      <c r="H37" s="4769"/>
      <c r="I37" s="4769"/>
      <c r="J37" s="4769"/>
    </row>
    <row r="38" spans="1:10" ht="22.5" customHeight="1">
      <c r="A38" s="4769" t="s">
        <v>1612</v>
      </c>
      <c r="B38" s="4769"/>
      <c r="C38" s="4769"/>
      <c r="D38" s="4769"/>
      <c r="E38" s="4769"/>
      <c r="F38" s="4769"/>
      <c r="G38" s="4769"/>
      <c r="H38" s="4769"/>
      <c r="I38" s="4769"/>
      <c r="J38" s="4769"/>
    </row>
    <row r="39" spans="1:10" ht="22.5" customHeight="1">
      <c r="A39" s="4769" t="s">
        <v>1613</v>
      </c>
      <c r="B39" s="4769"/>
      <c r="C39" s="4769"/>
      <c r="D39" s="4769"/>
      <c r="E39" s="4769"/>
      <c r="F39" s="4769"/>
      <c r="G39" s="4769"/>
      <c r="H39" s="4769"/>
      <c r="I39" s="4769"/>
      <c r="J39" s="4769"/>
    </row>
    <row r="40" spans="1:10" ht="22.5" customHeight="1">
      <c r="A40" s="4769" t="s">
        <v>2175</v>
      </c>
      <c r="B40" s="4769"/>
      <c r="C40" s="4769"/>
      <c r="D40" s="4769"/>
      <c r="E40" s="4769"/>
      <c r="F40" s="4769"/>
      <c r="G40" s="4769"/>
      <c r="H40" s="4769"/>
      <c r="I40" s="4769"/>
      <c r="J40" s="4769"/>
    </row>
    <row r="41" spans="1:10" ht="22.5" customHeight="1">
      <c r="A41" s="4769" t="s">
        <v>1446</v>
      </c>
      <c r="B41" s="4769"/>
      <c r="C41" s="4769"/>
      <c r="D41" s="4769"/>
      <c r="E41" s="4769"/>
      <c r="F41" s="4769"/>
      <c r="G41" s="4769"/>
      <c r="H41" s="4769"/>
      <c r="I41" s="4769"/>
      <c r="J41" s="4769"/>
    </row>
    <row r="42" spans="1:10" ht="22.5" customHeight="1">
      <c r="A42" s="4769" t="s">
        <v>1447</v>
      </c>
      <c r="B42" s="4769"/>
      <c r="C42" s="4769"/>
      <c r="D42" s="4769"/>
      <c r="E42" s="4769"/>
      <c r="F42" s="4769"/>
      <c r="G42" s="4769"/>
      <c r="H42" s="4769"/>
      <c r="I42" s="4769"/>
      <c r="J42" s="4769"/>
    </row>
    <row r="43" spans="1:10" ht="22.5" customHeight="1">
      <c r="A43" s="4769" t="s">
        <v>93</v>
      </c>
      <c r="B43" s="4769"/>
      <c r="C43" s="4769"/>
      <c r="D43" s="4769"/>
      <c r="E43" s="4769"/>
      <c r="F43" s="4769"/>
      <c r="G43" s="4769"/>
      <c r="H43" s="4769"/>
      <c r="I43" s="4769"/>
      <c r="J43" s="4769"/>
    </row>
    <row r="44" spans="1:10" ht="22.5" customHeight="1">
      <c r="A44" s="4769" t="s">
        <v>480</v>
      </c>
      <c r="B44" s="4769"/>
      <c r="C44" s="4769"/>
      <c r="D44" s="4769"/>
      <c r="E44" s="4769"/>
      <c r="F44" s="4769"/>
      <c r="G44" s="4769"/>
      <c r="H44" s="4769"/>
      <c r="I44" s="4769"/>
      <c r="J44" s="4769"/>
    </row>
    <row r="45" spans="1:10" ht="2.25" customHeight="1">
      <c r="A45" s="1182"/>
      <c r="B45" s="1182"/>
      <c r="C45" s="1182"/>
      <c r="D45" s="1182"/>
      <c r="E45" s="1182"/>
      <c r="F45" s="1182"/>
      <c r="G45" s="1182"/>
      <c r="H45" s="1182"/>
      <c r="I45" s="1182"/>
      <c r="J45" s="1182"/>
    </row>
    <row r="46" spans="1:10">
      <c r="A46" s="518" t="s">
        <v>2598</v>
      </c>
    </row>
    <row r="47" spans="1:10" ht="135" customHeight="1">
      <c r="A47" s="4769" t="s">
        <v>4913</v>
      </c>
      <c r="B47" s="4769"/>
      <c r="C47" s="4769"/>
      <c r="D47" s="4769"/>
      <c r="E47" s="4769"/>
      <c r="F47" s="4769"/>
      <c r="G47" s="4769"/>
      <c r="H47" s="4769"/>
      <c r="I47" s="4769"/>
      <c r="J47" s="4769"/>
    </row>
    <row r="48" spans="1:10" ht="6" customHeight="1">
      <c r="A48" s="1183"/>
      <c r="B48" s="1183"/>
      <c r="C48" s="1183"/>
      <c r="D48" s="1183"/>
      <c r="E48" s="1183"/>
      <c r="F48" s="1183"/>
      <c r="G48" s="1183"/>
      <c r="H48" s="1183"/>
      <c r="I48" s="1183"/>
      <c r="J48" s="1183"/>
    </row>
    <row r="49" spans="1:12">
      <c r="A49" s="518" t="s">
        <v>2599</v>
      </c>
    </row>
    <row r="50" spans="1:12" ht="33" customHeight="1">
      <c r="A50" s="4765" t="s">
        <v>3361</v>
      </c>
      <c r="B50" s="4767"/>
      <c r="C50" s="4767"/>
      <c r="D50" s="4767"/>
      <c r="E50" s="4767"/>
      <c r="F50" s="4767"/>
      <c r="G50" s="4767"/>
      <c r="H50" s="4767"/>
      <c r="I50" s="4767"/>
      <c r="J50" s="4765"/>
    </row>
    <row r="51" spans="1:12" ht="3" customHeight="1"/>
    <row r="52" spans="1:12" ht="72.75" customHeight="1">
      <c r="A52" s="4765" t="s">
        <v>3362</v>
      </c>
      <c r="B52" s="4765"/>
      <c r="C52" s="4765"/>
      <c r="D52" s="4765"/>
      <c r="E52" s="4765"/>
      <c r="F52" s="4765"/>
      <c r="G52" s="4765"/>
      <c r="H52" s="4765"/>
      <c r="I52" s="4765"/>
      <c r="J52" s="4765"/>
    </row>
    <row r="53" spans="1:12" ht="3" customHeight="1">
      <c r="A53" s="1182"/>
      <c r="B53" s="1182"/>
      <c r="C53" s="1182"/>
      <c r="D53" s="1182"/>
      <c r="E53" s="1182"/>
      <c r="F53" s="1182"/>
      <c r="G53" s="1182"/>
      <c r="H53" s="1182"/>
      <c r="I53" s="1182"/>
      <c r="J53" s="1182"/>
    </row>
    <row r="54" spans="1:12" ht="56.25" customHeight="1">
      <c r="A54" s="4765" t="s">
        <v>3363</v>
      </c>
      <c r="B54" s="4765"/>
      <c r="C54" s="4765"/>
      <c r="D54" s="4765"/>
      <c r="E54" s="4765"/>
      <c r="F54" s="4765"/>
      <c r="G54" s="4765"/>
      <c r="H54" s="4765"/>
      <c r="I54" s="4765"/>
      <c r="J54" s="4765"/>
    </row>
    <row r="55" spans="1:12" ht="3" customHeight="1">
      <c r="A55" s="1182"/>
      <c r="B55" s="1182"/>
      <c r="C55" s="1182"/>
      <c r="D55" s="1182"/>
      <c r="E55" s="1182"/>
      <c r="F55" s="1182"/>
      <c r="G55" s="1182"/>
      <c r="H55" s="1182"/>
      <c r="I55" s="1182"/>
      <c r="J55" s="1182"/>
    </row>
    <row r="56" spans="1:12" ht="49.5" customHeight="1">
      <c r="A56" s="4765" t="s">
        <v>3364</v>
      </c>
      <c r="B56" s="4765"/>
      <c r="C56" s="4765"/>
      <c r="D56" s="4765"/>
      <c r="E56" s="4765"/>
      <c r="F56" s="4765"/>
      <c r="G56" s="4765"/>
      <c r="H56" s="4765"/>
      <c r="I56" s="4765"/>
      <c r="J56" s="1182"/>
    </row>
    <row r="57" spans="1:12" ht="3" customHeight="1">
      <c r="A57" s="1182"/>
      <c r="B57" s="1182"/>
      <c r="C57" s="1182"/>
      <c r="D57" s="1182"/>
      <c r="E57" s="1182"/>
      <c r="F57" s="1182"/>
      <c r="G57" s="1182"/>
      <c r="H57" s="1182"/>
      <c r="I57" s="1182"/>
      <c r="J57" s="1182"/>
    </row>
    <row r="58" spans="1:12" ht="54.75" customHeight="1">
      <c r="A58" s="4784" t="s">
        <v>2888</v>
      </c>
      <c r="B58" s="4765"/>
      <c r="C58" s="4765"/>
      <c r="D58" s="4765"/>
      <c r="E58" s="4765"/>
      <c r="F58" s="4765"/>
      <c r="G58" s="4765"/>
      <c r="H58" s="4765"/>
      <c r="I58" s="4765"/>
      <c r="J58" s="1182"/>
    </row>
    <row r="59" spans="1:12" ht="3" customHeight="1">
      <c r="A59" s="1182"/>
      <c r="B59" s="1182"/>
      <c r="C59" s="1182"/>
      <c r="D59" s="1182"/>
      <c r="E59" s="1182"/>
      <c r="F59" s="1182"/>
      <c r="G59" s="1182"/>
      <c r="H59" s="1182"/>
      <c r="I59" s="1182"/>
      <c r="J59" s="1182"/>
    </row>
    <row r="60" spans="1:12" ht="62.25" customHeight="1">
      <c r="A60" s="4765" t="s">
        <v>3365</v>
      </c>
      <c r="B60" s="4765"/>
      <c r="C60" s="4765"/>
      <c r="D60" s="4765"/>
      <c r="E60" s="4765"/>
      <c r="F60" s="4765"/>
      <c r="G60" s="4765"/>
      <c r="H60" s="4765"/>
      <c r="I60" s="4765"/>
      <c r="J60" s="4765"/>
    </row>
    <row r="61" spans="1:12" ht="3" customHeight="1"/>
    <row r="62" spans="1:12" ht="73.5" customHeight="1">
      <c r="A62" s="4765" t="s">
        <v>3366</v>
      </c>
      <c r="B62" s="4765"/>
      <c r="C62" s="4765"/>
      <c r="D62" s="4765"/>
      <c r="E62" s="4765"/>
      <c r="F62" s="4765"/>
      <c r="G62" s="4765"/>
      <c r="H62" s="4765"/>
      <c r="I62" s="4765"/>
      <c r="J62" s="4765"/>
    </row>
    <row r="63" spans="1:12" ht="6" customHeight="1">
      <c r="A63" s="1182" t="s">
        <v>233</v>
      </c>
      <c r="B63" s="1182"/>
      <c r="C63" s="1182"/>
      <c r="D63" s="1182"/>
      <c r="E63" s="1182"/>
      <c r="F63" s="1182"/>
      <c r="G63" s="1182"/>
      <c r="H63" s="1182"/>
      <c r="I63" s="1182"/>
      <c r="J63" s="1182"/>
    </row>
    <row r="64" spans="1:12">
      <c r="A64" s="518" t="s">
        <v>2600</v>
      </c>
      <c r="L64" s="519" t="s">
        <v>3004</v>
      </c>
    </row>
    <row r="65" spans="1:17" ht="46.5" customHeight="1">
      <c r="A65" s="4771" t="s">
        <v>2601</v>
      </c>
      <c r="B65" s="4771"/>
      <c r="C65" s="4771"/>
      <c r="D65" s="4771"/>
      <c r="E65" s="4771"/>
      <c r="F65" s="4771"/>
      <c r="G65" s="4771"/>
      <c r="H65" s="4771"/>
      <c r="I65" s="4771"/>
      <c r="J65" s="4771"/>
      <c r="L65" s="520">
        <f>'Closing term sheet'!C135</f>
        <v>1249166.5</v>
      </c>
      <c r="M65" s="521"/>
      <c r="N65" s="521"/>
      <c r="O65" s="521"/>
    </row>
    <row r="66" spans="1:17" ht="7.5" customHeight="1">
      <c r="A66" s="1182"/>
      <c r="B66" s="1182"/>
      <c r="C66" s="1182"/>
      <c r="D66" s="1182"/>
      <c r="E66" s="1182"/>
      <c r="F66" s="1182"/>
      <c r="G66" s="1182"/>
      <c r="H66" s="1182"/>
      <c r="I66" s="1182"/>
      <c r="J66" s="1182"/>
      <c r="L66" s="522" t="s">
        <v>3005</v>
      </c>
      <c r="M66" s="523" t="s">
        <v>3010</v>
      </c>
      <c r="N66" s="524" t="s">
        <v>3007</v>
      </c>
      <c r="O66" s="522" t="s">
        <v>3006</v>
      </c>
      <c r="P66" s="523" t="s">
        <v>3009</v>
      </c>
      <c r="Q66" s="524" t="s">
        <v>3008</v>
      </c>
    </row>
    <row r="67" spans="1:17" ht="78.75" customHeight="1">
      <c r="A67" s="476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12066047.4 via the syndication of the 2024 Federal LIHTC allocation of 1386902 per annum. will make a capital contribution totaling 7350580.6 via the syndication of the 2024 State LIHTC allocation of 1386902 per annum.</v>
      </c>
      <c r="B67" s="4765"/>
      <c r="C67" s="4765"/>
      <c r="D67" s="4765"/>
      <c r="E67" s="4765"/>
      <c r="F67" s="4765"/>
      <c r="G67" s="4765"/>
      <c r="H67" s="4765"/>
      <c r="I67" s="4765"/>
      <c r="J67" s="525"/>
      <c r="L67" s="2348">
        <f>'Part II-Sources of Funds'!I53</f>
        <v>12066047.4</v>
      </c>
      <c r="M67" s="2349">
        <f>'Part III-A-Uses of Funds'!$J$192</f>
        <v>1386902</v>
      </c>
      <c r="N67" s="2350">
        <f>'Part III-A-Uses of Funds'!N183</f>
        <v>0.87</v>
      </c>
      <c r="O67" s="2348">
        <f>'Part II-Sources of Funds'!I54</f>
        <v>7350580.5999999996</v>
      </c>
      <c r="P67" s="2349">
        <f>M67</f>
        <v>1386902</v>
      </c>
      <c r="Q67" s="2350">
        <f>'Part III-A-Uses of Funds'!Q183</f>
        <v>0.53</v>
      </c>
    </row>
    <row r="68" spans="1:17" ht="39.75" customHeight="1">
      <c r="A68" s="476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 (0.87 Federal tax credit and 0.53 State tax credit) for a (X%) ownership interest of the Federal Credits and a (X%) ownership interest of the State Credits. </v>
      </c>
      <c r="B68" s="4769"/>
      <c r="C68" s="4769"/>
      <c r="D68" s="4769"/>
      <c r="E68" s="4769"/>
      <c r="F68" s="4769"/>
      <c r="G68" s="4769"/>
      <c r="H68" s="4769"/>
      <c r="I68" s="4769"/>
      <c r="J68" s="525"/>
      <c r="L68" s="1458"/>
      <c r="M68" s="1458"/>
      <c r="N68" s="621"/>
      <c r="O68" s="1458"/>
      <c r="P68" s="1458"/>
      <c r="Q68" s="621"/>
    </row>
    <row r="69" spans="1:17" ht="18.75" customHeight="1">
      <c r="A69" s="526" t="s">
        <v>2602</v>
      </c>
    </row>
    <row r="70" spans="1:17" ht="177" customHeight="1">
      <c r="A70" s="4765" t="s">
        <v>4914</v>
      </c>
      <c r="B70" s="4765"/>
      <c r="C70" s="4765"/>
      <c r="D70" s="4765"/>
      <c r="E70" s="4765"/>
      <c r="F70" s="4765"/>
      <c r="G70" s="4765"/>
      <c r="H70" s="4765"/>
      <c r="I70" s="4765"/>
      <c r="J70" s="4765"/>
      <c r="L70" s="527">
        <f>'Part VI-Pro Forma'!K72</f>
        <v>10391768.303108629</v>
      </c>
      <c r="M70" s="4778" t="s">
        <v>3011</v>
      </c>
      <c r="N70" s="4770"/>
    </row>
    <row r="71" spans="1:17" ht="6" customHeight="1">
      <c r="A71" s="518"/>
    </row>
    <row r="72" spans="1:17">
      <c r="A72" s="518" t="s">
        <v>2603</v>
      </c>
    </row>
    <row r="73" spans="1:17" ht="72.599999999999994" customHeight="1">
      <c r="A73" s="4765" t="s">
        <v>2604</v>
      </c>
      <c r="B73" s="4765"/>
      <c r="C73" s="4765"/>
      <c r="D73" s="4765"/>
      <c r="E73" s="4765"/>
      <c r="F73" s="4765"/>
      <c r="G73" s="4765"/>
      <c r="H73" s="4765"/>
      <c r="I73" s="4765"/>
      <c r="J73" s="4765"/>
    </row>
    <row r="74" spans="1:17" ht="36" customHeight="1">
      <c r="A74" s="4765" t="s">
        <v>2605</v>
      </c>
      <c r="B74" s="4765"/>
      <c r="C74" s="4765"/>
      <c r="D74" s="4765"/>
      <c r="E74" s="4765"/>
      <c r="F74" s="4765"/>
      <c r="G74" s="4765"/>
      <c r="H74" s="4765"/>
      <c r="I74" s="4765"/>
      <c r="J74" s="4765"/>
    </row>
    <row r="75" spans="1:17" ht="6" customHeight="1">
      <c r="A75" s="518"/>
    </row>
    <row r="76" spans="1:17">
      <c r="A76" s="518" t="s">
        <v>2606</v>
      </c>
    </row>
    <row r="77" spans="1:17" ht="105.75" customHeight="1">
      <c r="A77" s="4765" t="s">
        <v>2607</v>
      </c>
      <c r="B77" s="4765"/>
      <c r="C77" s="4765"/>
      <c r="D77" s="4765"/>
      <c r="E77" s="4765"/>
      <c r="F77" s="4765"/>
      <c r="G77" s="4765"/>
      <c r="H77" s="4765"/>
      <c r="I77" s="4765"/>
      <c r="J77" s="4765"/>
    </row>
    <row r="78" spans="1:17" ht="6" customHeight="1">
      <c r="A78" s="518"/>
    </row>
    <row r="79" spans="1:17">
      <c r="A79" s="518" t="s">
        <v>2608</v>
      </c>
    </row>
    <row r="80" spans="1:17" ht="66" customHeight="1">
      <c r="A80" s="4765" t="s">
        <v>2609</v>
      </c>
      <c r="B80" s="4765"/>
      <c r="C80" s="4765"/>
      <c r="D80" s="4765"/>
      <c r="E80" s="4765"/>
      <c r="F80" s="4765"/>
      <c r="G80" s="4765"/>
      <c r="H80" s="4765"/>
      <c r="I80" s="4765"/>
      <c r="J80" s="4765"/>
    </row>
    <row r="81" spans="1:15" s="1184" customFormat="1" ht="6" customHeight="1">
      <c r="A81" s="4765"/>
      <c r="B81" s="4765"/>
      <c r="C81" s="4765"/>
      <c r="D81" s="4765"/>
      <c r="E81" s="4765"/>
      <c r="F81" s="4765"/>
      <c r="G81" s="4765"/>
      <c r="H81" s="4765"/>
      <c r="I81" s="4765"/>
      <c r="J81" s="4765"/>
    </row>
    <row r="82" spans="1:15" ht="16.5" customHeight="1">
      <c r="A82" s="1185" t="s">
        <v>2610</v>
      </c>
      <c r="B82" s="517"/>
      <c r="C82" s="517"/>
      <c r="D82" s="998"/>
      <c r="E82" s="517"/>
      <c r="F82" s="517"/>
      <c r="G82" s="517"/>
      <c r="H82" s="517"/>
      <c r="I82" s="517"/>
      <c r="J82" s="528"/>
    </row>
    <row r="83" spans="1:15" s="1184" customFormat="1" ht="63" customHeight="1">
      <c r="A83" s="4765" t="s">
        <v>3537</v>
      </c>
      <c r="B83" s="4765"/>
      <c r="C83" s="4765"/>
      <c r="D83" s="4765"/>
      <c r="E83" s="4765"/>
      <c r="F83" s="4765"/>
      <c r="G83" s="4765"/>
      <c r="H83" s="4765"/>
      <c r="I83" s="4765"/>
      <c r="J83" s="4765"/>
    </row>
    <row r="84" spans="1:15" s="1184" customFormat="1" ht="6" customHeight="1">
      <c r="A84" s="1182"/>
      <c r="B84" s="1182"/>
      <c r="C84" s="1182"/>
      <c r="D84" s="1182"/>
      <c r="E84" s="1182"/>
      <c r="F84" s="1182"/>
      <c r="G84" s="1182"/>
      <c r="H84" s="1182"/>
      <c r="I84" s="1182"/>
      <c r="J84" s="1182"/>
    </row>
    <row r="85" spans="1:15" ht="16.5" customHeight="1">
      <c r="A85" s="4775" t="s">
        <v>2611</v>
      </c>
      <c r="B85" s="4776"/>
      <c r="C85" s="4776"/>
      <c r="D85" s="517"/>
      <c r="E85" s="517"/>
      <c r="F85" s="517"/>
      <c r="G85" s="517"/>
      <c r="H85" s="517"/>
      <c r="I85" s="517"/>
      <c r="J85" s="528"/>
    </row>
    <row r="86" spans="1:15" ht="41.25" customHeight="1">
      <c r="A86" s="4765" t="s">
        <v>4915</v>
      </c>
      <c r="B86" s="4777"/>
      <c r="C86" s="4777"/>
      <c r="D86" s="4777"/>
      <c r="E86" s="4777"/>
      <c r="F86" s="4777"/>
      <c r="G86" s="4777"/>
      <c r="H86" s="4777"/>
      <c r="I86" s="4777"/>
      <c r="J86" s="4777"/>
    </row>
    <row r="87" spans="1:15" ht="6" customHeight="1">
      <c r="A87" s="529"/>
      <c r="B87" s="517"/>
      <c r="C87" s="517"/>
      <c r="D87" s="517"/>
      <c r="E87" s="517"/>
      <c r="F87" s="517"/>
      <c r="G87" s="517"/>
      <c r="H87" s="517"/>
      <c r="I87" s="517"/>
      <c r="J87" s="528"/>
    </row>
    <row r="88" spans="1:15">
      <c r="A88" s="518" t="s">
        <v>2612</v>
      </c>
    </row>
    <row r="89" spans="1:15" ht="124.2" customHeight="1">
      <c r="A89" s="4765" t="s">
        <v>2613</v>
      </c>
      <c r="B89" s="4765"/>
      <c r="C89" s="4765"/>
      <c r="D89" s="4765"/>
      <c r="E89" s="4765"/>
      <c r="F89" s="4765"/>
      <c r="G89" s="4765"/>
      <c r="H89" s="4765"/>
      <c r="I89" s="4765"/>
      <c r="J89" s="4765"/>
      <c r="L89" s="4770" t="s">
        <v>2614</v>
      </c>
      <c r="M89" s="4770"/>
      <c r="N89" s="4770"/>
    </row>
    <row r="90" spans="1:15" ht="6" customHeight="1">
      <c r="A90" s="1182"/>
      <c r="B90" s="1182"/>
      <c r="C90" s="1182"/>
      <c r="D90" s="1182"/>
      <c r="E90" s="1182"/>
      <c r="F90" s="1182"/>
      <c r="G90" s="1182"/>
      <c r="H90" s="1182"/>
      <c r="I90" s="1182"/>
      <c r="J90" s="1182"/>
      <c r="L90" s="1186"/>
      <c r="M90" s="1186"/>
      <c r="N90" s="1186"/>
    </row>
    <row r="91" spans="1:15" ht="17.25" customHeight="1">
      <c r="A91" s="518" t="s">
        <v>2615</v>
      </c>
    </row>
    <row r="92" spans="1:15" ht="105" customHeight="1">
      <c r="A92" s="4765" t="s">
        <v>2616</v>
      </c>
      <c r="B92" s="4765"/>
      <c r="C92" s="4765"/>
      <c r="D92" s="4765"/>
      <c r="E92" s="4765"/>
      <c r="F92" s="4765"/>
      <c r="G92" s="4765"/>
      <c r="H92" s="4765"/>
      <c r="I92" s="4765"/>
      <c r="J92" s="4765"/>
      <c r="L92" s="4770" t="s">
        <v>2617</v>
      </c>
      <c r="M92" s="4770"/>
      <c r="N92" s="530" t="e">
        <f>'After-Tax Analysis'!G66</f>
        <v>#VALUE!</v>
      </c>
      <c r="O92" s="531" t="s">
        <v>2618</v>
      </c>
    </row>
    <row r="93" spans="1:15" ht="6" customHeight="1">
      <c r="A93" s="518"/>
    </row>
    <row r="94" spans="1:15">
      <c r="A94" s="518" t="s">
        <v>2619</v>
      </c>
    </row>
    <row r="95" spans="1:15" ht="118.5" customHeight="1">
      <c r="A95" s="4765" t="s">
        <v>2620</v>
      </c>
      <c r="B95" s="4765"/>
      <c r="C95" s="4765"/>
      <c r="D95" s="4765"/>
      <c r="E95" s="4765"/>
      <c r="F95" s="4765"/>
      <c r="G95" s="4765"/>
      <c r="H95" s="4765"/>
      <c r="I95" s="4765"/>
      <c r="J95" s="4765"/>
    </row>
    <row r="96" spans="1:15" ht="20.25" customHeight="1">
      <c r="A96" s="4767" t="s">
        <v>2621</v>
      </c>
      <c r="B96" s="4767"/>
      <c r="C96" s="4767"/>
      <c r="D96" s="4765"/>
      <c r="E96" s="1182"/>
      <c r="F96" s="1182"/>
      <c r="G96" s="1182"/>
      <c r="H96" s="1182"/>
      <c r="I96" s="1182"/>
      <c r="J96" s="1182"/>
    </row>
    <row r="97" spans="1:14" ht="109.5" customHeight="1">
      <c r="A97" s="4782" t="s">
        <v>2622</v>
      </c>
      <c r="B97" s="4783"/>
      <c r="C97" s="4783"/>
      <c r="D97" s="4783"/>
      <c r="E97" s="4783"/>
      <c r="F97" s="4783"/>
      <c r="G97" s="4783"/>
      <c r="H97" s="4783"/>
      <c r="I97" s="4783"/>
      <c r="J97" s="4783"/>
    </row>
    <row r="98" spans="1:14" ht="11.25" customHeight="1">
      <c r="A98" s="518"/>
    </row>
    <row r="99" spans="1:14">
      <c r="A99" s="518" t="s">
        <v>2623</v>
      </c>
    </row>
    <row r="100" spans="1:14" ht="110.7" customHeight="1">
      <c r="A100" s="4771" t="s">
        <v>2624</v>
      </c>
      <c r="B100" s="4771"/>
      <c r="C100" s="4771"/>
      <c r="D100" s="4771"/>
      <c r="E100" s="4771"/>
      <c r="F100" s="4771"/>
      <c r="G100" s="4771"/>
      <c r="H100" s="4771"/>
      <c r="I100" s="4771"/>
      <c r="J100" s="4771"/>
      <c r="L100" s="954">
        <f>'Part VI-Pro Forma'!K72</f>
        <v>10391768.303108629</v>
      </c>
      <c r="M100" s="4774" t="s">
        <v>2625</v>
      </c>
      <c r="N100" s="4774"/>
    </row>
    <row r="101" spans="1:14" ht="11.25" hidden="1" customHeight="1">
      <c r="A101" s="1182"/>
      <c r="B101" s="1182"/>
      <c r="C101" s="1182"/>
      <c r="D101" s="1182"/>
      <c r="E101" s="1182"/>
      <c r="F101" s="1182"/>
      <c r="G101" s="1182"/>
      <c r="H101" s="1182"/>
      <c r="I101" s="1182"/>
      <c r="J101" s="1182"/>
    </row>
    <row r="102" spans="1:14" ht="12" hidden="1" customHeight="1">
      <c r="A102" s="1182"/>
      <c r="B102" s="1182"/>
      <c r="C102" s="1182"/>
      <c r="D102" s="1182"/>
      <c r="E102" s="1182"/>
      <c r="F102" s="1182"/>
      <c r="G102" s="1182"/>
      <c r="H102" s="1182"/>
      <c r="I102" s="1182"/>
      <c r="J102" s="528"/>
    </row>
    <row r="103" spans="1:14" ht="6" customHeight="1">
      <c r="A103" s="1182"/>
      <c r="B103" s="1182"/>
      <c r="C103" s="1182"/>
      <c r="D103" s="1182"/>
      <c r="E103" s="1182"/>
      <c r="F103" s="1182"/>
      <c r="G103" s="1182"/>
      <c r="H103" s="1182"/>
      <c r="I103" s="1182"/>
      <c r="J103" s="528"/>
    </row>
    <row r="104" spans="1:14" ht="17.25" customHeight="1">
      <c r="A104" s="4767" t="s">
        <v>2626</v>
      </c>
      <c r="B104" s="4767"/>
      <c r="C104" s="4767"/>
      <c r="D104" s="1182"/>
      <c r="E104" s="1182"/>
      <c r="F104" s="1182"/>
      <c r="G104" s="1182"/>
      <c r="H104" s="1182"/>
      <c r="I104" s="1182"/>
      <c r="J104" s="528"/>
    </row>
    <row r="105" spans="1:14" ht="37.5" customHeight="1">
      <c r="A105" s="4765" t="s">
        <v>2627</v>
      </c>
      <c r="B105" s="4765"/>
      <c r="C105" s="4765"/>
      <c r="D105" s="4765"/>
      <c r="E105" s="4765"/>
      <c r="F105" s="4765"/>
      <c r="G105" s="4765"/>
      <c r="H105" s="4765"/>
      <c r="I105" s="4765"/>
      <c r="J105" s="4765"/>
    </row>
    <row r="106" spans="1:14" ht="6" customHeight="1">
      <c r="A106" s="518"/>
    </row>
    <row r="107" spans="1:14">
      <c r="A107" s="518" t="s">
        <v>2628</v>
      </c>
    </row>
    <row r="108" spans="1:14" ht="43.5" customHeight="1">
      <c r="A108" s="4765" t="s">
        <v>2629</v>
      </c>
      <c r="B108" s="4765"/>
      <c r="C108" s="4765"/>
      <c r="D108" s="4765"/>
      <c r="E108" s="4765"/>
      <c r="F108" s="4765"/>
      <c r="G108" s="4765"/>
      <c r="H108" s="4765"/>
      <c r="I108" s="4765"/>
      <c r="J108" s="4765"/>
    </row>
    <row r="109" spans="1:14" ht="6" customHeight="1">
      <c r="A109" s="1182"/>
      <c r="B109" s="1182"/>
      <c r="C109" s="1182"/>
      <c r="D109" s="1182"/>
      <c r="E109" s="1182"/>
      <c r="F109" s="1182"/>
      <c r="G109" s="1182"/>
      <c r="H109" s="1182"/>
      <c r="I109" s="1182"/>
      <c r="J109" s="1182"/>
    </row>
    <row r="110" spans="1:14">
      <c r="A110" s="518" t="s">
        <v>2630</v>
      </c>
    </row>
    <row r="112" spans="1:14" ht="18" thickBot="1">
      <c r="A112" s="512" t="s">
        <v>2631</v>
      </c>
      <c r="G112" s="1396"/>
      <c r="H112" s="512" t="s">
        <v>2632</v>
      </c>
    </row>
    <row r="115" spans="1:10" ht="13.95" customHeight="1" thickBot="1">
      <c r="G115" s="1396"/>
      <c r="H115" s="512" t="s">
        <v>2633</v>
      </c>
    </row>
    <row r="116" spans="1:10">
      <c r="A116" s="512" t="s">
        <v>2634</v>
      </c>
    </row>
    <row r="119" spans="1:10" ht="14.4" thickBot="1">
      <c r="A119" s="532"/>
      <c r="B119" s="532"/>
      <c r="C119" s="532"/>
      <c r="D119" s="532"/>
      <c r="F119" s="532"/>
      <c r="G119" s="532"/>
      <c r="H119" s="532"/>
      <c r="I119" s="532"/>
      <c r="J119" s="532"/>
    </row>
    <row r="120" spans="1:10">
      <c r="A120" s="4780" t="s">
        <v>3962</v>
      </c>
      <c r="B120" s="4780"/>
      <c r="C120" s="4780"/>
      <c r="D120" s="4780"/>
      <c r="E120" s="4781"/>
      <c r="F120" s="1394" t="s">
        <v>3963</v>
      </c>
      <c r="G120" s="1394"/>
      <c r="H120" s="1394"/>
      <c r="I120" s="1394"/>
      <c r="J120" s="1394"/>
    </row>
    <row r="122" spans="1:10" ht="14.4" thickBot="1">
      <c r="A122" s="512" t="s">
        <v>2635</v>
      </c>
      <c r="B122" s="532"/>
      <c r="C122" s="532"/>
      <c r="H122" s="512" t="s">
        <v>2635</v>
      </c>
      <c r="I122" s="1395"/>
    </row>
    <row r="210" spans="1:1">
      <c r="A210" s="512"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49" t="s">
        <v>2636</v>
      </c>
      <c r="B1" s="539"/>
      <c r="C1" s="539"/>
      <c r="D1" s="539"/>
      <c r="E1" s="539"/>
      <c r="F1" s="539"/>
      <c r="G1" s="539"/>
      <c r="H1" s="539"/>
      <c r="I1" s="539"/>
      <c r="J1" s="539"/>
      <c r="K1" s="539"/>
      <c r="L1" s="506"/>
      <c r="M1" s="506"/>
    </row>
    <row r="2" spans="1:14" s="10" customFormat="1" ht="17.399999999999999">
      <c r="A2" s="949" t="str">
        <f>+"Financial Analysis for:  "&amp;E8&amp;"  "&amp;C8</f>
        <v>Financial Analysis for:  2025-0  Retreat at Madison Place</v>
      </c>
      <c r="B2" s="539"/>
      <c r="C2" s="539"/>
      <c r="D2" s="539"/>
      <c r="E2" s="539"/>
      <c r="F2" s="539"/>
      <c r="G2" s="539"/>
      <c r="H2" s="539"/>
      <c r="I2" s="539"/>
      <c r="J2" s="539"/>
      <c r="K2" s="539"/>
      <c r="L2" s="506"/>
      <c r="M2" s="506"/>
    </row>
    <row r="5" spans="1:14" ht="15.6">
      <c r="A5" s="534"/>
      <c r="B5" s="535"/>
      <c r="C5" s="536"/>
      <c r="D5" s="535"/>
      <c r="E5" s="535"/>
      <c r="F5" s="534"/>
      <c r="G5" s="535"/>
      <c r="H5" s="536"/>
      <c r="I5" s="535"/>
      <c r="J5" s="535"/>
      <c r="K5" s="535"/>
      <c r="L5" s="535"/>
      <c r="M5" s="503"/>
    </row>
    <row r="7" spans="1:14" ht="15.6">
      <c r="A7" s="563" t="s">
        <v>2637</v>
      </c>
      <c r="B7" s="554"/>
      <c r="C7" s="1865"/>
      <c r="D7" s="554"/>
      <c r="E7" s="554"/>
      <c r="F7" s="563" t="s">
        <v>2890</v>
      </c>
      <c r="G7" s="554"/>
      <c r="H7" s="4786"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Substantial Rehabilitation</v>
      </c>
      <c r="I7" s="4786"/>
      <c r="J7" s="4786"/>
      <c r="K7" s="4786"/>
      <c r="L7" s="554"/>
      <c r="M7" s="503"/>
    </row>
    <row r="8" spans="1:14" ht="15.6">
      <c r="A8" s="563" t="s">
        <v>2638</v>
      </c>
      <c r="B8" s="563"/>
      <c r="C8" s="4786" t="str">
        <f>'Part I-Project Identification'!$F$26</f>
        <v>Retreat at Madison Place</v>
      </c>
      <c r="D8" s="4786"/>
      <c r="E8" s="1866" t="str">
        <f>'Part I-Project Identification'!$O$7</f>
        <v>2025-0</v>
      </c>
      <c r="F8" s="563" t="s">
        <v>2639</v>
      </c>
      <c r="G8" s="554"/>
      <c r="H8" s="4786" t="str">
        <f>CONCATENATE('Part I-Project Identification'!$F$27,", ",'Part I-Project Identification'!$J$27)</f>
        <v>Decatur, DeKalb</v>
      </c>
      <c r="I8" s="4786"/>
      <c r="J8" s="4786"/>
      <c r="K8" s="4786"/>
      <c r="L8" s="554"/>
      <c r="M8" s="537"/>
    </row>
    <row r="9" spans="1:14" ht="15.6">
      <c r="A9" s="563" t="s">
        <v>2641</v>
      </c>
      <c r="B9" s="563"/>
      <c r="C9" s="4786" t="s">
        <v>1641</v>
      </c>
      <c r="D9" s="4786"/>
      <c r="E9" s="554"/>
      <c r="F9" s="563" t="s">
        <v>2642</v>
      </c>
      <c r="G9" s="554"/>
      <c r="H9" s="4787"/>
      <c r="I9" s="4787"/>
      <c r="J9" s="4787"/>
      <c r="K9" s="4787"/>
      <c r="L9" s="4787"/>
      <c r="M9" s="537"/>
    </row>
    <row r="10" spans="1:14" ht="15.6">
      <c r="A10" s="563" t="s">
        <v>2644</v>
      </c>
      <c r="B10" s="554"/>
      <c r="C10" s="4788"/>
      <c r="D10" s="4788"/>
      <c r="E10" s="554"/>
      <c r="F10" s="563" t="s">
        <v>3045</v>
      </c>
      <c r="G10" s="554"/>
      <c r="H10" s="4785"/>
      <c r="I10" s="4785"/>
      <c r="J10" s="4785"/>
      <c r="K10" s="4785"/>
      <c r="L10" s="4785"/>
    </row>
    <row r="11" spans="1:14" ht="15.6">
      <c r="A11" s="563" t="s">
        <v>2645</v>
      </c>
      <c r="B11" s="554"/>
      <c r="C11" s="4789"/>
      <c r="D11" s="4789"/>
      <c r="E11" s="1880"/>
      <c r="F11" s="563" t="s">
        <v>605</v>
      </c>
      <c r="G11" s="554"/>
      <c r="H11" s="4785"/>
      <c r="I11" s="4785"/>
      <c r="J11" s="4785"/>
      <c r="K11" s="4785"/>
      <c r="L11" s="4785"/>
      <c r="M11" s="4790"/>
      <c r="N11" s="4791"/>
    </row>
    <row r="12" spans="1:14" ht="15.6">
      <c r="A12" s="563" t="s">
        <v>2646</v>
      </c>
      <c r="B12" s="554"/>
      <c r="C12" s="4789"/>
      <c r="D12" s="4789"/>
      <c r="E12" s="554"/>
      <c r="F12" s="563" t="s">
        <v>2647</v>
      </c>
      <c r="G12" s="554"/>
      <c r="H12" s="4789"/>
      <c r="I12" s="4789"/>
      <c r="J12" s="4789"/>
      <c r="K12" s="4789"/>
      <c r="L12" s="4789"/>
      <c r="M12" s="503"/>
    </row>
    <row r="13" spans="1:14" ht="15.6">
      <c r="A13" s="563" t="s">
        <v>2648</v>
      </c>
      <c r="B13" s="563"/>
      <c r="C13" s="1867">
        <f>'Part V-Revenues &amp; Expenses'!$P$76</f>
        <v>160</v>
      </c>
      <c r="D13" s="26"/>
      <c r="E13" s="1868">
        <f>'Part V-Revenues &amp; Expenses'!$P$72</f>
        <v>160</v>
      </c>
      <c r="F13" s="563" t="s">
        <v>3360</v>
      </c>
      <c r="G13" s="554"/>
      <c r="H13" s="1878"/>
      <c r="I13" s="1870"/>
      <c r="J13" s="1870"/>
      <c r="K13" s="1869">
        <f>'Part V-Revenues &amp; Expenses'!$K$197</f>
        <v>144560</v>
      </c>
      <c r="L13" s="554"/>
      <c r="M13" s="503"/>
    </row>
    <row r="14" spans="1:14" ht="15.6">
      <c r="A14" s="563" t="s">
        <v>2882</v>
      </c>
      <c r="B14" s="554"/>
      <c r="C14" s="1869" t="str">
        <f>'Part VII-Threshold Criteria OLD'!J35</f>
        <v>&lt;&lt; Select PROPOSED Tenancy &gt;&gt;</v>
      </c>
      <c r="D14" s="4786" t="str">
        <f>IF('Part VII-Threshold Criteria OLD'!$N$35=0,"",'Part VII-Threshold Criteria OLD'!$N$35)</f>
        <v/>
      </c>
      <c r="E14" s="4786"/>
      <c r="F14" s="563" t="s">
        <v>2649</v>
      </c>
      <c r="G14" s="554"/>
      <c r="H14" s="4792" t="s">
        <v>3013</v>
      </c>
      <c r="I14" s="4792"/>
      <c r="J14" s="4792"/>
      <c r="K14" s="4792" t="s">
        <v>3013</v>
      </c>
      <c r="L14" s="4792"/>
      <c r="M14" s="503"/>
    </row>
    <row r="15" spans="1:14" ht="15.6">
      <c r="A15" s="563" t="s">
        <v>2650</v>
      </c>
      <c r="B15" s="554"/>
      <c r="C15" s="1871" t="s">
        <v>1641</v>
      </c>
      <c r="D15" s="554"/>
      <c r="E15" s="554"/>
      <c r="F15" s="563" t="s">
        <v>2883</v>
      </c>
      <c r="G15" s="554"/>
      <c r="H15" s="1866" t="str">
        <f>'Part I-Project Identification'!K29</f>
        <v>Urban</v>
      </c>
      <c r="I15" s="554"/>
      <c r="J15" s="554"/>
      <c r="K15" s="554"/>
      <c r="L15" s="554"/>
      <c r="M15" s="503"/>
    </row>
    <row r="16" spans="1:14" ht="15.6">
      <c r="A16" s="563" t="s">
        <v>3040</v>
      </c>
      <c r="B16" s="554"/>
      <c r="C16" s="1866">
        <f>'Part VIII Scoring Criteria OLD'!$P$42</f>
        <v>0</v>
      </c>
      <c r="D16" s="1872" t="s">
        <v>2436</v>
      </c>
      <c r="E16" s="1866">
        <f>'Part VIII Scoring Criteria OLD'!$P$48</f>
        <v>0</v>
      </c>
      <c r="F16" s="563"/>
      <c r="G16" s="554"/>
      <c r="H16" s="554"/>
      <c r="I16" s="554"/>
      <c r="J16" s="554"/>
      <c r="K16" s="554"/>
      <c r="L16" s="554"/>
      <c r="M16" s="503"/>
    </row>
    <row r="17" spans="1:13" ht="15">
      <c r="A17" s="554"/>
      <c r="B17" s="554"/>
      <c r="C17" s="554"/>
      <c r="D17" s="554"/>
      <c r="E17" s="554"/>
      <c r="F17" s="554"/>
      <c r="G17" s="554"/>
      <c r="H17" s="554"/>
      <c r="I17" s="554"/>
      <c r="J17" s="554"/>
      <c r="K17" s="554"/>
      <c r="L17" s="554"/>
      <c r="M17" s="503"/>
    </row>
    <row r="18" spans="1:13" ht="15.6">
      <c r="A18" s="563" t="s">
        <v>2885</v>
      </c>
      <c r="B18" s="554"/>
      <c r="C18" s="1873">
        <f>'Part III-A-Uses of Funds'!$G$147</f>
        <v>34718294.853922151</v>
      </c>
      <c r="D18" s="1874">
        <f>IF(C18=0,"",$C$29/C18)</f>
        <v>0.38884398144556043</v>
      </c>
      <c r="E18" s="554" t="s">
        <v>2886</v>
      </c>
      <c r="F18" s="563" t="s">
        <v>4626</v>
      </c>
      <c r="G18" s="554"/>
      <c r="H18" s="4793">
        <f>'Part III-A-Uses of Funds'!$C$49</f>
        <v>9120000</v>
      </c>
      <c r="I18" s="4793"/>
      <c r="J18" s="1875">
        <f>IF(H18=0,"",$C$29/H18)</f>
        <v>1.4802631578947369</v>
      </c>
      <c r="K18" s="4786" t="s">
        <v>2887</v>
      </c>
      <c r="L18" s="4786"/>
      <c r="M18" s="503"/>
    </row>
    <row r="19" spans="1:13" ht="15.6">
      <c r="A19" s="563" t="s">
        <v>2651</v>
      </c>
      <c r="B19" s="554"/>
      <c r="C19" s="1876">
        <f>C18/C13</f>
        <v>216989.34283701345</v>
      </c>
      <c r="D19" s="554"/>
      <c r="E19" s="554"/>
      <c r="F19" s="563" t="s">
        <v>2651</v>
      </c>
      <c r="G19" s="554"/>
      <c r="H19" s="4794">
        <f>H18/C13</f>
        <v>57000</v>
      </c>
      <c r="I19" s="4794"/>
      <c r="J19" s="554"/>
      <c r="K19" s="554"/>
      <c r="L19" s="554"/>
      <c r="M19" s="503"/>
    </row>
    <row r="20" spans="1:13" ht="15.6">
      <c r="A20" s="563" t="s">
        <v>2652</v>
      </c>
      <c r="B20" s="554"/>
      <c r="C20" s="1866">
        <f>C18/K13</f>
        <v>240.16529367682728</v>
      </c>
      <c r="D20" s="1877"/>
      <c r="E20" s="1877"/>
      <c r="F20" s="563" t="s">
        <v>2652</v>
      </c>
      <c r="G20" s="554"/>
      <c r="H20" s="4786">
        <f>H18/K13</f>
        <v>63.087991145545104</v>
      </c>
      <c r="I20" s="4794"/>
      <c r="J20" s="554"/>
      <c r="K20" s="554"/>
      <c r="L20" s="554"/>
      <c r="M20" s="503"/>
    </row>
    <row r="21" spans="1:13" ht="15.6">
      <c r="A21" s="506"/>
      <c r="B21" s="503"/>
      <c r="C21" s="538"/>
      <c r="D21" s="503"/>
      <c r="E21" s="503"/>
      <c r="F21" s="506"/>
      <c r="G21" s="503"/>
      <c r="H21" s="538"/>
      <c r="I21" s="503"/>
      <c r="J21" s="503"/>
      <c r="K21" s="503"/>
      <c r="L21" s="503"/>
      <c r="M21" s="503"/>
    </row>
    <row r="22" spans="1:13" ht="15">
      <c r="A22" s="535"/>
      <c r="B22" s="535"/>
      <c r="C22" s="535"/>
      <c r="D22" s="535"/>
      <c r="E22" s="535"/>
      <c r="F22" s="535"/>
      <c r="G22" s="535"/>
      <c r="H22" s="535"/>
      <c r="I22" s="535"/>
      <c r="J22" s="535"/>
      <c r="K22" s="535"/>
      <c r="L22" s="535"/>
      <c r="M22" s="537"/>
    </row>
    <row r="23" spans="1:13" ht="15.6">
      <c r="A23" s="539" t="s">
        <v>2653</v>
      </c>
      <c r="B23" s="533"/>
      <c r="C23" s="533"/>
      <c r="D23" s="533"/>
      <c r="E23" s="503"/>
      <c r="F23" s="503"/>
      <c r="G23" s="503"/>
      <c r="H23" s="503"/>
      <c r="I23" s="503"/>
      <c r="J23" s="503"/>
      <c r="K23" s="503"/>
      <c r="L23" s="503"/>
      <c r="M23" s="537"/>
    </row>
    <row r="24" spans="1:13" ht="27" customHeight="1">
      <c r="A24" s="503"/>
      <c r="B24" s="503"/>
      <c r="C24" s="503"/>
      <c r="D24" s="540" t="s">
        <v>2654</v>
      </c>
      <c r="E24" s="503"/>
      <c r="F24" s="503"/>
      <c r="G24" s="503"/>
      <c r="H24" s="503"/>
      <c r="I24" s="503"/>
      <c r="J24" s="503"/>
      <c r="K24" s="503"/>
      <c r="L24" s="503"/>
      <c r="M24" s="537"/>
    </row>
    <row r="25" spans="1:13" ht="15.6">
      <c r="A25" s="506" t="s">
        <v>2655</v>
      </c>
      <c r="B25" s="541" t="str">
        <f>'Part II-Sources of Funds'!E42</f>
        <v>Grandbridge</v>
      </c>
      <c r="C25" s="542">
        <f>'Part II-Sources of Funds'!I42</f>
        <v>13500000</v>
      </c>
      <c r="D25" s="543" t="s">
        <v>2656</v>
      </c>
      <c r="E25" s="503"/>
      <c r="F25" s="503"/>
      <c r="G25" s="503" t="s">
        <v>2657</v>
      </c>
      <c r="H25" s="503"/>
      <c r="I25" s="503"/>
      <c r="K25" s="542"/>
      <c r="L25" s="503"/>
      <c r="M25" s="537"/>
    </row>
    <row r="26" spans="1:13" ht="15">
      <c r="A26" s="503"/>
      <c r="B26" s="541"/>
      <c r="C26" s="542"/>
      <c r="D26" s="543"/>
      <c r="E26" s="503"/>
      <c r="F26" s="503"/>
      <c r="G26" s="503" t="s">
        <v>2658</v>
      </c>
      <c r="H26" s="503"/>
      <c r="I26" s="503"/>
      <c r="K26" s="544" t="e">
        <f>C29/K25</f>
        <v>#DIV/0!</v>
      </c>
      <c r="L26" s="503"/>
      <c r="M26" s="503"/>
    </row>
    <row r="27" spans="1:13" ht="15">
      <c r="A27" s="503"/>
      <c r="B27" s="541"/>
      <c r="C27" s="542"/>
      <c r="D27" s="543"/>
      <c r="E27" s="503"/>
      <c r="F27" s="503"/>
      <c r="G27" s="503"/>
      <c r="H27" s="503"/>
      <c r="I27" s="503"/>
      <c r="K27" s="503"/>
      <c r="L27" s="503"/>
      <c r="M27" s="503"/>
    </row>
    <row r="28" spans="1:13" ht="15">
      <c r="A28" s="503"/>
      <c r="B28" s="503"/>
      <c r="C28" s="503"/>
      <c r="D28" s="503"/>
      <c r="E28" s="503"/>
      <c r="F28" s="503"/>
      <c r="G28" s="503" t="s">
        <v>2659</v>
      </c>
      <c r="H28" s="503"/>
      <c r="I28" s="503"/>
      <c r="K28" s="542"/>
      <c r="L28" s="503"/>
      <c r="M28" s="503"/>
    </row>
    <row r="29" spans="1:13" ht="16.2" thickBot="1">
      <c r="A29" s="503"/>
      <c r="B29" s="545" t="s">
        <v>2660</v>
      </c>
      <c r="C29" s="1864">
        <f>SUM(C25:C27)</f>
        <v>13500000</v>
      </c>
      <c r="D29" s="503"/>
      <c r="E29" s="503"/>
      <c r="F29" s="503"/>
      <c r="G29" s="503" t="s">
        <v>2661</v>
      </c>
      <c r="H29" s="503"/>
      <c r="I29" s="503"/>
      <c r="K29" s="544" t="e">
        <f>C29/K28</f>
        <v>#DIV/0!</v>
      </c>
      <c r="L29" s="503"/>
      <c r="M29" s="503"/>
    </row>
    <row r="30" spans="1:13" ht="16.2" thickTop="1">
      <c r="A30" s="506" t="s">
        <v>2662</v>
      </c>
      <c r="B30" s="545"/>
      <c r="C30" s="546">
        <f>'Part II-Sources of Funds'!$I$53+'Part II-Sources of Funds'!$I$54</f>
        <v>19416628</v>
      </c>
      <c r="D30" s="503"/>
      <c r="E30" s="503"/>
      <c r="F30" s="503"/>
      <c r="G30" s="503"/>
      <c r="H30" s="503"/>
      <c r="I30" s="503"/>
      <c r="K30" s="547"/>
      <c r="L30" s="503"/>
      <c r="M30" s="503"/>
    </row>
    <row r="31" spans="1:13" ht="15">
      <c r="A31" s="548" t="s">
        <v>2663</v>
      </c>
      <c r="B31" s="541" t="str">
        <f>'Part II-Sources of Funds'!E43</f>
        <v xml:space="preserve">Mercy Housing </v>
      </c>
      <c r="C31" s="542">
        <f>'Part II-Sources of Funds'!I43</f>
        <v>1000000</v>
      </c>
      <c r="D31" s="543"/>
      <c r="E31" s="503"/>
      <c r="F31" s="503"/>
      <c r="G31" s="503"/>
      <c r="H31" s="503"/>
      <c r="I31" s="503"/>
      <c r="K31" s="503"/>
      <c r="L31" s="503"/>
      <c r="M31" s="503"/>
    </row>
    <row r="32" spans="1:13" ht="15">
      <c r="A32" s="548" t="s">
        <v>2663</v>
      </c>
      <c r="B32" s="541">
        <f>'Part II-Sources of Funds'!E44</f>
        <v>0</v>
      </c>
      <c r="C32" s="542">
        <f>'Part II-Sources of Funds'!I44</f>
        <v>0</v>
      </c>
      <c r="D32" s="543"/>
      <c r="E32" s="503" t="s">
        <v>233</v>
      </c>
      <c r="F32" s="503"/>
      <c r="G32" s="503" t="s">
        <v>2664</v>
      </c>
      <c r="H32" s="503"/>
      <c r="I32" s="503"/>
      <c r="K32" s="542"/>
      <c r="L32" s="503"/>
      <c r="M32" s="503"/>
    </row>
    <row r="33" spans="1:13" ht="15.6">
      <c r="A33" s="548" t="s">
        <v>2663</v>
      </c>
      <c r="B33" s="541">
        <f>'Part II-Sources of Funds'!E45</f>
        <v>0</v>
      </c>
      <c r="C33" s="542">
        <f>'Part II-Sources of Funds'!I45</f>
        <v>0</v>
      </c>
      <c r="D33" s="543"/>
      <c r="E33" s="503"/>
      <c r="F33" s="503"/>
      <c r="G33" s="953" t="s">
        <v>2665</v>
      </c>
      <c r="H33" s="953"/>
      <c r="I33" s="953"/>
      <c r="K33" s="544" t="e">
        <f>$C$29/K32</f>
        <v>#DIV/0!</v>
      </c>
      <c r="L33" s="503"/>
      <c r="M33" s="549"/>
    </row>
    <row r="34" spans="1:13" ht="15.6">
      <c r="A34" s="503"/>
      <c r="B34" s="545" t="s">
        <v>2666</v>
      </c>
      <c r="C34" s="546">
        <f>SUM(C31:C33)</f>
        <v>1000000</v>
      </c>
      <c r="D34" s="503"/>
      <c r="E34" s="503"/>
      <c r="F34" s="503"/>
      <c r="G34" s="503"/>
      <c r="H34" s="503"/>
      <c r="I34" s="503"/>
      <c r="K34" s="503"/>
      <c r="L34" s="503"/>
      <c r="M34" s="549"/>
    </row>
    <row r="35" spans="1:13" ht="15.6">
      <c r="A35" s="503"/>
      <c r="B35" s="545"/>
      <c r="C35" s="503"/>
      <c r="D35" s="503"/>
      <c r="E35" s="503"/>
      <c r="F35" s="503"/>
      <c r="G35" s="953" t="s">
        <v>2667</v>
      </c>
      <c r="H35" s="953"/>
      <c r="I35" s="953"/>
      <c r="K35" s="544" t="e">
        <f>(C36)/K25</f>
        <v>#DIV/0!</v>
      </c>
      <c r="L35" s="503"/>
      <c r="M35" s="503"/>
    </row>
    <row r="36" spans="1:13" ht="15.6">
      <c r="A36" s="503"/>
      <c r="B36" s="545" t="s">
        <v>2668</v>
      </c>
      <c r="C36" s="546">
        <f>C29+C34</f>
        <v>14500000</v>
      </c>
      <c r="D36" s="503"/>
      <c r="E36" s="503"/>
      <c r="F36" s="503"/>
      <c r="G36" s="503"/>
      <c r="H36" s="503"/>
      <c r="I36" s="503"/>
      <c r="K36" s="503"/>
      <c r="L36" s="503"/>
      <c r="M36" s="503"/>
    </row>
    <row r="37" spans="1:13" ht="15.6">
      <c r="A37" s="503"/>
      <c r="B37" s="545"/>
      <c r="C37" s="547"/>
      <c r="D37" s="503"/>
      <c r="E37" s="503"/>
      <c r="F37" s="503"/>
      <c r="G37" s="953" t="s">
        <v>2669</v>
      </c>
      <c r="H37" s="953"/>
      <c r="I37" s="953"/>
      <c r="K37" s="544" t="e">
        <f>+(C36)/K32</f>
        <v>#DIV/0!</v>
      </c>
      <c r="L37" s="503"/>
      <c r="M37" s="549"/>
    </row>
    <row r="38" spans="1:13" ht="15.6">
      <c r="A38" s="503"/>
      <c r="B38" s="545" t="s">
        <v>2670</v>
      </c>
      <c r="C38" s="550">
        <f>C36/C18</f>
        <v>0.41764723933041675</v>
      </c>
      <c r="D38" s="503"/>
      <c r="E38" s="503"/>
      <c r="F38" s="503"/>
      <c r="G38" s="503"/>
      <c r="H38" s="503"/>
      <c r="I38" s="503"/>
      <c r="K38" s="503"/>
      <c r="L38" s="503"/>
      <c r="M38" s="549"/>
    </row>
    <row r="39" spans="1:13" ht="15.6">
      <c r="A39" s="503"/>
      <c r="B39" s="545"/>
      <c r="C39" s="547"/>
      <c r="D39" s="503"/>
      <c r="E39" s="503"/>
      <c r="F39" s="503"/>
      <c r="G39" s="503"/>
      <c r="H39" s="503"/>
      <c r="I39" s="503"/>
      <c r="K39" s="503"/>
      <c r="L39" s="503"/>
      <c r="M39" s="503"/>
    </row>
    <row r="40" spans="1:13" ht="15.6">
      <c r="A40" s="503"/>
      <c r="B40" s="545" t="s">
        <v>2671</v>
      </c>
      <c r="C40" s="550">
        <f>C36/H18</f>
        <v>1.5899122807017543</v>
      </c>
      <c r="D40" s="503"/>
      <c r="E40" s="503"/>
      <c r="F40" s="506"/>
      <c r="G40" s="506" t="s">
        <v>2672</v>
      </c>
      <c r="H40" s="503"/>
      <c r="I40" s="503"/>
      <c r="K40" s="544">
        <f>C30/C18</f>
        <v>0.55926214353832215</v>
      </c>
      <c r="L40" s="503"/>
      <c r="M40" s="503"/>
    </row>
    <row r="46" spans="1:13" ht="15.6">
      <c r="A46" s="539" t="s">
        <v>2673</v>
      </c>
      <c r="B46" s="533"/>
      <c r="C46" s="533"/>
      <c r="D46" s="533"/>
      <c r="E46" s="533"/>
      <c r="F46" s="533"/>
      <c r="G46" s="533"/>
      <c r="H46" s="533"/>
      <c r="I46" s="533"/>
      <c r="J46" s="533"/>
      <c r="K46" s="533"/>
      <c r="L46" s="533"/>
      <c r="M46" s="503"/>
    </row>
    <row r="47" spans="1:13" ht="15.6">
      <c r="A47" s="539" t="str">
        <f>C8</f>
        <v>Retreat at Madison Place</v>
      </c>
      <c r="B47" s="533"/>
      <c r="C47" s="533"/>
      <c r="D47" s="533"/>
      <c r="E47" s="533"/>
      <c r="F47" s="533"/>
      <c r="G47" s="533"/>
      <c r="H47" s="533"/>
      <c r="I47" s="533"/>
      <c r="J47" s="533"/>
      <c r="K47" s="533"/>
      <c r="L47" s="533"/>
      <c r="M47" s="503"/>
    </row>
    <row r="50" spans="1:14" s="503" customFormat="1" ht="15.6">
      <c r="A50" s="506" t="s">
        <v>2674</v>
      </c>
      <c r="C50" s="549" t="s">
        <v>2675</v>
      </c>
      <c r="E50" s="551" t="s">
        <v>3014</v>
      </c>
      <c r="F50" s="552">
        <v>0.1</v>
      </c>
      <c r="G50" s="551" t="s">
        <v>3015</v>
      </c>
      <c r="H50" s="552">
        <v>0.05</v>
      </c>
      <c r="I50" s="551" t="s">
        <v>3016</v>
      </c>
      <c r="J50" s="552">
        <v>0.03</v>
      </c>
      <c r="K50" s="4795" t="s">
        <v>2676</v>
      </c>
      <c r="L50" s="4796"/>
      <c r="M50"/>
      <c r="N50"/>
    </row>
    <row r="51" spans="1:14" s="503" customFormat="1" ht="15.6">
      <c r="A51" s="506"/>
      <c r="C51" s="549"/>
      <c r="E51" s="549"/>
      <c r="F51" s="553"/>
      <c r="G51" s="549"/>
      <c r="H51" s="553"/>
      <c r="I51" s="549"/>
      <c r="J51" s="553"/>
      <c r="K51" s="549"/>
      <c r="M51"/>
      <c r="N51"/>
    </row>
    <row r="52" spans="1:14" s="503" customFormat="1" ht="18.75" customHeight="1">
      <c r="B52" s="554" t="s">
        <v>2677</v>
      </c>
      <c r="C52" s="555">
        <f>'Part VI-Pro Forma'!B15</f>
        <v>2626224</v>
      </c>
      <c r="D52" s="555"/>
      <c r="E52" s="555">
        <f>$C$52</f>
        <v>2626224</v>
      </c>
      <c r="F52" s="555"/>
      <c r="G52" s="555">
        <f>$C$52</f>
        <v>2626224</v>
      </c>
      <c r="H52" s="555"/>
      <c r="I52" s="555">
        <f>$C$52</f>
        <v>2626224</v>
      </c>
      <c r="J52" s="555"/>
      <c r="K52" s="555">
        <f>$C$52</f>
        <v>2626224</v>
      </c>
      <c r="L52" s="556"/>
      <c r="M52"/>
      <c r="N52"/>
    </row>
    <row r="53" spans="1:14" s="503" customFormat="1" ht="18.75" customHeight="1">
      <c r="B53" s="554" t="s">
        <v>2680</v>
      </c>
      <c r="C53" s="555">
        <f>'Part VI-Pro Forma'!B16</f>
        <v>52524.480000000003</v>
      </c>
      <c r="D53" s="555"/>
      <c r="E53" s="555">
        <f>$C$53</f>
        <v>52524.480000000003</v>
      </c>
      <c r="F53" s="555"/>
      <c r="G53" s="555">
        <f>$C$53</f>
        <v>52524.480000000003</v>
      </c>
      <c r="H53" s="555"/>
      <c r="I53" s="555">
        <f>$C$53</f>
        <v>52524.480000000003</v>
      </c>
      <c r="J53" s="555"/>
      <c r="K53" s="555">
        <f>$C$53</f>
        <v>52524.480000000003</v>
      </c>
      <c r="L53" s="556"/>
      <c r="M53"/>
      <c r="N53"/>
    </row>
    <row r="54" spans="1:14" s="503" customFormat="1" ht="18.75" customHeight="1">
      <c r="B54" s="554" t="s">
        <v>2678</v>
      </c>
      <c r="C54" s="555">
        <f>'Part VI-Pro Forma'!B17</f>
        <v>-187512.39360000001</v>
      </c>
      <c r="D54" s="555"/>
      <c r="E54" s="555">
        <f>-($C$52+E53)*F50</f>
        <v>-267874.848</v>
      </c>
      <c r="F54" s="557"/>
      <c r="G54" s="555">
        <f>-($C$52+G53)*0.07</f>
        <v>-187512.39360000001</v>
      </c>
      <c r="H54" s="555"/>
      <c r="I54" s="555">
        <f>-($C$52+I53)*0.07</f>
        <v>-187512.39360000001</v>
      </c>
      <c r="J54" s="555"/>
      <c r="K54" s="555">
        <f>-($C$52+K53)*L54</f>
        <v>-267874.848</v>
      </c>
      <c r="L54" s="558">
        <v>0.1</v>
      </c>
      <c r="M54"/>
      <c r="N54"/>
    </row>
    <row r="55" spans="1:14" s="503" customFormat="1" ht="18.75" customHeight="1">
      <c r="B55" s="554" t="s">
        <v>2679</v>
      </c>
      <c r="C55" s="555">
        <f>'Part VI-Pro Forma'!B18</f>
        <v>0</v>
      </c>
      <c r="D55" s="555"/>
      <c r="E55" s="555">
        <f>$C$55</f>
        <v>0</v>
      </c>
      <c r="F55" s="557"/>
      <c r="G55" s="555">
        <f>$C$55</f>
        <v>0</v>
      </c>
      <c r="H55" s="555"/>
      <c r="I55" s="555">
        <f>$C$55</f>
        <v>0</v>
      </c>
      <c r="J55" s="555"/>
      <c r="K55" s="555">
        <f>$C$55</f>
        <v>0</v>
      </c>
      <c r="L55" s="559"/>
      <c r="M55"/>
      <c r="N55"/>
    </row>
    <row r="56" spans="1:14" s="503" customFormat="1" ht="18.75" customHeight="1">
      <c r="B56" s="560" t="s">
        <v>2681</v>
      </c>
      <c r="C56" s="561">
        <f>SUM(C52:C55)</f>
        <v>2491236.0863999999</v>
      </c>
      <c r="D56" s="555"/>
      <c r="E56" s="561">
        <f>SUM(E52:E55)</f>
        <v>2410873.6320000002</v>
      </c>
      <c r="F56" s="555"/>
      <c r="G56" s="561">
        <f>SUM(G52:G55)</f>
        <v>2491236.0863999999</v>
      </c>
      <c r="H56" s="555"/>
      <c r="I56" s="561">
        <f>SUM(I52:I55)</f>
        <v>2491236.0863999999</v>
      </c>
      <c r="J56" s="555"/>
      <c r="K56" s="561">
        <f>SUM(K52:K55)</f>
        <v>2410873.6320000002</v>
      </c>
      <c r="L56" s="556"/>
      <c r="M56"/>
      <c r="N56"/>
    </row>
    <row r="57" spans="1:14" s="503" customFormat="1" ht="24" customHeight="1">
      <c r="B57" s="554"/>
      <c r="C57" s="555"/>
      <c r="D57" s="555"/>
      <c r="E57" s="555"/>
      <c r="F57" s="555"/>
      <c r="G57" s="555"/>
      <c r="H57" s="555"/>
      <c r="I57" s="555"/>
      <c r="J57" s="555"/>
      <c r="K57" s="555"/>
      <c r="L57" s="556"/>
      <c r="M57"/>
      <c r="N57"/>
    </row>
    <row r="58" spans="1:14" s="503" customFormat="1" ht="18.75" customHeight="1">
      <c r="B58" s="554" t="s">
        <v>2682</v>
      </c>
      <c r="C58" s="555">
        <f>+'Part V-Revenues &amp; Expenses'!F249+'Part V-Revenues &amp; Expenses'!F258+'Part V-Revenues &amp; Expenses'!L245+'Part V-Revenues &amp; Expenses'!L253</f>
        <v>367180</v>
      </c>
      <c r="D58" s="555"/>
      <c r="E58" s="555">
        <f>$C$58</f>
        <v>367180</v>
      </c>
      <c r="F58" s="555"/>
      <c r="G58" s="555">
        <f>$C$58</f>
        <v>367180</v>
      </c>
      <c r="H58" s="555"/>
      <c r="I58" s="555">
        <f>$C$58</f>
        <v>367180</v>
      </c>
      <c r="J58" s="555"/>
      <c r="K58" s="555">
        <f>$C$58</f>
        <v>367180</v>
      </c>
      <c r="L58" s="556"/>
      <c r="M58"/>
      <c r="N58"/>
    </row>
    <row r="59" spans="1:14" s="503" customFormat="1" ht="18.75" customHeight="1">
      <c r="B59" s="554" t="s">
        <v>2683</v>
      </c>
      <c r="C59" s="555">
        <f>+'Part V-Revenues &amp; Expenses'!F269</f>
        <v>125000</v>
      </c>
      <c r="D59" s="555"/>
      <c r="E59" s="555">
        <f>$C$59</f>
        <v>125000</v>
      </c>
      <c r="F59" s="555"/>
      <c r="G59" s="555">
        <f>$C$59</f>
        <v>125000</v>
      </c>
      <c r="H59" s="555"/>
      <c r="I59" s="555">
        <f>$C$59</f>
        <v>125000</v>
      </c>
      <c r="J59" s="555"/>
      <c r="K59" s="555">
        <f>$C$59*(1+$L$59)</f>
        <v>130000</v>
      </c>
      <c r="L59" s="562">
        <v>0.04</v>
      </c>
      <c r="M59"/>
      <c r="N59"/>
    </row>
    <row r="60" spans="1:14" s="503" customFormat="1" ht="18.75" customHeight="1">
      <c r="B60" s="554" t="s">
        <v>1295</v>
      </c>
      <c r="C60" s="555">
        <f>+'Part V-Revenues &amp; Expenses'!L263</f>
        <v>175000</v>
      </c>
      <c r="D60" s="555"/>
      <c r="E60" s="555">
        <f>$C$60</f>
        <v>175000</v>
      </c>
      <c r="F60" s="555"/>
      <c r="G60" s="555">
        <f>$C$60</f>
        <v>175000</v>
      </c>
      <c r="H60" s="555"/>
      <c r="I60" s="555">
        <f>$C$60*(1+$J$50)</f>
        <v>180250</v>
      </c>
      <c r="J60" s="557"/>
      <c r="K60" s="555">
        <f>$C$60*(1+$J$50)</f>
        <v>180250</v>
      </c>
      <c r="L60" s="558">
        <v>0.03</v>
      </c>
      <c r="M60"/>
      <c r="N60"/>
    </row>
    <row r="61" spans="1:14" s="503" customFormat="1" ht="18.75" customHeight="1">
      <c r="B61" s="554" t="s">
        <v>5083</v>
      </c>
      <c r="C61" s="555">
        <f>+'Part V-Revenues &amp; Expenses'!L266</f>
        <v>378988</v>
      </c>
      <c r="D61" s="555"/>
      <c r="E61" s="555">
        <f>$C$61</f>
        <v>378988</v>
      </c>
      <c r="F61" s="555"/>
      <c r="G61" s="555">
        <f>$C$61*(1+H50)</f>
        <v>397937.4</v>
      </c>
      <c r="H61" s="557"/>
      <c r="I61" s="555">
        <f>$C$61</f>
        <v>378988</v>
      </c>
      <c r="J61" s="555"/>
      <c r="K61" s="555">
        <f>$C$61*(1+$L$61)</f>
        <v>397937.4</v>
      </c>
      <c r="L61" s="558">
        <v>0.05</v>
      </c>
      <c r="M61"/>
      <c r="N61"/>
    </row>
    <row r="62" spans="1:14" s="503" customFormat="1" ht="18.75" customHeight="1">
      <c r="B62" s="554" t="s">
        <v>5084</v>
      </c>
      <c r="C62" s="555">
        <f>+'Part V-Revenues &amp; Expenses'!L267</f>
        <v>39200</v>
      </c>
      <c r="D62" s="555"/>
      <c r="E62" s="555">
        <f>$C$61</f>
        <v>378988</v>
      </c>
      <c r="F62" s="555"/>
      <c r="G62" s="555">
        <f>$C$61*(1+H51)</f>
        <v>378988</v>
      </c>
      <c r="H62" s="557"/>
      <c r="I62" s="555">
        <f>$C$61</f>
        <v>378988</v>
      </c>
      <c r="J62" s="555"/>
      <c r="K62" s="555">
        <f>$C$61*(1+$L$61)</f>
        <v>397937.4</v>
      </c>
      <c r="L62" s="558">
        <v>0.05</v>
      </c>
      <c r="M62"/>
      <c r="N62"/>
    </row>
    <row r="63" spans="1:14" s="503" customFormat="1" ht="18.75" customHeight="1">
      <c r="B63" s="560" t="s">
        <v>2684</v>
      </c>
      <c r="C63" s="561">
        <f>SUM(C58:C61)</f>
        <v>1046168</v>
      </c>
      <c r="D63" s="555"/>
      <c r="E63" s="561">
        <f>SUM(E58:E61)</f>
        <v>1046168</v>
      </c>
      <c r="F63" s="555"/>
      <c r="G63" s="561">
        <f>SUM(G58:G61)</f>
        <v>1065117.3999999999</v>
      </c>
      <c r="H63" s="555"/>
      <c r="I63" s="561">
        <f>SUM(I58:I61)</f>
        <v>1051418</v>
      </c>
      <c r="J63" s="555"/>
      <c r="K63" s="561">
        <f>SUM(K58:K61)</f>
        <v>1075367.3999999999</v>
      </c>
      <c r="L63" s="554"/>
      <c r="M63"/>
      <c r="N63"/>
    </row>
    <row r="64" spans="1:14" s="503" customFormat="1" ht="24" customHeight="1">
      <c r="B64" s="554"/>
      <c r="C64" s="555"/>
      <c r="D64" s="555"/>
      <c r="E64" s="555"/>
      <c r="F64" s="555"/>
      <c r="G64" s="555"/>
      <c r="H64" s="555"/>
      <c r="I64" s="555"/>
      <c r="J64" s="555"/>
      <c r="K64" s="555"/>
      <c r="L64" s="554"/>
      <c r="M64"/>
      <c r="N64"/>
    </row>
    <row r="65" spans="1:14" s="503" customFormat="1" ht="15.6">
      <c r="A65"/>
      <c r="B65" s="563" t="s">
        <v>2685</v>
      </c>
      <c r="C65" s="564">
        <f>C56-C63</f>
        <v>1445068.0863999999</v>
      </c>
      <c r="D65" s="564"/>
      <c r="E65" s="564">
        <f>E56-E63</f>
        <v>1364705.6320000002</v>
      </c>
      <c r="F65" s="564"/>
      <c r="G65" s="564">
        <f>G56-G63</f>
        <v>1426118.6864</v>
      </c>
      <c r="H65" s="564"/>
      <c r="I65" s="564">
        <f>I56-I63</f>
        <v>1439818.0863999999</v>
      </c>
      <c r="J65" s="564"/>
      <c r="K65" s="564">
        <f>K56-K63</f>
        <v>1335506.2320000003</v>
      </c>
      <c r="L65" s="26"/>
      <c r="M65"/>
      <c r="N65"/>
    </row>
    <row r="66" spans="1:14" s="503" customFormat="1" ht="24" customHeight="1">
      <c r="A66"/>
      <c r="B66" s="554"/>
      <c r="C66" s="555"/>
      <c r="D66" s="555"/>
      <c r="E66" s="555"/>
      <c r="F66" s="555"/>
      <c r="G66" s="555"/>
      <c r="H66" s="555"/>
      <c r="I66" s="555"/>
      <c r="J66" s="555"/>
      <c r="K66" s="555"/>
      <c r="L66" s="26"/>
      <c r="M66"/>
      <c r="N66"/>
    </row>
    <row r="67" spans="1:14" s="503" customFormat="1" ht="15">
      <c r="A67"/>
      <c r="B67" s="554" t="s">
        <v>2686</v>
      </c>
      <c r="C67" s="555">
        <f>'Part V-Revenues &amp; Expenses'!Q253</f>
        <v>0</v>
      </c>
      <c r="D67" s="555"/>
      <c r="E67" s="555">
        <f>$C$67</f>
        <v>0</v>
      </c>
      <c r="F67" s="555"/>
      <c r="G67" s="555">
        <f>$C$67</f>
        <v>0</v>
      </c>
      <c r="H67" s="555"/>
      <c r="I67" s="555">
        <f>$C$67</f>
        <v>0</v>
      </c>
      <c r="J67" s="555"/>
      <c r="K67" s="555">
        <f>$C$67</f>
        <v>0</v>
      </c>
      <c r="L67" s="26"/>
      <c r="M67"/>
      <c r="N67"/>
    </row>
    <row r="68" spans="1:14" s="503" customFormat="1" ht="6" customHeight="1">
      <c r="A68"/>
      <c r="B68" s="554"/>
      <c r="C68" s="555"/>
      <c r="D68" s="555"/>
      <c r="E68" s="555"/>
      <c r="F68" s="555"/>
      <c r="G68" s="555"/>
      <c r="H68" s="555"/>
      <c r="I68" s="555"/>
      <c r="J68" s="555"/>
      <c r="K68" s="555"/>
      <c r="L68" s="26"/>
      <c r="M68"/>
      <c r="N68"/>
    </row>
    <row r="69" spans="1:14" s="503" customFormat="1" ht="15">
      <c r="A69"/>
      <c r="B69" s="554" t="s">
        <v>2687</v>
      </c>
      <c r="C69" s="555">
        <f>'Part V-Revenues &amp; Expenses'!Q239</f>
        <v>0</v>
      </c>
      <c r="D69" s="555"/>
      <c r="E69" s="555">
        <f>$C$69</f>
        <v>0</v>
      </c>
      <c r="F69" s="555"/>
      <c r="G69" s="555">
        <f>$C$69</f>
        <v>0</v>
      </c>
      <c r="H69" s="555"/>
      <c r="I69" s="555">
        <f>$C$69</f>
        <v>0</v>
      </c>
      <c r="J69" s="555"/>
      <c r="K69" s="555">
        <f>$C$69</f>
        <v>0</v>
      </c>
      <c r="L69" s="26"/>
      <c r="M69"/>
      <c r="N69"/>
    </row>
    <row r="70" spans="1:14" s="503" customFormat="1" ht="24" customHeight="1">
      <c r="A70"/>
      <c r="B70" s="565"/>
      <c r="C70" s="555"/>
      <c r="D70" s="555"/>
      <c r="E70" s="555"/>
      <c r="F70" s="555"/>
      <c r="G70" s="555"/>
      <c r="H70" s="555"/>
      <c r="I70" s="555"/>
      <c r="J70" s="555"/>
      <c r="K70" s="555"/>
      <c r="L70" s="26"/>
      <c r="M70"/>
      <c r="N70"/>
    </row>
    <row r="71" spans="1:14" s="503" customFormat="1" ht="15.6">
      <c r="A71"/>
      <c r="B71" s="566" t="s">
        <v>2688</v>
      </c>
      <c r="C71" s="567">
        <f>C65-C67-C69</f>
        <v>1445068.0863999999</v>
      </c>
      <c r="D71" s="564"/>
      <c r="E71" s="567">
        <f>E65-E67-E69</f>
        <v>1364705.6320000002</v>
      </c>
      <c r="F71" s="564"/>
      <c r="G71" s="567">
        <f>G65-G67-G69</f>
        <v>1426118.6864</v>
      </c>
      <c r="H71" s="564"/>
      <c r="I71" s="567">
        <f>I65-I67-I69</f>
        <v>1439818.0863999999</v>
      </c>
      <c r="J71" s="564"/>
      <c r="K71" s="567">
        <f>K65-K67-K69</f>
        <v>1335506.2320000003</v>
      </c>
      <c r="L71" s="26"/>
      <c r="M71"/>
      <c r="N71"/>
    </row>
    <row r="72" spans="1:14" s="503" customFormat="1" ht="30" customHeight="1">
      <c r="A72"/>
      <c r="B72" s="554"/>
      <c r="C72" s="555"/>
      <c r="D72" s="555"/>
      <c r="E72" s="555"/>
      <c r="F72" s="555"/>
      <c r="G72" s="555"/>
      <c r="H72" s="555"/>
      <c r="I72" s="555"/>
      <c r="J72" s="555"/>
      <c r="K72" s="555"/>
      <c r="L72" s="26"/>
      <c r="M72"/>
      <c r="N72"/>
    </row>
    <row r="73" spans="1:14" s="506" customFormat="1" ht="18.75" customHeight="1">
      <c r="A73" s="10"/>
      <c r="B73" s="563" t="s">
        <v>2689</v>
      </c>
      <c r="C73" s="981">
        <f>-C71/C76</f>
        <v>1.5134222442148977</v>
      </c>
      <c r="D73" s="568"/>
      <c r="E73" s="981">
        <f>-E71/E76</f>
        <v>1.4292585101782167</v>
      </c>
      <c r="F73" s="568"/>
      <c r="G73" s="981">
        <f>-G71/G76</f>
        <v>1.4935765056338386</v>
      </c>
      <c r="H73" s="568"/>
      <c r="I73" s="981">
        <f>-I71/I76</f>
        <v>1.5079239103599702</v>
      </c>
      <c r="J73" s="568"/>
      <c r="K73" s="981">
        <f>-K71/K76</f>
        <v>1.3986779293089662</v>
      </c>
      <c r="L73" s="4"/>
      <c r="M73" s="10"/>
      <c r="N73" s="10"/>
    </row>
    <row r="74" spans="1:14" s="503" customFormat="1" ht="18.75" customHeight="1">
      <c r="A74"/>
      <c r="B74" s="554" t="s">
        <v>2690</v>
      </c>
      <c r="C74" s="982">
        <f>C77/C63</f>
        <v>0.46859909551400708</v>
      </c>
      <c r="D74" s="569"/>
      <c r="E74" s="982">
        <f>E77/E63</f>
        <v>0.3917830827894736</v>
      </c>
      <c r="F74" s="569"/>
      <c r="G74" s="982">
        <f>G77/G63</f>
        <v>0.44247139193829516</v>
      </c>
      <c r="H74" s="569"/>
      <c r="I74" s="982">
        <f>I77/I63</f>
        <v>0.46126600320300559</v>
      </c>
      <c r="J74" s="569"/>
      <c r="K74" s="982">
        <f>K77/K63</f>
        <v>0.3539920627645009</v>
      </c>
      <c r="L74" s="26"/>
      <c r="M74"/>
      <c r="N74"/>
    </row>
    <row r="75" spans="1:14" s="503" customFormat="1" ht="24" customHeight="1">
      <c r="A75"/>
      <c r="B75" s="554"/>
      <c r="C75" s="555"/>
      <c r="D75" s="555"/>
      <c r="E75" s="555"/>
      <c r="F75" s="555"/>
      <c r="G75" s="555"/>
      <c r="H75" s="555"/>
      <c r="I75" s="555"/>
      <c r="J75" s="555"/>
      <c r="K75" s="555"/>
      <c r="L75" s="26"/>
      <c r="M75"/>
      <c r="N75"/>
    </row>
    <row r="76" spans="1:14" s="503" customFormat="1" ht="18.75" customHeight="1">
      <c r="A76"/>
      <c r="B76" s="554" t="s">
        <v>2691</v>
      </c>
      <c r="C76" s="555">
        <f>+SUM('Part VI-Pro Forma'!B26:B29)</f>
        <v>-954834.70784430217</v>
      </c>
      <c r="D76" s="555"/>
      <c r="E76" s="555">
        <f>$C$76</f>
        <v>-954834.70784430217</v>
      </c>
      <c r="F76" s="555"/>
      <c r="G76" s="555">
        <f>$C$76</f>
        <v>-954834.70784430217</v>
      </c>
      <c r="H76" s="555"/>
      <c r="I76" s="555">
        <f>$C$76</f>
        <v>-954834.70784430217</v>
      </c>
      <c r="J76" s="555"/>
      <c r="K76" s="555">
        <f>$C$76</f>
        <v>-954834.70784430217</v>
      </c>
      <c r="L76" s="26"/>
      <c r="M76"/>
      <c r="N76"/>
    </row>
    <row r="77" spans="1:14" s="503" customFormat="1" ht="18.75" customHeight="1">
      <c r="A77"/>
      <c r="B77" s="554" t="s">
        <v>1095</v>
      </c>
      <c r="C77" s="555">
        <f>C71+C76</f>
        <v>490233.37855569774</v>
      </c>
      <c r="D77" s="555"/>
      <c r="E77" s="555">
        <f>E71+E76</f>
        <v>409870.92415569804</v>
      </c>
      <c r="F77" s="555"/>
      <c r="G77" s="555">
        <f>G71+G76</f>
        <v>471283.97855569783</v>
      </c>
      <c r="H77" s="555"/>
      <c r="I77" s="555">
        <f>I71+I76</f>
        <v>484983.37855569774</v>
      </c>
      <c r="J77" s="555"/>
      <c r="K77" s="555">
        <f>K71+K76</f>
        <v>380671.52415569813</v>
      </c>
      <c r="L77" s="26"/>
      <c r="M77"/>
      <c r="N77"/>
    </row>
    <row r="78" spans="1:14" s="503" customFormat="1" ht="15" hidden="1">
      <c r="A78"/>
      <c r="B78" s="554" t="s">
        <v>2692</v>
      </c>
      <c r="C78" s="570" t="e">
        <f>PV(intrate/12,30*12,C76/12,0)</f>
        <v>#NAME?</v>
      </c>
      <c r="D78" s="554"/>
      <c r="E78" s="570" t="e">
        <f>PV(intrate/12,30*12,E76/12,0)</f>
        <v>#NAME?</v>
      </c>
      <c r="F78" s="554"/>
      <c r="G78" s="570" t="e">
        <f>PV(intrate/12,30*12,G76/12,0)</f>
        <v>#NAME?</v>
      </c>
      <c r="H78" s="554"/>
      <c r="I78" s="570" t="e">
        <f>PV(intrate/12,30*12,I76/12,0)</f>
        <v>#NAME?</v>
      </c>
      <c r="J78" s="554"/>
      <c r="K78" s="570" t="e">
        <f>PV(intrate/12,30*12,K76/12,0)</f>
        <v>#NAME?</v>
      </c>
      <c r="L78" s="26"/>
      <c r="M78"/>
      <c r="N78"/>
    </row>
    <row r="79" spans="1:14" s="503" customFormat="1" ht="15.6" hidden="1">
      <c r="A79"/>
      <c r="B79" s="571" t="s">
        <v>2693</v>
      </c>
      <c r="C79" s="554"/>
      <c r="D79" s="554"/>
      <c r="E79" s="554"/>
      <c r="F79" s="554"/>
      <c r="G79" s="554"/>
      <c r="H79" s="554"/>
      <c r="I79" s="554"/>
      <c r="J79" s="554"/>
      <c r="K79" s="554"/>
      <c r="L79" s="26"/>
      <c r="M79"/>
      <c r="N79"/>
    </row>
    <row r="80" spans="1:14" s="503" customFormat="1" ht="15" hidden="1">
      <c r="A80"/>
      <c r="B80" s="554"/>
      <c r="C80" s="554"/>
      <c r="D80" s="554"/>
      <c r="E80" s="554"/>
      <c r="F80" s="554"/>
      <c r="G80" s="554"/>
      <c r="H80" s="554"/>
      <c r="I80" s="554"/>
      <c r="J80" s="554"/>
      <c r="K80" s="554"/>
      <c r="L80" s="26"/>
      <c r="M80"/>
      <c r="N80"/>
    </row>
    <row r="81" spans="1:14" s="503" customFormat="1" ht="15.6" hidden="1" thickBot="1">
      <c r="A81"/>
      <c r="B81" s="554" t="s">
        <v>2694</v>
      </c>
      <c r="C81" s="570" t="e">
        <f>MIN(C78,E78,G78,I78,K78)</f>
        <v>#NAME?</v>
      </c>
      <c r="D81" s="554"/>
      <c r="E81" s="554" t="s">
        <v>2695</v>
      </c>
      <c r="F81" s="572">
        <v>0.06</v>
      </c>
      <c r="G81" s="26"/>
      <c r="H81" s="26"/>
      <c r="I81" s="26"/>
      <c r="J81" s="26"/>
      <c r="K81" s="26"/>
      <c r="L81" s="26"/>
      <c r="M81"/>
      <c r="N81"/>
    </row>
    <row r="82" spans="1:14" s="503" customFormat="1" ht="15" hidden="1">
      <c r="A82"/>
      <c r="B82" s="554" t="s">
        <v>1606</v>
      </c>
      <c r="C82" s="570" t="e">
        <f>MAX(C78,E78,G78,I78,K78)</f>
        <v>#NAME?</v>
      </c>
      <c r="D82" s="554"/>
      <c r="E82" s="554"/>
      <c r="F82" s="554"/>
      <c r="G82" s="26"/>
      <c r="H82" s="26"/>
      <c r="I82" s="26"/>
      <c r="J82" s="26"/>
      <c r="K82" s="26"/>
      <c r="L82" s="26"/>
      <c r="M82"/>
      <c r="N82"/>
    </row>
    <row r="83" spans="1:14" s="503" customFormat="1" ht="15">
      <c r="A83"/>
      <c r="B83" s="554"/>
      <c r="C83" s="554"/>
      <c r="D83" s="554"/>
      <c r="E83" s="554" t="s">
        <v>233</v>
      </c>
      <c r="F83" s="554"/>
      <c r="G83" s="26"/>
      <c r="H83" s="26"/>
      <c r="I83" s="26"/>
      <c r="J83" s="26"/>
      <c r="K83" s="26"/>
      <c r="L83" s="26"/>
      <c r="M83"/>
      <c r="N83"/>
    </row>
    <row r="84" spans="1:14" s="503" customFormat="1" ht="15">
      <c r="A84"/>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33203125" defaultRowHeight="13.2"/>
  <cols>
    <col min="1" max="1" width="24.6640625" style="936" customWidth="1"/>
    <col min="2" max="2" width="13.6640625" style="936" customWidth="1"/>
    <col min="3" max="11" width="10.5546875" style="936" customWidth="1"/>
    <col min="12" max="12" width="9.6640625" style="936" customWidth="1"/>
    <col min="13" max="21" width="10.5546875" style="936" customWidth="1"/>
    <col min="22" max="16384" width="9.33203125" style="936"/>
  </cols>
  <sheetData>
    <row r="1" spans="1:7" ht="3" customHeight="1"/>
    <row r="2" spans="1:7">
      <c r="A2" s="935" t="s">
        <v>3325</v>
      </c>
    </row>
    <row r="3" spans="1:7" ht="3" customHeight="1"/>
    <row r="4" spans="1:7">
      <c r="A4" s="936" t="s">
        <v>3326</v>
      </c>
      <c r="B4" s="937">
        <f>'Part III-A-Uses of Funds'!G147</f>
        <v>34718294.853922151</v>
      </c>
    </row>
    <row r="5" spans="1:7">
      <c r="A5" s="936" t="s">
        <v>3357</v>
      </c>
      <c r="B5" s="937">
        <f>+B18+B26+B38</f>
        <v>9619239.7772049643</v>
      </c>
    </row>
    <row r="6" spans="1:7">
      <c r="A6" s="936" t="s">
        <v>3327</v>
      </c>
      <c r="B6" s="938">
        <f>+B5-B4</f>
        <v>-25099055.076717187</v>
      </c>
    </row>
    <row r="7" spans="1:7">
      <c r="A7" s="936" t="s">
        <v>3328</v>
      </c>
      <c r="B7" s="939">
        <f>+B6/B4</f>
        <v>-0.72293455604089751</v>
      </c>
    </row>
    <row r="8" spans="1:7" ht="9" customHeight="1"/>
    <row r="9" spans="1:7">
      <c r="A9" s="936" t="s">
        <v>3329</v>
      </c>
      <c r="B9" s="937">
        <f>+B18+B26+B33</f>
        <v>9619239.7772049643</v>
      </c>
    </row>
    <row r="10" spans="1:7">
      <c r="A10" s="936" t="s">
        <v>3327</v>
      </c>
      <c r="B10" s="938">
        <f>+B9-B4</f>
        <v>-25099055.076717187</v>
      </c>
    </row>
    <row r="11" spans="1:7">
      <c r="A11" s="936" t="s">
        <v>3328</v>
      </c>
      <c r="B11" s="939">
        <f>+B10/B4</f>
        <v>-0.72293455604089751</v>
      </c>
    </row>
    <row r="12" spans="1:7" ht="24" customHeight="1"/>
    <row r="13" spans="1:7">
      <c r="A13" s="935" t="s">
        <v>3330</v>
      </c>
      <c r="D13" s="987" t="s">
        <v>3542</v>
      </c>
      <c r="E13" s="988"/>
    </row>
    <row r="14" spans="1:7">
      <c r="A14" s="936" t="s">
        <v>3331</v>
      </c>
      <c r="B14" s="940">
        <f>+SUM('Part II-Sources of Funds'!L53:M54)</f>
        <v>19416628</v>
      </c>
      <c r="D14" s="988"/>
      <c r="E14" s="988"/>
    </row>
    <row r="15" spans="1:7">
      <c r="A15" s="936" t="s">
        <v>3332</v>
      </c>
      <c r="B15" s="941">
        <f>+'Part III-A-Uses of Funds'!J181</f>
        <v>2021829.4853922152</v>
      </c>
      <c r="D15" s="988" t="s">
        <v>1889</v>
      </c>
      <c r="G15" s="989">
        <f>'Part III-A-Uses of Funds'!J169</f>
        <v>0</v>
      </c>
    </row>
    <row r="16" spans="1:7" ht="12.75" customHeight="1">
      <c r="D16" s="988" t="s">
        <v>3543</v>
      </c>
      <c r="G16" s="993">
        <v>3.2800000000000003E-2</v>
      </c>
    </row>
    <row r="17" spans="1:7" ht="12.75" customHeight="1">
      <c r="A17" s="936" t="s">
        <v>3333</v>
      </c>
      <c r="B17" s="992">
        <v>1.45</v>
      </c>
      <c r="D17" s="988" t="s">
        <v>3544</v>
      </c>
      <c r="G17" s="994">
        <v>1.45</v>
      </c>
    </row>
    <row r="18" spans="1:7" ht="12.75" customHeight="1">
      <c r="A18" s="936" t="s">
        <v>3334</v>
      </c>
      <c r="B18" s="942">
        <f>+'Part III-A-Uses of Funds'!J191*B17*10</f>
        <v>0</v>
      </c>
      <c r="D18" s="988" t="s">
        <v>3545</v>
      </c>
      <c r="G18" s="994">
        <v>3.28</v>
      </c>
    </row>
    <row r="19" spans="1:7" ht="12.75" customHeight="1">
      <c r="D19" s="988" t="s">
        <v>3546</v>
      </c>
      <c r="G19" s="990">
        <f>+G15*G16*G17*10</f>
        <v>0</v>
      </c>
    </row>
    <row r="20" spans="1:7">
      <c r="A20" s="936" t="s">
        <v>3335</v>
      </c>
      <c r="B20" s="940">
        <f>+B18-B14</f>
        <v>-19416628</v>
      </c>
      <c r="D20" s="988" t="s">
        <v>3547</v>
      </c>
      <c r="G20" s="991">
        <f>+B14-G19</f>
        <v>19416628</v>
      </c>
    </row>
    <row r="21" spans="1:7">
      <c r="A21" s="936" t="s">
        <v>3336</v>
      </c>
      <c r="B21" s="939">
        <f>+B20/B14</f>
        <v>-1</v>
      </c>
      <c r="D21" s="988" t="s">
        <v>3548</v>
      </c>
      <c r="G21" s="988" t="str">
        <f>+IF(G20&gt;(B28+B35),"No","Yes")</f>
        <v>No</v>
      </c>
    </row>
    <row r="22" spans="1:7" ht="24" customHeight="1"/>
    <row r="23" spans="1:7">
      <c r="A23" s="935" t="s">
        <v>3337</v>
      </c>
    </row>
    <row r="24" spans="1:7">
      <c r="A24" s="936" t="s">
        <v>3338</v>
      </c>
      <c r="B24" s="943">
        <f>+SUM('Part II-Sources of Funds'!I42:J45)</f>
        <v>14500000</v>
      </c>
    </row>
    <row r="25" spans="1:7">
      <c r="A25" s="936" t="s">
        <v>3339</v>
      </c>
      <c r="B25" s="944">
        <f>IF('Part II-Sources of Funds'!E6="Yes","N/A",MAX(B46:P46))</f>
        <v>-38827.030822364497</v>
      </c>
    </row>
    <row r="26" spans="1:7">
      <c r="A26" s="936" t="s">
        <v>3340</v>
      </c>
      <c r="B26" s="934">
        <f>IFERROR(PV('Part II-Sources of Funds'!K42,'Part II-Sources of Funds'!L42,B25+B45),B24)</f>
        <v>9619239.7772049643</v>
      </c>
    </row>
    <row r="27" spans="1:7" ht="9" customHeight="1">
      <c r="B27" s="934"/>
    </row>
    <row r="28" spans="1:7">
      <c r="A28" s="936" t="s">
        <v>3341</v>
      </c>
      <c r="B28" s="945">
        <f>+B26-B24</f>
        <v>-4880760.2227950357</v>
      </c>
      <c r="C28" s="946"/>
    </row>
    <row r="29" spans="1:7">
      <c r="A29" s="936" t="s">
        <v>3336</v>
      </c>
      <c r="B29" s="947">
        <f>+B28/B24</f>
        <v>-0.33660415329620935</v>
      </c>
    </row>
    <row r="30" spans="1:7" ht="24" customHeight="1"/>
    <row r="31" spans="1:7">
      <c r="A31" s="935" t="s">
        <v>3271</v>
      </c>
    </row>
    <row r="32" spans="1:7">
      <c r="A32" s="936" t="s">
        <v>3342</v>
      </c>
      <c r="B32" s="948">
        <f>+'Part II-Sources of Funds'!I47</f>
        <v>801667</v>
      </c>
    </row>
    <row r="33" spans="1:11">
      <c r="A33" s="936" t="s">
        <v>3343</v>
      </c>
      <c r="B33" s="934"/>
    </row>
    <row r="34" spans="1:11" ht="9" customHeight="1">
      <c r="B34" s="934"/>
    </row>
    <row r="35" spans="1:11">
      <c r="A35" s="936" t="s">
        <v>3344</v>
      </c>
      <c r="B35" s="948">
        <f>+B33-B32</f>
        <v>-801667</v>
      </c>
    </row>
    <row r="36" spans="1:11">
      <c r="A36" s="936" t="s">
        <v>3345</v>
      </c>
      <c r="B36" s="933">
        <f>+B35/B32</f>
        <v>-1</v>
      </c>
    </row>
    <row r="37" spans="1:11" ht="24" customHeight="1">
      <c r="B37" s="934"/>
    </row>
    <row r="38" spans="1:11">
      <c r="A38" s="935" t="s">
        <v>3346</v>
      </c>
      <c r="B38" s="934">
        <f>+SUM('Part II-Sources of Funds'!I46,'Part II-Sources of Funds'!I51,'Part II-Sources of Funds'!I52,'Part II-Sources of Funds'!I55:I61)</f>
        <v>0</v>
      </c>
    </row>
    <row r="39" spans="1:11">
      <c r="B39" s="934"/>
    </row>
    <row r="40" spans="1:11">
      <c r="B40" s="934"/>
    </row>
    <row r="41" spans="1:11">
      <c r="B41" s="934"/>
    </row>
    <row r="42" spans="1:11">
      <c r="A42" s="935" t="s">
        <v>3347</v>
      </c>
      <c r="B42" s="934"/>
    </row>
    <row r="43" spans="1:11">
      <c r="A43" s="936" t="s">
        <v>2277</v>
      </c>
      <c r="B43" s="995">
        <v>1</v>
      </c>
      <c r="C43" s="995">
        <v>2</v>
      </c>
      <c r="D43" s="995">
        <v>3</v>
      </c>
      <c r="E43" s="995">
        <v>4</v>
      </c>
      <c r="F43" s="995">
        <v>5</v>
      </c>
      <c r="G43" s="995">
        <v>6</v>
      </c>
      <c r="H43" s="995">
        <v>7</v>
      </c>
      <c r="I43" s="995">
        <v>8</v>
      </c>
      <c r="J43" s="995">
        <v>9</v>
      </c>
      <c r="K43" s="995">
        <v>10</v>
      </c>
    </row>
    <row r="44" spans="1:11">
      <c r="A44" s="936" t="s">
        <v>1128</v>
      </c>
      <c r="B44" s="937">
        <f>+'Part VI-Pro Forma'!B25</f>
        <v>1192394.0863999999</v>
      </c>
      <c r="C44" s="937">
        <f>+'Part VI-Pro Forma'!C25</f>
        <v>1204747.7681279997</v>
      </c>
      <c r="D44" s="937">
        <f>+'Part VI-Pro Forma'!D25</f>
        <v>1217004.5130905597</v>
      </c>
      <c r="E44" s="937">
        <f>+'Part VI-Pro Forma'!E25</f>
        <v>1229151.218240371</v>
      </c>
      <c r="F44" s="937">
        <f>+'Part VI-Pro Forma'!F25</f>
        <v>1241174.2481398184</v>
      </c>
      <c r="G44" s="937">
        <f>+'Part VI-Pro Forma'!G25</f>
        <v>1253061.4150032944</v>
      </c>
      <c r="H44" s="937">
        <f>+'Part VI-Pro Forma'!H25</f>
        <v>1264798.9580610595</v>
      </c>
      <c r="I44" s="937">
        <f>+'Part VI-Pro Forma'!I25</f>
        <v>1276370.5222227108</v>
      </c>
      <c r="J44" s="937">
        <f>+'Part VI-Pro Forma'!J25</f>
        <v>1287762.1360176094</v>
      </c>
      <c r="K44" s="937">
        <f>+'Part VI-Pro Forma'!K25</f>
        <v>1298958.1887889181</v>
      </c>
    </row>
    <row r="45" spans="1:11">
      <c r="A45" s="936" t="s">
        <v>3348</v>
      </c>
      <c r="B45" s="937">
        <f>SUM('Part VI-Pro Forma'!B26:B29)</f>
        <v>-954834.70784430217</v>
      </c>
      <c r="C45" s="937">
        <f>SUM('Part VI-Pro Forma'!C26:C29)</f>
        <v>-954834.70784430217</v>
      </c>
      <c r="D45" s="937">
        <f>SUM('Part VI-Pro Forma'!D26:D29)</f>
        <v>-954834.70784430217</v>
      </c>
      <c r="E45" s="937">
        <f>SUM('Part VI-Pro Forma'!E26:E29)</f>
        <v>-954834.70784430217</v>
      </c>
      <c r="F45" s="937">
        <f>SUM('Part VI-Pro Forma'!F26:F29)</f>
        <v>-954834.70784430217</v>
      </c>
      <c r="G45" s="937">
        <f>SUM('Part VI-Pro Forma'!G26:G29)</f>
        <v>-954834.70784430217</v>
      </c>
      <c r="H45" s="937">
        <f>SUM('Part VI-Pro Forma'!H26:H29)</f>
        <v>-954834.70784430217</v>
      </c>
      <c r="I45" s="937">
        <f>SUM('Part VI-Pro Forma'!I26:I29)</f>
        <v>-954834.70784430217</v>
      </c>
      <c r="J45" s="937">
        <f>SUM('Part VI-Pro Forma'!J26:J29)</f>
        <v>-954834.70784430217</v>
      </c>
      <c r="K45" s="937">
        <f>SUM('Part VI-Pro Forma'!K26:K29)</f>
        <v>-954834.70784430217</v>
      </c>
    </row>
    <row r="46" spans="1:11">
      <c r="A46" s="936" t="s">
        <v>3349</v>
      </c>
      <c r="B46" s="938">
        <f t="shared" ref="B46:K46" si="0">-B44/B48-B45</f>
        <v>-38827.030822364497</v>
      </c>
      <c r="C46" s="938">
        <f t="shared" si="0"/>
        <v>-49121.765595697681</v>
      </c>
      <c r="D46" s="938">
        <f t="shared" si="0"/>
        <v>-59335.719731164281</v>
      </c>
      <c r="E46" s="938">
        <f t="shared" si="0"/>
        <v>-69457.974022673676</v>
      </c>
      <c r="F46" s="938">
        <f t="shared" si="0"/>
        <v>-79477.165605546557</v>
      </c>
      <c r="G46" s="938">
        <f t="shared" si="0"/>
        <v>-89383.137991776457</v>
      </c>
      <c r="H46" s="938">
        <f t="shared" si="0"/>
        <v>-99164.423873247462</v>
      </c>
      <c r="I46" s="938">
        <f t="shared" si="0"/>
        <v>-108807.39400795696</v>
      </c>
      <c r="J46" s="938">
        <f t="shared" si="0"/>
        <v>-118300.40550370573</v>
      </c>
      <c r="K46" s="938">
        <f t="shared" si="0"/>
        <v>-127630.44947979634</v>
      </c>
    </row>
    <row r="48" spans="1:11">
      <c r="A48" s="936" t="s">
        <v>3350</v>
      </c>
      <c r="B48" s="936">
        <f>IF(B82="NC",1.2,1.25)</f>
        <v>1.2</v>
      </c>
      <c r="C48" s="936">
        <f>+B48</f>
        <v>1.2</v>
      </c>
      <c r="D48" s="936">
        <f t="shared" ref="D48:K48" si="1">+C48</f>
        <v>1.2</v>
      </c>
      <c r="E48" s="936">
        <f t="shared" si="1"/>
        <v>1.2</v>
      </c>
      <c r="F48" s="936">
        <f t="shared" si="1"/>
        <v>1.2</v>
      </c>
      <c r="G48" s="936">
        <f t="shared" si="1"/>
        <v>1.2</v>
      </c>
      <c r="H48" s="936">
        <f t="shared" si="1"/>
        <v>1.2</v>
      </c>
      <c r="I48" s="936">
        <f t="shared" si="1"/>
        <v>1.2</v>
      </c>
      <c r="J48" s="936">
        <f t="shared" si="1"/>
        <v>1.2</v>
      </c>
      <c r="K48" s="936">
        <f t="shared" si="1"/>
        <v>1.2</v>
      </c>
    </row>
    <row r="50" spans="1:17">
      <c r="A50" s="935" t="s">
        <v>1095</v>
      </c>
    </row>
    <row r="51" spans="1:17">
      <c r="A51" s="936" t="s">
        <v>1128</v>
      </c>
      <c r="B51" s="938">
        <f>+B44</f>
        <v>1192394.0863999999</v>
      </c>
      <c r="C51" s="938">
        <f t="shared" ref="C51:K51" si="2">+C44</f>
        <v>1204747.7681279997</v>
      </c>
      <c r="D51" s="938">
        <f t="shared" si="2"/>
        <v>1217004.5130905597</v>
      </c>
      <c r="E51" s="938">
        <f t="shared" si="2"/>
        <v>1229151.218240371</v>
      </c>
      <c r="F51" s="938">
        <f t="shared" si="2"/>
        <v>1241174.2481398184</v>
      </c>
      <c r="G51" s="938">
        <f t="shared" si="2"/>
        <v>1253061.4150032944</v>
      </c>
      <c r="H51" s="938">
        <f t="shared" si="2"/>
        <v>1264798.9580610595</v>
      </c>
      <c r="I51" s="938">
        <f t="shared" si="2"/>
        <v>1276370.5222227108</v>
      </c>
      <c r="J51" s="938">
        <f t="shared" si="2"/>
        <v>1287762.1360176094</v>
      </c>
      <c r="K51" s="938">
        <f t="shared" si="2"/>
        <v>1298958.1887889181</v>
      </c>
    </row>
    <row r="52" spans="1:17">
      <c r="A52" s="936" t="s">
        <v>3351</v>
      </c>
      <c r="B52" s="938">
        <f>IF($B$25="N/A",B45,B45+$B$25)</f>
        <v>-993661.73866666667</v>
      </c>
      <c r="C52" s="938">
        <f t="shared" ref="C52:K52" si="3">IF($B$25="N/A",C45,C45+$B$25)</f>
        <v>-993661.73866666667</v>
      </c>
      <c r="D52" s="938">
        <f t="shared" si="3"/>
        <v>-993661.73866666667</v>
      </c>
      <c r="E52" s="938">
        <f t="shared" si="3"/>
        <v>-993661.73866666667</v>
      </c>
      <c r="F52" s="938">
        <f t="shared" si="3"/>
        <v>-993661.73866666667</v>
      </c>
      <c r="G52" s="938">
        <f t="shared" si="3"/>
        <v>-993661.73866666667</v>
      </c>
      <c r="H52" s="938">
        <f t="shared" si="3"/>
        <v>-993661.73866666667</v>
      </c>
      <c r="I52" s="938">
        <f t="shared" si="3"/>
        <v>-993661.73866666667</v>
      </c>
      <c r="J52" s="938">
        <f t="shared" si="3"/>
        <v>-993661.73866666667</v>
      </c>
      <c r="K52" s="938">
        <f t="shared" si="3"/>
        <v>-993661.73866666667</v>
      </c>
    </row>
    <row r="53" spans="1:17">
      <c r="A53" s="936" t="s">
        <v>3352</v>
      </c>
      <c r="B53" s="937">
        <f>+'Part VI-Pro Forma'!B31</f>
        <v>-7500</v>
      </c>
      <c r="C53" s="937">
        <f>+'Part VI-Pro Forma'!C31</f>
        <v>-7500</v>
      </c>
      <c r="D53" s="937">
        <f>+'Part VI-Pro Forma'!D31</f>
        <v>-7500</v>
      </c>
      <c r="E53" s="937">
        <f>+'Part VI-Pro Forma'!E31</f>
        <v>-7500</v>
      </c>
      <c r="F53" s="937">
        <f>+'Part VI-Pro Forma'!F31</f>
        <v>-7500</v>
      </c>
      <c r="G53" s="937">
        <f>+'Part VI-Pro Forma'!G31</f>
        <v>-7500</v>
      </c>
      <c r="H53" s="937">
        <f>+'Part VI-Pro Forma'!H31</f>
        <v>-7500</v>
      </c>
      <c r="I53" s="937">
        <f>+'Part VI-Pro Forma'!I31</f>
        <v>-7500</v>
      </c>
      <c r="J53" s="937">
        <f>+'Part VI-Pro Forma'!J31</f>
        <v>-7500</v>
      </c>
      <c r="K53" s="937">
        <f>+'Part VI-Pro Forma'!K31</f>
        <v>-7500</v>
      </c>
    </row>
    <row r="54" spans="1:17">
      <c r="A54" s="936" t="s">
        <v>3353</v>
      </c>
      <c r="B54" s="938">
        <f>+SUM(B51:B53)</f>
        <v>191232.34773333324</v>
      </c>
      <c r="C54" s="938">
        <f t="shared" ref="C54:K54" si="4">+SUM(C51:C53)</f>
        <v>203586.02946133306</v>
      </c>
      <c r="D54" s="938">
        <f t="shared" si="4"/>
        <v>215842.77442389308</v>
      </c>
      <c r="E54" s="938">
        <f t="shared" si="4"/>
        <v>227989.4795737043</v>
      </c>
      <c r="F54" s="938">
        <f t="shared" si="4"/>
        <v>240012.50947315176</v>
      </c>
      <c r="G54" s="938">
        <f t="shared" si="4"/>
        <v>251899.67633662769</v>
      </c>
      <c r="H54" s="938">
        <f t="shared" si="4"/>
        <v>263637.2193943928</v>
      </c>
      <c r="I54" s="938">
        <f t="shared" si="4"/>
        <v>275208.7835560441</v>
      </c>
      <c r="J54" s="938">
        <f t="shared" si="4"/>
        <v>286600.39735094272</v>
      </c>
      <c r="K54" s="938">
        <f t="shared" si="4"/>
        <v>297796.45012225141</v>
      </c>
    </row>
    <row r="55" spans="1:17">
      <c r="A55" s="936" t="s">
        <v>3271</v>
      </c>
      <c r="B55" s="938">
        <f>-B54</f>
        <v>-191232.34773333324</v>
      </c>
      <c r="C55" s="938">
        <f t="shared" ref="C55:K55" si="5">-C54</f>
        <v>-203586.02946133306</v>
      </c>
      <c r="D55" s="938">
        <f t="shared" si="5"/>
        <v>-215842.77442389308</v>
      </c>
      <c r="E55" s="938">
        <f t="shared" si="5"/>
        <v>-227989.4795737043</v>
      </c>
      <c r="F55" s="938">
        <f t="shared" si="5"/>
        <v>-240012.50947315176</v>
      </c>
      <c r="G55" s="938">
        <f t="shared" si="5"/>
        <v>-251899.67633662769</v>
      </c>
      <c r="H55" s="938">
        <f t="shared" si="5"/>
        <v>-263637.2193943928</v>
      </c>
      <c r="I55" s="938">
        <f t="shared" si="5"/>
        <v>-275208.7835560441</v>
      </c>
      <c r="J55" s="938">
        <f t="shared" si="5"/>
        <v>-286600.39735094272</v>
      </c>
      <c r="K55" s="938">
        <f t="shared" si="5"/>
        <v>-297796.45012225141</v>
      </c>
    </row>
    <row r="56" spans="1:17">
      <c r="A56" s="936" t="s">
        <v>3354</v>
      </c>
      <c r="B56" s="938">
        <f>+B54+B55</f>
        <v>0</v>
      </c>
      <c r="C56" s="938">
        <f t="shared" ref="C56:K56" si="6">+C54+C55</f>
        <v>0</v>
      </c>
      <c r="D56" s="938">
        <f t="shared" si="6"/>
        <v>0</v>
      </c>
      <c r="E56" s="938">
        <f t="shared" si="6"/>
        <v>0</v>
      </c>
      <c r="F56" s="938">
        <f t="shared" si="6"/>
        <v>0</v>
      </c>
      <c r="G56" s="938">
        <f t="shared" si="6"/>
        <v>0</v>
      </c>
      <c r="H56" s="938">
        <f t="shared" si="6"/>
        <v>0</v>
      </c>
      <c r="I56" s="938">
        <f t="shared" si="6"/>
        <v>0</v>
      </c>
      <c r="J56" s="938">
        <f t="shared" si="6"/>
        <v>0</v>
      </c>
      <c r="K56" s="938">
        <f t="shared" si="6"/>
        <v>0</v>
      </c>
    </row>
    <row r="58" spans="1:17">
      <c r="A58" s="936" t="s">
        <v>3355</v>
      </c>
      <c r="B58" s="937">
        <f>IF($B$26="","",-FV('Part II-Sources of Funds'!$K$42/12,12,B52/12,B26))</f>
        <v>9195931.963227544</v>
      </c>
      <c r="C58" s="937">
        <f>IF($B$26="","",-FV('Part II-Sources of Funds'!$K$42/12,12,C52/12,C26))</f>
        <v>-1021683.4963741371</v>
      </c>
      <c r="D58" s="937">
        <f>IF($B$26="","",-FV('Part II-Sources of Funds'!$K$42/12,12,D52/12,D26))</f>
        <v>-1021683.4963741371</v>
      </c>
      <c r="E58" s="937">
        <f>IF($B$26="","",-FV('Part II-Sources of Funds'!$K$42/12,12,E52/12,E26))</f>
        <v>-1021683.4963741371</v>
      </c>
      <c r="F58" s="937">
        <f>IF($B$26="","",-FV('Part II-Sources of Funds'!$K$42/12,12,F52/12,F26))</f>
        <v>-1021683.4963741371</v>
      </c>
      <c r="G58" s="937">
        <f>IF($B$26="","",-FV('Part II-Sources of Funds'!$K$42/12,12,G52/12,G26))</f>
        <v>-1021683.4963741371</v>
      </c>
      <c r="H58" s="937">
        <f>IF($B$26="","",-FV('Part II-Sources of Funds'!$K$42/12,12,H52/12,H26))</f>
        <v>-1021683.4963741371</v>
      </c>
      <c r="I58" s="937">
        <f>IF($B$26="","",-FV('Part II-Sources of Funds'!$K$42/12,12,I52/12,I26))</f>
        <v>-1021683.4963741371</v>
      </c>
      <c r="J58" s="937">
        <f>IF($B$26="","",-FV('Part II-Sources of Funds'!$K$42/12,12,J52/12,J26))</f>
        <v>-1021683.4963741371</v>
      </c>
      <c r="K58" s="937">
        <f>IF($B$26="","",-FV('Part II-Sources of Funds'!$K$42/12,12,K52/12,K26))</f>
        <v>-1021683.4963741371</v>
      </c>
    </row>
    <row r="59" spans="1:17">
      <c r="A59" s="936" t="s">
        <v>3272</v>
      </c>
      <c r="B59" s="937" t="str">
        <f>IF(B33="","",-FV(#REF!/12,12,B55/12,B33))</f>
        <v/>
      </c>
      <c r="C59" s="937" t="str">
        <f>IF($B$33="","",-FV(#REF!/12,12,C55/12,B59))</f>
        <v/>
      </c>
      <c r="D59" s="937" t="str">
        <f>IF($B$33="","",-FV(#REF!/12,12,D55/12,C59))</f>
        <v/>
      </c>
      <c r="E59" s="937" t="str">
        <f>IF($B$33="","",-FV(#REF!/12,12,E55/12,D59))</f>
        <v/>
      </c>
      <c r="F59" s="937" t="str">
        <f>IF($B$33="","",-FV(#REF!/12,12,F55/12,E59))</f>
        <v/>
      </c>
      <c r="G59" s="937" t="str">
        <f>IF($B$33="","",-FV(#REF!/12,12,G55/12,F59))</f>
        <v/>
      </c>
      <c r="H59" s="937" t="str">
        <f>IF($B$33="","",-FV(#REF!/12,12,H55/12,G59))</f>
        <v/>
      </c>
      <c r="I59" s="937" t="str">
        <f>IF($B$33="","",-FV(#REF!/12,12,I55/12,H59))</f>
        <v/>
      </c>
      <c r="J59" s="937" t="str">
        <f>IF($B$33="","",-FV(#REF!/12,12,J55/12,I59))</f>
        <v/>
      </c>
      <c r="K59" s="937" t="str">
        <f>IF($B$33="","",-FV(#REF!/12,12,K55/12,J59))</f>
        <v/>
      </c>
      <c r="L59" s="937" t="str">
        <f>IF($B$33="","",-FV(#REF!/12,12,B75/12,K59))</f>
        <v/>
      </c>
      <c r="M59" s="937" t="str">
        <f>IF($B$33="","",-FV(#REF!/12,12,C75/12,L59))</f>
        <v/>
      </c>
      <c r="N59" s="937" t="str">
        <f>IF($B$33="","",-FV(#REF!/12,12,D75/12,M59))</f>
        <v/>
      </c>
      <c r="O59" s="937" t="str">
        <f>IF($B$33="","",-FV(#REF!/12,12,E75/12,N59))</f>
        <v/>
      </c>
      <c r="P59" s="937" t="str">
        <f>IF($B$33="","",-FV(#REF!/12,12,F75/12,O59))</f>
        <v/>
      </c>
      <c r="Q59" s="937"/>
    </row>
    <row r="60" spans="1:17" ht="18.75" customHeight="1"/>
    <row r="61" spans="1:17" ht="18.75" customHeight="1"/>
    <row r="62" spans="1:17">
      <c r="A62" s="935" t="s">
        <v>3347</v>
      </c>
    </row>
    <row r="63" spans="1:17">
      <c r="A63" s="936" t="s">
        <v>2277</v>
      </c>
      <c r="B63" s="995">
        <v>11</v>
      </c>
      <c r="C63" s="995">
        <v>12</v>
      </c>
      <c r="D63" s="995">
        <v>13</v>
      </c>
      <c r="E63" s="995">
        <v>14</v>
      </c>
      <c r="F63" s="995">
        <v>15</v>
      </c>
      <c r="G63" s="995">
        <v>16</v>
      </c>
      <c r="H63" s="995">
        <v>17</v>
      </c>
      <c r="I63" s="995">
        <v>18</v>
      </c>
      <c r="J63" s="995">
        <v>19</v>
      </c>
      <c r="K63" s="995">
        <v>20</v>
      </c>
    </row>
    <row r="64" spans="1:17">
      <c r="A64" s="936" t="s">
        <v>1128</v>
      </c>
      <c r="B64" s="937">
        <f>+'Part VI-Pro Forma'!B57</f>
        <v>1309940.4071171822</v>
      </c>
      <c r="C64" s="937">
        <f>+'Part VI-Pro Forma'!C57</f>
        <v>1320692.8304485851</v>
      </c>
      <c r="D64" s="937">
        <f>+'Part VI-Pro Forma'!D57</f>
        <v>1331196.7859022892</v>
      </c>
      <c r="E64" s="937">
        <f>+'Part VI-Pro Forma'!E57</f>
        <v>1341432.8622304089</v>
      </c>
      <c r="F64" s="937">
        <f>+'Part VI-Pro Forma'!F57</f>
        <v>1351382.8829033929</v>
      </c>
      <c r="G64" s="937">
        <f>+'Part VI-Pro Forma'!G57</f>
        <v>1361024.878292687</v>
      </c>
      <c r="H64" s="937">
        <f>+'Part VI-Pro Forma'!H57</f>
        <v>1370339.0569217063</v>
      </c>
      <c r="I64" s="937">
        <f>+'Part VI-Pro Forma'!I57</f>
        <v>1379301.7757551994</v>
      </c>
      <c r="J64" s="937">
        <f>+'Part VI-Pro Forma'!J57</f>
        <v>1387890.5094962139</v>
      </c>
      <c r="K64" s="937">
        <f>+'Part VI-Pro Forma'!K57</f>
        <v>1396080.8188588261</v>
      </c>
    </row>
    <row r="65" spans="1:11">
      <c r="A65" s="936" t="s">
        <v>3348</v>
      </c>
      <c r="B65" s="937">
        <f>SUM('Part VI-Pro Forma'!B58:B61)</f>
        <v>-954834.70784430217</v>
      </c>
      <c r="C65" s="937">
        <f>SUM('Part VI-Pro Forma'!C58:C61)</f>
        <v>-954834.70784430217</v>
      </c>
      <c r="D65" s="937">
        <f>SUM('Part VI-Pro Forma'!D58:D61)</f>
        <v>-954834.70784430217</v>
      </c>
      <c r="E65" s="937">
        <f>SUM('Part VI-Pro Forma'!E58:E61)</f>
        <v>-954834.70784430217</v>
      </c>
      <c r="F65" s="937">
        <f>SUM('Part VI-Pro Forma'!F58:F61)</f>
        <v>-954834.70784430217</v>
      </c>
      <c r="G65" s="937">
        <f>SUM('Part VI-Pro Forma'!G58:G61)</f>
        <v>-954834.70784430217</v>
      </c>
      <c r="H65" s="937">
        <f>SUM('Part VI-Pro Forma'!H58:H61)</f>
        <v>-954834.70784430217</v>
      </c>
      <c r="I65" s="937">
        <f>SUM('Part VI-Pro Forma'!I58:I61)</f>
        <v>-954834.70784430217</v>
      </c>
      <c r="J65" s="937">
        <f>SUM('Part VI-Pro Forma'!J58:J61)</f>
        <v>-954834.70784430217</v>
      </c>
      <c r="K65" s="937">
        <f>SUM('Part VI-Pro Forma'!K58:K61)</f>
        <v>-954834.70784430217</v>
      </c>
    </row>
    <row r="66" spans="1:11">
      <c r="A66" s="936" t="s">
        <v>3349</v>
      </c>
      <c r="B66" s="938">
        <f t="shared" ref="B66:K66" si="7">-B64/B68-B65</f>
        <v>-136782.29808668292</v>
      </c>
      <c r="C66" s="938">
        <f t="shared" si="7"/>
        <v>-145742.65086285223</v>
      </c>
      <c r="D66" s="938">
        <f t="shared" si="7"/>
        <v>-154495.94707427232</v>
      </c>
      <c r="E66" s="938">
        <f t="shared" si="7"/>
        <v>-163026.01068103861</v>
      </c>
      <c r="F66" s="938">
        <f t="shared" si="7"/>
        <v>-171317.69457519206</v>
      </c>
      <c r="G66" s="938">
        <f t="shared" si="7"/>
        <v>-179352.69073293696</v>
      </c>
      <c r="H66" s="938">
        <f t="shared" si="7"/>
        <v>-187114.5062571197</v>
      </c>
      <c r="I66" s="938">
        <f t="shared" si="7"/>
        <v>-194583.43861836393</v>
      </c>
      <c r="J66" s="938">
        <f t="shared" si="7"/>
        <v>-201740.71673587605</v>
      </c>
      <c r="K66" s="938">
        <f t="shared" si="7"/>
        <v>-208565.97453805304</v>
      </c>
    </row>
    <row r="68" spans="1:11">
      <c r="A68" s="936" t="s">
        <v>3350</v>
      </c>
      <c r="B68" s="936">
        <f>+K48</f>
        <v>1.2</v>
      </c>
      <c r="C68" s="936">
        <f t="shared" ref="C68:K68" si="8">+B68</f>
        <v>1.2</v>
      </c>
      <c r="D68" s="936">
        <f t="shared" si="8"/>
        <v>1.2</v>
      </c>
      <c r="E68" s="936">
        <f t="shared" si="8"/>
        <v>1.2</v>
      </c>
      <c r="F68" s="936">
        <f t="shared" si="8"/>
        <v>1.2</v>
      </c>
      <c r="G68" s="936">
        <f t="shared" si="8"/>
        <v>1.2</v>
      </c>
      <c r="H68" s="936">
        <f t="shared" si="8"/>
        <v>1.2</v>
      </c>
      <c r="I68" s="936">
        <f t="shared" si="8"/>
        <v>1.2</v>
      </c>
      <c r="J68" s="936">
        <f t="shared" si="8"/>
        <v>1.2</v>
      </c>
      <c r="K68" s="936">
        <f t="shared" si="8"/>
        <v>1.2</v>
      </c>
    </row>
    <row r="70" spans="1:11">
      <c r="A70" s="935" t="s">
        <v>1095</v>
      </c>
    </row>
    <row r="71" spans="1:11">
      <c r="A71" s="936" t="s">
        <v>1128</v>
      </c>
      <c r="B71" s="938">
        <f t="shared" ref="B71:G71" si="9">+B64</f>
        <v>1309940.4071171822</v>
      </c>
      <c r="C71" s="938">
        <f t="shared" si="9"/>
        <v>1320692.8304485851</v>
      </c>
      <c r="D71" s="938">
        <f t="shared" si="9"/>
        <v>1331196.7859022892</v>
      </c>
      <c r="E71" s="938">
        <f t="shared" si="9"/>
        <v>1341432.8622304089</v>
      </c>
      <c r="F71" s="938">
        <f t="shared" si="9"/>
        <v>1351382.8829033929</v>
      </c>
      <c r="G71" s="938">
        <f t="shared" si="9"/>
        <v>1361024.878292687</v>
      </c>
      <c r="H71" s="938">
        <f>+H64</f>
        <v>1370339.0569217063</v>
      </c>
      <c r="I71" s="938">
        <f>+I64</f>
        <v>1379301.7757551994</v>
      </c>
      <c r="J71" s="938">
        <f>+J64</f>
        <v>1387890.5094962139</v>
      </c>
      <c r="K71" s="938">
        <f>+K64</f>
        <v>1396080.8188588261</v>
      </c>
    </row>
    <row r="72" spans="1:11">
      <c r="A72" s="936" t="s">
        <v>3351</v>
      </c>
      <c r="B72" s="938">
        <f t="shared" ref="B72:G72" si="10">IF($B$25="N/A",B65,B65+$B$25)</f>
        <v>-993661.73866666667</v>
      </c>
      <c r="C72" s="938">
        <f t="shared" si="10"/>
        <v>-993661.73866666667</v>
      </c>
      <c r="D72" s="938">
        <f t="shared" si="10"/>
        <v>-993661.73866666667</v>
      </c>
      <c r="E72" s="938">
        <f t="shared" si="10"/>
        <v>-993661.73866666667</v>
      </c>
      <c r="F72" s="938">
        <f t="shared" si="10"/>
        <v>-993661.73866666667</v>
      </c>
      <c r="G72" s="938">
        <f t="shared" si="10"/>
        <v>-993661.73866666667</v>
      </c>
      <c r="H72" s="938">
        <f>IF($B$25="N/A",H65,H65+$B$25)</f>
        <v>-993661.73866666667</v>
      </c>
      <c r="I72" s="938">
        <f>IF($B$25="N/A",I65,I65+$B$25)</f>
        <v>-993661.73866666667</v>
      </c>
      <c r="J72" s="938">
        <f>IF($B$25="N/A",J65,J65+$B$25)</f>
        <v>-993661.73866666667</v>
      </c>
      <c r="K72" s="938">
        <f>IF($B$25="N/A",K65,K65+$B$25)</f>
        <v>-993661.73866666667</v>
      </c>
    </row>
    <row r="73" spans="1:11">
      <c r="A73" s="936" t="s">
        <v>3352</v>
      </c>
      <c r="B73" s="937">
        <f>+'Part VI-Pro Forma'!B63</f>
        <v>-7500</v>
      </c>
      <c r="C73" s="937">
        <f>+'Part VI-Pro Forma'!C63</f>
        <v>-7500</v>
      </c>
      <c r="D73" s="937">
        <f>+'Part VI-Pro Forma'!D63</f>
        <v>-7500</v>
      </c>
      <c r="E73" s="937">
        <f>+'Part VI-Pro Forma'!E63</f>
        <v>-7500</v>
      </c>
      <c r="F73" s="937">
        <f>+'Part VI-Pro Forma'!F63</f>
        <v>-7500</v>
      </c>
      <c r="G73" s="937">
        <f>+'Part VI-Pro Forma'!G63</f>
        <v>-7500</v>
      </c>
      <c r="H73" s="937">
        <f>+'Part VI-Pro Forma'!H63</f>
        <v>-7500</v>
      </c>
      <c r="I73" s="937">
        <f>+'Part VI-Pro Forma'!I63</f>
        <v>-7500</v>
      </c>
      <c r="J73" s="937">
        <f>+'Part VI-Pro Forma'!J63</f>
        <v>-7500</v>
      </c>
      <c r="K73" s="937">
        <f>+'Part VI-Pro Forma'!K63</f>
        <v>-7500</v>
      </c>
    </row>
    <row r="74" spans="1:11">
      <c r="A74" s="936" t="s">
        <v>3353</v>
      </c>
      <c r="B74" s="938">
        <f t="shared" ref="B74:G74" si="11">+SUM(B71:B73)</f>
        <v>308778.66845051548</v>
      </c>
      <c r="C74" s="938">
        <f t="shared" si="11"/>
        <v>319531.09178191843</v>
      </c>
      <c r="D74" s="938">
        <f t="shared" si="11"/>
        <v>330035.04723562254</v>
      </c>
      <c r="E74" s="938">
        <f t="shared" si="11"/>
        <v>340271.12356374227</v>
      </c>
      <c r="F74" s="938">
        <f t="shared" si="11"/>
        <v>350221.14423672622</v>
      </c>
      <c r="G74" s="938">
        <f t="shared" si="11"/>
        <v>359863.13962602033</v>
      </c>
      <c r="H74" s="938">
        <f>+SUM(H71:H73)</f>
        <v>369177.31825503963</v>
      </c>
      <c r="I74" s="938">
        <f>+SUM(I71:I73)</f>
        <v>378140.0370885327</v>
      </c>
      <c r="J74" s="938">
        <f>+SUM(J71:J73)</f>
        <v>386728.7708295472</v>
      </c>
      <c r="K74" s="938">
        <f>+SUM(K71:K73)</f>
        <v>394919.0801921594</v>
      </c>
    </row>
    <row r="75" spans="1:11">
      <c r="A75" s="936" t="s">
        <v>3271</v>
      </c>
      <c r="B75" s="938">
        <f t="shared" ref="B75:G75" si="12">-B74</f>
        <v>-308778.66845051548</v>
      </c>
      <c r="C75" s="938">
        <f t="shared" si="12"/>
        <v>-319531.09178191843</v>
      </c>
      <c r="D75" s="938">
        <f t="shared" si="12"/>
        <v>-330035.04723562254</v>
      </c>
      <c r="E75" s="938">
        <f t="shared" si="12"/>
        <v>-340271.12356374227</v>
      </c>
      <c r="F75" s="938">
        <f t="shared" si="12"/>
        <v>-350221.14423672622</v>
      </c>
      <c r="G75" s="938">
        <f t="shared" si="12"/>
        <v>-359863.13962602033</v>
      </c>
      <c r="H75" s="938">
        <f>-H74</f>
        <v>-369177.31825503963</v>
      </c>
      <c r="I75" s="938">
        <f>-I74</f>
        <v>-378140.0370885327</v>
      </c>
      <c r="J75" s="938">
        <f>-J74</f>
        <v>-386728.7708295472</v>
      </c>
      <c r="K75" s="938">
        <f>-K74</f>
        <v>-394919.0801921594</v>
      </c>
    </row>
    <row r="76" spans="1:11">
      <c r="A76" s="936" t="s">
        <v>3354</v>
      </c>
      <c r="B76" s="938">
        <f t="shared" ref="B76:G76" si="13">+B74+B75</f>
        <v>0</v>
      </c>
      <c r="C76" s="938">
        <f t="shared" si="13"/>
        <v>0</v>
      </c>
      <c r="D76" s="938">
        <f t="shared" si="13"/>
        <v>0</v>
      </c>
      <c r="E76" s="938">
        <f t="shared" si="13"/>
        <v>0</v>
      </c>
      <c r="F76" s="938">
        <f t="shared" si="13"/>
        <v>0</v>
      </c>
      <c r="G76" s="938">
        <f t="shared" si="13"/>
        <v>0</v>
      </c>
      <c r="H76" s="938">
        <f>+H74+H75</f>
        <v>0</v>
      </c>
      <c r="I76" s="938">
        <f>+I74+I75</f>
        <v>0</v>
      </c>
      <c r="J76" s="938">
        <f>+J74+J75</f>
        <v>0</v>
      </c>
      <c r="K76" s="938">
        <f>+K74+K75</f>
        <v>0</v>
      </c>
    </row>
    <row r="78" spans="1:11">
      <c r="A78" s="936" t="s">
        <v>3355</v>
      </c>
      <c r="B78" s="937">
        <f>IF($B$26="","",-FV('Part II-Sources of Funds'!$K$42/12,12,B72/12,K58))</f>
        <v>-2106921.9693884319</v>
      </c>
      <c r="C78" s="937">
        <f>IF($B$26="","",-FV('Part II-Sources of Funds'!$K$42/12,12,C72/12,L58))</f>
        <v>-1021683.4963741371</v>
      </c>
      <c r="D78" s="937">
        <f>IF($B$26="","",-FV('Part II-Sources of Funds'!$K$42/12,12,D72/12,M58))</f>
        <v>-1021683.4963741371</v>
      </c>
      <c r="E78" s="937">
        <f>IF($B$26="","",-FV('Part II-Sources of Funds'!$K$42/12,12,E72/12,N58))</f>
        <v>-1021683.4963741371</v>
      </c>
      <c r="F78" s="937">
        <f>IF($B$26="","",-FV('Part II-Sources of Funds'!$K$42/12,12,F72/12,O58))</f>
        <v>-1021683.4963741371</v>
      </c>
      <c r="G78" s="937">
        <f>IF($B$26="","",-FV('Part II-Sources of Funds'!$K$42/12,12,G72/12,P58))</f>
        <v>-1021683.4963741371</v>
      </c>
      <c r="H78" s="937">
        <f>IF($B$26="","",-FV('Part II-Sources of Funds'!$K$42/12,12,H72/12,Q58))</f>
        <v>-1021683.4963741371</v>
      </c>
      <c r="I78" s="937">
        <f>IF($B$26="","",-FV('Part II-Sources of Funds'!$K$42/12,12,I72/12,R58))</f>
        <v>-1021683.4963741371</v>
      </c>
      <c r="J78" s="937">
        <f>IF($B$26="","",-FV('Part II-Sources of Funds'!$K$42/12,12,J72/12,S58))</f>
        <v>-1021683.4963741371</v>
      </c>
      <c r="K78" s="937">
        <f>IF($B$26="","",-FV('Part II-Sources of Funds'!$K$42/12,12,K72/12,T58))</f>
        <v>-1021683.4963741371</v>
      </c>
    </row>
    <row r="79" spans="1:11">
      <c r="A79" s="936" t="s">
        <v>3272</v>
      </c>
    </row>
    <row r="82" spans="1:2">
      <c r="A82" s="936" t="s">
        <v>3356</v>
      </c>
      <c r="B82" s="992" t="s">
        <v>1269</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2" customWidth="1"/>
    <col min="2" max="2" width="1.6640625" style="512" customWidth="1"/>
    <col min="3" max="3" width="13" style="512" customWidth="1"/>
    <col min="4" max="4" width="11.33203125" style="512" customWidth="1"/>
    <col min="5" max="5" width="14.6640625" style="512" customWidth="1"/>
    <col min="6" max="6" width="15.33203125" style="512" customWidth="1"/>
    <col min="7" max="7" width="11.6640625" style="512" customWidth="1"/>
    <col min="8" max="8" width="11.44140625" style="512" customWidth="1"/>
    <col min="9" max="9" width="10.5546875" style="512" customWidth="1"/>
    <col min="10" max="10" width="6" style="512" customWidth="1"/>
    <col min="11" max="11" width="12.6640625" style="512" customWidth="1"/>
    <col min="12" max="12" width="10.6640625" style="512" customWidth="1"/>
    <col min="13" max="13" width="26.33203125" style="512" customWidth="1"/>
    <col min="14" max="14" width="9.33203125" style="512"/>
    <col min="15" max="15" width="12.44140625" style="512" customWidth="1"/>
    <col min="16" max="16" width="9.33203125" style="512"/>
    <col min="17" max="17" width="11.6640625" style="512" bestFit="1" customWidth="1"/>
    <col min="18" max="16384" width="9.33203125" style="512"/>
  </cols>
  <sheetData>
    <row r="1" spans="1:15" ht="13.5" customHeight="1">
      <c r="A1" s="513" t="s">
        <v>2696</v>
      </c>
      <c r="B1" s="513"/>
      <c r="C1" s="512" t="str">
        <f>'Sensitivity Analysis'!C8</f>
        <v>Retreat at Madison Place</v>
      </c>
    </row>
    <row r="2" spans="1:15" ht="13.5" customHeight="1"/>
    <row r="3" spans="1:15" ht="13.5" customHeight="1">
      <c r="A3" s="513" t="s">
        <v>2697</v>
      </c>
      <c r="C3" s="512" t="s">
        <v>2698</v>
      </c>
      <c r="E3" s="573">
        <f>SUM('Part III-A-Uses of Funds'!J163,'Part III-A-Uses of Funds'!M163,'Part III-A-Uses of Funds'!P163)</f>
        <v>29682735.550000001</v>
      </c>
      <c r="F3" s="998" t="s">
        <v>2699</v>
      </c>
      <c r="H3" s="983">
        <v>27.5</v>
      </c>
      <c r="I3" s="512" t="s">
        <v>2266</v>
      </c>
      <c r="K3" s="517" t="s">
        <v>2720</v>
      </c>
      <c r="M3" s="998"/>
      <c r="O3" s="574"/>
    </row>
    <row r="4" spans="1:15" ht="13.5" customHeight="1">
      <c r="C4" s="512" t="s">
        <v>3041</v>
      </c>
      <c r="E4" s="573">
        <f>SUM('Part III-A-Uses of Funds'!G97:H101)</f>
        <v>725000</v>
      </c>
      <c r="F4" s="998" t="s">
        <v>3539</v>
      </c>
      <c r="H4" s="513">
        <f>'Part II-Sources of Funds'!M42</f>
        <v>40</v>
      </c>
      <c r="I4" s="512" t="s">
        <v>2266</v>
      </c>
      <c r="K4" s="575" t="s">
        <v>2889</v>
      </c>
      <c r="M4" s="998"/>
    </row>
    <row r="5" spans="1:15" ht="13.5" customHeight="1">
      <c r="C5" s="512" t="s">
        <v>3042</v>
      </c>
      <c r="E5" s="573">
        <f>SUM('Part III-A-Uses of Funds'!G105:H111)</f>
        <v>288953</v>
      </c>
      <c r="F5" s="998" t="s">
        <v>3538</v>
      </c>
      <c r="H5" s="983">
        <v>15</v>
      </c>
      <c r="I5" s="512" t="s">
        <v>2266</v>
      </c>
      <c r="K5" s="574">
        <f>-E6</f>
        <v>-19416628</v>
      </c>
    </row>
    <row r="6" spans="1:15" ht="13.5" customHeight="1">
      <c r="C6" s="512" t="s">
        <v>2700</v>
      </c>
      <c r="E6" s="576">
        <f>'Part II-Sources of Funds'!$I$53+'Part II-Sources of Funds'!$I$54</f>
        <v>19416628</v>
      </c>
      <c r="F6" s="998" t="s">
        <v>2701</v>
      </c>
      <c r="H6" s="577">
        <v>0.35</v>
      </c>
      <c r="K6" s="574" t="e">
        <f>C24</f>
        <v>#VALUE!</v>
      </c>
      <c r="M6" s="512" t="s">
        <v>2702</v>
      </c>
      <c r="O6" s="578">
        <f>'Sensitivity Analysis'!K32</f>
        <v>0</v>
      </c>
    </row>
    <row r="7" spans="1:15" ht="13.5" customHeight="1">
      <c r="K7" s="574" t="e">
        <f>D24</f>
        <v>#VALUE!</v>
      </c>
      <c r="O7" s="579"/>
    </row>
    <row r="8" spans="1:15" ht="13.5" customHeight="1">
      <c r="A8" s="513" t="s">
        <v>2277</v>
      </c>
      <c r="C8" s="580">
        <v>1</v>
      </c>
      <c r="D8" s="580">
        <v>2</v>
      </c>
      <c r="E8" s="580">
        <v>3</v>
      </c>
      <c r="F8" s="580">
        <v>4</v>
      </c>
      <c r="G8" s="580">
        <v>5</v>
      </c>
      <c r="H8" s="580">
        <v>6</v>
      </c>
      <c r="I8" s="580">
        <v>7</v>
      </c>
      <c r="K8" s="574" t="e">
        <f>E24</f>
        <v>#VALUE!</v>
      </c>
      <c r="M8" s="512" t="s">
        <v>2703</v>
      </c>
      <c r="O8" s="960" t="e">
        <f>#REF!+#REF!+#REF!</f>
        <v>#REF!</v>
      </c>
    </row>
    <row r="9" spans="1:15" ht="13.5" customHeight="1">
      <c r="A9" s="512" t="s">
        <v>2704</v>
      </c>
      <c r="C9" s="581">
        <f>'Part VI-Pro Forma'!B33</f>
        <v>0.37855569770908915</v>
      </c>
      <c r="D9" s="581">
        <f>'Part VI-Pro Forma'!C33</f>
        <v>6.028369753039442E-2</v>
      </c>
      <c r="E9" s="581">
        <f>'Part VI-Pro Forma'!D33</f>
        <v>-0.19475374248577282</v>
      </c>
      <c r="F9" s="581">
        <f>'Part VI-Pro Forma'!E33</f>
        <v>192291.51039606874</v>
      </c>
      <c r="G9" s="581">
        <f>'Part VI-Pro Forma'!F33</f>
        <v>278839.5402955162</v>
      </c>
      <c r="H9" s="581">
        <f>'Part VI-Pro Forma'!G33</f>
        <v>290726.70715899213</v>
      </c>
      <c r="I9" s="581">
        <f>'Part VI-Pro Forma'!H33</f>
        <v>302464.25021675724</v>
      </c>
      <c r="K9" s="574" t="e">
        <f>F24</f>
        <v>#VALUE!</v>
      </c>
      <c r="N9" s="582" t="s">
        <v>2706</v>
      </c>
    </row>
    <row r="10" spans="1:15" ht="13.5" customHeight="1">
      <c r="A10" s="512" t="s">
        <v>2705</v>
      </c>
      <c r="C10" s="957">
        <f>'Part II-Sources of Funds'!I42-'Part VI-Pro Forma'!B40</f>
        <v>82512.101428054273</v>
      </c>
      <c r="D10" s="583">
        <f>'Part VI-Pro Forma'!B40-'Part VI-Pro Forma'!C40</f>
        <v>87644.859955918044</v>
      </c>
      <c r="E10" s="583">
        <f>'Part VI-Pro Forma'!C40-'Part VI-Pro Forma'!D40</f>
        <v>93096.907529257238</v>
      </c>
      <c r="F10" s="583">
        <f>'Part VI-Pro Forma'!D40-'Part VI-Pro Forma'!E40</f>
        <v>98888.105884023011</v>
      </c>
      <c r="G10" s="583">
        <f>'Part VI-Pro Forma'!E40-'Part VI-Pro Forma'!F40</f>
        <v>105039.55227789469</v>
      </c>
      <c r="H10" s="583">
        <f>'Part VI-Pro Forma'!F40-'Part VI-Pro Forma'!G40</f>
        <v>111573.65634731017</v>
      </c>
      <c r="I10" s="583">
        <f>'Part VI-Pro Forma'!G40-'Part VI-Pro Forma'!H40</f>
        <v>118514.22174547613</v>
      </c>
      <c r="K10" s="574" t="e">
        <f>G24</f>
        <v>#VALUE!</v>
      </c>
      <c r="N10" s="582" t="s">
        <v>2707</v>
      </c>
      <c r="O10" s="579"/>
    </row>
    <row r="11" spans="1:15" ht="13.5" customHeight="1">
      <c r="A11" s="512" t="s">
        <v>2705</v>
      </c>
      <c r="C11" s="957">
        <f>'Part II-Sources of Funds'!I43-'Part VI-Pro Forma'!B41</f>
        <v>11682.029981115018</v>
      </c>
      <c r="D11" s="583">
        <f>'Part VI-Pro Forma'!B41-'Part VI-Pro Forma'!C41</f>
        <v>12235.753565423773</v>
      </c>
      <c r="E11" s="583">
        <f>'Part VI-Pro Forma'!C41-'Part VI-Pro Forma'!D41</f>
        <v>12815.723427846562</v>
      </c>
      <c r="F11" s="583">
        <f>'Part VI-Pro Forma'!D41-'Part VI-Pro Forma'!E41</f>
        <v>13423.183631548309</v>
      </c>
      <c r="G11" s="583">
        <f>'Part VI-Pro Forma'!E41-'Part VI-Pro Forma'!F41</f>
        <v>14059.437207794283</v>
      </c>
      <c r="H11" s="583">
        <f>'Part VI-Pro Forma'!F41-'Part VI-Pro Forma'!G41</f>
        <v>14725.848951014341</v>
      </c>
      <c r="I11" s="583">
        <f>'Part VI-Pro Forma'!G41-'Part VI-Pro Forma'!H41</f>
        <v>15423.848346353043</v>
      </c>
      <c r="K11" s="574" t="e">
        <f>H24</f>
        <v>#VALUE!</v>
      </c>
      <c r="O11" s="579"/>
    </row>
    <row r="12" spans="1:15" ht="13.5" customHeight="1">
      <c r="A12" s="512" t="s">
        <v>2705</v>
      </c>
      <c r="C12" s="957" t="e">
        <f>'Part II-Sources of Funds'!I44-'Part VI-Pro Forma'!B42</f>
        <v>#VALUE!</v>
      </c>
      <c r="D12" s="583" t="e">
        <f>'Part VI-Pro Forma'!B42-'Part VI-Pro Forma'!C42</f>
        <v>#VALUE!</v>
      </c>
      <c r="E12" s="583" t="e">
        <f>'Part VI-Pro Forma'!C42-'Part VI-Pro Forma'!D42</f>
        <v>#VALUE!</v>
      </c>
      <c r="F12" s="583" t="e">
        <f>'Part VI-Pro Forma'!D42-'Part VI-Pro Forma'!E42</f>
        <v>#VALUE!</v>
      </c>
      <c r="G12" s="583" t="e">
        <f>'Part VI-Pro Forma'!E42-'Part VI-Pro Forma'!F42</f>
        <v>#VALUE!</v>
      </c>
      <c r="H12" s="583" t="e">
        <f>'Part VI-Pro Forma'!F42-'Part VI-Pro Forma'!G42</f>
        <v>#VALUE!</v>
      </c>
      <c r="I12" s="583" t="e">
        <f>'Part VI-Pro Forma'!G42-'Part VI-Pro Forma'!H42</f>
        <v>#VALUE!</v>
      </c>
      <c r="K12" s="574" t="e">
        <f>I24</f>
        <v>#VALUE!</v>
      </c>
      <c r="M12" s="512" t="s">
        <v>2709</v>
      </c>
      <c r="N12" s="584">
        <v>0.06</v>
      </c>
      <c r="O12" s="579">
        <f>N12*O6</f>
        <v>0</v>
      </c>
    </row>
    <row r="13" spans="1:15" ht="13.5" customHeight="1">
      <c r="A13" s="585" t="s">
        <v>3043</v>
      </c>
      <c r="B13" s="585"/>
      <c r="C13" s="958">
        <f>'Part VI-Pro Forma'!B23</f>
        <v>-64000</v>
      </c>
      <c r="D13" s="958">
        <f>'Part VI-Pro Forma'!C23</f>
        <v>-65920</v>
      </c>
      <c r="E13" s="958">
        <f>'Part VI-Pro Forma'!D23</f>
        <v>-67897.599999999991</v>
      </c>
      <c r="F13" s="958">
        <f>'Part VI-Pro Forma'!E23</f>
        <v>-69934.528000000006</v>
      </c>
      <c r="G13" s="958">
        <f>'Part VI-Pro Forma'!F23</f>
        <v>-72032.563839999988</v>
      </c>
      <c r="H13" s="958">
        <f>'Part VI-Pro Forma'!G23</f>
        <v>-74193.540755199996</v>
      </c>
      <c r="I13" s="958">
        <f>'Part VI-Pro Forma'!H23</f>
        <v>-76419.346977855996</v>
      </c>
      <c r="K13" s="574" t="e">
        <f>C44</f>
        <v>#VALUE!</v>
      </c>
      <c r="O13" s="579"/>
    </row>
    <row r="14" spans="1:15" ht="13.5" customHeight="1">
      <c r="A14" s="585" t="s">
        <v>3044</v>
      </c>
      <c r="B14" s="585"/>
      <c r="C14" s="958">
        <f>'Part VI-Pro Forma'!B32</f>
        <v>-230059</v>
      </c>
      <c r="D14" s="958">
        <f>'Part VI-Pro Forma'!C32</f>
        <v>-242413</v>
      </c>
      <c r="E14" s="958">
        <f>'Part VI-Pro Forma'!D32</f>
        <v>-254670</v>
      </c>
      <c r="F14" s="958">
        <f>'Part VI-Pro Forma'!E32</f>
        <v>-74525</v>
      </c>
      <c r="G14" s="958">
        <f>'Part VI-Pro Forma'!F32</f>
        <v>0</v>
      </c>
      <c r="H14" s="958">
        <f>'Part VI-Pro Forma'!G32</f>
        <v>0</v>
      </c>
      <c r="I14" s="958">
        <f>'Part VI-Pro Forma'!H32</f>
        <v>0</v>
      </c>
      <c r="K14" s="574" t="e">
        <f>D44</f>
        <v>#VALUE!</v>
      </c>
      <c r="M14" s="512" t="s">
        <v>2712</v>
      </c>
      <c r="O14" s="579" t="e">
        <f>O6-O8-O12</f>
        <v>#REF!</v>
      </c>
    </row>
    <row r="15" spans="1:15" ht="13.5" customHeight="1">
      <c r="A15" s="512" t="s">
        <v>2708</v>
      </c>
      <c r="C15" s="586">
        <f t="shared" ref="C15:I15" si="0">$E$3/$H$3</f>
        <v>1079372.2018181819</v>
      </c>
      <c r="D15" s="586">
        <f t="shared" si="0"/>
        <v>1079372.2018181819</v>
      </c>
      <c r="E15" s="586">
        <f t="shared" si="0"/>
        <v>1079372.2018181819</v>
      </c>
      <c r="F15" s="586">
        <f t="shared" si="0"/>
        <v>1079372.2018181819</v>
      </c>
      <c r="G15" s="586">
        <f t="shared" si="0"/>
        <v>1079372.2018181819</v>
      </c>
      <c r="H15" s="586">
        <f t="shared" si="0"/>
        <v>1079372.2018181819</v>
      </c>
      <c r="I15" s="586">
        <f t="shared" si="0"/>
        <v>1079372.2018181819</v>
      </c>
      <c r="K15" s="574" t="e">
        <f>E44</f>
        <v>#VALUE!</v>
      </c>
      <c r="O15" s="579"/>
    </row>
    <row r="16" spans="1:15" ht="13.5" customHeight="1">
      <c r="A16" s="512" t="s">
        <v>2710</v>
      </c>
      <c r="C16" s="586">
        <f>IF(C$8&lt;=$H$4,($E$4/$H$4),0)+IF(C$8&lt;=$H$5,($E$5/$H$5),0)</f>
        <v>37388.533333333333</v>
      </c>
      <c r="D16" s="586">
        <f t="shared" ref="D16:I16" si="1">IF(D$8&lt;=$H$4,($E$4/$H$4),0)+IF(D$8&lt;=$H$5,($E$5/$H$5),0)</f>
        <v>37388.533333333333</v>
      </c>
      <c r="E16" s="586">
        <f t="shared" si="1"/>
        <v>37388.533333333333</v>
      </c>
      <c r="F16" s="586">
        <f t="shared" si="1"/>
        <v>37388.533333333333</v>
      </c>
      <c r="G16" s="586">
        <f t="shared" si="1"/>
        <v>37388.533333333333</v>
      </c>
      <c r="H16" s="586">
        <f t="shared" si="1"/>
        <v>37388.533333333333</v>
      </c>
      <c r="I16" s="586">
        <f t="shared" si="1"/>
        <v>37388.533333333333</v>
      </c>
      <c r="K16" s="574" t="e">
        <f>F44</f>
        <v>#VALUE!</v>
      </c>
      <c r="M16" s="512" t="s">
        <v>2714</v>
      </c>
      <c r="O16" s="579">
        <f>E3</f>
        <v>29682735.550000001</v>
      </c>
    </row>
    <row r="17" spans="1:17" ht="13.5" customHeight="1">
      <c r="A17" s="512" t="s">
        <v>2711</v>
      </c>
      <c r="C17" s="583" t="e">
        <f t="shared" ref="C17:I17" si="2">C9+C10+C11+C12+C13+C14-C15-C16</f>
        <v>#VALUE!</v>
      </c>
      <c r="D17" s="583" t="e">
        <f t="shared" si="2"/>
        <v>#VALUE!</v>
      </c>
      <c r="E17" s="583" t="e">
        <f t="shared" si="2"/>
        <v>#VALUE!</v>
      </c>
      <c r="F17" s="583" t="e">
        <f t="shared" si="2"/>
        <v>#VALUE!</v>
      </c>
      <c r="G17" s="583" t="e">
        <f t="shared" si="2"/>
        <v>#VALUE!</v>
      </c>
      <c r="H17" s="583" t="e">
        <f t="shared" si="2"/>
        <v>#VALUE!</v>
      </c>
      <c r="I17" s="583" t="e">
        <f t="shared" si="2"/>
        <v>#VALUE!</v>
      </c>
      <c r="K17" s="574" t="e">
        <f>G44</f>
        <v>#VALUE!</v>
      </c>
      <c r="M17" s="512" t="s">
        <v>2708</v>
      </c>
      <c r="O17" s="579">
        <f>20*(E3/H3)</f>
        <v>21587444.036363639</v>
      </c>
    </row>
    <row r="18" spans="1:17" ht="13.5" customHeight="1">
      <c r="A18" s="512" t="s">
        <v>2713</v>
      </c>
      <c r="C18" s="587" t="e">
        <f t="shared" ref="C18:I18" si="3">C17*$H$6</f>
        <v>#VALUE!</v>
      </c>
      <c r="D18" s="587" t="e">
        <f t="shared" si="3"/>
        <v>#VALUE!</v>
      </c>
      <c r="E18" s="587" t="e">
        <f t="shared" si="3"/>
        <v>#VALUE!</v>
      </c>
      <c r="F18" s="587" t="e">
        <f t="shared" si="3"/>
        <v>#VALUE!</v>
      </c>
      <c r="G18" s="587" t="e">
        <f t="shared" si="3"/>
        <v>#VALUE!</v>
      </c>
      <c r="H18" s="587" t="e">
        <f t="shared" si="3"/>
        <v>#VALUE!</v>
      </c>
      <c r="I18" s="587" t="e">
        <f t="shared" si="3"/>
        <v>#VALUE!</v>
      </c>
      <c r="K18" s="574" t="e">
        <f>H44</f>
        <v>#VALUE!</v>
      </c>
      <c r="O18" s="579"/>
    </row>
    <row r="19" spans="1:17" ht="13.5" customHeight="1">
      <c r="C19" s="581"/>
      <c r="D19" s="581"/>
      <c r="E19" s="581"/>
      <c r="F19" s="581"/>
      <c r="G19" s="581"/>
      <c r="H19" s="581"/>
      <c r="I19" s="581"/>
      <c r="K19" s="574" t="e">
        <f>I44</f>
        <v>#VALUE!</v>
      </c>
      <c r="M19" s="512" t="s">
        <v>2718</v>
      </c>
      <c r="O19" s="579">
        <f>O16-O17</f>
        <v>8095291.5136363618</v>
      </c>
    </row>
    <row r="20" spans="1:17" ht="13.5" customHeight="1">
      <c r="A20" s="512" t="s">
        <v>2715</v>
      </c>
      <c r="C20" s="583" t="e">
        <f t="shared" ref="C20:I20" si="4">C9-C18</f>
        <v>#VALUE!</v>
      </c>
      <c r="D20" s="583" t="e">
        <f t="shared" si="4"/>
        <v>#VALUE!</v>
      </c>
      <c r="E20" s="583" t="e">
        <f t="shared" si="4"/>
        <v>#VALUE!</v>
      </c>
      <c r="F20" s="583" t="e">
        <f t="shared" si="4"/>
        <v>#VALUE!</v>
      </c>
      <c r="G20" s="583" t="e">
        <f t="shared" si="4"/>
        <v>#VALUE!</v>
      </c>
      <c r="H20" s="583" t="e">
        <f t="shared" si="4"/>
        <v>#VALUE!</v>
      </c>
      <c r="I20" s="583" t="e">
        <f t="shared" si="4"/>
        <v>#VALUE!</v>
      </c>
      <c r="K20" s="574" t="e">
        <f>C64</f>
        <v>#VALUE!</v>
      </c>
      <c r="O20" s="579"/>
    </row>
    <row r="21" spans="1:17" ht="13.5" customHeight="1">
      <c r="A21" s="512" t="s">
        <v>2716</v>
      </c>
      <c r="C21" s="587">
        <f>'Part III-A-Uses of Funds'!$J$192</f>
        <v>1386902</v>
      </c>
      <c r="D21" s="587">
        <f t="shared" ref="D21:I21" si="5">C21</f>
        <v>1386902</v>
      </c>
      <c r="E21" s="587">
        <f t="shared" si="5"/>
        <v>1386902</v>
      </c>
      <c r="F21" s="587">
        <f t="shared" si="5"/>
        <v>1386902</v>
      </c>
      <c r="G21" s="587">
        <f t="shared" si="5"/>
        <v>1386902</v>
      </c>
      <c r="H21" s="587">
        <f t="shared" si="5"/>
        <v>1386902</v>
      </c>
      <c r="I21" s="587">
        <f t="shared" si="5"/>
        <v>1386902</v>
      </c>
      <c r="J21" s="512" t="s">
        <v>233</v>
      </c>
      <c r="K21" s="574" t="e">
        <f>D64</f>
        <v>#VALUE!</v>
      </c>
      <c r="O21" s="579"/>
    </row>
    <row r="22" spans="1:17" ht="13.5" customHeight="1">
      <c r="A22" s="512" t="s">
        <v>2717</v>
      </c>
      <c r="C22" s="587">
        <f>C21</f>
        <v>1386902</v>
      </c>
      <c r="D22" s="587">
        <f t="shared" ref="D22:I22" si="6">D21</f>
        <v>1386902</v>
      </c>
      <c r="E22" s="587">
        <f t="shared" si="6"/>
        <v>1386902</v>
      </c>
      <c r="F22" s="587">
        <f t="shared" si="6"/>
        <v>1386902</v>
      </c>
      <c r="G22" s="587">
        <f t="shared" si="6"/>
        <v>1386902</v>
      </c>
      <c r="H22" s="587">
        <f t="shared" si="6"/>
        <v>1386902</v>
      </c>
      <c r="I22" s="587">
        <f t="shared" si="6"/>
        <v>1386902</v>
      </c>
      <c r="K22" s="574" t="e">
        <f>E64</f>
        <v>#VALUE!</v>
      </c>
      <c r="M22" s="512" t="s">
        <v>2702</v>
      </c>
      <c r="O22" s="579">
        <f>O6</f>
        <v>0</v>
      </c>
    </row>
    <row r="23" spans="1:17" ht="13.5" customHeight="1">
      <c r="A23" s="512" t="s">
        <v>2719</v>
      </c>
      <c r="C23" s="581">
        <v>0</v>
      </c>
      <c r="D23" s="581">
        <v>0</v>
      </c>
      <c r="E23" s="581">
        <v>0</v>
      </c>
      <c r="F23" s="581">
        <v>0</v>
      </c>
      <c r="G23" s="581">
        <v>0</v>
      </c>
      <c r="H23" s="581">
        <v>0</v>
      </c>
      <c r="I23" s="581">
        <v>0</v>
      </c>
      <c r="K23" s="574" t="e">
        <f>F64</f>
        <v>#VALUE!</v>
      </c>
      <c r="M23" s="512" t="s">
        <v>2721</v>
      </c>
      <c r="O23" s="579">
        <f>O19</f>
        <v>8095291.5136363618</v>
      </c>
    </row>
    <row r="24" spans="1:17" ht="13.5" customHeight="1">
      <c r="A24" s="512" t="s">
        <v>2720</v>
      </c>
      <c r="C24" s="583" t="e">
        <f t="shared" ref="C24:I24" si="7">SUM(C20:C23)</f>
        <v>#VALUE!</v>
      </c>
      <c r="D24" s="583" t="e">
        <f t="shared" si="7"/>
        <v>#VALUE!</v>
      </c>
      <c r="E24" s="583" t="e">
        <f t="shared" si="7"/>
        <v>#VALUE!</v>
      </c>
      <c r="F24" s="583" t="e">
        <f t="shared" si="7"/>
        <v>#VALUE!</v>
      </c>
      <c r="G24" s="583" t="e">
        <f t="shared" si="7"/>
        <v>#VALUE!</v>
      </c>
      <c r="H24" s="583" t="e">
        <f t="shared" si="7"/>
        <v>#VALUE!</v>
      </c>
      <c r="I24" s="583" t="e">
        <f t="shared" si="7"/>
        <v>#VALUE!</v>
      </c>
      <c r="K24" s="574" t="e">
        <f>G64</f>
        <v>#VALUE!</v>
      </c>
      <c r="O24" s="579"/>
    </row>
    <row r="25" spans="1:17" ht="13.5" customHeight="1">
      <c r="K25" s="574" t="e">
        <f>H64</f>
        <v>#VALUE!</v>
      </c>
      <c r="M25" s="512" t="s">
        <v>2722</v>
      </c>
      <c r="O25" s="579">
        <f>O22-O23</f>
        <v>-8095291.5136363618</v>
      </c>
      <c r="Q25" s="588"/>
    </row>
    <row r="26" spans="1:17" ht="13.5" customHeight="1">
      <c r="A26" s="589"/>
      <c r="B26" s="589"/>
      <c r="C26" s="589"/>
      <c r="D26" s="589"/>
      <c r="E26" s="589"/>
      <c r="F26" s="589"/>
      <c r="G26" s="589"/>
      <c r="H26" s="589"/>
      <c r="I26" s="589"/>
      <c r="K26" s="574"/>
      <c r="O26" s="579"/>
    </row>
    <row r="27" spans="1:17" ht="13.5" customHeight="1">
      <c r="K27" s="574"/>
      <c r="M27" s="512" t="s">
        <v>2723</v>
      </c>
      <c r="N27" s="590"/>
      <c r="O27" s="584">
        <v>0.2</v>
      </c>
    </row>
    <row r="28" spans="1:17" ht="13.5" customHeight="1">
      <c r="A28" s="513" t="s">
        <v>2277</v>
      </c>
      <c r="B28" s="513"/>
      <c r="C28" s="580">
        <v>8</v>
      </c>
      <c r="D28" s="580">
        <v>9</v>
      </c>
      <c r="E28" s="580">
        <v>10</v>
      </c>
      <c r="F28" s="580">
        <v>11</v>
      </c>
      <c r="G28" s="580">
        <v>12</v>
      </c>
      <c r="H28" s="580">
        <v>13</v>
      </c>
      <c r="I28" s="580">
        <v>14</v>
      </c>
      <c r="N28" s="590"/>
      <c r="O28" s="590"/>
    </row>
    <row r="29" spans="1:17" ht="13.5" customHeight="1">
      <c r="A29" s="512" t="s">
        <v>2704</v>
      </c>
      <c r="C29" s="581">
        <f>'Part VI-Pro Forma'!I33</f>
        <v>314035.81437840854</v>
      </c>
      <c r="D29" s="581">
        <f>'Part VI-Pro Forma'!J33</f>
        <v>325427.42817330715</v>
      </c>
      <c r="E29" s="581">
        <f>'Part VI-Pro Forma'!K33</f>
        <v>336623.48094461585</v>
      </c>
      <c r="F29" s="581">
        <f>'Part VI-Pro Forma'!B65</f>
        <v>347605.69927287992</v>
      </c>
      <c r="G29" s="581">
        <f>'Part VI-Pro Forma'!C65</f>
        <v>358358.12260428286</v>
      </c>
      <c r="H29" s="581">
        <f>'Part VI-Pro Forma'!D65</f>
        <v>368862.07805798698</v>
      </c>
      <c r="I29" s="581">
        <f>'Part VI-Pro Forma'!E65</f>
        <v>379098.1543861067</v>
      </c>
      <c r="N29" s="590"/>
      <c r="O29" s="590"/>
    </row>
    <row r="30" spans="1:17" ht="13.5" customHeight="1">
      <c r="A30" s="512" t="s">
        <v>2705</v>
      </c>
      <c r="C30" s="583">
        <f>'Part VI-Pro Forma'!H40-'Part VI-Pro Forma'!I40</f>
        <v>125886.5328587424</v>
      </c>
      <c r="D30" s="583">
        <f>'Part VI-Pro Forma'!I40-'Part VI-Pro Forma'!J40</f>
        <v>133717.44691729546</v>
      </c>
      <c r="E30" s="583">
        <f>'Part VI-Pro Forma'!J40-'Part VI-Pro Forma'!K40</f>
        <v>142035.491835678</v>
      </c>
      <c r="F30" s="955">
        <f>'Part VI-Pro Forma'!K40-'Part VI-Pro Forma'!B72</f>
        <v>150870.97013960034</v>
      </c>
      <c r="G30" s="955">
        <f>'Part VI-Pro Forma'!B72-'Part VI-Pro Forma'!C72</f>
        <v>160256.06935763545</v>
      </c>
      <c r="H30" s="955">
        <f>'Part VI-Pro Forma'!C72-'Part VI-Pro Forma'!D72</f>
        <v>170224.9792799484</v>
      </c>
      <c r="I30" s="955">
        <f>'Part VI-Pro Forma'!D72-'Part VI-Pro Forma'!E72</f>
        <v>180814.01651124656</v>
      </c>
    </row>
    <row r="31" spans="1:17" ht="13.5" customHeight="1">
      <c r="A31" s="512" t="s">
        <v>2705</v>
      </c>
      <c r="C31" s="583">
        <f>'Part VI-Pro Forma'!H41-'Part VI-Pro Forma'!I41</f>
        <v>16154.93263598287</v>
      </c>
      <c r="D31" s="583">
        <f>'Part VI-Pro Forma'!I41-'Part VI-Pro Forma'!J41</f>
        <v>16920.670030761394</v>
      </c>
      <c r="E31" s="583">
        <f>'Part VI-Pro Forma'!J41-'Part VI-Pro Forma'!K41</f>
        <v>17722.703074118355</v>
      </c>
      <c r="F31" s="955">
        <f>'Part VI-Pro Forma'!K41-'Part VI-Pro Forma'!B73</f>
        <v>18562.752165389829</v>
      </c>
      <c r="G31" s="955">
        <f>'Part VI-Pro Forma'!B73-'Part VI-Pro Forma'!C73</f>
        <v>19442.619250157848</v>
      </c>
      <c r="H31" s="955">
        <f>'Part VI-Pro Forma'!C73-'Part VI-Pro Forma'!D73</f>
        <v>20364.191685509635</v>
      </c>
      <c r="I31" s="955">
        <f>'Part VI-Pro Forma'!D73-'Part VI-Pro Forma'!E73</f>
        <v>21329.446288509411</v>
      </c>
      <c r="K31" s="512" t="s">
        <v>233</v>
      </c>
      <c r="M31" s="512" t="s">
        <v>2724</v>
      </c>
      <c r="O31" s="581">
        <f>O25*O27</f>
        <v>-1619058.3027272725</v>
      </c>
    </row>
    <row r="32" spans="1:17" ht="13.5" customHeight="1">
      <c r="A32" s="512" t="s">
        <v>2705</v>
      </c>
      <c r="C32" s="583" t="e">
        <f>'Part VI-Pro Forma'!H42-'Part VI-Pro Forma'!I42</f>
        <v>#VALUE!</v>
      </c>
      <c r="D32" s="583" t="e">
        <f>'Part VI-Pro Forma'!I42-'Part VI-Pro Forma'!J42</f>
        <v>#VALUE!</v>
      </c>
      <c r="E32" s="583" t="e">
        <f>'Part VI-Pro Forma'!J42-'Part VI-Pro Forma'!K42</f>
        <v>#VALUE!</v>
      </c>
      <c r="F32" s="955" t="e">
        <f>'Part VI-Pro Forma'!K42-'Part VI-Pro Forma'!B74</f>
        <v>#VALUE!</v>
      </c>
      <c r="G32" s="955" t="e">
        <f>'Part VI-Pro Forma'!B74-'Part VI-Pro Forma'!C74</f>
        <v>#VALUE!</v>
      </c>
      <c r="H32" s="955" t="e">
        <f>'Part VI-Pro Forma'!C74-'Part VI-Pro Forma'!D74</f>
        <v>#VALUE!</v>
      </c>
      <c r="I32" s="955" t="e">
        <f>'Part VI-Pro Forma'!D74-'Part VI-Pro Forma'!E74</f>
        <v>#VALUE!</v>
      </c>
    </row>
    <row r="33" spans="1:15" ht="13.5" customHeight="1">
      <c r="A33" s="585" t="s">
        <v>3043</v>
      </c>
      <c r="B33" s="585"/>
      <c r="C33" s="958">
        <f>'Part VI-Pro Forma'!I23</f>
        <v>-78711.927387191681</v>
      </c>
      <c r="D33" s="958">
        <f>'Part VI-Pro Forma'!J23</f>
        <v>-81073.285208807414</v>
      </c>
      <c r="E33" s="958">
        <f>'Part VI-Pro Forma'!K23</f>
        <v>-83505.483765071651</v>
      </c>
      <c r="F33" s="958">
        <f>'Part VI-Pro Forma'!B55</f>
        <v>-86010.6482780238</v>
      </c>
      <c r="G33" s="958">
        <f>'Part VI-Pro Forma'!C55</f>
        <v>-88590.967726364514</v>
      </c>
      <c r="H33" s="958">
        <f>'Part VI-Pro Forma'!D55</f>
        <v>-91248.696758155435</v>
      </c>
      <c r="I33" s="958">
        <f>'Part VI-Pro Forma'!E55</f>
        <v>-93986.157660900091</v>
      </c>
      <c r="K33" s="512" t="s">
        <v>233</v>
      </c>
      <c r="M33" s="512" t="s">
        <v>2725</v>
      </c>
      <c r="O33" s="581" t="e">
        <f>O14-O31</f>
        <v>#REF!</v>
      </c>
    </row>
    <row r="34" spans="1:15" ht="13.5" customHeight="1">
      <c r="A34" s="585" t="s">
        <v>3044</v>
      </c>
      <c r="B34" s="585"/>
      <c r="C34" s="958">
        <f>'Part VI-Pro Forma'!I32</f>
        <v>0</v>
      </c>
      <c r="D34" s="958">
        <f>'Part VI-Pro Forma'!J32</f>
        <v>0</v>
      </c>
      <c r="E34" s="958">
        <f>'Part VI-Pro Forma'!K32</f>
        <v>0</v>
      </c>
      <c r="F34" s="958">
        <f>'Part VI-Pro Forma'!B64</f>
        <v>0</v>
      </c>
      <c r="G34" s="958">
        <f>'Part VI-Pro Forma'!C64</f>
        <v>0</v>
      </c>
      <c r="H34" s="958">
        <f>'Part VI-Pro Forma'!D64</f>
        <v>0</v>
      </c>
      <c r="I34" s="958">
        <f>'Part VI-Pro Forma'!E64</f>
        <v>0</v>
      </c>
    </row>
    <row r="35" spans="1:15" ht="13.5" customHeight="1">
      <c r="A35" s="512" t="s">
        <v>2708</v>
      </c>
      <c r="C35" s="586">
        <f t="shared" ref="C35:I35" si="8">$E$3/$H$3</f>
        <v>1079372.2018181819</v>
      </c>
      <c r="D35" s="586">
        <f t="shared" si="8"/>
        <v>1079372.2018181819</v>
      </c>
      <c r="E35" s="586">
        <f t="shared" si="8"/>
        <v>1079372.2018181819</v>
      </c>
      <c r="F35" s="586">
        <f t="shared" si="8"/>
        <v>1079372.2018181819</v>
      </c>
      <c r="G35" s="586">
        <f t="shared" si="8"/>
        <v>1079372.2018181819</v>
      </c>
      <c r="H35" s="586">
        <f t="shared" si="8"/>
        <v>1079372.2018181819</v>
      </c>
      <c r="I35" s="586">
        <f t="shared" si="8"/>
        <v>1079372.2018181819</v>
      </c>
    </row>
    <row r="36" spans="1:15" ht="13.5" customHeight="1">
      <c r="A36" s="512" t="s">
        <v>2710</v>
      </c>
      <c r="C36" s="581">
        <f>IF(C$28&lt;=$H$4,($E$4/$H$4),0)+IF(C$28&lt;=$H$5,($E$5/$H$5),0)</f>
        <v>37388.533333333333</v>
      </c>
      <c r="D36" s="581">
        <f t="shared" ref="D36:I36" si="9">IF(D$28&lt;=$H$4,($E$4/$H$4),0)+IF(D$28&lt;=$H$5,($E$5/$H$5),0)</f>
        <v>37388.533333333333</v>
      </c>
      <c r="E36" s="581">
        <f t="shared" si="9"/>
        <v>37388.533333333333</v>
      </c>
      <c r="F36" s="581">
        <f t="shared" si="9"/>
        <v>37388.533333333333</v>
      </c>
      <c r="G36" s="581">
        <f t="shared" si="9"/>
        <v>37388.533333333333</v>
      </c>
      <c r="H36" s="581">
        <f t="shared" si="9"/>
        <v>37388.533333333333</v>
      </c>
      <c r="I36" s="581">
        <f t="shared" si="9"/>
        <v>37388.533333333333</v>
      </c>
    </row>
    <row r="37" spans="1:15" ht="13.5" customHeight="1">
      <c r="A37" s="512" t="s">
        <v>2711</v>
      </c>
      <c r="C37" s="583" t="e">
        <f t="shared" ref="C37:I37" si="10">C29+C30+C31+C32+C33+C34-C35-C36</f>
        <v>#VALUE!</v>
      </c>
      <c r="D37" s="583" t="e">
        <f t="shared" si="10"/>
        <v>#VALUE!</v>
      </c>
      <c r="E37" s="583" t="e">
        <f t="shared" si="10"/>
        <v>#VALUE!</v>
      </c>
      <c r="F37" s="583" t="e">
        <f t="shared" si="10"/>
        <v>#VALUE!</v>
      </c>
      <c r="G37" s="583" t="e">
        <f t="shared" si="10"/>
        <v>#VALUE!</v>
      </c>
      <c r="H37" s="583" t="e">
        <f t="shared" si="10"/>
        <v>#VALUE!</v>
      </c>
      <c r="I37" s="583" t="e">
        <f t="shared" si="10"/>
        <v>#VALUE!</v>
      </c>
    </row>
    <row r="38" spans="1:15" ht="13.5" customHeight="1">
      <c r="A38" s="512" t="s">
        <v>2713</v>
      </c>
      <c r="C38" s="587" t="e">
        <f t="shared" ref="C38:I38" si="11">C37*$H$6</f>
        <v>#VALUE!</v>
      </c>
      <c r="D38" s="587" t="e">
        <f t="shared" si="11"/>
        <v>#VALUE!</v>
      </c>
      <c r="E38" s="587" t="e">
        <f t="shared" si="11"/>
        <v>#VALUE!</v>
      </c>
      <c r="F38" s="587" t="e">
        <f t="shared" si="11"/>
        <v>#VALUE!</v>
      </c>
      <c r="G38" s="587" t="e">
        <f t="shared" si="11"/>
        <v>#VALUE!</v>
      </c>
      <c r="H38" s="587" t="e">
        <f t="shared" si="11"/>
        <v>#VALUE!</v>
      </c>
      <c r="I38" s="587" t="e">
        <f t="shared" si="11"/>
        <v>#VALUE!</v>
      </c>
    </row>
    <row r="39" spans="1:15" ht="13.5" customHeight="1">
      <c r="C39" s="583"/>
      <c r="D39" s="583"/>
      <c r="E39" s="583"/>
      <c r="F39" s="583"/>
      <c r="G39" s="583"/>
      <c r="H39" s="583"/>
      <c r="I39" s="583"/>
    </row>
    <row r="40" spans="1:15" ht="13.5" customHeight="1">
      <c r="A40" s="512" t="s">
        <v>2715</v>
      </c>
      <c r="C40" s="583" t="e">
        <f t="shared" ref="C40:I40" si="12">C29-C38</f>
        <v>#VALUE!</v>
      </c>
      <c r="D40" s="583" t="e">
        <f t="shared" si="12"/>
        <v>#VALUE!</v>
      </c>
      <c r="E40" s="583" t="e">
        <f t="shared" si="12"/>
        <v>#VALUE!</v>
      </c>
      <c r="F40" s="583" t="e">
        <f t="shared" si="12"/>
        <v>#VALUE!</v>
      </c>
      <c r="G40" s="583" t="e">
        <f t="shared" si="12"/>
        <v>#VALUE!</v>
      </c>
      <c r="H40" s="583" t="e">
        <f t="shared" si="12"/>
        <v>#VALUE!</v>
      </c>
      <c r="I40" s="583" t="e">
        <f t="shared" si="12"/>
        <v>#VALUE!</v>
      </c>
    </row>
    <row r="41" spans="1:15" ht="13.5" customHeight="1">
      <c r="A41" s="512" t="s">
        <v>2716</v>
      </c>
      <c r="C41" s="587">
        <f>C21</f>
        <v>1386902</v>
      </c>
      <c r="D41" s="587">
        <f>C41</f>
        <v>1386902</v>
      </c>
      <c r="E41" s="587">
        <f>D41</f>
        <v>1386902</v>
      </c>
      <c r="F41" s="587">
        <v>0</v>
      </c>
      <c r="G41" s="587">
        <v>0</v>
      </c>
      <c r="H41" s="587">
        <v>0</v>
      </c>
      <c r="I41" s="587">
        <v>0</v>
      </c>
    </row>
    <row r="42" spans="1:15" ht="13.5" customHeight="1">
      <c r="A42" s="512" t="s">
        <v>2717</v>
      </c>
      <c r="C42" s="587">
        <f>C22</f>
        <v>1386902</v>
      </c>
      <c r="D42" s="587">
        <f>C42</f>
        <v>1386902</v>
      </c>
      <c r="E42" s="587">
        <f>D42</f>
        <v>1386902</v>
      </c>
      <c r="F42" s="587">
        <v>0</v>
      </c>
      <c r="G42" s="587">
        <v>0</v>
      </c>
      <c r="H42" s="587">
        <v>0</v>
      </c>
      <c r="I42" s="587">
        <v>0</v>
      </c>
    </row>
    <row r="43" spans="1:15" ht="13.5" customHeight="1">
      <c r="A43" s="512" t="s">
        <v>2719</v>
      </c>
      <c r="C43" s="583">
        <v>0</v>
      </c>
      <c r="D43" s="583">
        <v>0</v>
      </c>
      <c r="E43" s="583">
        <v>0</v>
      </c>
      <c r="F43" s="583">
        <v>0</v>
      </c>
      <c r="G43" s="583">
        <v>0</v>
      </c>
      <c r="H43" s="583">
        <v>0</v>
      </c>
      <c r="I43" s="583">
        <v>0</v>
      </c>
    </row>
    <row r="44" spans="1:15" ht="13.5" customHeight="1">
      <c r="A44" s="512" t="s">
        <v>2720</v>
      </c>
      <c r="C44" s="583" t="e">
        <f t="shared" ref="C44:I44" si="13">SUM(C40:C43)</f>
        <v>#VALUE!</v>
      </c>
      <c r="D44" s="583" t="e">
        <f t="shared" si="13"/>
        <v>#VALUE!</v>
      </c>
      <c r="E44" s="583" t="e">
        <f t="shared" si="13"/>
        <v>#VALUE!</v>
      </c>
      <c r="F44" s="583" t="e">
        <f t="shared" si="13"/>
        <v>#VALUE!</v>
      </c>
      <c r="G44" s="583" t="e">
        <f t="shared" si="13"/>
        <v>#VALUE!</v>
      </c>
      <c r="H44" s="583" t="e">
        <f t="shared" si="13"/>
        <v>#VALUE!</v>
      </c>
      <c r="I44" s="583" t="e">
        <f t="shared" si="13"/>
        <v>#VALUE!</v>
      </c>
    </row>
    <row r="45" spans="1:15" ht="13.5" customHeight="1"/>
    <row r="46" spans="1:15" ht="13.5" customHeight="1">
      <c r="A46" s="589"/>
      <c r="B46" s="589"/>
      <c r="C46" s="589"/>
      <c r="D46" s="589"/>
      <c r="E46" s="589"/>
      <c r="F46" s="589"/>
      <c r="G46" s="589"/>
      <c r="H46" s="589"/>
      <c r="I46" s="589"/>
    </row>
    <row r="47" spans="1:15" ht="13.5" customHeight="1">
      <c r="I47" s="517"/>
    </row>
    <row r="48" spans="1:15" ht="13.5" customHeight="1">
      <c r="A48" s="513" t="s">
        <v>2277</v>
      </c>
      <c r="B48" s="513"/>
      <c r="C48" s="580">
        <v>15</v>
      </c>
      <c r="D48" s="513">
        <v>16</v>
      </c>
      <c r="E48" s="513">
        <v>17</v>
      </c>
      <c r="F48" s="513">
        <v>18</v>
      </c>
      <c r="G48" s="513">
        <v>19</v>
      </c>
      <c r="H48" s="513">
        <v>20</v>
      </c>
    </row>
    <row r="49" spans="1:10" ht="13.5" customHeight="1">
      <c r="A49" s="512" t="s">
        <v>2704</v>
      </c>
      <c r="C49" s="581">
        <f>'Part VI-Pro Forma'!F65</f>
        <v>389048.17505909066</v>
      </c>
      <c r="D49" s="581">
        <f>'Part VI-Pro Forma'!G62</f>
        <v>0</v>
      </c>
      <c r="E49" s="581">
        <f>'Part VI-Pro Forma'!H62</f>
        <v>0</v>
      </c>
      <c r="F49" s="581">
        <f>'Part VI-Pro Forma'!I62</f>
        <v>0</v>
      </c>
      <c r="G49" s="581">
        <f>'Part VI-Pro Forma'!J62</f>
        <v>0</v>
      </c>
      <c r="H49" s="581">
        <f>'Part VI-Pro Forma'!K62</f>
        <v>0</v>
      </c>
    </row>
    <row r="50" spans="1:10" ht="13.5" customHeight="1">
      <c r="A50" s="512" t="s">
        <v>2705</v>
      </c>
      <c r="C50" s="956">
        <f>'Part VI-Pro Forma'!E72-'Part VI-Pro Forma'!F72</f>
        <v>192061.7567716781</v>
      </c>
      <c r="D50" s="956">
        <f>'Part VI-Pro Forma'!F72-'Part VI-Pro Forma'!G72</f>
        <v>204009.17542766221</v>
      </c>
      <c r="E50" s="956">
        <f>'Part VI-Pro Forma'!G72-'Part VI-Pro Forma'!H72</f>
        <v>216699.79676460102</v>
      </c>
      <c r="F50" s="956">
        <f>'Part VI-Pro Forma'!H72-'Part VI-Pro Forma'!I72</f>
        <v>230179.85254525952</v>
      </c>
      <c r="G50" s="956">
        <f>'Part VI-Pro Forma'!I72-'Part VI-Pro Forma'!J72</f>
        <v>244498.45043145865</v>
      </c>
      <c r="H50" s="956">
        <f>'Part VI-Pro Forma'!J72-'Part VI-Pro Forma'!K72</f>
        <v>259707.7528826315</v>
      </c>
    </row>
    <row r="51" spans="1:10" ht="13.5" customHeight="1">
      <c r="A51" s="512" t="s">
        <v>2705</v>
      </c>
      <c r="C51" s="956">
        <f>'Part VI-Pro Forma'!E73-'Part VI-Pro Forma'!F73</f>
        <v>22340.453576565487</v>
      </c>
      <c r="D51" s="956">
        <f>'Part VI-Pro Forma'!F73-'Part VI-Pro Forma'!G73</f>
        <v>23399.38220878935</v>
      </c>
      <c r="E51" s="956">
        <f>'Part VI-Pro Forma'!G73-'Part VI-Pro Forma'!H73</f>
        <v>24508.503637873917</v>
      </c>
      <c r="F51" s="956">
        <f>'Part VI-Pro Forma'!H73-'Part VI-Pro Forma'!I73</f>
        <v>25670.196982468013</v>
      </c>
      <c r="G51" s="956">
        <f>'Part VI-Pro Forma'!I73-'Part VI-Pro Forma'!J73</f>
        <v>26886.954130499973</v>
      </c>
      <c r="H51" s="956">
        <f>'Part VI-Pro Forma'!J73-'Part VI-Pro Forma'!K73</f>
        <v>28161.38508439716</v>
      </c>
    </row>
    <row r="52" spans="1:10" ht="13.5" customHeight="1">
      <c r="A52" s="512" t="s">
        <v>2705</v>
      </c>
      <c r="C52" s="591" t="e">
        <f>'Part VI-Pro Forma'!E74-'Part VI-Pro Forma'!F74</f>
        <v>#VALUE!</v>
      </c>
      <c r="D52" s="591" t="e">
        <f>'Part VI-Pro Forma'!F74-'Part VI-Pro Forma'!G74</f>
        <v>#VALUE!</v>
      </c>
      <c r="E52" s="591" t="e">
        <f>'Part VI-Pro Forma'!G74-'Part VI-Pro Forma'!H74</f>
        <v>#VALUE!</v>
      </c>
      <c r="F52" s="591" t="e">
        <f>'Part VI-Pro Forma'!H74-'Part VI-Pro Forma'!I74</f>
        <v>#VALUE!</v>
      </c>
      <c r="G52" s="591" t="e">
        <f>'Part VI-Pro Forma'!I74-'Part VI-Pro Forma'!J74</f>
        <v>#VALUE!</v>
      </c>
      <c r="H52" s="591" t="e">
        <f>'Part VI-Pro Forma'!J74-'Part VI-Pro Forma'!K74</f>
        <v>#VALUE!</v>
      </c>
    </row>
    <row r="53" spans="1:10" ht="13.5" customHeight="1">
      <c r="A53" s="585" t="s">
        <v>3043</v>
      </c>
      <c r="B53" s="585"/>
      <c r="C53" s="958">
        <f>'Part VI-Pro Forma'!F55</f>
        <v>-96805.7423907271</v>
      </c>
      <c r="D53" s="958">
        <f>'Part VI-Pro Forma'!G55</f>
        <v>-99709.914662448922</v>
      </c>
      <c r="E53" s="958">
        <f>'Part VI-Pro Forma'!H55</f>
        <v>-102701.21210232237</v>
      </c>
      <c r="F53" s="958">
        <f>'Part VI-Pro Forma'!I55</f>
        <v>-105782.24846539204</v>
      </c>
      <c r="G53" s="958">
        <f>'Part VI-Pro Forma'!J55</f>
        <v>-108955.71591935381</v>
      </c>
      <c r="H53" s="958">
        <f>'Part VI-Pro Forma'!K55</f>
        <v>-112224.38739693441</v>
      </c>
    </row>
    <row r="54" spans="1:10" ht="13.5" customHeight="1">
      <c r="A54" s="585" t="s">
        <v>3044</v>
      </c>
      <c r="C54" s="959">
        <f>'Part VI-Pro Forma'!F64</f>
        <v>0</v>
      </c>
      <c r="D54" s="959">
        <f>'Part VI-Pro Forma'!G64</f>
        <v>0</v>
      </c>
      <c r="E54" s="959">
        <f>'Part VI-Pro Forma'!H64</f>
        <v>0</v>
      </c>
      <c r="F54" s="959">
        <f>'Part VI-Pro Forma'!I64</f>
        <v>0</v>
      </c>
      <c r="G54" s="959">
        <f>'Part VI-Pro Forma'!J64</f>
        <v>0</v>
      </c>
      <c r="H54" s="959">
        <f>'Part VI-Pro Forma'!K64</f>
        <v>0</v>
      </c>
    </row>
    <row r="55" spans="1:10" ht="13.5" customHeight="1">
      <c r="A55" s="512" t="s">
        <v>2708</v>
      </c>
      <c r="C55" s="586">
        <f t="shared" ref="C55:H55" si="14">$E$3/$H$3</f>
        <v>1079372.2018181819</v>
      </c>
      <c r="D55" s="586">
        <f t="shared" si="14"/>
        <v>1079372.2018181819</v>
      </c>
      <c r="E55" s="586">
        <f t="shared" si="14"/>
        <v>1079372.2018181819</v>
      </c>
      <c r="F55" s="586">
        <f t="shared" si="14"/>
        <v>1079372.2018181819</v>
      </c>
      <c r="G55" s="586">
        <f t="shared" si="14"/>
        <v>1079372.2018181819</v>
      </c>
      <c r="H55" s="586">
        <f t="shared" si="14"/>
        <v>1079372.2018181819</v>
      </c>
    </row>
    <row r="56" spans="1:10" ht="13.5" customHeight="1">
      <c r="A56" s="512" t="s">
        <v>2710</v>
      </c>
      <c r="C56" s="581">
        <f t="shared" ref="C56:H56" si="15">IF(C$48&lt;=$H$4,($E$4/$H$4),0)+IF(C$48&lt;=$H$5,($E$5/$H$5),0)</f>
        <v>37388.533333333333</v>
      </c>
      <c r="D56" s="581">
        <f t="shared" si="15"/>
        <v>18125</v>
      </c>
      <c r="E56" s="581">
        <f t="shared" si="15"/>
        <v>18125</v>
      </c>
      <c r="F56" s="581">
        <f t="shared" si="15"/>
        <v>18125</v>
      </c>
      <c r="G56" s="581">
        <f t="shared" si="15"/>
        <v>18125</v>
      </c>
      <c r="H56" s="581">
        <f t="shared" si="15"/>
        <v>18125</v>
      </c>
    </row>
    <row r="57" spans="1:10" ht="13.5" customHeight="1">
      <c r="A57" s="512" t="s">
        <v>2711</v>
      </c>
      <c r="C57" s="581" t="e">
        <f t="shared" ref="C57:H57" si="16">C49+C50+C51+C52+C53+C54-C55-C56</f>
        <v>#VALUE!</v>
      </c>
      <c r="D57" s="581" t="e">
        <f t="shared" si="16"/>
        <v>#VALUE!</v>
      </c>
      <c r="E57" s="581" t="e">
        <f t="shared" si="16"/>
        <v>#VALUE!</v>
      </c>
      <c r="F57" s="581" t="e">
        <f t="shared" si="16"/>
        <v>#VALUE!</v>
      </c>
      <c r="G57" s="581" t="e">
        <f t="shared" si="16"/>
        <v>#VALUE!</v>
      </c>
      <c r="H57" s="581" t="e">
        <f t="shared" si="16"/>
        <v>#VALUE!</v>
      </c>
    </row>
    <row r="58" spans="1:10" ht="13.5" customHeight="1">
      <c r="A58" s="512" t="s">
        <v>2713</v>
      </c>
      <c r="C58" s="586" t="e">
        <f t="shared" ref="C58:H58" si="17">C57*$H$6</f>
        <v>#VALUE!</v>
      </c>
      <c r="D58" s="586" t="e">
        <f t="shared" si="17"/>
        <v>#VALUE!</v>
      </c>
      <c r="E58" s="586" t="e">
        <f t="shared" si="17"/>
        <v>#VALUE!</v>
      </c>
      <c r="F58" s="586" t="e">
        <f t="shared" si="17"/>
        <v>#VALUE!</v>
      </c>
      <c r="G58" s="586" t="e">
        <f t="shared" si="17"/>
        <v>#VALUE!</v>
      </c>
      <c r="H58" s="586" t="e">
        <f t="shared" si="17"/>
        <v>#VALUE!</v>
      </c>
      <c r="J58" s="512" t="s">
        <v>233</v>
      </c>
    </row>
    <row r="59" spans="1:10" s="592" customFormat="1" ht="16.5" customHeight="1">
      <c r="A59" s="512"/>
      <c r="B59" s="512"/>
      <c r="C59" s="581"/>
      <c r="D59" s="581"/>
      <c r="E59" s="581"/>
      <c r="F59" s="581"/>
      <c r="G59" s="581"/>
      <c r="H59" s="581"/>
      <c r="I59" s="512"/>
      <c r="J59" s="512"/>
    </row>
    <row r="60" spans="1:10">
      <c r="A60" s="512" t="s">
        <v>2715</v>
      </c>
      <c r="C60" s="581" t="e">
        <f t="shared" ref="C60:H60" si="18">C49-C58</f>
        <v>#VALUE!</v>
      </c>
      <c r="D60" s="581" t="e">
        <f t="shared" si="18"/>
        <v>#VALUE!</v>
      </c>
      <c r="E60" s="581" t="e">
        <f t="shared" si="18"/>
        <v>#VALUE!</v>
      </c>
      <c r="F60" s="581" t="e">
        <f t="shared" si="18"/>
        <v>#VALUE!</v>
      </c>
      <c r="G60" s="581" t="e">
        <f t="shared" si="18"/>
        <v>#VALUE!</v>
      </c>
      <c r="H60" s="581" t="e">
        <f t="shared" si="18"/>
        <v>#VALUE!</v>
      </c>
    </row>
    <row r="61" spans="1:10">
      <c r="A61" s="512" t="s">
        <v>2716</v>
      </c>
      <c r="C61" s="586">
        <v>0</v>
      </c>
      <c r="D61" s="586">
        <v>0</v>
      </c>
      <c r="E61" s="586">
        <v>0</v>
      </c>
      <c r="F61" s="586">
        <v>0</v>
      </c>
      <c r="G61" s="586">
        <v>0</v>
      </c>
      <c r="H61" s="581">
        <v>0</v>
      </c>
    </row>
    <row r="62" spans="1:10">
      <c r="A62" s="512" t="s">
        <v>2717</v>
      </c>
      <c r="C62" s="586">
        <v>0</v>
      </c>
      <c r="D62" s="581">
        <v>0</v>
      </c>
      <c r="E62" s="581">
        <v>0</v>
      </c>
      <c r="F62" s="581">
        <v>0</v>
      </c>
      <c r="G62" s="581">
        <v>0</v>
      </c>
      <c r="H62" s="581">
        <v>0</v>
      </c>
    </row>
    <row r="63" spans="1:10">
      <c r="A63" s="512" t="s">
        <v>2719</v>
      </c>
      <c r="C63" s="581">
        <v>0</v>
      </c>
      <c r="D63" s="581">
        <v>0</v>
      </c>
      <c r="E63" s="581">
        <v>0</v>
      </c>
      <c r="F63" s="581">
        <v>0</v>
      </c>
      <c r="G63" s="581">
        <v>0</v>
      </c>
      <c r="H63" s="581" t="e">
        <f>O33</f>
        <v>#REF!</v>
      </c>
    </row>
    <row r="64" spans="1:10">
      <c r="A64" s="512" t="s">
        <v>2720</v>
      </c>
      <c r="C64" s="581" t="e">
        <f t="shared" ref="C64:H64" si="19">SUM(C60:C63)</f>
        <v>#VALUE!</v>
      </c>
      <c r="D64" s="581" t="e">
        <f t="shared" si="19"/>
        <v>#VALUE!</v>
      </c>
      <c r="E64" s="581" t="e">
        <f t="shared" si="19"/>
        <v>#VALUE!</v>
      </c>
      <c r="F64" s="581" t="e">
        <f t="shared" si="19"/>
        <v>#VALUE!</v>
      </c>
      <c r="G64" s="581" t="e">
        <f t="shared" si="19"/>
        <v>#VALUE!</v>
      </c>
      <c r="H64" s="581" t="e">
        <f t="shared" si="19"/>
        <v>#VALUE!</v>
      </c>
    </row>
    <row r="66" spans="1:10">
      <c r="A66" s="593"/>
      <c r="B66" s="594"/>
      <c r="C66" s="594"/>
      <c r="D66" s="594"/>
      <c r="E66" s="594"/>
      <c r="F66" s="595" t="s">
        <v>2726</v>
      </c>
      <c r="G66" s="4797" t="e">
        <f>IRR(K5:K25)</f>
        <v>#VALUE!</v>
      </c>
      <c r="H66" s="4798"/>
      <c r="I66" s="592"/>
      <c r="J66" s="592"/>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800" t="str">
        <f>'Sensitivity Analysis'!C8</f>
        <v>Retreat at Madison Place</v>
      </c>
      <c r="B1" s="4800"/>
      <c r="C1" s="4800"/>
      <c r="D1" s="4800"/>
      <c r="E1" s="4800"/>
      <c r="F1" s="4800"/>
      <c r="G1" s="4800"/>
      <c r="H1" s="4800"/>
      <c r="I1" s="4800"/>
      <c r="J1" s="4800"/>
      <c r="K1" s="4800"/>
    </row>
    <row r="2" spans="1:11" s="438" customFormat="1" ht="17.7" customHeight="1">
      <c r="A2" s="4799" t="s">
        <v>2876</v>
      </c>
      <c r="B2" s="4799"/>
      <c r="C2" s="4799"/>
      <c r="D2" s="4799"/>
      <c r="E2" s="4799"/>
      <c r="F2" s="4799"/>
      <c r="G2" s="4799"/>
      <c r="H2" s="4799"/>
      <c r="I2" s="4799"/>
      <c r="J2" s="4799"/>
      <c r="K2" s="4799"/>
    </row>
    <row r="3" spans="1:11" ht="9" customHeight="1">
      <c r="A3" s="1381"/>
      <c r="B3" s="1381"/>
      <c r="C3" s="1381"/>
      <c r="D3" s="1381"/>
      <c r="E3" s="1381"/>
      <c r="G3" s="1381"/>
      <c r="H3" s="1381"/>
      <c r="J3" s="1381"/>
      <c r="K3" s="1381"/>
    </row>
    <row r="4" spans="1:11" ht="12.6" customHeight="1">
      <c r="A4" s="4801" t="s">
        <v>3958</v>
      </c>
      <c r="B4" s="4801"/>
      <c r="C4" s="1382"/>
      <c r="D4" s="4801" t="s">
        <v>3959</v>
      </c>
      <c r="E4" s="4801"/>
      <c r="F4" s="519"/>
      <c r="G4" s="4801" t="s">
        <v>3960</v>
      </c>
      <c r="H4" s="4801"/>
      <c r="I4" s="519"/>
      <c r="J4" s="4801" t="s">
        <v>4069</v>
      </c>
      <c r="K4" s="4801"/>
    </row>
    <row r="5" spans="1:11" ht="25.95" customHeight="1">
      <c r="A5" s="4802" t="str">
        <f>'Part II-Sources of Funds'!E42</f>
        <v>Grandbridge</v>
      </c>
      <c r="B5" s="4803"/>
      <c r="C5" s="438"/>
      <c r="D5" s="4802" t="str">
        <f>'Part II-Sources of Funds'!E43</f>
        <v xml:space="preserve">Mercy Housing </v>
      </c>
      <c r="E5" s="4803"/>
      <c r="F5" s="1383"/>
      <c r="G5" s="4802">
        <f>'Part II-Sources of Funds'!E44</f>
        <v>0</v>
      </c>
      <c r="H5" s="4803"/>
      <c r="I5" s="1383"/>
      <c r="J5" s="4802">
        <f>'Part II-Sources of Funds'!E45</f>
        <v>0</v>
      </c>
      <c r="K5" s="4803"/>
    </row>
    <row r="6" spans="1:11" ht="9" customHeight="1"/>
    <row r="7" spans="1:11" ht="15.6">
      <c r="A7" s="961"/>
      <c r="B7" s="961" t="s">
        <v>2727</v>
      </c>
      <c r="D7" s="961"/>
      <c r="E7" s="961" t="s">
        <v>2727</v>
      </c>
      <c r="G7" s="961"/>
      <c r="H7" s="961" t="s">
        <v>2727</v>
      </c>
      <c r="J7" s="961"/>
      <c r="K7" s="961" t="s">
        <v>2727</v>
      </c>
    </row>
    <row r="8" spans="1:11" ht="15.6">
      <c r="A8" s="984" t="s">
        <v>2277</v>
      </c>
      <c r="B8" s="984" t="s">
        <v>2728</v>
      </c>
      <c r="D8" s="984" t="s">
        <v>2277</v>
      </c>
      <c r="E8" s="984" t="s">
        <v>2728</v>
      </c>
      <c r="G8" s="984" t="s">
        <v>2277</v>
      </c>
      <c r="H8" s="984" t="s">
        <v>2728</v>
      </c>
      <c r="J8" s="984" t="s">
        <v>2277</v>
      </c>
      <c r="K8" s="984" t="s">
        <v>2728</v>
      </c>
    </row>
    <row r="9" spans="1:11" ht="6" customHeight="1">
      <c r="A9" s="503"/>
      <c r="B9" s="503"/>
      <c r="D9" s="503"/>
      <c r="E9" s="503"/>
      <c r="G9" s="503"/>
      <c r="H9" s="503"/>
      <c r="J9" s="503"/>
      <c r="K9" s="503"/>
    </row>
    <row r="10" spans="1:11" ht="20.25" customHeight="1">
      <c r="A10" s="962">
        <v>1</v>
      </c>
      <c r="B10" s="963">
        <f>-'Part VI-Pro Forma'!$B26/12</f>
        <v>74749.919869347505</v>
      </c>
      <c r="D10" s="962">
        <v>1</v>
      </c>
      <c r="E10" s="963">
        <f>-'Part VI-Pro Forma'!$B27/12</f>
        <v>4819.6391176776797</v>
      </c>
      <c r="G10" s="962">
        <v>1</v>
      </c>
      <c r="H10" s="963">
        <f>-'Part VI-Pro Forma'!$B28/12</f>
        <v>0</v>
      </c>
      <c r="J10" s="962">
        <v>1</v>
      </c>
      <c r="K10" s="963">
        <f>-'Part VI-Pro Forma'!$B29/12</f>
        <v>0</v>
      </c>
    </row>
    <row r="11" spans="1:11" ht="20.25" customHeight="1">
      <c r="A11" s="962">
        <v>2</v>
      </c>
      <c r="B11" s="963">
        <f>-'Part VI-Pro Forma'!$C26/12</f>
        <v>74749.919869347505</v>
      </c>
      <c r="D11" s="962">
        <v>2</v>
      </c>
      <c r="E11" s="963">
        <f>-'Part VI-Pro Forma'!$C27/12</f>
        <v>4819.6391176776797</v>
      </c>
      <c r="G11" s="962">
        <v>2</v>
      </c>
      <c r="H11" s="963">
        <f>-'Part VI-Pro Forma'!$C28/12</f>
        <v>0</v>
      </c>
      <c r="J11" s="962">
        <v>2</v>
      </c>
      <c r="K11" s="963">
        <f>-'Part VI-Pro Forma'!$C29/12</f>
        <v>0</v>
      </c>
    </row>
    <row r="12" spans="1:11" ht="20.25" customHeight="1">
      <c r="A12" s="962">
        <v>3</v>
      </c>
      <c r="B12" s="963">
        <f>-'Part VI-Pro Forma'!$D26/12</f>
        <v>74749.919869347505</v>
      </c>
      <c r="D12" s="962">
        <v>3</v>
      </c>
      <c r="E12" s="963">
        <f>-'Part VI-Pro Forma'!$D27/12</f>
        <v>4819.6391176776797</v>
      </c>
      <c r="G12" s="962">
        <v>3</v>
      </c>
      <c r="H12" s="963">
        <f>-'Part VI-Pro Forma'!$D28/12</f>
        <v>0</v>
      </c>
      <c r="J12" s="962">
        <v>3</v>
      </c>
      <c r="K12" s="963">
        <f>-'Part VI-Pro Forma'!$D29/12</f>
        <v>0</v>
      </c>
    </row>
    <row r="13" spans="1:11" ht="20.25" customHeight="1">
      <c r="A13" s="962">
        <v>4</v>
      </c>
      <c r="B13" s="963">
        <f>-'Part VI-Pro Forma'!$E26/12</f>
        <v>74749.919869347505</v>
      </c>
      <c r="D13" s="962">
        <v>4</v>
      </c>
      <c r="E13" s="963">
        <f>-'Part VI-Pro Forma'!$E27/12</f>
        <v>4819.6391176776797</v>
      </c>
      <c r="G13" s="962">
        <v>4</v>
      </c>
      <c r="H13" s="963">
        <f>-'Part VI-Pro Forma'!$E28/12</f>
        <v>0</v>
      </c>
      <c r="J13" s="962">
        <v>4</v>
      </c>
      <c r="K13" s="963">
        <f>-'Part VI-Pro Forma'!$E29/12</f>
        <v>0</v>
      </c>
    </row>
    <row r="14" spans="1:11" ht="20.25" customHeight="1">
      <c r="A14" s="1384">
        <v>5</v>
      </c>
      <c r="B14" s="1385">
        <f>-'Part VI-Pro Forma'!$F26/12</f>
        <v>74749.919869347505</v>
      </c>
      <c r="D14" s="1384">
        <v>5</v>
      </c>
      <c r="E14" s="1385">
        <f>-'Part VI-Pro Forma'!$F27/12</f>
        <v>4819.6391176776797</v>
      </c>
      <c r="G14" s="1384">
        <v>5</v>
      </c>
      <c r="H14" s="1385">
        <f>-'Part VI-Pro Forma'!$F28/12</f>
        <v>0</v>
      </c>
      <c r="J14" s="1384">
        <v>5</v>
      </c>
      <c r="K14" s="1385">
        <f>-'Part VI-Pro Forma'!$F29/12</f>
        <v>0</v>
      </c>
    </row>
    <row r="15" spans="1:11" ht="20.25" customHeight="1">
      <c r="A15" s="962">
        <v>6</v>
      </c>
      <c r="B15" s="963">
        <f>-'Part VI-Pro Forma'!$G26/12</f>
        <v>74749.919869347505</v>
      </c>
      <c r="D15" s="962">
        <v>6</v>
      </c>
      <c r="E15" s="963">
        <f>-'Part VI-Pro Forma'!$G27/12</f>
        <v>4819.6391176776797</v>
      </c>
      <c r="G15" s="962">
        <v>6</v>
      </c>
      <c r="H15" s="963">
        <f>-'Part VI-Pro Forma'!$G28/12</f>
        <v>0</v>
      </c>
      <c r="J15" s="962">
        <v>6</v>
      </c>
      <c r="K15" s="963">
        <f>-'Part VI-Pro Forma'!$G29/12</f>
        <v>0</v>
      </c>
    </row>
    <row r="16" spans="1:11" ht="20.25" customHeight="1">
      <c r="A16" s="962">
        <v>7</v>
      </c>
      <c r="B16" s="963">
        <f>-'Part VI-Pro Forma'!$H26/12</f>
        <v>74749.919869347505</v>
      </c>
      <c r="D16" s="962">
        <v>7</v>
      </c>
      <c r="E16" s="963">
        <f>-'Part VI-Pro Forma'!$H27/12</f>
        <v>4819.6391176776797</v>
      </c>
      <c r="G16" s="962">
        <v>7</v>
      </c>
      <c r="H16" s="963">
        <f>-'Part VI-Pro Forma'!$H28/12</f>
        <v>0</v>
      </c>
      <c r="J16" s="962">
        <v>7</v>
      </c>
      <c r="K16" s="963">
        <f>-'Part VI-Pro Forma'!$H29/12</f>
        <v>0</v>
      </c>
    </row>
    <row r="17" spans="1:11" ht="20.25" customHeight="1">
      <c r="A17" s="962">
        <v>8</v>
      </c>
      <c r="B17" s="963">
        <f>-'Part VI-Pro Forma'!$I26/12</f>
        <v>74749.919869347505</v>
      </c>
      <c r="D17" s="962">
        <v>8</v>
      </c>
      <c r="E17" s="963">
        <f>-'Part VI-Pro Forma'!$I27/12</f>
        <v>4819.6391176776797</v>
      </c>
      <c r="G17" s="962">
        <v>8</v>
      </c>
      <c r="H17" s="963">
        <f>-'Part VI-Pro Forma'!$I28/12</f>
        <v>0</v>
      </c>
      <c r="J17" s="962">
        <v>8</v>
      </c>
      <c r="K17" s="963">
        <f>-'Part VI-Pro Forma'!$I29/12</f>
        <v>0</v>
      </c>
    </row>
    <row r="18" spans="1:11" ht="20.25" customHeight="1">
      <c r="A18" s="962">
        <v>9</v>
      </c>
      <c r="B18" s="963">
        <f>-'Part VI-Pro Forma'!$J26/12</f>
        <v>74749.919869347505</v>
      </c>
      <c r="D18" s="962">
        <v>9</v>
      </c>
      <c r="E18" s="963">
        <f>-'Part VI-Pro Forma'!$J27/12</f>
        <v>4819.6391176776797</v>
      </c>
      <c r="G18" s="962">
        <v>9</v>
      </c>
      <c r="H18" s="963">
        <f>-'Part VI-Pro Forma'!$J28/12</f>
        <v>0</v>
      </c>
      <c r="J18" s="962">
        <v>9</v>
      </c>
      <c r="K18" s="963">
        <f>-'Part VI-Pro Forma'!$J29/12</f>
        <v>0</v>
      </c>
    </row>
    <row r="19" spans="1:11" ht="20.25" customHeight="1">
      <c r="A19" s="1384">
        <v>10</v>
      </c>
      <c r="B19" s="1385">
        <f>-'Part VI-Pro Forma'!$K26/12</f>
        <v>74749.919869347505</v>
      </c>
      <c r="D19" s="1384">
        <v>10</v>
      </c>
      <c r="E19" s="1385">
        <f>-'Part VI-Pro Forma'!$K27/12</f>
        <v>4819.6391176776797</v>
      </c>
      <c r="G19" s="1384">
        <v>10</v>
      </c>
      <c r="H19" s="1385">
        <f>-'Part VI-Pro Forma'!$K28/12</f>
        <v>0</v>
      </c>
      <c r="J19" s="1384">
        <v>10</v>
      </c>
      <c r="K19" s="1385">
        <f>-'Part VI-Pro Forma'!$K29/12</f>
        <v>0</v>
      </c>
    </row>
    <row r="20" spans="1:11" ht="20.25" customHeight="1">
      <c r="A20" s="962">
        <v>11</v>
      </c>
      <c r="B20" s="963">
        <f>-'Part VI-Pro Forma'!$B58/12</f>
        <v>74749.919869347505</v>
      </c>
      <c r="D20" s="962">
        <v>11</v>
      </c>
      <c r="E20" s="963">
        <f>-'Part VI-Pro Forma'!$B59/12</f>
        <v>4819.6391176776797</v>
      </c>
      <c r="G20" s="962">
        <v>11</v>
      </c>
      <c r="H20" s="963">
        <f>-'Part VI-Pro Forma'!$B60/12</f>
        <v>0</v>
      </c>
      <c r="J20" s="962">
        <v>11</v>
      </c>
      <c r="K20" s="963">
        <f>-'Part VI-Pro Forma'!$B61/12</f>
        <v>0</v>
      </c>
    </row>
    <row r="21" spans="1:11" ht="20.25" customHeight="1">
      <c r="A21" s="962">
        <v>12</v>
      </c>
      <c r="B21" s="963">
        <f>-'Part VI-Pro Forma'!$C58/12</f>
        <v>74749.919869347505</v>
      </c>
      <c r="D21" s="962">
        <v>12</v>
      </c>
      <c r="E21" s="963">
        <f>-'Part VI-Pro Forma'!$C59/12</f>
        <v>4819.6391176776797</v>
      </c>
      <c r="G21" s="962">
        <v>12</v>
      </c>
      <c r="H21" s="963">
        <f>-'Part VI-Pro Forma'!$C60/12</f>
        <v>0</v>
      </c>
      <c r="J21" s="962">
        <v>12</v>
      </c>
      <c r="K21" s="963">
        <f>-'Part VI-Pro Forma'!$C61/12</f>
        <v>0</v>
      </c>
    </row>
    <row r="22" spans="1:11" ht="20.25" customHeight="1">
      <c r="A22" s="962">
        <v>13</v>
      </c>
      <c r="B22" s="963">
        <f>-'Part VI-Pro Forma'!$D58/12</f>
        <v>74749.919869347505</v>
      </c>
      <c r="D22" s="962">
        <v>13</v>
      </c>
      <c r="E22" s="963">
        <f>-'Part VI-Pro Forma'!$D59/12</f>
        <v>4819.6391176776797</v>
      </c>
      <c r="G22" s="962">
        <v>13</v>
      </c>
      <c r="H22" s="963">
        <f>-'Part VI-Pro Forma'!$D60/12</f>
        <v>0</v>
      </c>
      <c r="J22" s="962">
        <v>13</v>
      </c>
      <c r="K22" s="963">
        <f>-'Part VI-Pro Forma'!$D61/12</f>
        <v>0</v>
      </c>
    </row>
    <row r="23" spans="1:11" ht="20.25" customHeight="1">
      <c r="A23" s="962">
        <v>14</v>
      </c>
      <c r="B23" s="963">
        <f>-'Part VI-Pro Forma'!$E58/12</f>
        <v>74749.919869347505</v>
      </c>
      <c r="D23" s="962">
        <v>14</v>
      </c>
      <c r="E23" s="963">
        <f>-'Part VI-Pro Forma'!$E59/12</f>
        <v>4819.6391176776797</v>
      </c>
      <c r="G23" s="962">
        <v>14</v>
      </c>
      <c r="H23" s="963">
        <f>-'Part VI-Pro Forma'!$E60/12</f>
        <v>0</v>
      </c>
      <c r="J23" s="962">
        <v>14</v>
      </c>
      <c r="K23" s="963">
        <f>-'Part VI-Pro Forma'!$E61/12</f>
        <v>0</v>
      </c>
    </row>
    <row r="24" spans="1:11" ht="20.25" customHeight="1">
      <c r="A24" s="1384">
        <v>15</v>
      </c>
      <c r="B24" s="1385">
        <f>-'Part VI-Pro Forma'!$F58/12</f>
        <v>74749.919869347505</v>
      </c>
      <c r="D24" s="1384">
        <v>15</v>
      </c>
      <c r="E24" s="1385">
        <f>-'Part VI-Pro Forma'!$F59/12</f>
        <v>4819.6391176776797</v>
      </c>
      <c r="G24" s="1384">
        <v>15</v>
      </c>
      <c r="H24" s="1385">
        <f>-'Part VI-Pro Forma'!$F60/12</f>
        <v>0</v>
      </c>
      <c r="J24" s="1384">
        <v>15</v>
      </c>
      <c r="K24" s="1385">
        <f>-'Part VI-Pro Forma'!$F61/12</f>
        <v>0</v>
      </c>
    </row>
    <row r="25" spans="1:11" ht="20.25" customHeight="1">
      <c r="A25" s="962">
        <v>16</v>
      </c>
      <c r="B25" s="963">
        <f>-'Part VI-Pro Forma'!$G58/12</f>
        <v>74749.919869347505</v>
      </c>
      <c r="D25" s="962">
        <v>16</v>
      </c>
      <c r="E25" s="963">
        <f>-'Part VI-Pro Forma'!$G59/12</f>
        <v>4819.6391176776797</v>
      </c>
      <c r="G25" s="962">
        <v>16</v>
      </c>
      <c r="H25" s="963">
        <f>-'Part VI-Pro Forma'!$G60/12</f>
        <v>0</v>
      </c>
      <c r="J25" s="962">
        <v>16</v>
      </c>
      <c r="K25" s="963">
        <f>-'Part VI-Pro Forma'!$G61/12</f>
        <v>0</v>
      </c>
    </row>
    <row r="26" spans="1:11" ht="20.25" customHeight="1">
      <c r="A26" s="962">
        <v>17</v>
      </c>
      <c r="B26" s="963">
        <f>-'Part VI-Pro Forma'!$H58/12</f>
        <v>74749.919869347505</v>
      </c>
      <c r="D26" s="962">
        <v>17</v>
      </c>
      <c r="E26" s="963">
        <f>-'Part VI-Pro Forma'!$H59/12</f>
        <v>4819.6391176776797</v>
      </c>
      <c r="G26" s="962">
        <v>17</v>
      </c>
      <c r="H26" s="963">
        <f>-'Part VI-Pro Forma'!$H60/12</f>
        <v>0</v>
      </c>
      <c r="J26" s="962">
        <v>17</v>
      </c>
      <c r="K26" s="963">
        <f>-'Part VI-Pro Forma'!$H61/12</f>
        <v>0</v>
      </c>
    </row>
    <row r="27" spans="1:11" ht="20.25" customHeight="1">
      <c r="A27" s="962">
        <v>18</v>
      </c>
      <c r="B27" s="963">
        <f>-'Part VI-Pro Forma'!$I58/12</f>
        <v>74749.919869347505</v>
      </c>
      <c r="D27" s="962">
        <v>18</v>
      </c>
      <c r="E27" s="963">
        <f>-'Part VI-Pro Forma'!$I59/12</f>
        <v>4819.6391176776797</v>
      </c>
      <c r="G27" s="962">
        <v>18</v>
      </c>
      <c r="H27" s="963">
        <f>-'Part VI-Pro Forma'!$I60/12</f>
        <v>0</v>
      </c>
      <c r="J27" s="962">
        <v>18</v>
      </c>
      <c r="K27" s="963">
        <f>-'Part VI-Pro Forma'!$I61/12</f>
        <v>0</v>
      </c>
    </row>
    <row r="28" spans="1:11" ht="20.25" customHeight="1">
      <c r="A28" s="962">
        <v>19</v>
      </c>
      <c r="B28" s="963">
        <f>-'Part VI-Pro Forma'!$J58/12</f>
        <v>74749.919869347505</v>
      </c>
      <c r="D28" s="962">
        <v>19</v>
      </c>
      <c r="E28" s="963">
        <f>-'Part VI-Pro Forma'!$J59/12</f>
        <v>4819.6391176776797</v>
      </c>
      <c r="G28" s="962">
        <v>19</v>
      </c>
      <c r="H28" s="963">
        <f>-'Part VI-Pro Forma'!$J60/12</f>
        <v>0</v>
      </c>
      <c r="J28" s="962">
        <v>19</v>
      </c>
      <c r="K28" s="963">
        <f>-'Part VI-Pro Forma'!$J61/12</f>
        <v>0</v>
      </c>
    </row>
    <row r="29" spans="1:11" ht="20.25" customHeight="1">
      <c r="A29" s="1384">
        <v>20</v>
      </c>
      <c r="B29" s="1385">
        <f>-'Part VI-Pro Forma'!$K58/12</f>
        <v>74749.919869347505</v>
      </c>
      <c r="D29" s="1384">
        <v>20</v>
      </c>
      <c r="E29" s="1385">
        <f>-'Part VI-Pro Forma'!$K59/12</f>
        <v>4819.6391176776797</v>
      </c>
      <c r="G29" s="1384">
        <v>20</v>
      </c>
      <c r="H29" s="1385">
        <f>-'Part VI-Pro Forma'!$K60/12</f>
        <v>0</v>
      </c>
      <c r="J29" s="1384">
        <v>20</v>
      </c>
      <c r="K29" s="1385">
        <f>-'Part VI-Pro Forma'!$K61/12</f>
        <v>0</v>
      </c>
    </row>
    <row r="30" spans="1:11" ht="20.25" customHeight="1">
      <c r="A30" s="962">
        <v>21</v>
      </c>
      <c r="B30" s="963">
        <f>-'Part VI-Pro Forma'!$B90/12</f>
        <v>74749.919869347505</v>
      </c>
      <c r="D30" s="962">
        <v>21</v>
      </c>
      <c r="E30" s="963">
        <f>-'Part VI-Pro Forma'!$B91/12</f>
        <v>4819.6391176776797</v>
      </c>
      <c r="G30" s="962">
        <v>21</v>
      </c>
      <c r="H30" s="963">
        <f>-'Part VI-Pro Forma'!$B92/12</f>
        <v>0</v>
      </c>
      <c r="J30" s="962">
        <v>21</v>
      </c>
      <c r="K30" s="963">
        <f>-'Part VI-Pro Forma'!$B93/12</f>
        <v>0</v>
      </c>
    </row>
    <row r="31" spans="1:11" ht="20.25" customHeight="1">
      <c r="A31" s="962">
        <v>22</v>
      </c>
      <c r="B31" s="963">
        <f>-'Part VI-Pro Forma'!$C90/12</f>
        <v>74749.919869347505</v>
      </c>
      <c r="D31" s="962">
        <v>22</v>
      </c>
      <c r="E31" s="963">
        <f>-'Part VI-Pro Forma'!$C91/12</f>
        <v>4819.6391176776797</v>
      </c>
      <c r="G31" s="962">
        <v>22</v>
      </c>
      <c r="H31" s="963">
        <f>-'Part VI-Pro Forma'!$C92/12</f>
        <v>0</v>
      </c>
      <c r="J31" s="962">
        <v>22</v>
      </c>
      <c r="K31" s="963">
        <f>-'Part VI-Pro Forma'!$C93/12</f>
        <v>0</v>
      </c>
    </row>
    <row r="32" spans="1:11" ht="20.25" customHeight="1">
      <c r="A32" s="962">
        <v>23</v>
      </c>
      <c r="B32" s="963">
        <f>-'Part VI-Pro Forma'!$D90/12</f>
        <v>74749.919869347505</v>
      </c>
      <c r="D32" s="962">
        <v>23</v>
      </c>
      <c r="E32" s="963">
        <f>-'Part VI-Pro Forma'!$D91/12</f>
        <v>4819.6391176776797</v>
      </c>
      <c r="G32" s="962">
        <v>23</v>
      </c>
      <c r="H32" s="963">
        <f>-'Part VI-Pro Forma'!$D92/12</f>
        <v>0</v>
      </c>
      <c r="J32" s="962">
        <v>23</v>
      </c>
      <c r="K32" s="963">
        <f>-'Part VI-Pro Forma'!$D93/12</f>
        <v>0</v>
      </c>
    </row>
    <row r="33" spans="1:11" ht="20.25" customHeight="1">
      <c r="A33" s="962">
        <v>24</v>
      </c>
      <c r="B33" s="963">
        <f>-'Part VI-Pro Forma'!$E90/12</f>
        <v>74749.919869347505</v>
      </c>
      <c r="D33" s="962">
        <v>24</v>
      </c>
      <c r="E33" s="963">
        <f>-'Part VI-Pro Forma'!$E91/12</f>
        <v>4819.6391176776797</v>
      </c>
      <c r="G33" s="962">
        <v>24</v>
      </c>
      <c r="H33" s="963">
        <f>-'Part VI-Pro Forma'!$E92/12</f>
        <v>0</v>
      </c>
      <c r="J33" s="962">
        <v>24</v>
      </c>
      <c r="K33" s="963">
        <f>-'Part VI-Pro Forma'!$E93/12</f>
        <v>0</v>
      </c>
    </row>
    <row r="34" spans="1:11" ht="20.25" customHeight="1">
      <c r="A34" s="1384">
        <v>25</v>
      </c>
      <c r="B34" s="1385">
        <f>-'Part VI-Pro Forma'!$F90/12</f>
        <v>74749.919869347505</v>
      </c>
      <c r="D34" s="1384">
        <v>25</v>
      </c>
      <c r="E34" s="1385">
        <f>-'Part VI-Pro Forma'!$F91/12</f>
        <v>4819.6391176776797</v>
      </c>
      <c r="G34" s="1384">
        <v>25</v>
      </c>
      <c r="H34" s="1385">
        <f>-'Part VI-Pro Forma'!$F92/12</f>
        <v>0</v>
      </c>
      <c r="J34" s="1384">
        <v>25</v>
      </c>
      <c r="K34" s="1385">
        <f>-'Part VI-Pro Forma'!$F93/12</f>
        <v>0</v>
      </c>
    </row>
    <row r="35" spans="1:11" ht="20.25" customHeight="1">
      <c r="A35" s="962">
        <v>26</v>
      </c>
      <c r="B35" s="963">
        <f>-'Part VI-Pro Forma'!$G90/12</f>
        <v>74749.919869347505</v>
      </c>
      <c r="D35" s="962">
        <v>26</v>
      </c>
      <c r="E35" s="963">
        <f>-'Part VI-Pro Forma'!$G91/12</f>
        <v>4819.6391176776797</v>
      </c>
      <c r="G35" s="962">
        <v>26</v>
      </c>
      <c r="H35" s="963">
        <f>-'Part VI-Pro Forma'!$G92/12</f>
        <v>0</v>
      </c>
      <c r="J35" s="962">
        <v>26</v>
      </c>
      <c r="K35" s="963">
        <f>-'Part VI-Pro Forma'!$G93/12</f>
        <v>0</v>
      </c>
    </row>
    <row r="36" spans="1:11" ht="20.25" customHeight="1">
      <c r="A36" s="962">
        <v>27</v>
      </c>
      <c r="B36" s="963">
        <f>-'Part VI-Pro Forma'!$H90/12</f>
        <v>74749.919869347505</v>
      </c>
      <c r="D36" s="962">
        <v>27</v>
      </c>
      <c r="E36" s="963">
        <f>-'Part VI-Pro Forma'!$H91/12</f>
        <v>4819.6391176776797</v>
      </c>
      <c r="G36" s="962">
        <v>27</v>
      </c>
      <c r="H36" s="963">
        <f>-'Part VI-Pro Forma'!$H92/12</f>
        <v>0</v>
      </c>
      <c r="J36" s="962">
        <v>27</v>
      </c>
      <c r="K36" s="963">
        <f>-'Part VI-Pro Forma'!$H93/12</f>
        <v>0</v>
      </c>
    </row>
    <row r="37" spans="1:11" ht="20.25" customHeight="1">
      <c r="A37" s="962">
        <v>28</v>
      </c>
      <c r="B37" s="963">
        <f>-'Part VI-Pro Forma'!$I90/12</f>
        <v>74749.919869347505</v>
      </c>
      <c r="D37" s="962">
        <v>28</v>
      </c>
      <c r="E37" s="963">
        <f>-'Part VI-Pro Forma'!$I91/12</f>
        <v>4819.6391176776797</v>
      </c>
      <c r="G37" s="962">
        <v>28</v>
      </c>
      <c r="H37" s="963">
        <f>-'Part VI-Pro Forma'!$I92/12</f>
        <v>0</v>
      </c>
      <c r="J37" s="962">
        <v>28</v>
      </c>
      <c r="K37" s="963">
        <f>-'Part VI-Pro Forma'!$I93/12</f>
        <v>0</v>
      </c>
    </row>
    <row r="38" spans="1:11" ht="20.25" customHeight="1">
      <c r="A38" s="962">
        <v>29</v>
      </c>
      <c r="B38" s="963">
        <f>-'Part VI-Pro Forma'!$J90/12</f>
        <v>74749.919869347505</v>
      </c>
      <c r="D38" s="962">
        <v>29</v>
      </c>
      <c r="E38" s="963">
        <f>-'Part VI-Pro Forma'!$J91/12</f>
        <v>4819.6391176776797</v>
      </c>
      <c r="G38" s="962">
        <v>29</v>
      </c>
      <c r="H38" s="963">
        <f>-'Part VI-Pro Forma'!$J92/12</f>
        <v>0</v>
      </c>
      <c r="J38" s="962">
        <v>29</v>
      </c>
      <c r="K38" s="963">
        <f>-'Part VI-Pro Forma'!$J93/12</f>
        <v>0</v>
      </c>
    </row>
    <row r="39" spans="1:11" ht="20.25" customHeight="1">
      <c r="A39" s="1384">
        <v>30</v>
      </c>
      <c r="B39" s="1385">
        <f>-'Part VI-Pro Forma'!$K90/12</f>
        <v>74749.919869347505</v>
      </c>
      <c r="D39" s="1384">
        <v>30</v>
      </c>
      <c r="E39" s="1385">
        <f>-'Part VI-Pro Forma'!$K91/12</f>
        <v>4819.6391176776797</v>
      </c>
      <c r="G39" s="1384">
        <v>30</v>
      </c>
      <c r="H39" s="1385">
        <f>-'Part VI-Pro Forma'!$K92/12</f>
        <v>0</v>
      </c>
      <c r="J39" s="1384">
        <v>30</v>
      </c>
      <c r="K39" s="1385">
        <f>-'Part VI-Pro Forma'!$K93/12</f>
        <v>0</v>
      </c>
    </row>
    <row r="40" spans="1:11" ht="20.25" customHeight="1">
      <c r="A40" s="962">
        <v>31</v>
      </c>
      <c r="B40" s="963">
        <f>-'Part VI-Pro Forma'!$B120/12</f>
        <v>74749.919869347505</v>
      </c>
      <c r="D40" s="962">
        <v>31</v>
      </c>
      <c r="E40" s="963">
        <f>-'Part VI-Pro Forma'!$B121/12</f>
        <v>4819.6391176776797</v>
      </c>
      <c r="G40" s="962">
        <v>31</v>
      </c>
      <c r="H40" s="963">
        <f>-'Part VI-Pro Forma'!$B122/12</f>
        <v>0</v>
      </c>
      <c r="J40" s="962">
        <v>31</v>
      </c>
      <c r="K40" s="963">
        <f>-'Part VI-Pro Forma'!$B123/12</f>
        <v>0</v>
      </c>
    </row>
    <row r="41" spans="1:11" ht="20.25" customHeight="1">
      <c r="A41" s="962">
        <v>32</v>
      </c>
      <c r="B41" s="963">
        <f>-'Part VI-Pro Forma'!$C120/12</f>
        <v>74749.919869347505</v>
      </c>
      <c r="D41" s="962">
        <v>32</v>
      </c>
      <c r="E41" s="963">
        <f>-'Part VI-Pro Forma'!$C121/12</f>
        <v>4819.6391176776797</v>
      </c>
      <c r="G41" s="962">
        <v>32</v>
      </c>
      <c r="H41" s="963">
        <f>-'Part VI-Pro Forma'!$C122/12</f>
        <v>0</v>
      </c>
      <c r="J41" s="962">
        <v>32</v>
      </c>
      <c r="K41" s="963">
        <f>-'Part VI-Pro Forma'!$C123/12</f>
        <v>0</v>
      </c>
    </row>
    <row r="42" spans="1:11" ht="20.25" customHeight="1">
      <c r="A42" s="962">
        <v>33</v>
      </c>
      <c r="B42" s="963">
        <f>-'Part VI-Pro Forma'!$D120/12</f>
        <v>74749.919869347505</v>
      </c>
      <c r="D42" s="962">
        <v>33</v>
      </c>
      <c r="E42" s="963">
        <f>-'Part VI-Pro Forma'!$D121/12</f>
        <v>4819.6391176776797</v>
      </c>
      <c r="G42" s="962">
        <v>33</v>
      </c>
      <c r="H42" s="963">
        <f>-'Part VI-Pro Forma'!$D122/12</f>
        <v>0</v>
      </c>
      <c r="J42" s="962">
        <v>33</v>
      </c>
      <c r="K42" s="963">
        <f>-'Part VI-Pro Forma'!$D123/12</f>
        <v>0</v>
      </c>
    </row>
    <row r="43" spans="1:11" ht="20.25" customHeight="1">
      <c r="A43" s="962">
        <v>34</v>
      </c>
      <c r="B43" s="963">
        <f>-'Part VI-Pro Forma'!$E120/12</f>
        <v>74749.919869347505</v>
      </c>
      <c r="D43" s="962">
        <v>34</v>
      </c>
      <c r="E43" s="963">
        <f>-'Part VI-Pro Forma'!$E121/12</f>
        <v>4819.6391176776797</v>
      </c>
      <c r="G43" s="962">
        <v>34</v>
      </c>
      <c r="H43" s="963">
        <f>-'Part VI-Pro Forma'!$E122/12</f>
        <v>0</v>
      </c>
      <c r="J43" s="962">
        <v>34</v>
      </c>
      <c r="K43" s="963">
        <f>-'Part VI-Pro Forma'!$E123/12</f>
        <v>0</v>
      </c>
    </row>
    <row r="44" spans="1:11" ht="20.25" customHeight="1">
      <c r="A44" s="962">
        <v>35</v>
      </c>
      <c r="B44" s="963">
        <f>-'Part VI-Pro Forma'!$F120/12</f>
        <v>74749.919869347505</v>
      </c>
      <c r="D44" s="962">
        <v>35</v>
      </c>
      <c r="E44" s="963">
        <f>-'Part VI-Pro Forma'!$F121/12</f>
        <v>4819.6391176776797</v>
      </c>
      <c r="G44" s="962">
        <v>35</v>
      </c>
      <c r="H44" s="963">
        <f>-'Part VI-Pro Forma'!$F122/12</f>
        <v>0</v>
      </c>
      <c r="J44" s="962">
        <v>35</v>
      </c>
      <c r="K44" s="963">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804" t="str">
        <f>CONCATENATE('Sensitivity Analysis'!E8,"  ",'Sensitivity Analysis'!C8)</f>
        <v>2025-0  Retreat at Madison Place</v>
      </c>
      <c r="B1" s="4804"/>
      <c r="C1" s="4804"/>
      <c r="D1" s="4804"/>
      <c r="E1" s="4804"/>
      <c r="F1" s="4804"/>
      <c r="G1" s="4804"/>
      <c r="H1" s="4804"/>
    </row>
    <row r="3" spans="1:11" ht="12" customHeight="1">
      <c r="A3" s="4805" t="s">
        <v>3018</v>
      </c>
      <c r="B3" s="4805"/>
      <c r="C3" s="4805"/>
      <c r="D3" s="4805"/>
      <c r="E3" s="4805"/>
      <c r="F3" s="4805"/>
      <c r="G3" s="4805"/>
      <c r="H3" s="4805"/>
      <c r="I3" s="1001"/>
      <c r="J3" s="4807" t="s">
        <v>3367</v>
      </c>
      <c r="K3" s="4807"/>
    </row>
    <row r="4" spans="1:11">
      <c r="J4" s="4807"/>
      <c r="K4" s="4807"/>
    </row>
    <row r="5" spans="1:11" ht="12" customHeight="1">
      <c r="A5" s="431">
        <v>1</v>
      </c>
      <c r="C5" s="431" t="s">
        <v>2729</v>
      </c>
      <c r="E5" s="606">
        <f>'Sensitivity Analysis'!H9</f>
        <v>0</v>
      </c>
      <c r="J5" s="4807"/>
      <c r="K5" s="4807"/>
    </row>
    <row r="6" spans="1:11" ht="3" customHeight="1">
      <c r="H6" s="597"/>
      <c r="J6" s="4807"/>
      <c r="K6" s="4807"/>
    </row>
    <row r="7" spans="1:11" ht="12" customHeight="1">
      <c r="A7" s="431">
        <v>2</v>
      </c>
      <c r="C7" s="431" t="s">
        <v>2730</v>
      </c>
      <c r="E7" s="4808"/>
      <c r="F7" s="4808"/>
      <c r="G7" s="4808"/>
      <c r="H7" s="4808"/>
      <c r="J7" s="4807"/>
      <c r="K7" s="4807"/>
    </row>
    <row r="8" spans="1:11" ht="12" customHeight="1">
      <c r="E8" s="4808"/>
      <c r="F8" s="4808"/>
      <c r="G8" s="4808"/>
      <c r="H8" s="4808"/>
      <c r="J8" s="4807"/>
      <c r="K8" s="4807"/>
    </row>
    <row r="9" spans="1:11" ht="12" customHeight="1">
      <c r="C9" s="431" t="s">
        <v>2731</v>
      </c>
      <c r="E9" s="4806"/>
      <c r="F9" s="4806"/>
      <c r="J9" s="4807"/>
      <c r="K9" s="4807"/>
    </row>
    <row r="10" spans="1:11" ht="12" customHeight="1">
      <c r="C10" s="431" t="s">
        <v>2732</v>
      </c>
      <c r="E10" s="4808"/>
      <c r="F10" s="4808"/>
      <c r="G10" s="4808"/>
      <c r="H10" s="4808"/>
    </row>
    <row r="11" spans="1:11" ht="12" customHeight="1">
      <c r="C11" s="431" t="s">
        <v>3372</v>
      </c>
      <c r="E11" s="4808"/>
      <c r="F11" s="4808"/>
      <c r="G11" s="4808"/>
      <c r="H11" s="4808"/>
    </row>
    <row r="12" spans="1:11" ht="12" customHeight="1">
      <c r="C12" s="431" t="s">
        <v>3368</v>
      </c>
      <c r="E12" s="1879"/>
    </row>
    <row r="13" spans="1:11" ht="12" customHeight="1">
      <c r="C13" s="431" t="s">
        <v>3371</v>
      </c>
      <c r="E13" s="1879"/>
    </row>
    <row r="14" spans="1:11" ht="3" customHeight="1"/>
    <row r="15" spans="1:11" ht="12" customHeight="1">
      <c r="A15" s="431">
        <v>3</v>
      </c>
      <c r="C15" s="431" t="s">
        <v>2733</v>
      </c>
      <c r="E15" s="606" t="str">
        <f>'Sensitivity Analysis'!C8</f>
        <v>Retreat at Madison Place</v>
      </c>
    </row>
    <row r="16" spans="1:11" ht="12" customHeight="1">
      <c r="C16" s="431" t="s">
        <v>2734</v>
      </c>
      <c r="E16" s="4808"/>
      <c r="F16" s="4808"/>
      <c r="G16" s="4808"/>
      <c r="H16" s="4808"/>
    </row>
    <row r="17" spans="1:8" ht="12" customHeight="1">
      <c r="E17" s="437" t="str">
        <f>'Part I-Project Identification'!F27</f>
        <v>Decatur</v>
      </c>
      <c r="F17" s="596" t="s">
        <v>790</v>
      </c>
      <c r="G17" s="4809" t="s">
        <v>4627</v>
      </c>
      <c r="H17" s="4809"/>
    </row>
    <row r="18" spans="1:8" ht="12" customHeight="1">
      <c r="E18" s="606" t="str">
        <f>'Part I-Project Identification'!J27</f>
        <v>DeKalb</v>
      </c>
    </row>
    <row r="19" spans="1:8" ht="3" customHeight="1"/>
    <row r="20" spans="1:8" ht="12" customHeight="1">
      <c r="A20" s="431">
        <v>4</v>
      </c>
      <c r="C20" s="431" t="s">
        <v>2735</v>
      </c>
      <c r="E20" s="4808"/>
      <c r="F20" s="4808"/>
      <c r="G20" s="4808"/>
      <c r="H20" s="4808"/>
    </row>
    <row r="21" spans="1:8" ht="12" customHeight="1">
      <c r="C21" s="431" t="s">
        <v>2736</v>
      </c>
      <c r="E21" s="4808"/>
      <c r="F21" s="4808"/>
      <c r="G21" s="4808"/>
      <c r="H21" s="4808"/>
    </row>
    <row r="22" spans="1:8" ht="12" customHeight="1">
      <c r="E22" s="4808"/>
      <c r="F22" s="4808"/>
      <c r="G22" s="4808"/>
      <c r="H22" s="4808"/>
    </row>
    <row r="23" spans="1:8" ht="12" customHeight="1">
      <c r="C23" s="431" t="s">
        <v>3368</v>
      </c>
      <c r="E23" s="1879"/>
    </row>
    <row r="24" spans="1:8" ht="12" customHeight="1">
      <c r="C24" s="431" t="s">
        <v>3371</v>
      </c>
      <c r="E24" s="1879"/>
    </row>
    <row r="25" spans="1:8" ht="12" customHeight="1">
      <c r="C25" s="431" t="s">
        <v>3372</v>
      </c>
      <c r="E25" s="4808"/>
      <c r="F25" s="4808"/>
      <c r="G25" s="4808"/>
      <c r="H25" s="4808"/>
    </row>
    <row r="26" spans="1:8" ht="3" customHeight="1">
      <c r="E26" s="606"/>
    </row>
    <row r="27" spans="1:8" ht="12" customHeight="1">
      <c r="A27" s="431">
        <v>5</v>
      </c>
      <c r="C27" s="431" t="s">
        <v>2737</v>
      </c>
      <c r="E27" s="606" t="str">
        <f>'Sensitivity Analysis'!$H$7</f>
        <v>Substantial Rehabilitation</v>
      </c>
    </row>
    <row r="28" spans="1:8" ht="12" customHeight="1">
      <c r="E28" s="606" t="str">
        <f>'Part I-Project Identification'!F12</f>
        <v>4% Credit/TE Bond</v>
      </c>
    </row>
    <row r="29" spans="1:8" ht="12" customHeight="1">
      <c r="C29" s="431" t="s">
        <v>3017</v>
      </c>
      <c r="E29" s="431" t="str">
        <f>'Sensitivity Analysis'!$C$9</f>
        <v>&lt;&lt;Select&gt;&gt;</v>
      </c>
    </row>
    <row r="30" spans="1:8" ht="3" customHeight="1"/>
    <row r="31" spans="1:8" ht="12" customHeight="1">
      <c r="A31" s="431">
        <v>6</v>
      </c>
      <c r="C31" s="431" t="s">
        <v>2738</v>
      </c>
      <c r="E31" s="431" t="s">
        <v>2211</v>
      </c>
      <c r="F31" s="1002">
        <f>'Part II-Sources of Funds'!L24</f>
        <v>26500000</v>
      </c>
      <c r="G31" s="431" t="s">
        <v>2739</v>
      </c>
    </row>
    <row r="32" spans="1:8" ht="12" customHeight="1">
      <c r="F32" s="1002" t="s">
        <v>2740</v>
      </c>
      <c r="G32" s="431" t="s">
        <v>2741</v>
      </c>
    </row>
    <row r="33" spans="1:8" ht="3" customHeight="1">
      <c r="F33" s="601"/>
    </row>
    <row r="34" spans="1:8" ht="12" customHeight="1">
      <c r="A34" s="431">
        <v>7</v>
      </c>
      <c r="C34" s="431" t="s">
        <v>2742</v>
      </c>
      <c r="F34" s="1003">
        <v>0</v>
      </c>
    </row>
    <row r="35" spans="1:8" ht="3" customHeight="1">
      <c r="F35" s="601"/>
    </row>
    <row r="36" spans="1:8" ht="12" customHeight="1">
      <c r="A36" s="431">
        <v>8</v>
      </c>
      <c r="C36" s="431" t="s">
        <v>2743</v>
      </c>
      <c r="E36" s="431" t="s">
        <v>2211</v>
      </c>
      <c r="F36" s="1004">
        <v>0.01</v>
      </c>
    </row>
    <row r="37" spans="1:8" ht="3" customHeight="1">
      <c r="F37" s="1003"/>
    </row>
    <row r="38" spans="1:8" ht="12" customHeight="1">
      <c r="A38" s="431">
        <v>9</v>
      </c>
      <c r="C38" s="431" t="s">
        <v>2744</v>
      </c>
      <c r="F38" s="1005">
        <v>24</v>
      </c>
      <c r="G38" s="431" t="s">
        <v>2745</v>
      </c>
    </row>
    <row r="39" spans="1:8" ht="3" customHeight="1">
      <c r="F39" s="1003"/>
    </row>
    <row r="40" spans="1:8" ht="12" customHeight="1">
      <c r="A40" s="431">
        <v>10</v>
      </c>
      <c r="C40" s="431" t="s">
        <v>2746</v>
      </c>
      <c r="E40" s="431" t="s">
        <v>2211</v>
      </c>
      <c r="F40" s="601">
        <f>'Part II-Sources of Funds'!L42*12</f>
        <v>180</v>
      </c>
      <c r="G40" s="431" t="s">
        <v>2745</v>
      </c>
    </row>
    <row r="41" spans="1:8" ht="3" customHeight="1">
      <c r="F41" s="601"/>
    </row>
    <row r="42" spans="1:8" ht="12" customHeight="1">
      <c r="A42" s="431">
        <v>11</v>
      </c>
      <c r="C42" s="431" t="s">
        <v>2747</v>
      </c>
      <c r="F42" s="1006">
        <v>24</v>
      </c>
      <c r="G42" s="431" t="s">
        <v>2745</v>
      </c>
    </row>
    <row r="43" spans="1:8" ht="3" customHeight="1"/>
    <row r="44" spans="1:8" ht="12" customHeight="1">
      <c r="A44" s="431">
        <v>12</v>
      </c>
      <c r="C44" s="431" t="s">
        <v>2748</v>
      </c>
      <c r="F44" s="1007" t="s">
        <v>2749</v>
      </c>
    </row>
    <row r="45" spans="1:8" ht="3" customHeight="1"/>
    <row r="46" spans="1:8" ht="12" customHeight="1">
      <c r="A46" s="431">
        <v>13</v>
      </c>
      <c r="C46" s="431" t="s">
        <v>2750</v>
      </c>
      <c r="E46" s="431" t="s">
        <v>2211</v>
      </c>
      <c r="F46" s="606" t="s">
        <v>2751</v>
      </c>
    </row>
    <row r="47" spans="1:8" ht="3" customHeight="1">
      <c r="F47" s="597"/>
    </row>
    <row r="48" spans="1:8" ht="12" customHeight="1">
      <c r="A48" s="431">
        <v>14</v>
      </c>
      <c r="C48" s="431" t="s">
        <v>2752</v>
      </c>
      <c r="E48" s="4808"/>
      <c r="F48" s="4808"/>
      <c r="G48" s="4808"/>
      <c r="H48" s="4808"/>
    </row>
    <row r="49" spans="1:8" ht="3" customHeight="1">
      <c r="E49" s="606"/>
    </row>
    <row r="50" spans="1:8" ht="12" customHeight="1">
      <c r="A50" s="431">
        <v>15</v>
      </c>
      <c r="C50" s="431" t="s">
        <v>3374</v>
      </c>
      <c r="E50" s="4808"/>
      <c r="F50" s="4808"/>
      <c r="G50" s="4808"/>
      <c r="H50" s="4808"/>
    </row>
    <row r="51" spans="1:8" ht="12" customHeight="1">
      <c r="C51" s="431" t="s">
        <v>2753</v>
      </c>
      <c r="E51" s="4808"/>
      <c r="F51" s="4808"/>
      <c r="G51" s="4808"/>
      <c r="H51" s="4808"/>
    </row>
    <row r="52" spans="1:8" ht="3" customHeight="1">
      <c r="F52" s="601"/>
    </row>
    <row r="53" spans="1:8" ht="12" customHeight="1">
      <c r="A53" s="431">
        <v>16</v>
      </c>
      <c r="C53" s="431" t="s">
        <v>2754</v>
      </c>
      <c r="F53" s="1006">
        <f>'Part V-Revenues &amp; Expenses'!E58</f>
        <v>160</v>
      </c>
    </row>
    <row r="54" spans="1:8" ht="3" customHeight="1">
      <c r="F54" s="601"/>
    </row>
    <row r="55" spans="1:8" ht="12" customHeight="1">
      <c r="A55" s="431">
        <v>17</v>
      </c>
      <c r="C55" s="431" t="s">
        <v>2755</v>
      </c>
      <c r="F55" s="1008">
        <f>ProrationMethodCostAllocatnDCA!D64</f>
        <v>0</v>
      </c>
    </row>
    <row r="56" spans="1:8" ht="3" customHeight="1">
      <c r="F56" s="601"/>
    </row>
    <row r="57" spans="1:8" ht="12" customHeight="1">
      <c r="A57" s="431">
        <v>18</v>
      </c>
      <c r="C57" s="431" t="s">
        <v>2756</v>
      </c>
      <c r="F57" s="1008">
        <f>'Part V-Revenues &amp; Expenses'!P75</f>
        <v>0</v>
      </c>
      <c r="G57" s="431" t="s">
        <v>3373</v>
      </c>
    </row>
    <row r="58" spans="1:8" ht="3" customHeight="1">
      <c r="F58" s="601"/>
    </row>
    <row r="59" spans="1:8" ht="12" customHeight="1">
      <c r="A59" s="431">
        <v>19</v>
      </c>
      <c r="C59" s="431" t="s">
        <v>2757</v>
      </c>
      <c r="F59" s="1461">
        <f>'Part VII-Threshold Criteria OLD'!$P$44</f>
        <v>0</v>
      </c>
      <c r="G59" s="431" t="s">
        <v>3019</v>
      </c>
    </row>
    <row r="60" spans="1:8" ht="3" customHeight="1">
      <c r="F60" s="601"/>
    </row>
    <row r="61" spans="1:8" ht="12" customHeight="1">
      <c r="A61" s="431">
        <v>20</v>
      </c>
      <c r="C61" s="431" t="s">
        <v>2758</v>
      </c>
      <c r="F61" s="1009">
        <f>'Subsidy Layering Memo'!$L$70</f>
        <v>10391768.303108629</v>
      </c>
    </row>
    <row r="62" spans="1:8" ht="3" customHeight="1"/>
    <row r="63" spans="1:8" ht="12" customHeight="1">
      <c r="A63" s="431">
        <v>21</v>
      </c>
      <c r="C63" s="431" t="s">
        <v>3034</v>
      </c>
      <c r="E63" s="1010" t="s">
        <v>3020</v>
      </c>
      <c r="F63" s="1011" t="s">
        <v>3021</v>
      </c>
      <c r="G63" s="1010" t="s">
        <v>2759</v>
      </c>
    </row>
    <row r="64" spans="1:8" ht="12" customHeight="1">
      <c r="E64" s="1010" t="s">
        <v>3020</v>
      </c>
      <c r="F64" s="1011" t="s">
        <v>3021</v>
      </c>
      <c r="G64" s="1010" t="s">
        <v>4053</v>
      </c>
    </row>
    <row r="65" spans="1:7" ht="12" customHeight="1">
      <c r="E65" s="1010" t="s">
        <v>3020</v>
      </c>
      <c r="F65" s="1011" t="s">
        <v>3021</v>
      </c>
      <c r="G65" s="1010" t="s">
        <v>4054</v>
      </c>
    </row>
    <row r="66" spans="1:7" ht="12" customHeight="1">
      <c r="E66" s="1010" t="s">
        <v>3020</v>
      </c>
      <c r="F66" s="1011" t="s">
        <v>3021</v>
      </c>
      <c r="G66" s="1010" t="s">
        <v>4055</v>
      </c>
    </row>
    <row r="67" spans="1:7" ht="3" customHeight="1"/>
    <row r="68" spans="1:7" ht="12" customHeight="1">
      <c r="A68" s="431">
        <v>22</v>
      </c>
      <c r="C68" s="431" t="s">
        <v>2760</v>
      </c>
      <c r="E68" s="606">
        <f>'Sensitivity Analysis'!H9</f>
        <v>0</v>
      </c>
    </row>
    <row r="69" spans="1:7" ht="3" customHeight="1"/>
    <row r="70" spans="1:7" ht="12" customHeight="1">
      <c r="A70" s="431">
        <v>23</v>
      </c>
      <c r="C70" s="431" t="s">
        <v>2761</v>
      </c>
      <c r="F70" s="601" t="s">
        <v>2762</v>
      </c>
    </row>
    <row r="71" spans="1:7" ht="3" customHeight="1"/>
    <row r="72" spans="1:7" ht="12" customHeight="1">
      <c r="A72" s="431">
        <v>24</v>
      </c>
      <c r="C72" s="431" t="s">
        <v>2763</v>
      </c>
      <c r="E72" s="431" t="s">
        <v>2211</v>
      </c>
      <c r="F72" s="601">
        <v>20</v>
      </c>
      <c r="G72" s="431" t="s">
        <v>2266</v>
      </c>
    </row>
    <row r="73" spans="1:7" ht="3" customHeight="1"/>
    <row r="74" spans="1:7" ht="12" customHeight="1">
      <c r="A74" s="431">
        <v>25</v>
      </c>
      <c r="C74" s="431" t="s">
        <v>2764</v>
      </c>
      <c r="F74" s="1012">
        <f>'Part III-A-Uses of Funds'!$G$131</f>
        <v>1094838.353922151</v>
      </c>
    </row>
    <row r="75" spans="1:7" ht="3" customHeight="1">
      <c r="F75" s="1012"/>
    </row>
    <row r="76" spans="1:7" ht="12" customHeight="1">
      <c r="A76" s="431">
        <v>26</v>
      </c>
      <c r="C76" s="431" t="s">
        <v>2765</v>
      </c>
      <c r="F76" s="1012">
        <f>'Part III-A-Uses of Funds'!$G$133</f>
        <v>0</v>
      </c>
    </row>
    <row r="77" spans="1:7" ht="3" customHeight="1">
      <c r="F77" s="1012"/>
    </row>
    <row r="78" spans="1:7" ht="12" customHeight="1">
      <c r="A78" s="431">
        <v>27</v>
      </c>
      <c r="C78" s="431" t="s">
        <v>2766</v>
      </c>
      <c r="F78" s="1012">
        <f>'Part III-A-Uses of Funds'!$G$130</f>
        <v>308710.5</v>
      </c>
    </row>
    <row r="79" spans="1:7" ht="3" customHeight="1">
      <c r="F79" s="1012"/>
    </row>
    <row r="80" spans="1:7" ht="12" customHeight="1">
      <c r="A80" s="431">
        <v>28</v>
      </c>
      <c r="C80" s="431" t="s">
        <v>2767</v>
      </c>
      <c r="F80" s="1013"/>
    </row>
  </sheetData>
  <sheetProtection algorithmName="SHA-512" hashValue="nixBVUb422d0/t+NAUBFsAUWGa95CldZkf6fWUQydjc1mRYGqoOEGo8XTTGp4ttgSjFrPqhfuC+MXwY/kZHlZw==" saltValue="97QD3PPkdGHeAXSWVnKe+w=="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813" t="s">
        <v>2892</v>
      </c>
      <c r="B1" s="4813"/>
      <c r="C1" s="4813"/>
      <c r="D1" s="4813"/>
      <c r="E1" s="4813"/>
      <c r="F1" s="4813"/>
      <c r="G1" s="4813"/>
      <c r="H1" s="4813"/>
      <c r="I1" s="4813"/>
      <c r="J1" s="4813"/>
    </row>
    <row r="2" spans="1:13" ht="13.8">
      <c r="A2" s="4813" t="str">
        <f>'Sensitivity Analysis'!E8&amp;"  "&amp;'Sensitivity Analysis'!C8</f>
        <v>2025-0  Retreat at Madison Place</v>
      </c>
      <c r="B2" s="4813"/>
      <c r="C2" s="4813"/>
      <c r="D2" s="4813"/>
      <c r="E2" s="4813"/>
      <c r="F2" s="4813"/>
      <c r="G2" s="4813"/>
      <c r="H2" s="4813"/>
      <c r="I2" s="4813"/>
      <c r="J2" s="4813"/>
    </row>
    <row r="3" spans="1:13" ht="6" customHeight="1">
      <c r="K3" s="4807" t="s">
        <v>3367</v>
      </c>
      <c r="L3" s="4807"/>
      <c r="M3" s="4807"/>
    </row>
    <row r="4" spans="1:13" ht="12" customHeight="1">
      <c r="A4" s="599" t="s">
        <v>2768</v>
      </c>
      <c r="K4" s="4807"/>
      <c r="L4" s="4807"/>
      <c r="M4" s="4807"/>
    </row>
    <row r="5" spans="1:13" ht="12" customHeight="1">
      <c r="A5" s="431" t="s">
        <v>2769</v>
      </c>
      <c r="C5" s="548" t="str">
        <f>'Subsidy Layering Memo'!D6</f>
        <v>(Underwriter)</v>
      </c>
      <c r="I5" s="548"/>
      <c r="K5" s="4807"/>
      <c r="L5" s="4807"/>
      <c r="M5" s="4807"/>
    </row>
    <row r="6" spans="1:13" ht="6" customHeight="1">
      <c r="C6" s="548"/>
      <c r="D6" s="548"/>
      <c r="I6" s="548"/>
      <c r="K6" s="4807"/>
      <c r="L6" s="4807"/>
      <c r="M6" s="4807"/>
    </row>
    <row r="7" spans="1:13" ht="12" customHeight="1">
      <c r="A7" s="599" t="s">
        <v>2770</v>
      </c>
      <c r="C7" s="548"/>
      <c r="D7" s="548"/>
      <c r="I7" s="548"/>
      <c r="K7" s="4807"/>
      <c r="L7" s="4807"/>
      <c r="M7" s="4807"/>
    </row>
    <row r="8" spans="1:13" ht="12" customHeight="1">
      <c r="A8" s="431" t="s">
        <v>2771</v>
      </c>
      <c r="C8" s="548">
        <f>'Sensitivity Analysis'!$H$9</f>
        <v>0</v>
      </c>
      <c r="I8" s="548"/>
      <c r="K8" s="4807"/>
      <c r="L8" s="4807"/>
      <c r="M8" s="4807"/>
    </row>
    <row r="9" spans="1:13" ht="3" customHeight="1">
      <c r="C9" s="548"/>
      <c r="D9" s="548"/>
      <c r="I9" s="548"/>
    </row>
    <row r="10" spans="1:13" ht="12" customHeight="1">
      <c r="A10" s="431" t="s">
        <v>2772</v>
      </c>
      <c r="C10" s="965" t="s">
        <v>1641</v>
      </c>
      <c r="I10" s="548"/>
    </row>
    <row r="11" spans="1:13" ht="12" customHeight="1">
      <c r="C11" s="965" t="s">
        <v>1641</v>
      </c>
      <c r="I11" s="548"/>
    </row>
    <row r="12" spans="1:13" ht="12" customHeight="1">
      <c r="C12" s="548" t="s">
        <v>2436</v>
      </c>
      <c r="D12" s="612" t="s">
        <v>1641</v>
      </c>
      <c r="I12" s="548"/>
    </row>
    <row r="13" spans="1:13" ht="12" customHeight="1">
      <c r="C13" s="548" t="s">
        <v>2773</v>
      </c>
      <c r="D13" s="4812"/>
      <c r="E13" s="4812"/>
      <c r="F13" s="4812"/>
      <c r="G13" s="4812"/>
      <c r="H13" s="4812"/>
      <c r="I13" s="4812"/>
      <c r="J13" s="4812"/>
    </row>
    <row r="14" spans="1:13" ht="3" customHeight="1">
      <c r="G14" s="548"/>
      <c r="H14" s="548"/>
      <c r="I14" s="548"/>
    </row>
    <row r="15" spans="1:13" ht="12" customHeight="1">
      <c r="A15" s="431" t="s">
        <v>2774</v>
      </c>
      <c r="C15" s="600">
        <f>'Preview Term'!E10</f>
        <v>0</v>
      </c>
      <c r="G15" s="548"/>
      <c r="I15" s="548"/>
    </row>
    <row r="16" spans="1:13" ht="12" customHeight="1">
      <c r="A16" s="606" t="s">
        <v>3540</v>
      </c>
      <c r="C16" s="600">
        <f>'Part II-Development Team'!Q7</f>
        <v>0</v>
      </c>
      <c r="G16" s="548"/>
      <c r="I16" s="548"/>
    </row>
    <row r="17" spans="1:9" ht="3" customHeight="1">
      <c r="G17" s="548"/>
      <c r="H17" s="548"/>
      <c r="I17" s="548"/>
    </row>
    <row r="18" spans="1:9" ht="12" customHeight="1">
      <c r="A18" s="431" t="s">
        <v>2775</v>
      </c>
      <c r="C18" s="600">
        <f>'Preview Term'!$E$7</f>
        <v>0</v>
      </c>
      <c r="G18" s="548"/>
      <c r="I18" s="548"/>
    </row>
    <row r="19" spans="1:9" ht="12" customHeight="1">
      <c r="C19" s="600">
        <f>'Preview Term'!$E$8</f>
        <v>0</v>
      </c>
      <c r="G19" s="548"/>
      <c r="I19" s="548"/>
    </row>
    <row r="20" spans="1:9" ht="3" customHeight="1">
      <c r="G20" s="548"/>
      <c r="H20" s="548"/>
      <c r="I20" s="548"/>
    </row>
    <row r="21" spans="1:9" ht="12" customHeight="1">
      <c r="A21" s="431" t="s">
        <v>2776</v>
      </c>
      <c r="C21" s="600" t="str">
        <f>CONCATENATE('Preview Term'!E50," of  ",'Preview Term'!G50)</f>
        <v xml:space="preserve"> of  </v>
      </c>
      <c r="G21" s="548"/>
      <c r="I21" s="548"/>
    </row>
    <row r="22" spans="1:9" ht="3" customHeight="1">
      <c r="C22" s="600"/>
      <c r="G22" s="548"/>
      <c r="I22" s="548"/>
    </row>
    <row r="23" spans="1:9" ht="12" customHeight="1">
      <c r="A23" s="431" t="s">
        <v>2777</v>
      </c>
      <c r="C23" s="600">
        <f>'Preview Term'!E12</f>
        <v>0</v>
      </c>
      <c r="G23" s="548"/>
      <c r="I23" s="548"/>
    </row>
    <row r="24" spans="1:9" ht="3" customHeight="1">
      <c r="C24" s="600"/>
      <c r="G24" s="548"/>
      <c r="I24" s="548"/>
    </row>
    <row r="25" spans="1:9" ht="12" customHeight="1">
      <c r="A25" s="431" t="s">
        <v>2778</v>
      </c>
      <c r="C25" s="967">
        <f>'Preview Term'!E11</f>
        <v>0</v>
      </c>
      <c r="G25" s="548"/>
    </row>
    <row r="26" spans="1:9" ht="6" customHeight="1">
      <c r="G26" s="548"/>
      <c r="H26" s="548"/>
      <c r="I26" s="548"/>
    </row>
    <row r="27" spans="1:9" ht="12" customHeight="1">
      <c r="A27" s="599" t="s">
        <v>2779</v>
      </c>
      <c r="G27" s="548"/>
      <c r="H27" s="548"/>
      <c r="I27" s="548"/>
    </row>
    <row r="28" spans="1:9" ht="12" customHeight="1">
      <c r="A28" s="431" t="s">
        <v>2780</v>
      </c>
      <c r="C28" s="600" t="str">
        <f>'Sensitivity Analysis'!$C$8</f>
        <v>Retreat at Madison Place</v>
      </c>
      <c r="I28" s="548"/>
    </row>
    <row r="29" spans="1:9" ht="3" customHeight="1">
      <c r="C29" s="600"/>
      <c r="I29" s="548"/>
    </row>
    <row r="30" spans="1:9" ht="12" customHeight="1">
      <c r="A30" s="431" t="s">
        <v>2781</v>
      </c>
      <c r="C30" s="600">
        <f>'Preview Term'!E16</f>
        <v>0</v>
      </c>
      <c r="I30" s="548"/>
    </row>
    <row r="31" spans="1:9">
      <c r="C31" s="548" t="str">
        <f>'Preview Term'!E17</f>
        <v>Decatur</v>
      </c>
      <c r="I31" s="548"/>
    </row>
    <row r="32" spans="1:9" ht="3" customHeight="1">
      <c r="C32" s="548"/>
      <c r="D32" s="548"/>
      <c r="I32" s="548"/>
    </row>
    <row r="33" spans="1:10" ht="12" customHeight="1">
      <c r="A33" s="431" t="s">
        <v>2782</v>
      </c>
      <c r="C33" s="548" t="s">
        <v>2783</v>
      </c>
      <c r="D33" s="966">
        <f>'Preview Term'!$F$55</f>
        <v>0</v>
      </c>
      <c r="I33" s="548"/>
    </row>
    <row r="34" spans="1:10" ht="12" customHeight="1">
      <c r="C34" s="548" t="s">
        <v>2784</v>
      </c>
      <c r="D34" s="1881">
        <f>D35-D33</f>
        <v>160</v>
      </c>
      <c r="I34" s="548"/>
    </row>
    <row r="35" spans="1:10" ht="12" customHeight="1">
      <c r="C35" s="548" t="s">
        <v>2785</v>
      </c>
      <c r="D35" s="2351">
        <f>'Preview Term'!$F$53</f>
        <v>160</v>
      </c>
      <c r="I35" s="548"/>
    </row>
    <row r="36" spans="1:10" ht="3" customHeight="1">
      <c r="C36" s="548"/>
      <c r="D36" s="548"/>
      <c r="I36" s="548"/>
    </row>
    <row r="37" spans="1:10" ht="12" customHeight="1">
      <c r="A37" s="431" t="s">
        <v>2786</v>
      </c>
      <c r="C37" s="1010" t="s">
        <v>1641</v>
      </c>
      <c r="D37" s="964">
        <f>'Preview Term'!F57</f>
        <v>0</v>
      </c>
      <c r="E37" s="548" t="s">
        <v>2787</v>
      </c>
      <c r="I37" s="548"/>
    </row>
    <row r="38" spans="1:10" ht="3" customHeight="1">
      <c r="G38" s="602"/>
      <c r="H38" s="548"/>
      <c r="I38" s="548"/>
    </row>
    <row r="39" spans="1:10" ht="25.5" customHeight="1">
      <c r="A39" s="603" t="s">
        <v>4056</v>
      </c>
      <c r="C39" s="4814" t="str">
        <f>_xlfn.CONCAT('Part VII-Threshold Criteria OLD'!K192," and ",'Part VII-Threshold Criteria OLD'!K193)</f>
        <v>&lt;&lt;Select&gt;&gt; and &lt;&lt;Select&gt;&gt;</v>
      </c>
      <c r="D39" s="4814"/>
      <c r="E39" s="4814"/>
      <c r="F39" s="4814"/>
      <c r="G39" s="4814"/>
      <c r="H39" s="4814"/>
      <c r="I39" s="4814"/>
      <c r="J39" s="4814"/>
    </row>
    <row r="40" spans="1:10" ht="25.5" customHeight="1">
      <c r="A40" s="603" t="s">
        <v>4057</v>
      </c>
      <c r="C40" s="4814"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4"/>
      <c r="E40" s="4814"/>
      <c r="F40" s="4814"/>
      <c r="G40" s="4814"/>
      <c r="H40" s="4814"/>
      <c r="I40" s="4814"/>
      <c r="J40" s="4814"/>
    </row>
    <row r="41" spans="1:10" ht="3" customHeight="1">
      <c r="G41" s="548"/>
      <c r="H41" s="548"/>
      <c r="I41" s="548"/>
    </row>
    <row r="42" spans="1:10" ht="25.5" customHeight="1">
      <c r="A42" s="603" t="s">
        <v>2788</v>
      </c>
      <c r="C42" s="4814" t="s">
        <v>3022</v>
      </c>
      <c r="D42" s="4814"/>
      <c r="E42" s="4814"/>
      <c r="F42" s="4814"/>
      <c r="G42" s="4814"/>
      <c r="H42" s="4814"/>
      <c r="I42" s="4814"/>
      <c r="J42" s="4814"/>
    </row>
    <row r="43" spans="1:10" ht="3" customHeight="1">
      <c r="C43" s="437"/>
      <c r="D43" s="437"/>
      <c r="E43" s="437"/>
      <c r="F43" s="437"/>
      <c r="G43" s="437"/>
      <c r="H43" s="438"/>
      <c r="I43" s="438"/>
      <c r="J43" s="438"/>
    </row>
    <row r="44" spans="1:10" ht="12" customHeight="1">
      <c r="A44" s="431" t="s">
        <v>2789</v>
      </c>
      <c r="C44" s="502" t="str">
        <f>'Part I-Project Identification'!J27</f>
        <v>DeKalb</v>
      </c>
      <c r="D44" s="437"/>
      <c r="F44" s="438"/>
      <c r="I44" s="438"/>
      <c r="J44" s="438"/>
    </row>
    <row r="45" spans="1:10" ht="3" customHeight="1">
      <c r="C45" s="437"/>
      <c r="D45" s="437"/>
      <c r="E45" s="437"/>
      <c r="F45" s="438"/>
      <c r="I45" s="438"/>
      <c r="J45" s="438"/>
    </row>
    <row r="46" spans="1:10" ht="12" customHeight="1">
      <c r="A46" s="431" t="s">
        <v>2790</v>
      </c>
      <c r="C46" s="612" t="s">
        <v>1641</v>
      </c>
      <c r="I46" s="438"/>
      <c r="J46" s="438"/>
    </row>
    <row r="47" spans="1:10" ht="3" customHeight="1">
      <c r="C47" s="548"/>
      <c r="D47" s="602"/>
      <c r="I47" s="548"/>
    </row>
    <row r="48" spans="1:10" ht="12" customHeight="1">
      <c r="A48" s="431" t="s">
        <v>2791</v>
      </c>
      <c r="C48" s="1462">
        <f>'Preview Term'!F59</f>
        <v>0</v>
      </c>
      <c r="I48" s="604"/>
      <c r="J48" s="604"/>
    </row>
    <row r="49" spans="1:10" ht="3" customHeight="1">
      <c r="D49" s="604"/>
      <c r="E49" s="604"/>
      <c r="F49" s="604"/>
      <c r="G49" s="604"/>
      <c r="H49" s="548"/>
      <c r="I49" s="604"/>
      <c r="J49" s="604"/>
    </row>
    <row r="50" spans="1:10" ht="12" customHeight="1">
      <c r="A50" s="548"/>
      <c r="B50" s="431" t="s">
        <v>2792</v>
      </c>
      <c r="C50" s="4814" t="s">
        <v>532</v>
      </c>
      <c r="D50" s="4814"/>
      <c r="E50" s="4814"/>
      <c r="F50" s="4814"/>
      <c r="G50" s="4814"/>
      <c r="H50" s="4814"/>
      <c r="I50" s="4814"/>
      <c r="J50" s="4814"/>
    </row>
    <row r="51" spans="1:10" ht="12" customHeight="1">
      <c r="C51" s="4816" t="s">
        <v>1672</v>
      </c>
      <c r="D51" s="4816"/>
      <c r="E51" s="4816"/>
      <c r="F51" s="4816"/>
      <c r="G51" s="4816"/>
      <c r="H51" s="4816"/>
      <c r="I51" s="4816"/>
      <c r="J51" s="4816"/>
    </row>
    <row r="52" spans="1:10" ht="3" customHeight="1">
      <c r="D52" s="604"/>
      <c r="E52" s="604"/>
      <c r="F52" s="604"/>
      <c r="G52" s="604"/>
      <c r="H52" s="548"/>
      <c r="I52" s="604"/>
      <c r="J52" s="604"/>
    </row>
    <row r="53" spans="1:10" ht="12" customHeight="1">
      <c r="A53" s="603" t="s">
        <v>2793</v>
      </c>
      <c r="B53" s="603"/>
      <c r="C53" s="605" t="s">
        <v>2794</v>
      </c>
      <c r="D53" s="605" t="s">
        <v>3023</v>
      </c>
      <c r="E53" s="4817"/>
      <c r="F53" s="4817"/>
      <c r="G53" s="4817"/>
      <c r="H53" s="4817"/>
      <c r="I53" s="4817"/>
      <c r="J53" s="4817"/>
    </row>
    <row r="54" spans="1:10" ht="12" customHeight="1">
      <c r="A54" s="603"/>
      <c r="B54" s="603"/>
      <c r="C54" s="603"/>
      <c r="D54" s="605" t="s">
        <v>3024</v>
      </c>
      <c r="E54" s="4818"/>
      <c r="F54" s="4818"/>
      <c r="G54" s="4818"/>
      <c r="H54" s="4818"/>
      <c r="I54" s="4818"/>
      <c r="J54" s="4818"/>
    </row>
    <row r="55" spans="1:10" ht="12" customHeight="1">
      <c r="A55" s="599" t="s">
        <v>2795</v>
      </c>
      <c r="G55" s="548"/>
      <c r="H55" s="548"/>
      <c r="I55" s="548"/>
    </row>
    <row r="56" spans="1:10" ht="18" customHeight="1">
      <c r="A56" s="431" t="s">
        <v>2796</v>
      </c>
      <c r="C56" s="600">
        <f>'Sensitivity Analysis'!C10</f>
        <v>0</v>
      </c>
      <c r="G56" s="548"/>
      <c r="I56" s="548"/>
    </row>
    <row r="57" spans="1:10" ht="3" customHeight="1">
      <c r="C57" s="600"/>
      <c r="G57" s="548"/>
      <c r="I57" s="548"/>
    </row>
    <row r="58" spans="1:10" ht="12" customHeight="1">
      <c r="A58" s="431" t="s">
        <v>2797</v>
      </c>
      <c r="C58" s="600">
        <f>'Sensitivity Analysis'!C11</f>
        <v>0</v>
      </c>
      <c r="E58" s="600">
        <f>'Sensitivity Analysis'!E11</f>
        <v>0</v>
      </c>
      <c r="G58" s="548"/>
      <c r="I58" s="548"/>
    </row>
    <row r="59" spans="1:10" ht="3" customHeight="1">
      <c r="C59" s="600"/>
      <c r="G59" s="548"/>
      <c r="I59" s="548"/>
    </row>
    <row r="60" spans="1:10" ht="12" customHeight="1">
      <c r="A60" s="431" t="s">
        <v>2798</v>
      </c>
      <c r="C60" s="600" t="s">
        <v>2506</v>
      </c>
      <c r="G60" s="548"/>
      <c r="I60" s="548"/>
    </row>
    <row r="61" spans="1:10" ht="6" customHeight="1">
      <c r="G61" s="548"/>
      <c r="H61" s="548"/>
      <c r="I61" s="548"/>
    </row>
    <row r="62" spans="1:10" ht="12" customHeight="1">
      <c r="A62" s="599" t="s">
        <v>2799</v>
      </c>
      <c r="G62" s="548"/>
      <c r="H62" s="548"/>
      <c r="I62" s="548"/>
    </row>
    <row r="63" spans="1:10" ht="12" customHeight="1">
      <c r="A63" s="431" t="s">
        <v>2800</v>
      </c>
      <c r="C63" s="431" t="s">
        <v>2801</v>
      </c>
      <c r="D63" s="968">
        <f>'Preview Term'!F31</f>
        <v>26500000</v>
      </c>
      <c r="G63" s="548"/>
      <c r="I63" s="548"/>
    </row>
    <row r="64" spans="1:10" ht="3" customHeight="1">
      <c r="D64" s="606"/>
      <c r="G64" s="548"/>
      <c r="H64" s="607"/>
      <c r="I64" s="548"/>
    </row>
    <row r="65" spans="1:10" ht="12" customHeight="1">
      <c r="A65" s="431" t="s">
        <v>2802</v>
      </c>
      <c r="C65" s="431" t="s">
        <v>2804</v>
      </c>
      <c r="D65" s="600" t="s">
        <v>905</v>
      </c>
      <c r="G65" s="548"/>
      <c r="I65" s="548"/>
    </row>
    <row r="66" spans="1:10" ht="3" customHeight="1">
      <c r="D66" s="606"/>
      <c r="G66" s="548"/>
      <c r="H66" s="548"/>
      <c r="I66" s="548"/>
    </row>
    <row r="67" spans="1:10" ht="12" customHeight="1">
      <c r="A67" s="431" t="s">
        <v>2805</v>
      </c>
      <c r="C67" s="969" t="s">
        <v>1641</v>
      </c>
      <c r="D67" s="606"/>
      <c r="I67" s="548"/>
    </row>
    <row r="68" spans="1:10" ht="12" customHeight="1">
      <c r="C68" s="431" t="s">
        <v>2806</v>
      </c>
      <c r="D68" s="1000" t="s">
        <v>1641</v>
      </c>
      <c r="I68" s="548"/>
    </row>
    <row r="69" spans="1:10" ht="12" customHeight="1">
      <c r="C69" s="431" t="s">
        <v>2773</v>
      </c>
      <c r="D69" s="4812"/>
      <c r="E69" s="4812"/>
      <c r="F69" s="4812"/>
      <c r="G69" s="4812"/>
      <c r="H69" s="4812"/>
      <c r="I69" s="4812"/>
      <c r="J69" s="4812"/>
    </row>
    <row r="70" spans="1:10" ht="3" customHeight="1">
      <c r="D70" s="606"/>
      <c r="E70" s="548"/>
      <c r="F70" s="548"/>
      <c r="I70" s="548"/>
    </row>
    <row r="71" spans="1:10" ht="12" customHeight="1">
      <c r="A71" s="431" t="s">
        <v>2807</v>
      </c>
      <c r="C71" s="431" t="s">
        <v>2211</v>
      </c>
      <c r="D71" s="612" t="s">
        <v>1641</v>
      </c>
      <c r="I71" s="548"/>
    </row>
    <row r="72" spans="1:10" ht="3" customHeight="1">
      <c r="D72" s="548"/>
      <c r="E72" s="548"/>
      <c r="I72" s="548"/>
    </row>
    <row r="73" spans="1:10" ht="12" customHeight="1">
      <c r="A73" s="431" t="s">
        <v>2808</v>
      </c>
      <c r="C73" s="969" t="s">
        <v>1641</v>
      </c>
      <c r="I73" s="548"/>
    </row>
    <row r="74" spans="1:10" ht="3" customHeight="1">
      <c r="C74" s="606"/>
      <c r="G74" s="548"/>
      <c r="H74" s="548"/>
      <c r="I74" s="548"/>
    </row>
    <row r="75" spans="1:10" ht="12" customHeight="1">
      <c r="A75" s="431" t="s">
        <v>2809</v>
      </c>
      <c r="C75" s="606" t="s">
        <v>2810</v>
      </c>
      <c r="D75" s="971">
        <v>0</v>
      </c>
      <c r="J75" s="548"/>
    </row>
    <row r="76" spans="1:10" ht="12" customHeight="1">
      <c r="C76" s="608" t="s">
        <v>2904</v>
      </c>
      <c r="D76" s="972">
        <v>0.01</v>
      </c>
      <c r="J76" s="548"/>
    </row>
    <row r="77" spans="1:10" ht="3" customHeight="1">
      <c r="C77" s="606"/>
      <c r="D77" s="606"/>
      <c r="G77" s="548"/>
      <c r="H77" s="548"/>
      <c r="I77" s="548"/>
    </row>
    <row r="78" spans="1:10" ht="12" customHeight="1">
      <c r="A78" s="431" t="s">
        <v>2811</v>
      </c>
      <c r="C78" s="606" t="s">
        <v>3046</v>
      </c>
      <c r="D78" s="610">
        <v>24</v>
      </c>
      <c r="I78" s="548"/>
    </row>
    <row r="79" spans="1:10" ht="3" customHeight="1">
      <c r="D79" s="606"/>
      <c r="E79" s="548"/>
      <c r="F79" s="548"/>
      <c r="I79" s="548"/>
    </row>
    <row r="80" spans="1:10" ht="12" customHeight="1">
      <c r="A80" s="431" t="s">
        <v>2812</v>
      </c>
      <c r="C80" s="431" t="s">
        <v>2211</v>
      </c>
      <c r="D80" s="610">
        <f>'Preview Term'!F40</f>
        <v>180</v>
      </c>
      <c r="E80" s="548" t="s">
        <v>3027</v>
      </c>
      <c r="I80" s="548"/>
    </row>
    <row r="81" spans="1:9" ht="3" customHeight="1">
      <c r="D81" s="606"/>
      <c r="G81" s="548"/>
      <c r="H81" s="548"/>
      <c r="I81" s="548"/>
    </row>
    <row r="82" spans="1:9" ht="12" customHeight="1">
      <c r="A82" s="431" t="s">
        <v>2813</v>
      </c>
      <c r="D82" s="970">
        <v>0</v>
      </c>
      <c r="E82" s="611">
        <f>D82*12</f>
        <v>0</v>
      </c>
      <c r="F82" s="548" t="s">
        <v>3047</v>
      </c>
    </row>
    <row r="83" spans="1:9" ht="3" customHeight="1">
      <c r="D83" s="600"/>
      <c r="E83" s="548"/>
      <c r="G83" s="548"/>
    </row>
    <row r="84" spans="1:9" ht="12" customHeight="1">
      <c r="A84" s="431" t="s">
        <v>2814</v>
      </c>
      <c r="D84" s="1000" t="s">
        <v>905</v>
      </c>
      <c r="E84" s="548" t="s">
        <v>4058</v>
      </c>
      <c r="G84" s="548"/>
    </row>
    <row r="85" spans="1:9" ht="3" customHeight="1">
      <c r="G85" s="548"/>
      <c r="H85" s="548"/>
      <c r="I85" s="548"/>
    </row>
    <row r="86" spans="1:9" ht="12" customHeight="1">
      <c r="A86" s="431" t="s">
        <v>2815</v>
      </c>
      <c r="C86" s="1463">
        <f>'Subsidy Layering Memo'!L70</f>
        <v>10391768.303108629</v>
      </c>
      <c r="D86" s="613" t="s">
        <v>3025</v>
      </c>
      <c r="I86" s="548"/>
    </row>
    <row r="87" spans="1:9" ht="3" customHeight="1">
      <c r="C87" s="548" t="s">
        <v>1641</v>
      </c>
      <c r="D87" s="548"/>
      <c r="E87" s="548"/>
      <c r="I87" s="548"/>
    </row>
    <row r="88" spans="1:9" ht="12" customHeight="1">
      <c r="A88" s="431" t="s">
        <v>2816</v>
      </c>
      <c r="B88" s="614"/>
      <c r="C88" s="969" t="s">
        <v>1641</v>
      </c>
      <c r="D88" s="974"/>
      <c r="I88" s="548"/>
    </row>
    <row r="89" spans="1:9" ht="3" customHeight="1">
      <c r="G89" s="548"/>
      <c r="H89" s="548"/>
      <c r="I89" s="548"/>
    </row>
    <row r="90" spans="1:9" ht="12" customHeight="1">
      <c r="A90" s="431" t="s">
        <v>2817</v>
      </c>
      <c r="C90" s="606" t="s">
        <v>2818</v>
      </c>
      <c r="D90" s="600" t="s">
        <v>2749</v>
      </c>
      <c r="I90" s="548"/>
    </row>
    <row r="91" spans="1:9" ht="12" customHeight="1">
      <c r="C91" s="606" t="s">
        <v>2819</v>
      </c>
      <c r="D91" s="600" t="s">
        <v>905</v>
      </c>
      <c r="I91" s="548"/>
    </row>
    <row r="92" spans="1:9" ht="3" customHeight="1">
      <c r="G92" s="548"/>
      <c r="H92" s="548"/>
      <c r="I92" s="548"/>
    </row>
    <row r="93" spans="1:9" ht="12" customHeight="1">
      <c r="A93" s="431" t="s">
        <v>2820</v>
      </c>
      <c r="C93" s="606" t="s">
        <v>2810</v>
      </c>
      <c r="D93" s="548" t="s">
        <v>2821</v>
      </c>
      <c r="E93" s="606" t="str">
        <f>'Part II-Sources of Funds'!G24</f>
        <v>Bank OZK</v>
      </c>
      <c r="I93" s="548"/>
    </row>
    <row r="94" spans="1:9" ht="12" customHeight="1">
      <c r="C94" s="606"/>
      <c r="D94" s="548"/>
      <c r="E94" s="606" t="s">
        <v>1665</v>
      </c>
      <c r="F94" s="4808"/>
      <c r="G94" s="4808"/>
      <c r="H94" s="4808"/>
      <c r="I94" s="548"/>
    </row>
    <row r="95" spans="1:9" ht="12" customHeight="1">
      <c r="C95" s="606"/>
      <c r="D95" s="548"/>
      <c r="E95" s="606" t="s">
        <v>1834</v>
      </c>
      <c r="F95" s="4819"/>
      <c r="G95" s="4819"/>
      <c r="H95" s="4819"/>
      <c r="I95" s="548"/>
    </row>
    <row r="96" spans="1:9" ht="12" customHeight="1">
      <c r="C96" s="606"/>
      <c r="D96" s="548"/>
      <c r="E96" s="606" t="s">
        <v>1667</v>
      </c>
      <c r="F96" s="4806"/>
      <c r="G96" s="4806"/>
      <c r="H96" s="4806"/>
      <c r="I96" s="548"/>
    </row>
    <row r="97" spans="1:10" ht="12" customHeight="1">
      <c r="B97" s="601"/>
      <c r="C97" s="608" t="s">
        <v>2904</v>
      </c>
      <c r="D97" s="548" t="s">
        <v>2821</v>
      </c>
      <c r="E97" s="606" t="str">
        <f>'Part II-Sources of Funds'!E42</f>
        <v>Grandbridge</v>
      </c>
      <c r="I97" s="548"/>
    </row>
    <row r="98" spans="1:10" ht="12" customHeight="1">
      <c r="C98" s="606"/>
      <c r="D98" s="548"/>
      <c r="E98" s="606" t="s">
        <v>1665</v>
      </c>
      <c r="F98" s="4808"/>
      <c r="G98" s="4808"/>
      <c r="H98" s="4808"/>
      <c r="I98" s="548"/>
    </row>
    <row r="99" spans="1:10" ht="12" customHeight="1">
      <c r="C99" s="606"/>
      <c r="D99" s="548"/>
      <c r="E99" s="606" t="s">
        <v>1834</v>
      </c>
      <c r="F99" s="4819"/>
      <c r="G99" s="4819"/>
      <c r="H99" s="4819"/>
      <c r="I99" s="548"/>
    </row>
    <row r="100" spans="1:10" ht="12" customHeight="1">
      <c r="C100" s="606"/>
      <c r="D100" s="548"/>
      <c r="E100" s="606" t="s">
        <v>1667</v>
      </c>
      <c r="F100" s="4806"/>
      <c r="G100" s="4806"/>
      <c r="H100" s="4806"/>
      <c r="I100" s="548"/>
    </row>
    <row r="101" spans="1:10" ht="3" customHeight="1">
      <c r="D101" s="615"/>
      <c r="G101" s="548"/>
      <c r="H101" s="548"/>
      <c r="I101" s="548"/>
    </row>
    <row r="102" spans="1:10" ht="12" customHeight="1">
      <c r="A102" s="431" t="s">
        <v>2822</v>
      </c>
      <c r="D102" s="1000">
        <f>'Part VIII Scoring Criteria OLD'!O265</f>
        <v>0</v>
      </c>
      <c r="E102" s="548" t="s">
        <v>2803</v>
      </c>
      <c r="G102" s="431">
        <f>'Part VIII Scoring Criteria OLD'!O261</f>
        <v>0</v>
      </c>
      <c r="H102" s="431" t="s">
        <v>3026</v>
      </c>
      <c r="I102" s="548"/>
    </row>
    <row r="103" spans="1:10" ht="3" customHeight="1">
      <c r="E103" s="548"/>
      <c r="F103" s="548"/>
      <c r="I103" s="548"/>
    </row>
    <row r="104" spans="1:10" ht="12" customHeight="1">
      <c r="A104" s="548" t="s">
        <v>2905</v>
      </c>
      <c r="D104" s="431" t="s">
        <v>905</v>
      </c>
      <c r="E104" s="548"/>
      <c r="I104" s="548"/>
    </row>
    <row r="105" spans="1:10" ht="6" customHeight="1">
      <c r="G105" s="548"/>
      <c r="H105" s="548"/>
      <c r="I105" s="548"/>
    </row>
    <row r="106" spans="1:10" ht="12" customHeight="1">
      <c r="A106" s="599" t="s">
        <v>2906</v>
      </c>
      <c r="I106" s="548"/>
    </row>
    <row r="107" spans="1:10" ht="12" customHeight="1">
      <c r="A107" s="431" t="s">
        <v>2823</v>
      </c>
      <c r="C107" s="973" t="s">
        <v>1641</v>
      </c>
      <c r="D107" s="4820"/>
      <c r="E107" s="4820"/>
      <c r="F107" s="4820"/>
      <c r="G107" s="4820"/>
      <c r="H107" s="4820"/>
      <c r="I107" s="4820"/>
      <c r="J107" s="4821"/>
    </row>
    <row r="108" spans="1:10" ht="3" customHeight="1">
      <c r="C108" s="606"/>
      <c r="D108" s="548"/>
      <c r="I108" s="548"/>
    </row>
    <row r="109" spans="1:10" ht="12" customHeight="1">
      <c r="A109" s="431" t="s">
        <v>2824</v>
      </c>
      <c r="C109" s="1000" t="s">
        <v>1641</v>
      </c>
    </row>
    <row r="110" spans="1:10" ht="3" customHeight="1">
      <c r="C110" s="606"/>
      <c r="E110" s="548"/>
      <c r="F110" s="548"/>
      <c r="I110" s="548"/>
    </row>
    <row r="111" spans="1:10" ht="12" customHeight="1">
      <c r="A111" s="431" t="s">
        <v>2825</v>
      </c>
      <c r="C111" s="1000" t="s">
        <v>1641</v>
      </c>
      <c r="I111" s="548"/>
    </row>
    <row r="112" spans="1:10" ht="3" customHeight="1">
      <c r="D112" s="602"/>
      <c r="I112" s="548"/>
    </row>
    <row r="113" spans="1:10" ht="12" customHeight="1">
      <c r="A113" s="431" t="s">
        <v>2826</v>
      </c>
      <c r="D113" s="610">
        <v>24</v>
      </c>
      <c r="E113" s="548" t="s">
        <v>2827</v>
      </c>
      <c r="I113" s="548"/>
    </row>
    <row r="114" spans="1:10" ht="12" customHeight="1">
      <c r="C114" s="600" t="s">
        <v>4059</v>
      </c>
      <c r="I114" s="548"/>
    </row>
    <row r="115" spans="1:10" ht="12" customHeight="1">
      <c r="C115" s="600" t="s">
        <v>4060</v>
      </c>
      <c r="G115" s="548"/>
      <c r="I115" s="548"/>
    </row>
    <row r="116" spans="1:10" ht="3" customHeight="1">
      <c r="G116" s="548"/>
      <c r="H116" s="548"/>
      <c r="I116" s="548"/>
    </row>
    <row r="117" spans="1:10" ht="12" customHeight="1">
      <c r="A117" s="431" t="s">
        <v>2828</v>
      </c>
      <c r="D117" s="616">
        <v>0</v>
      </c>
      <c r="E117" s="617" t="s">
        <v>2829</v>
      </c>
      <c r="I117" s="548"/>
    </row>
    <row r="118" spans="1:10" ht="3" customHeight="1">
      <c r="D118" s="606"/>
      <c r="E118" s="548"/>
      <c r="F118" s="548"/>
      <c r="I118" s="548"/>
    </row>
    <row r="119" spans="1:10" ht="12" customHeight="1">
      <c r="A119" s="431" t="s">
        <v>2830</v>
      </c>
      <c r="C119" s="969" t="s">
        <v>1641</v>
      </c>
      <c r="D119" s="606"/>
      <c r="I119" s="548"/>
    </row>
    <row r="120" spans="1:10" ht="12" customHeight="1">
      <c r="C120" s="548" t="s">
        <v>2831</v>
      </c>
      <c r="D120" s="609"/>
      <c r="E120" s="4811" t="s">
        <v>4061</v>
      </c>
      <c r="F120" s="4811"/>
      <c r="G120" s="4811"/>
      <c r="H120" s="4811"/>
      <c r="I120" s="4811"/>
      <c r="J120" s="4811"/>
    </row>
    <row r="121" spans="1:10" ht="12" customHeight="1">
      <c r="C121" s="548" t="s">
        <v>2832</v>
      </c>
      <c r="D121" s="975"/>
      <c r="E121" s="4811"/>
      <c r="F121" s="4811"/>
      <c r="G121" s="4811"/>
      <c r="H121" s="4811"/>
      <c r="I121" s="4811"/>
      <c r="J121" s="4811"/>
    </row>
    <row r="122" spans="1:10" ht="12" customHeight="1">
      <c r="C122" s="548" t="s">
        <v>2833</v>
      </c>
      <c r="D122" s="975"/>
      <c r="E122" s="4811"/>
      <c r="F122" s="4811"/>
      <c r="G122" s="4811"/>
      <c r="H122" s="4811"/>
      <c r="I122" s="4811"/>
      <c r="J122" s="4811"/>
    </row>
    <row r="123" spans="1:10" ht="12" customHeight="1">
      <c r="C123" s="548" t="s">
        <v>2833</v>
      </c>
      <c r="D123" s="975"/>
      <c r="E123" s="4811"/>
      <c r="F123" s="4811"/>
      <c r="G123" s="4811"/>
      <c r="H123" s="4811"/>
      <c r="I123" s="4811"/>
      <c r="J123" s="4811"/>
    </row>
    <row r="124" spans="1:10" ht="3" customHeight="1">
      <c r="E124" s="548"/>
      <c r="F124" s="548"/>
      <c r="I124" s="548"/>
    </row>
    <row r="125" spans="1:10" ht="12" customHeight="1">
      <c r="A125" s="431" t="s">
        <v>2834</v>
      </c>
      <c r="D125" s="611" t="s">
        <v>2803</v>
      </c>
      <c r="I125" s="548"/>
    </row>
    <row r="126" spans="1:10" ht="3" customHeight="1">
      <c r="D126" s="548"/>
      <c r="I126" s="548"/>
    </row>
    <row r="127" spans="1:10" ht="12" customHeight="1">
      <c r="A127" s="431" t="s">
        <v>2835</v>
      </c>
      <c r="D127" s="548" t="s">
        <v>2803</v>
      </c>
      <c r="I127" s="548"/>
    </row>
    <row r="128" spans="1:10" ht="3" customHeight="1">
      <c r="G128" s="548"/>
      <c r="H128" s="548"/>
      <c r="I128" s="548"/>
    </row>
    <row r="129" spans="1:10" ht="12" customHeight="1">
      <c r="A129" s="431" t="s">
        <v>2836</v>
      </c>
      <c r="D129" s="548" t="s">
        <v>2837</v>
      </c>
      <c r="G129" s="548"/>
      <c r="I129" s="548"/>
    </row>
    <row r="130" spans="1:10" ht="7.5" customHeight="1">
      <c r="G130" s="548"/>
      <c r="H130" s="548"/>
      <c r="I130" s="548"/>
    </row>
    <row r="131" spans="1:10" ht="12" customHeight="1">
      <c r="A131" s="599" t="s">
        <v>2838</v>
      </c>
      <c r="G131" s="548"/>
      <c r="H131" s="548"/>
      <c r="I131" s="548"/>
    </row>
    <row r="132" spans="1:10" ht="12" customHeight="1">
      <c r="A132" s="431" t="s">
        <v>2839</v>
      </c>
      <c r="C132" s="600">
        <f>'Sensitivity Analysis'!H11</f>
        <v>0</v>
      </c>
      <c r="D132" s="600">
        <f>'Sensitivity Analysis'!K11</f>
        <v>0</v>
      </c>
      <c r="G132" s="600">
        <f>'Sensitivity Analysis'!M11</f>
        <v>0</v>
      </c>
      <c r="I132" s="548"/>
    </row>
    <row r="133" spans="1:10" ht="12" customHeight="1">
      <c r="G133" s="548"/>
      <c r="I133" s="548"/>
    </row>
    <row r="134" spans="1:10" ht="3" customHeight="1">
      <c r="C134" s="548"/>
      <c r="G134" s="548"/>
      <c r="I134" s="548"/>
    </row>
    <row r="135" spans="1:10" ht="12" customHeight="1">
      <c r="A135" s="431" t="s">
        <v>2840</v>
      </c>
      <c r="C135" s="618">
        <f>('Part III-A-Uses of Funds'!G127-'Part II-Sources of Funds'!I47)/2</f>
        <v>1249166.5</v>
      </c>
      <c r="G135" s="548"/>
      <c r="I135" s="548"/>
    </row>
    <row r="136" spans="1:10" ht="3" customHeight="1">
      <c r="C136" s="548"/>
      <c r="G136" s="548"/>
      <c r="I136" s="548"/>
    </row>
    <row r="137" spans="1:10" ht="12" customHeight="1">
      <c r="A137" s="431" t="s">
        <v>2841</v>
      </c>
      <c r="C137" s="1000" t="s">
        <v>2842</v>
      </c>
      <c r="G137" s="548"/>
      <c r="I137" s="548"/>
    </row>
    <row r="138" spans="1:10" ht="3" customHeight="1">
      <c r="C138" s="600"/>
      <c r="G138" s="548"/>
      <c r="I138" s="548"/>
    </row>
    <row r="139" spans="1:10" ht="12" customHeight="1">
      <c r="A139" s="431" t="s">
        <v>2843</v>
      </c>
      <c r="C139" s="600">
        <f>'Preview Term'!E20</f>
        <v>0</v>
      </c>
      <c r="G139" s="548"/>
      <c r="I139" s="548"/>
      <c r="J139" s="619"/>
    </row>
    <row r="140" spans="1:10" ht="3" customHeight="1">
      <c r="C140" s="600"/>
      <c r="G140" s="548"/>
      <c r="I140" s="548"/>
    </row>
    <row r="141" spans="1:10" ht="12" customHeight="1">
      <c r="A141" s="431" t="s">
        <v>2844</v>
      </c>
      <c r="C141" s="600">
        <f>C8</f>
        <v>0</v>
      </c>
      <c r="G141" s="548"/>
      <c r="I141" s="548"/>
    </row>
    <row r="142" spans="1:10" ht="3" customHeight="1">
      <c r="C142" s="600"/>
      <c r="G142" s="548"/>
      <c r="I142" s="548"/>
    </row>
    <row r="143" spans="1:10" ht="12" customHeight="1">
      <c r="A143" s="431" t="s">
        <v>2845</v>
      </c>
      <c r="C143" s="600">
        <f>C18</f>
        <v>0</v>
      </c>
      <c r="G143" s="548"/>
      <c r="I143" s="548"/>
    </row>
    <row r="144" spans="1:10">
      <c r="C144" s="600">
        <f>C19</f>
        <v>0</v>
      </c>
      <c r="G144" s="548"/>
      <c r="I144" s="548"/>
    </row>
    <row r="145" spans="1:10" ht="3" customHeight="1">
      <c r="C145" s="548"/>
      <c r="G145" s="548"/>
      <c r="I145" s="548"/>
    </row>
    <row r="146" spans="1:10" ht="12" customHeight="1">
      <c r="A146" s="431" t="s">
        <v>2846</v>
      </c>
      <c r="C146" s="600">
        <f>'Sensitivity Analysis'!H10</f>
        <v>0</v>
      </c>
      <c r="G146" s="548"/>
      <c r="I146" s="548"/>
      <c r="J146" s="619"/>
    </row>
    <row r="147" spans="1:10" ht="3" customHeight="1">
      <c r="C147" s="600"/>
      <c r="G147" s="548"/>
      <c r="I147" s="548"/>
    </row>
    <row r="148" spans="1:10" ht="12" customHeight="1">
      <c r="A148" s="431" t="s">
        <v>2847</v>
      </c>
      <c r="C148" s="600">
        <f>'Sensitivity Analysis'!K10</f>
        <v>0</v>
      </c>
      <c r="G148" s="548"/>
      <c r="I148" s="548"/>
      <c r="J148" s="619"/>
    </row>
    <row r="149" spans="1:10" ht="3" customHeight="1">
      <c r="C149" s="548"/>
      <c r="G149" s="548"/>
      <c r="I149" s="548"/>
    </row>
    <row r="150" spans="1:10" ht="12" customHeight="1">
      <c r="A150" s="431" t="s">
        <v>2848</v>
      </c>
      <c r="C150" s="548" t="s">
        <v>2803</v>
      </c>
      <c r="G150" s="548"/>
      <c r="I150" s="548"/>
    </row>
    <row r="151" spans="1:10" ht="3" customHeight="1">
      <c r="C151" s="548"/>
      <c r="G151" s="548"/>
      <c r="I151" s="548"/>
    </row>
    <row r="152" spans="1:10" ht="12" customHeight="1">
      <c r="A152" s="431" t="s">
        <v>2849</v>
      </c>
      <c r="C152" s="548" t="s">
        <v>2803</v>
      </c>
      <c r="G152" s="548"/>
      <c r="I152" s="548"/>
    </row>
    <row r="153" spans="1:10" ht="7.5" customHeight="1">
      <c r="G153" s="548"/>
      <c r="H153" s="548"/>
      <c r="I153" s="548"/>
    </row>
    <row r="154" spans="1:10" ht="12" customHeight="1">
      <c r="A154" s="599" t="s">
        <v>2850</v>
      </c>
      <c r="G154" s="548"/>
      <c r="H154" s="548"/>
      <c r="I154" s="548"/>
    </row>
    <row r="155" spans="1:10" ht="3" customHeight="1">
      <c r="D155" s="548"/>
      <c r="E155" s="548"/>
      <c r="G155" s="548"/>
    </row>
    <row r="156" spans="1:10" ht="12" customHeight="1">
      <c r="A156" s="431" t="s">
        <v>2851</v>
      </c>
      <c r="C156" s="548" t="s">
        <v>3028</v>
      </c>
      <c r="D156" s="548"/>
      <c r="G156" s="548"/>
      <c r="H156" s="548"/>
      <c r="I156" s="548"/>
    </row>
    <row r="157" spans="1:10" ht="3" customHeight="1">
      <c r="D157" s="548"/>
      <c r="E157" s="548"/>
      <c r="G157" s="548"/>
    </row>
    <row r="158" spans="1:10" ht="12" customHeight="1">
      <c r="A158" s="431" t="s">
        <v>2852</v>
      </c>
      <c r="D158" s="1000">
        <v>20</v>
      </c>
      <c r="E158" s="548" t="s">
        <v>2211</v>
      </c>
    </row>
    <row r="159" spans="1:10" ht="3" customHeight="1">
      <c r="D159" s="548"/>
      <c r="E159" s="548"/>
      <c r="G159" s="548"/>
    </row>
    <row r="160" spans="1:10" ht="12" customHeight="1">
      <c r="A160" s="431" t="s">
        <v>2853</v>
      </c>
      <c r="C160" s="969" t="str">
        <f>'Part V-Revenues &amp; Expenses'!$G$6</f>
        <v>&lt;Select&gt;</v>
      </c>
      <c r="D160" s="548" t="s">
        <v>3048</v>
      </c>
      <c r="G160" s="548"/>
    </row>
    <row r="161" spans="1:9" ht="3" customHeight="1">
      <c r="G161" s="548"/>
      <c r="H161" s="548"/>
      <c r="I161" s="548"/>
    </row>
    <row r="162" spans="1:9" ht="12" customHeight="1">
      <c r="A162" s="431" t="s">
        <v>2854</v>
      </c>
      <c r="G162" s="548"/>
      <c r="H162" s="548"/>
      <c r="I162" s="548"/>
    </row>
    <row r="163" spans="1:9" ht="7.5" customHeight="1">
      <c r="G163" s="548"/>
      <c r="H163" s="548"/>
      <c r="I163" s="548"/>
    </row>
    <row r="164" spans="1:9" ht="12" customHeight="1">
      <c r="A164" s="599" t="s">
        <v>2855</v>
      </c>
      <c r="G164" s="548"/>
      <c r="H164" s="548"/>
      <c r="I164" s="548"/>
    </row>
    <row r="165" spans="1:9" ht="12" customHeight="1">
      <c r="A165" s="431" t="s">
        <v>2896</v>
      </c>
      <c r="C165" s="431" t="s">
        <v>2897</v>
      </c>
      <c r="E165" s="612">
        <f>'Preview Term'!F80</f>
        <v>0</v>
      </c>
      <c r="G165" s="548"/>
      <c r="I165" s="548"/>
    </row>
    <row r="166" spans="1:9" ht="12" customHeight="1">
      <c r="C166" s="431" t="s">
        <v>3029</v>
      </c>
      <c r="E166" s="4812"/>
      <c r="F166" s="4812"/>
      <c r="G166" s="4812"/>
      <c r="I166" s="548"/>
    </row>
    <row r="167" spans="1:9" ht="3" customHeight="1">
      <c r="E167" s="548"/>
      <c r="G167" s="548"/>
      <c r="I167" s="548"/>
    </row>
    <row r="168" spans="1:9" ht="12" customHeight="1">
      <c r="A168" s="431" t="s">
        <v>2856</v>
      </c>
      <c r="C168" s="431" t="s">
        <v>2857</v>
      </c>
      <c r="E168" s="618">
        <f>'Preview Term'!F74</f>
        <v>1094838.353922151</v>
      </c>
      <c r="G168" s="548"/>
      <c r="I168" s="548"/>
    </row>
    <row r="169" spans="1:9" ht="12" customHeight="1">
      <c r="C169" s="431" t="s">
        <v>3029</v>
      </c>
      <c r="E169" s="4812"/>
      <c r="F169" s="4812"/>
      <c r="G169" s="4812"/>
      <c r="I169" s="548"/>
    </row>
    <row r="170" spans="1:9" ht="12" customHeight="1">
      <c r="C170" s="431" t="s">
        <v>2858</v>
      </c>
      <c r="E170" s="600" t="s">
        <v>2506</v>
      </c>
      <c r="G170" s="548"/>
      <c r="I170" s="548"/>
    </row>
    <row r="171" spans="1:9" ht="3" customHeight="1">
      <c r="E171" s="600"/>
      <c r="G171" s="548"/>
      <c r="I171" s="548"/>
    </row>
    <row r="172" spans="1:9" ht="12" customHeight="1">
      <c r="A172" s="431" t="s">
        <v>2898</v>
      </c>
      <c r="C172" s="431" t="s">
        <v>2899</v>
      </c>
      <c r="E172" s="618">
        <f>'Preview Term'!F76</f>
        <v>0</v>
      </c>
      <c r="G172" s="548"/>
      <c r="I172" s="548"/>
    </row>
    <row r="173" spans="1:9" ht="12" customHeight="1">
      <c r="C173" s="431" t="s">
        <v>2859</v>
      </c>
      <c r="E173" s="618">
        <f>'Preview Term'!F76</f>
        <v>0</v>
      </c>
      <c r="G173" s="548"/>
      <c r="I173" s="548"/>
    </row>
    <row r="174" spans="1:9" ht="12" customHeight="1">
      <c r="C174" s="431" t="s">
        <v>2860</v>
      </c>
      <c r="E174" s="618">
        <f>'Part V-Revenues &amp; Expenses'!Q256</f>
        <v>64000</v>
      </c>
      <c r="F174" s="548" t="s">
        <v>2861</v>
      </c>
    </row>
    <row r="175" spans="1:9">
      <c r="E175" s="618">
        <f>E174/12</f>
        <v>5333.333333333333</v>
      </c>
      <c r="F175" s="548" t="s">
        <v>2727</v>
      </c>
    </row>
    <row r="176" spans="1:9" ht="12" customHeight="1">
      <c r="C176" s="431" t="s">
        <v>3030</v>
      </c>
      <c r="E176" s="4812"/>
      <c r="F176" s="4812"/>
      <c r="G176" s="4812"/>
      <c r="I176" s="548"/>
    </row>
    <row r="177" spans="1:10" ht="12" customHeight="1">
      <c r="C177" s="431" t="s">
        <v>2862</v>
      </c>
      <c r="E177" s="548" t="s">
        <v>2640</v>
      </c>
      <c r="I177" s="548"/>
    </row>
    <row r="178" spans="1:10" ht="12" customHeight="1">
      <c r="C178" s="431" t="s">
        <v>2863</v>
      </c>
      <c r="E178" s="548" t="s">
        <v>2506</v>
      </c>
      <c r="I178" s="548"/>
    </row>
    <row r="179" spans="1:10" ht="3" customHeight="1">
      <c r="E179" s="548"/>
      <c r="F179" s="548"/>
      <c r="I179" s="548"/>
    </row>
    <row r="180" spans="1:10" ht="12" customHeight="1">
      <c r="A180" s="431" t="s">
        <v>2894</v>
      </c>
      <c r="C180" s="431" t="s">
        <v>2895</v>
      </c>
      <c r="E180" s="612" t="s">
        <v>1641</v>
      </c>
      <c r="I180" s="548"/>
    </row>
    <row r="181" spans="1:10" ht="12" customHeight="1">
      <c r="C181" s="431" t="s">
        <v>2864</v>
      </c>
      <c r="E181" s="612" t="s">
        <v>1641</v>
      </c>
      <c r="F181" s="4812"/>
      <c r="G181" s="4812"/>
      <c r="H181" s="4812"/>
      <c r="I181" s="4812"/>
      <c r="J181" s="4812"/>
    </row>
    <row r="182" spans="1:10" ht="12" customHeight="1">
      <c r="C182" s="431" t="s">
        <v>3031</v>
      </c>
      <c r="E182" s="548" t="s">
        <v>2803</v>
      </c>
      <c r="I182" s="548"/>
    </row>
    <row r="183" spans="1:10" ht="12" customHeight="1">
      <c r="C183" s="431" t="s">
        <v>2865</v>
      </c>
      <c r="E183" s="548" t="s">
        <v>2506</v>
      </c>
      <c r="I183" s="548"/>
    </row>
    <row r="184" spans="1:10" ht="3" customHeight="1">
      <c r="G184" s="548"/>
      <c r="H184" s="548"/>
      <c r="I184" s="548"/>
    </row>
    <row r="185" spans="1:10" ht="12" customHeight="1">
      <c r="A185" s="431" t="s">
        <v>2900</v>
      </c>
      <c r="C185" s="431" t="s">
        <v>2901</v>
      </c>
      <c r="E185" s="618">
        <f>'Preview Term'!F78</f>
        <v>308710.5</v>
      </c>
      <c r="G185" s="548"/>
      <c r="I185" s="548"/>
    </row>
    <row r="186" spans="1:10" ht="12" customHeight="1">
      <c r="C186" s="431" t="s">
        <v>3029</v>
      </c>
      <c r="E186" s="600">
        <f>E169</f>
        <v>0</v>
      </c>
      <c r="G186" s="548"/>
      <c r="I186" s="548"/>
    </row>
    <row r="187" spans="1:10" ht="12" customHeight="1">
      <c r="C187" s="431" t="s">
        <v>2866</v>
      </c>
      <c r="E187" s="600" t="s">
        <v>2803</v>
      </c>
      <c r="G187" s="548"/>
      <c r="I187" s="548"/>
    </row>
    <row r="188" spans="1:10" ht="3" customHeight="1">
      <c r="E188" s="600"/>
      <c r="G188" s="548"/>
      <c r="I188" s="548"/>
    </row>
    <row r="189" spans="1:10" ht="12" customHeight="1">
      <c r="A189" s="431" t="s">
        <v>2902</v>
      </c>
      <c r="C189" s="431" t="s">
        <v>2903</v>
      </c>
      <c r="E189" s="600" t="s">
        <v>2803</v>
      </c>
      <c r="G189" s="548"/>
      <c r="I189" s="548"/>
    </row>
    <row r="190" spans="1:10" ht="12" customHeight="1">
      <c r="C190" s="431" t="s">
        <v>2857</v>
      </c>
      <c r="E190" s="606"/>
      <c r="G190" s="548"/>
      <c r="H190" s="611"/>
      <c r="I190" s="548"/>
    </row>
    <row r="191" spans="1:10" ht="12" customHeight="1">
      <c r="C191" s="431" t="s">
        <v>3029</v>
      </c>
      <c r="E191" s="606"/>
      <c r="I191" s="600"/>
    </row>
    <row r="192" spans="1:10" ht="12" customHeight="1">
      <c r="C192" s="431" t="s">
        <v>2858</v>
      </c>
      <c r="E192" s="606"/>
      <c r="G192" s="548"/>
      <c r="H192" s="548"/>
      <c r="I192" s="548"/>
    </row>
    <row r="193" spans="1:10" ht="9" customHeight="1">
      <c r="G193" s="548"/>
      <c r="H193" s="548"/>
      <c r="I193" s="548"/>
    </row>
    <row r="194" spans="1:10" ht="12" customHeight="1">
      <c r="A194" s="599" t="s">
        <v>2867</v>
      </c>
      <c r="C194" s="548" t="s">
        <v>2868</v>
      </c>
      <c r="E194" s="548"/>
      <c r="I194" s="548"/>
    </row>
    <row r="195" spans="1:10" ht="9" customHeight="1">
      <c r="E195" s="548"/>
      <c r="F195" s="548"/>
      <c r="I195" s="548"/>
    </row>
    <row r="196" spans="1:10" ht="12" customHeight="1">
      <c r="A196" s="599" t="s">
        <v>2869</v>
      </c>
      <c r="E196" s="548"/>
      <c r="F196" s="548"/>
      <c r="I196" s="548"/>
    </row>
    <row r="197" spans="1:10" ht="12" customHeight="1">
      <c r="A197" s="431" t="s">
        <v>2870</v>
      </c>
      <c r="C197" s="965" t="s">
        <v>1641</v>
      </c>
      <c r="E197" s="548"/>
      <c r="F197" s="548"/>
      <c r="I197" s="548"/>
    </row>
    <row r="198" spans="1:10" ht="3" customHeight="1">
      <c r="G198" s="548"/>
      <c r="H198" s="548"/>
      <c r="I198" s="548"/>
    </row>
    <row r="199" spans="1:10">
      <c r="A199" s="603" t="s">
        <v>3033</v>
      </c>
      <c r="B199" s="603"/>
      <c r="C199" s="603"/>
      <c r="D199" s="603"/>
      <c r="E199" s="605" t="s">
        <v>3032</v>
      </c>
      <c r="F199" s="4810">
        <f>'Part VII-Threshold Criteria OLD'!E372</f>
        <v>0</v>
      </c>
      <c r="G199" s="4810"/>
      <c r="H199" s="4810"/>
      <c r="I199" s="4810"/>
      <c r="J199" s="4810"/>
    </row>
    <row r="200" spans="1:10" ht="9" customHeight="1">
      <c r="G200" s="548"/>
      <c r="H200" s="548"/>
      <c r="I200" s="548"/>
    </row>
    <row r="201" spans="1:10" ht="12" customHeight="1">
      <c r="A201" s="620" t="s">
        <v>2893</v>
      </c>
      <c r="G201" s="548"/>
      <c r="H201" s="548"/>
      <c r="I201" s="611"/>
    </row>
    <row r="202" spans="1:10" ht="25.5" hidden="1" customHeight="1">
      <c r="A202" s="4815" t="str">
        <f>'Subsidy Layering Memo'!A105</f>
        <v>Include any reserve requirements; explain any reserves far in excess of 6 month ODR, 3 mo lease up, 1 year RR, 6 mo T&amp;I standards.</v>
      </c>
      <c r="B202" s="4815"/>
      <c r="C202" s="4815"/>
      <c r="D202" s="4815"/>
      <c r="E202" s="4815"/>
      <c r="F202" s="4815"/>
      <c r="G202" s="4815"/>
      <c r="H202" s="4815"/>
      <c r="I202" s="4815"/>
      <c r="J202" s="4815"/>
    </row>
    <row r="203" spans="1:10">
      <c r="A203" s="548"/>
      <c r="G203" s="548"/>
      <c r="H203" s="548"/>
      <c r="I203" s="548"/>
    </row>
    <row r="204" spans="1:10" s="512" customFormat="1" ht="13.8">
      <c r="A204" s="518" t="s">
        <v>4048</v>
      </c>
    </row>
    <row r="205" spans="1:10" s="512" customFormat="1" ht="14.25" customHeight="1">
      <c r="A205" s="47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73"/>
      <c r="C205" s="4773"/>
      <c r="D205" s="4773"/>
      <c r="E205" s="4773"/>
      <c r="F205" s="4773"/>
      <c r="G205" s="4773"/>
      <c r="H205" s="4773"/>
      <c r="I205" s="4773"/>
      <c r="J205" s="4773"/>
    </row>
    <row r="206" spans="1:10" s="512" customFormat="1" ht="14.25" customHeight="1">
      <c r="A206" s="4773"/>
      <c r="B206" s="4773"/>
      <c r="C206" s="4773"/>
      <c r="D206" s="4773"/>
      <c r="E206" s="4773"/>
      <c r="F206" s="4773"/>
      <c r="G206" s="4773"/>
      <c r="H206" s="4773"/>
      <c r="I206" s="4773"/>
      <c r="J206" s="4773"/>
    </row>
    <row r="207" spans="1:10" s="512" customFormat="1" ht="6.75" customHeight="1">
      <c r="A207" s="4773"/>
      <c r="B207" s="4773"/>
      <c r="C207" s="4773"/>
      <c r="D207" s="4773"/>
      <c r="E207" s="4773"/>
      <c r="F207" s="4773"/>
      <c r="G207" s="4773"/>
      <c r="H207" s="4773"/>
      <c r="I207" s="4773"/>
      <c r="J207" s="4773"/>
    </row>
    <row r="208" spans="1:10" s="512" customFormat="1" ht="21.75" customHeight="1">
      <c r="A208" s="4773"/>
      <c r="B208" s="4773"/>
      <c r="C208" s="4773"/>
      <c r="D208" s="4773"/>
      <c r="E208" s="4773"/>
      <c r="F208" s="4773"/>
      <c r="G208" s="4773"/>
      <c r="H208" s="4773"/>
      <c r="I208" s="4773"/>
      <c r="J208" s="4773"/>
    </row>
    <row r="209" spans="1:10" s="512" customFormat="1" ht="20.25" customHeight="1">
      <c r="A209" s="4773"/>
      <c r="B209" s="4773"/>
      <c r="C209" s="4773"/>
      <c r="D209" s="4773"/>
      <c r="E209" s="4773"/>
      <c r="F209" s="4773"/>
      <c r="G209" s="4773"/>
      <c r="H209" s="4773"/>
      <c r="I209" s="4773"/>
      <c r="J209" s="4773"/>
    </row>
    <row r="210" spans="1:10" s="512" customFormat="1" ht="54.75" customHeight="1">
      <c r="A210" s="4773"/>
      <c r="B210" s="4773"/>
      <c r="C210" s="4773"/>
      <c r="D210" s="4773"/>
      <c r="E210" s="4773"/>
      <c r="F210" s="4773"/>
      <c r="G210" s="4773"/>
      <c r="H210" s="4773"/>
      <c r="I210" s="4773"/>
      <c r="J210" s="4773"/>
    </row>
    <row r="211" spans="1:10" s="512" customFormat="1" ht="0.75" hidden="1" customHeight="1">
      <c r="A211" s="4773"/>
      <c r="B211" s="4773"/>
      <c r="C211" s="4773"/>
      <c r="D211" s="4773"/>
      <c r="E211" s="4773"/>
      <c r="F211" s="4773"/>
      <c r="G211" s="4773"/>
      <c r="H211" s="4773"/>
      <c r="I211" s="4773"/>
      <c r="J211" s="4773"/>
    </row>
    <row r="212" spans="1:10" s="512" customFormat="1" ht="3.75" hidden="1" customHeight="1">
      <c r="A212" s="4773"/>
      <c r="B212" s="4773"/>
      <c r="C212" s="4773"/>
      <c r="D212" s="4773"/>
      <c r="E212" s="4773"/>
      <c r="F212" s="4773"/>
      <c r="G212" s="4773"/>
      <c r="H212" s="4773"/>
      <c r="I212" s="4773"/>
      <c r="J212" s="4773"/>
    </row>
    <row r="213" spans="1:10" s="512" customFormat="1" ht="5.25" customHeight="1">
      <c r="A213" s="1184"/>
      <c r="B213" s="1184"/>
      <c r="C213" s="1184"/>
      <c r="D213" s="1184"/>
      <c r="E213" s="1184"/>
      <c r="F213" s="1184"/>
      <c r="G213" s="1184"/>
      <c r="H213" s="1184"/>
      <c r="I213" s="1184"/>
      <c r="J213" s="1184"/>
    </row>
    <row r="214" spans="1:10" s="512" customFormat="1" ht="19.5" customHeight="1">
      <c r="A214" s="4772" t="s">
        <v>4051</v>
      </c>
      <c r="B214" s="4772"/>
      <c r="C214" s="4772"/>
      <c r="D214" s="1182"/>
      <c r="E214" s="1182"/>
      <c r="F214" s="1182"/>
      <c r="G214" s="1182"/>
      <c r="H214" s="1182"/>
      <c r="I214" s="1182"/>
      <c r="J214" s="1182"/>
    </row>
    <row r="215" spans="1:10" s="512" customFormat="1" ht="22.5" customHeight="1">
      <c r="A215" s="4769" t="str">
        <f>'Subsidy Layering Memo'!A37</f>
        <v>1)</v>
      </c>
      <c r="B215" s="4769"/>
      <c r="C215" s="4769"/>
      <c r="D215" s="4769"/>
      <c r="E215" s="4769"/>
      <c r="F215" s="4769"/>
      <c r="G215" s="4769"/>
      <c r="H215" s="4769"/>
      <c r="I215" s="4769"/>
      <c r="J215" s="4769"/>
    </row>
    <row r="216" spans="1:10" s="512" customFormat="1" ht="22.5" customHeight="1">
      <c r="A216" s="4769" t="str">
        <f>'Subsidy Layering Memo'!A38</f>
        <v>2)</v>
      </c>
      <c r="B216" s="4769"/>
      <c r="C216" s="4769"/>
      <c r="D216" s="4769"/>
      <c r="E216" s="4769"/>
      <c r="F216" s="4769"/>
      <c r="G216" s="4769"/>
      <c r="H216" s="4769"/>
      <c r="I216" s="4769"/>
      <c r="J216" s="4769"/>
    </row>
    <row r="217" spans="1:10" s="512" customFormat="1" ht="22.5" customHeight="1">
      <c r="A217" s="4769" t="str">
        <f>'Subsidy Layering Memo'!A39</f>
        <v>3)</v>
      </c>
      <c r="B217" s="4769"/>
      <c r="C217" s="4769"/>
      <c r="D217" s="4769"/>
      <c r="E217" s="4769"/>
      <c r="F217" s="4769"/>
      <c r="G217" s="4769"/>
      <c r="H217" s="4769"/>
      <c r="I217" s="4769"/>
      <c r="J217" s="4769"/>
    </row>
    <row r="218" spans="1:10" s="512" customFormat="1" ht="22.5" customHeight="1">
      <c r="A218" s="4769" t="str">
        <f>'Subsidy Layering Memo'!A40</f>
        <v>4)</v>
      </c>
      <c r="B218" s="4769"/>
      <c r="C218" s="4769"/>
      <c r="D218" s="4769"/>
      <c r="E218" s="4769"/>
      <c r="F218" s="4769"/>
      <c r="G218" s="4769"/>
      <c r="H218" s="4769"/>
      <c r="I218" s="4769"/>
      <c r="J218" s="4769"/>
    </row>
    <row r="219" spans="1:10" s="512" customFormat="1" ht="22.5" customHeight="1">
      <c r="A219" s="4769" t="str">
        <f>'Subsidy Layering Memo'!A41</f>
        <v>5)</v>
      </c>
      <c r="B219" s="4769"/>
      <c r="C219" s="4769"/>
      <c r="D219" s="4769"/>
      <c r="E219" s="4769"/>
      <c r="F219" s="4769"/>
      <c r="G219" s="4769"/>
      <c r="H219" s="4769"/>
      <c r="I219" s="4769"/>
      <c r="J219" s="4769"/>
    </row>
    <row r="220" spans="1:10" s="512" customFormat="1" ht="22.5" customHeight="1">
      <c r="A220" s="4769" t="str">
        <f>'Subsidy Layering Memo'!A42</f>
        <v>6)</v>
      </c>
      <c r="B220" s="4769"/>
      <c r="C220" s="4769"/>
      <c r="D220" s="4769"/>
      <c r="E220" s="4769"/>
      <c r="F220" s="4769"/>
      <c r="G220" s="4769"/>
      <c r="H220" s="4769"/>
      <c r="I220" s="4769"/>
      <c r="J220" s="4769"/>
    </row>
    <row r="221" spans="1:10" s="512" customFormat="1" ht="22.5" customHeight="1">
      <c r="A221" s="4769" t="str">
        <f>'Subsidy Layering Memo'!A43</f>
        <v>7)</v>
      </c>
      <c r="B221" s="4769"/>
      <c r="C221" s="4769"/>
      <c r="D221" s="4769"/>
      <c r="E221" s="4769"/>
      <c r="F221" s="4769"/>
      <c r="G221" s="4769"/>
      <c r="H221" s="4769"/>
      <c r="I221" s="4769"/>
      <c r="J221" s="4769"/>
    </row>
    <row r="222" spans="1:10" s="512" customFormat="1" ht="22.5" customHeight="1">
      <c r="A222" s="4769" t="str">
        <f>'Subsidy Layering Memo'!A44</f>
        <v>8)</v>
      </c>
      <c r="B222" s="4769"/>
      <c r="C222" s="4769"/>
      <c r="D222" s="4769"/>
      <c r="E222" s="4769"/>
      <c r="F222" s="4769"/>
      <c r="G222" s="4769"/>
      <c r="H222" s="4769"/>
      <c r="I222" s="4769"/>
      <c r="J222" s="4769"/>
    </row>
  </sheetData>
  <sheetProtection algorithmName="SHA-512" hashValue="LXeE6HvVoYchzLm8iFeU0w6Hm5UXPGtJ+IBqG6YIq0R4pyQ1VsHdheDR95iZzRa2qSKCdMzBKJuMRtenkJ8/mQ==" saltValue="st4eVa6bZypCa8Q/kZYGSA=="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33203125" defaultRowHeight="13.8"/>
  <cols>
    <col min="1" max="1" width="5.44140625" style="1255" customWidth="1"/>
    <col min="2" max="2" width="6.33203125" style="1255" customWidth="1"/>
    <col min="3" max="3" width="9.6640625" style="1255" customWidth="1"/>
    <col min="4" max="4" width="10.44140625" style="1255" customWidth="1"/>
    <col min="5" max="5" width="7.6640625" style="1259" customWidth="1"/>
    <col min="6" max="6" width="8" style="1255" customWidth="1"/>
    <col min="7" max="7" width="8.6640625" style="1255" customWidth="1"/>
    <col min="8" max="8" width="10.33203125" style="1255" customWidth="1"/>
    <col min="9" max="9" width="10.6640625" style="1255" customWidth="1"/>
    <col min="10" max="11" width="11.6640625" style="1255" customWidth="1"/>
    <col min="12" max="16384" width="9.33203125" style="1255"/>
  </cols>
  <sheetData>
    <row r="1" spans="1:11" ht="18">
      <c r="A1" s="1302" t="s">
        <v>3833</v>
      </c>
      <c r="B1" s="1302"/>
      <c r="C1" s="1302"/>
      <c r="D1" s="1302"/>
      <c r="E1" s="1302"/>
      <c r="F1" s="1302"/>
      <c r="G1" s="1302"/>
      <c r="H1" s="1302"/>
    </row>
    <row r="2" spans="1:11" ht="18.600000000000001" thickBot="1">
      <c r="A2" s="1302" t="s">
        <v>3834</v>
      </c>
      <c r="B2" s="1302"/>
      <c r="C2" s="1302"/>
      <c r="D2" s="1302"/>
      <c r="E2" s="1302"/>
      <c r="F2" s="1302"/>
      <c r="G2" s="1302"/>
      <c r="H2" s="1302"/>
    </row>
    <row r="3" spans="1:11" ht="15" customHeight="1" thickBot="1">
      <c r="A3" s="1256" t="s">
        <v>3835</v>
      </c>
      <c r="B3" s="1257"/>
      <c r="C3" s="1258"/>
      <c r="D3" s="4199" t="str">
        <f>'Part I-Project Identification'!F26</f>
        <v>Retreat at Madison Place</v>
      </c>
      <c r="E3" s="4200"/>
      <c r="F3" s="4200"/>
      <c r="G3" s="4200"/>
      <c r="H3" s="4200"/>
      <c r="I3" s="4200"/>
      <c r="J3" s="4851" t="s">
        <v>3838</v>
      </c>
      <c r="K3" s="4852"/>
    </row>
    <row r="4" spans="1:11" ht="15" customHeight="1">
      <c r="A4" s="1260" t="s">
        <v>3836</v>
      </c>
      <c r="B4" s="1261"/>
      <c r="C4" s="1262"/>
      <c r="D4" s="4847">
        <f>'Preview Term'!$E$16</f>
        <v>0</v>
      </c>
      <c r="E4" s="4848"/>
      <c r="F4" s="4848"/>
      <c r="G4" s="4848"/>
      <c r="H4" s="4848"/>
      <c r="I4" s="4848"/>
      <c r="J4" s="4205" t="s">
        <v>3877</v>
      </c>
      <c r="K4" s="4206"/>
    </row>
    <row r="5" spans="1:11" ht="15" customHeight="1" thickBot="1">
      <c r="A5" s="1263" t="s">
        <v>3837</v>
      </c>
      <c r="B5" s="1264"/>
      <c r="C5" s="1265"/>
      <c r="D5" s="4849"/>
      <c r="E5" s="4850"/>
      <c r="F5" s="4850"/>
      <c r="G5" s="4850"/>
      <c r="H5" s="4850"/>
      <c r="I5" s="4850"/>
      <c r="J5" s="4207"/>
      <c r="K5" s="4208"/>
    </row>
    <row r="6" spans="1:11" ht="9" customHeight="1" thickBot="1">
      <c r="E6" s="1255"/>
    </row>
    <row r="7" spans="1:11">
      <c r="A7" s="4193" t="s">
        <v>3839</v>
      </c>
      <c r="B7" s="4194"/>
      <c r="C7" s="4194"/>
      <c r="D7" s="4194"/>
      <c r="E7" s="4194"/>
      <c r="F7" s="4194"/>
      <c r="G7" s="4194"/>
      <c r="H7" s="4194"/>
      <c r="I7" s="4194"/>
      <c r="J7" s="4194"/>
      <c r="K7" s="4195"/>
    </row>
    <row r="8" spans="1:11" ht="14.25" customHeight="1">
      <c r="A8" s="1261"/>
      <c r="B8" s="1261"/>
      <c r="C8" s="1293">
        <v>1</v>
      </c>
      <c r="D8" s="1280" t="s">
        <v>3840</v>
      </c>
      <c r="E8" s="1280"/>
      <c r="F8" s="1280"/>
      <c r="G8" s="1280"/>
      <c r="H8" s="1280"/>
      <c r="I8" s="1280"/>
      <c r="J8" s="4828"/>
      <c r="K8" s="4829"/>
    </row>
    <row r="9" spans="1:11" ht="7.2" customHeight="1">
      <c r="A9" s="4189"/>
      <c r="B9" s="4189"/>
      <c r="C9" s="4189"/>
      <c r="D9" s="4190"/>
      <c r="E9" s="4190"/>
      <c r="F9" s="4190"/>
      <c r="G9" s="4190"/>
      <c r="H9" s="4190"/>
      <c r="I9" s="4190"/>
      <c r="J9" s="4190"/>
      <c r="K9" s="1281"/>
    </row>
    <row r="10" spans="1:11">
      <c r="A10" s="4215" t="s">
        <v>3841</v>
      </c>
      <c r="B10" s="4216"/>
      <c r="C10" s="4216"/>
      <c r="D10" s="4216"/>
      <c r="E10" s="4216"/>
      <c r="F10" s="4216"/>
      <c r="G10" s="4216"/>
      <c r="H10" s="4216"/>
      <c r="I10" s="4216"/>
      <c r="J10" s="4216"/>
      <c r="K10" s="4217"/>
    </row>
    <row r="11" spans="1:11" ht="14.25" customHeight="1">
      <c r="A11" s="1261"/>
      <c r="B11" s="1261"/>
      <c r="C11" s="1293">
        <v>2</v>
      </c>
      <c r="D11" s="1280" t="s">
        <v>3842</v>
      </c>
      <c r="E11" s="1282"/>
      <c r="F11" s="1282"/>
      <c r="G11" s="1282"/>
      <c r="H11" s="1282"/>
      <c r="I11" s="1282"/>
      <c r="J11" s="4826"/>
      <c r="K11" s="4827"/>
    </row>
    <row r="12" spans="1:11" ht="7.2" customHeight="1">
      <c r="A12" s="4189"/>
      <c r="B12" s="4189"/>
      <c r="C12" s="4189"/>
      <c r="D12" s="4190"/>
      <c r="E12" s="4190"/>
      <c r="F12" s="4190"/>
      <c r="G12" s="4190"/>
      <c r="H12" s="4190"/>
      <c r="I12" s="4190"/>
      <c r="J12" s="4190"/>
      <c r="K12" s="1283"/>
    </row>
    <row r="13" spans="1:11">
      <c r="A13" s="4215" t="s">
        <v>3843</v>
      </c>
      <c r="B13" s="4216"/>
      <c r="C13" s="4216"/>
      <c r="D13" s="4216"/>
      <c r="E13" s="4216"/>
      <c r="F13" s="4216"/>
      <c r="G13" s="4216"/>
      <c r="H13" s="4216"/>
      <c r="I13" s="4216"/>
      <c r="J13" s="4216"/>
      <c r="K13" s="4217"/>
    </row>
    <row r="14" spans="1:11" ht="14.25" customHeight="1">
      <c r="A14" s="1261"/>
      <c r="B14" s="1261"/>
      <c r="C14" s="1294">
        <v>3</v>
      </c>
      <c r="D14" s="1284" t="s">
        <v>3844</v>
      </c>
      <c r="E14" s="1284"/>
      <c r="F14" s="1284"/>
      <c r="G14" s="1284"/>
      <c r="H14" s="1284"/>
      <c r="I14" s="1284"/>
      <c r="J14" s="4824"/>
      <c r="K14" s="4825"/>
    </row>
    <row r="15" spans="1:11" ht="14.25" customHeight="1">
      <c r="A15" s="1261"/>
      <c r="B15" s="1261"/>
      <c r="C15" s="1295">
        <v>4</v>
      </c>
      <c r="D15" s="1261" t="s">
        <v>3845</v>
      </c>
      <c r="E15" s="1261"/>
      <c r="F15" s="1261"/>
      <c r="G15" s="1261"/>
      <c r="H15" s="1261"/>
      <c r="I15" s="1261"/>
      <c r="J15" s="4822"/>
      <c r="K15" s="4823"/>
    </row>
    <row r="16" spans="1:11" ht="14.25" customHeight="1">
      <c r="A16" s="1261"/>
      <c r="B16" s="1261"/>
      <c r="C16" s="1295">
        <v>5</v>
      </c>
      <c r="D16" s="1261" t="s">
        <v>3846</v>
      </c>
      <c r="E16" s="1261"/>
      <c r="F16" s="1261"/>
      <c r="G16" s="1261"/>
      <c r="H16" s="1261"/>
      <c r="I16" s="1261"/>
      <c r="J16" s="4822"/>
      <c r="K16" s="4823"/>
    </row>
    <row r="17" spans="1:13" ht="14.25" customHeight="1">
      <c r="A17" s="1261"/>
      <c r="B17" s="1261"/>
      <c r="C17" s="1296">
        <v>6</v>
      </c>
      <c r="D17" s="1264" t="s">
        <v>3847</v>
      </c>
      <c r="E17" s="1264"/>
      <c r="F17" s="1264"/>
      <c r="G17" s="1264"/>
      <c r="H17" s="1264"/>
      <c r="I17" s="1264"/>
      <c r="J17" s="4830"/>
      <c r="K17" s="4831"/>
    </row>
    <row r="18" spans="1:13" ht="7.2" customHeight="1">
      <c r="A18" s="4189"/>
      <c r="B18" s="4189"/>
      <c r="C18" s="4189"/>
      <c r="D18" s="4190"/>
      <c r="E18" s="4190"/>
      <c r="F18" s="4190"/>
      <c r="G18" s="4190"/>
      <c r="H18" s="4190"/>
      <c r="I18" s="4190"/>
      <c r="J18" s="4190"/>
      <c r="K18" s="1283"/>
    </row>
    <row r="19" spans="1:13" ht="14.25" customHeight="1">
      <c r="A19" s="1261"/>
      <c r="B19" s="1261"/>
      <c r="C19" s="1294">
        <v>7</v>
      </c>
      <c r="D19" s="1284" t="s">
        <v>3848</v>
      </c>
      <c r="E19" s="1284"/>
      <c r="F19" s="1284"/>
      <c r="G19" s="1284"/>
      <c r="H19" s="1284"/>
      <c r="I19" s="1284"/>
      <c r="J19" s="4211" t="str">
        <f>IF(J17="No",J14-J15,IF(J17="Yes",J14-J15-J16,"Error"))</f>
        <v>Error</v>
      </c>
      <c r="K19" s="4212"/>
    </row>
    <row r="20" spans="1:13" ht="14.25" customHeight="1">
      <c r="A20" s="1261"/>
      <c r="B20" s="1261"/>
      <c r="C20" s="1296">
        <v>8</v>
      </c>
      <c r="D20" s="1264" t="s">
        <v>3849</v>
      </c>
      <c r="E20" s="1264"/>
      <c r="F20" s="1264"/>
      <c r="G20" s="1264"/>
      <c r="H20" s="1264"/>
      <c r="I20" s="1264"/>
      <c r="J20" s="4191" t="e">
        <f>ROUNDDOWN(J19/J8,2)</f>
        <v>#VALUE!</v>
      </c>
      <c r="K20" s="4192"/>
    </row>
    <row r="21" spans="1:13" ht="7.2" customHeight="1">
      <c r="A21" s="4189"/>
      <c r="B21" s="4189"/>
      <c r="C21" s="4189"/>
      <c r="D21" s="4190"/>
      <c r="E21" s="4190"/>
      <c r="F21" s="4190"/>
      <c r="G21" s="4190"/>
      <c r="H21" s="4190"/>
      <c r="I21" s="4190"/>
      <c r="J21" s="4190"/>
      <c r="K21" s="1283"/>
    </row>
    <row r="22" spans="1:13" ht="14.25" customHeight="1" thickBot="1">
      <c r="A22" s="1261"/>
      <c r="B22" s="1261"/>
      <c r="C22" s="1293">
        <v>9</v>
      </c>
      <c r="D22" s="1285" t="s">
        <v>3850</v>
      </c>
      <c r="E22" s="1285"/>
      <c r="F22" s="1285"/>
      <c r="G22" s="1285"/>
      <c r="H22" s="1285"/>
      <c r="I22" s="1285"/>
      <c r="J22" s="4174" t="e">
        <f>J11/J19</f>
        <v>#VALUE!</v>
      </c>
      <c r="K22" s="4175"/>
    </row>
    <row r="23" spans="1:13" ht="9" customHeight="1">
      <c r="A23" s="1270"/>
      <c r="C23" s="1271"/>
      <c r="D23" s="1271"/>
      <c r="E23" s="1271"/>
      <c r="F23" s="1271"/>
      <c r="G23" s="1271"/>
      <c r="H23" s="1271"/>
      <c r="I23" s="1271"/>
      <c r="J23" s="1271"/>
      <c r="K23" s="1272"/>
    </row>
    <row r="24" spans="1:13" ht="18">
      <c r="A24" s="1273" t="s">
        <v>3851</v>
      </c>
      <c r="C24" s="1271"/>
      <c r="D24" s="1271"/>
      <c r="E24" s="1271"/>
      <c r="F24" s="1271"/>
      <c r="G24" s="1271"/>
      <c r="H24" s="1271"/>
      <c r="I24" s="1271"/>
      <c r="J24" s="1271"/>
      <c r="K24" s="1272"/>
    </row>
    <row r="25" spans="1:13" ht="14.25" customHeight="1">
      <c r="A25" s="1325" t="s">
        <v>3882</v>
      </c>
      <c r="C25" s="1271"/>
      <c r="D25" s="1271"/>
      <c r="E25" s="1271"/>
      <c r="F25" s="1271"/>
      <c r="G25" s="1271"/>
      <c r="H25" s="1271"/>
      <c r="I25" s="1271"/>
      <c r="J25" s="1271"/>
      <c r="K25" s="1272"/>
    </row>
    <row r="26" spans="1:13" ht="14.25" customHeight="1">
      <c r="A26" s="1325" t="s">
        <v>3883</v>
      </c>
      <c r="C26" s="1271"/>
      <c r="D26" s="1271"/>
      <c r="E26" s="1271"/>
      <c r="F26" s="1271"/>
      <c r="G26" s="1271"/>
      <c r="H26" s="1271"/>
      <c r="I26" s="1271"/>
      <c r="J26" s="1271"/>
      <c r="K26" s="1272"/>
    </row>
    <row r="27" spans="1:13" ht="14.25" customHeight="1">
      <c r="A27" s="1325" t="s">
        <v>3884</v>
      </c>
      <c r="C27" s="1271"/>
      <c r="D27" s="1271"/>
      <c r="E27" s="1271"/>
      <c r="F27" s="1271"/>
      <c r="G27" s="1271"/>
      <c r="H27" s="1271"/>
      <c r="I27" s="1271"/>
      <c r="J27" s="1271"/>
      <c r="K27" s="1272"/>
    </row>
    <row r="28" spans="1:13" ht="14.25" customHeight="1">
      <c r="A28" s="1325" t="s">
        <v>3885</v>
      </c>
      <c r="C28" s="1271"/>
      <c r="D28" s="1271"/>
      <c r="E28" s="1271"/>
      <c r="F28" s="1271"/>
      <c r="G28" s="1271"/>
      <c r="H28" s="1271"/>
      <c r="I28" s="1271"/>
      <c r="J28" s="1271"/>
      <c r="K28" s="1272"/>
    </row>
    <row r="29" spans="1:13" ht="9" customHeight="1">
      <c r="A29" s="1271"/>
      <c r="C29" s="1271"/>
      <c r="D29" s="1271"/>
      <c r="E29" s="1271"/>
      <c r="F29" s="1271"/>
      <c r="G29" s="1271"/>
      <c r="H29" s="1271"/>
      <c r="I29" s="1271"/>
      <c r="J29" s="1271"/>
      <c r="K29" s="1272"/>
    </row>
    <row r="30" spans="1:13">
      <c r="A30" s="4176" t="s">
        <v>3881</v>
      </c>
      <c r="B30" s="4177"/>
      <c r="C30" s="4177"/>
      <c r="D30" s="4177"/>
      <c r="E30" s="4177"/>
      <c r="F30" s="4177"/>
      <c r="G30" s="4177"/>
      <c r="H30" s="4177"/>
      <c r="I30" s="4177"/>
      <c r="J30" s="4177"/>
      <c r="K30" s="4178"/>
    </row>
    <row r="31" spans="1:13">
      <c r="B31" s="4836" t="s">
        <v>3838</v>
      </c>
      <c r="C31" s="4836"/>
      <c r="D31" s="4836"/>
      <c r="E31" s="4836"/>
      <c r="F31" s="4836"/>
      <c r="G31" s="4180" t="s">
        <v>3852</v>
      </c>
      <c r="H31" s="4181"/>
      <c r="I31" s="4181"/>
      <c r="J31" s="4181"/>
      <c r="K31" s="4182"/>
    </row>
    <row r="32" spans="1:13" ht="56.25" customHeight="1">
      <c r="A32" s="1279"/>
      <c r="B32" s="1297" t="s">
        <v>3880</v>
      </c>
      <c r="C32" s="1298" t="s">
        <v>3876</v>
      </c>
      <c r="D32" s="1298" t="s">
        <v>3875</v>
      </c>
      <c r="E32" s="4183" t="s">
        <v>3994</v>
      </c>
      <c r="F32" s="4184"/>
      <c r="G32" s="1299" t="s">
        <v>3853</v>
      </c>
      <c r="H32" s="1299" t="s">
        <v>3854</v>
      </c>
      <c r="J32" s="1299" t="s">
        <v>3855</v>
      </c>
      <c r="K32" s="1299" t="s">
        <v>3856</v>
      </c>
      <c r="L32" s="4169" t="s">
        <v>3857</v>
      </c>
      <c r="M32" s="4169"/>
    </row>
    <row r="33" spans="2:14" ht="12.75" customHeight="1">
      <c r="B33" s="1400"/>
      <c r="C33" s="1401"/>
      <c r="D33" s="1402"/>
      <c r="E33" s="4845"/>
      <c r="F33" s="4846"/>
      <c r="G33" s="1315" t="e">
        <f t="shared" ref="G33:G51" si="0">$J$22*B33</f>
        <v>#VALUE!</v>
      </c>
      <c r="H33" s="1316" t="e">
        <f>ROUNDUP(G33,0)</f>
        <v>#VALUE!</v>
      </c>
      <c r="I33" s="1317"/>
      <c r="J33" s="1318" t="e">
        <f t="shared" ref="J33:J51" si="1">$J$20*E33</f>
        <v>#VALUE!</v>
      </c>
      <c r="K33" s="1318" t="e">
        <f t="shared" ref="K33:K51" si="2">ROUNDDOWN(J33*H33,0)</f>
        <v>#VALUE!</v>
      </c>
      <c r="L33" s="4169"/>
      <c r="M33" s="4169"/>
    </row>
    <row r="34" spans="2:14" ht="12.75" customHeight="1">
      <c r="B34" s="1403"/>
      <c r="C34" s="1404"/>
      <c r="D34" s="1405"/>
      <c r="E34" s="4834"/>
      <c r="F34" s="4835"/>
      <c r="G34" s="1319" t="e">
        <f t="shared" si="0"/>
        <v>#VALUE!</v>
      </c>
      <c r="H34" s="1320" t="e">
        <f t="shared" ref="H34:H51" si="3">ROUNDUP(G34,0)</f>
        <v>#VALUE!</v>
      </c>
      <c r="I34" s="1317"/>
      <c r="J34" s="1321" t="e">
        <f t="shared" si="1"/>
        <v>#VALUE!</v>
      </c>
      <c r="K34" s="1321" t="e">
        <f t="shared" si="2"/>
        <v>#VALUE!</v>
      </c>
      <c r="L34" s="4169"/>
      <c r="M34" s="4169"/>
    </row>
    <row r="35" spans="2:14" ht="12.75" customHeight="1">
      <c r="B35" s="1403"/>
      <c r="C35" s="1404"/>
      <c r="D35" s="1405"/>
      <c r="E35" s="4834"/>
      <c r="F35" s="4835"/>
      <c r="G35" s="1319" t="e">
        <f t="shared" si="0"/>
        <v>#VALUE!</v>
      </c>
      <c r="H35" s="1320" t="e">
        <f t="shared" si="3"/>
        <v>#VALUE!</v>
      </c>
      <c r="I35" s="1317"/>
      <c r="J35" s="1321" t="e">
        <f t="shared" si="1"/>
        <v>#VALUE!</v>
      </c>
      <c r="K35" s="1321" t="e">
        <f t="shared" si="2"/>
        <v>#VALUE!</v>
      </c>
      <c r="L35" s="4169"/>
      <c r="M35" s="4169"/>
    </row>
    <row r="36" spans="2:14" ht="12.75" customHeight="1">
      <c r="B36" s="1403"/>
      <c r="C36" s="1404"/>
      <c r="D36" s="1405"/>
      <c r="E36" s="4834"/>
      <c r="F36" s="4835"/>
      <c r="G36" s="1319" t="e">
        <f t="shared" si="0"/>
        <v>#VALUE!</v>
      </c>
      <c r="H36" s="1320" t="e">
        <f t="shared" si="3"/>
        <v>#VALUE!</v>
      </c>
      <c r="I36" s="1317"/>
      <c r="J36" s="1321" t="e">
        <f t="shared" si="1"/>
        <v>#VALUE!</v>
      </c>
      <c r="K36" s="1321" t="e">
        <f t="shared" si="2"/>
        <v>#VALUE!</v>
      </c>
      <c r="L36" s="4169"/>
      <c r="M36" s="4169"/>
      <c r="N36" s="1274"/>
    </row>
    <row r="37" spans="2:14" ht="12.75" customHeight="1">
      <c r="B37" s="1403"/>
      <c r="C37" s="1404"/>
      <c r="D37" s="1405"/>
      <c r="E37" s="4834"/>
      <c r="F37" s="4835"/>
      <c r="G37" s="1319" t="e">
        <f t="shared" si="0"/>
        <v>#VALUE!</v>
      </c>
      <c r="H37" s="1320" t="e">
        <f t="shared" si="3"/>
        <v>#VALUE!</v>
      </c>
      <c r="I37" s="1317"/>
      <c r="J37" s="1321" t="e">
        <f t="shared" si="1"/>
        <v>#VALUE!</v>
      </c>
      <c r="K37" s="1321" t="e">
        <f t="shared" si="2"/>
        <v>#VALUE!</v>
      </c>
      <c r="L37" s="4169"/>
      <c r="M37" s="4169"/>
    </row>
    <row r="38" spans="2:14" ht="12.75" customHeight="1">
      <c r="B38" s="1403"/>
      <c r="C38" s="1404"/>
      <c r="D38" s="1405"/>
      <c r="E38" s="4834"/>
      <c r="F38" s="4835"/>
      <c r="G38" s="1319" t="e">
        <f t="shared" si="0"/>
        <v>#VALUE!</v>
      </c>
      <c r="H38" s="1320" t="e">
        <f t="shared" si="3"/>
        <v>#VALUE!</v>
      </c>
      <c r="I38" s="1317"/>
      <c r="J38" s="1321" t="e">
        <f t="shared" si="1"/>
        <v>#VALUE!</v>
      </c>
      <c r="K38" s="1321" t="e">
        <f t="shared" si="2"/>
        <v>#VALUE!</v>
      </c>
      <c r="L38" s="4169"/>
      <c r="M38" s="4169"/>
    </row>
    <row r="39" spans="2:14" ht="12.75" customHeight="1">
      <c r="B39" s="1403"/>
      <c r="C39" s="1404"/>
      <c r="D39" s="1405"/>
      <c r="E39" s="4834"/>
      <c r="F39" s="4835"/>
      <c r="G39" s="1319" t="e">
        <f t="shared" si="0"/>
        <v>#VALUE!</v>
      </c>
      <c r="H39" s="1320" t="e">
        <f t="shared" si="3"/>
        <v>#VALUE!</v>
      </c>
      <c r="I39" s="1317"/>
      <c r="J39" s="1321" t="e">
        <f t="shared" si="1"/>
        <v>#VALUE!</v>
      </c>
      <c r="K39" s="1321" t="e">
        <f t="shared" si="2"/>
        <v>#VALUE!</v>
      </c>
      <c r="L39" s="4169"/>
      <c r="M39" s="4169"/>
    </row>
    <row r="40" spans="2:14" ht="12.75" customHeight="1">
      <c r="B40" s="1403"/>
      <c r="C40" s="1404"/>
      <c r="D40" s="1405"/>
      <c r="E40" s="4834"/>
      <c r="F40" s="4835"/>
      <c r="G40" s="1319" t="e">
        <f t="shared" si="0"/>
        <v>#VALUE!</v>
      </c>
      <c r="H40" s="1320" t="e">
        <f t="shared" si="3"/>
        <v>#VALUE!</v>
      </c>
      <c r="I40" s="1317"/>
      <c r="J40" s="1321" t="e">
        <f t="shared" si="1"/>
        <v>#VALUE!</v>
      </c>
      <c r="K40" s="1321" t="e">
        <f t="shared" si="2"/>
        <v>#VALUE!</v>
      </c>
      <c r="L40" s="4169"/>
      <c r="M40" s="4169"/>
    </row>
    <row r="41" spans="2:14" ht="12.75" customHeight="1">
      <c r="B41" s="1403"/>
      <c r="C41" s="1404"/>
      <c r="D41" s="1405"/>
      <c r="E41" s="4834"/>
      <c r="F41" s="4835"/>
      <c r="G41" s="1319" t="e">
        <f t="shared" si="0"/>
        <v>#VALUE!</v>
      </c>
      <c r="H41" s="1320" t="e">
        <f t="shared" si="3"/>
        <v>#VALUE!</v>
      </c>
      <c r="I41" s="1317"/>
      <c r="J41" s="1321" t="e">
        <f t="shared" si="1"/>
        <v>#VALUE!</v>
      </c>
      <c r="K41" s="1321" t="e">
        <f t="shared" si="2"/>
        <v>#VALUE!</v>
      </c>
      <c r="L41" s="4169"/>
      <c r="M41" s="4169"/>
    </row>
    <row r="42" spans="2:14" ht="12.75" customHeight="1">
      <c r="B42" s="1403"/>
      <c r="C42" s="1404"/>
      <c r="D42" s="1405"/>
      <c r="E42" s="4834"/>
      <c r="F42" s="4835"/>
      <c r="G42" s="1319" t="e">
        <f t="shared" si="0"/>
        <v>#VALUE!</v>
      </c>
      <c r="H42" s="1320" t="e">
        <f>ROUNDUP(G42,0)</f>
        <v>#VALUE!</v>
      </c>
      <c r="I42" s="1317"/>
      <c r="J42" s="1321" t="e">
        <f t="shared" si="1"/>
        <v>#VALUE!</v>
      </c>
      <c r="K42" s="1321" t="e">
        <f t="shared" si="2"/>
        <v>#VALUE!</v>
      </c>
      <c r="L42" s="4169"/>
      <c r="M42" s="4169"/>
    </row>
    <row r="43" spans="2:14" ht="12.75" customHeight="1">
      <c r="B43" s="1403"/>
      <c r="C43" s="1404"/>
      <c r="D43" s="1405"/>
      <c r="E43" s="4834"/>
      <c r="F43" s="4835"/>
      <c r="G43" s="1319" t="e">
        <f t="shared" si="0"/>
        <v>#VALUE!</v>
      </c>
      <c r="H43" s="1320" t="e">
        <f>ROUNDUP(G43,0)</f>
        <v>#VALUE!</v>
      </c>
      <c r="I43" s="1317"/>
      <c r="J43" s="1321" t="e">
        <f t="shared" si="1"/>
        <v>#VALUE!</v>
      </c>
      <c r="K43" s="1321" t="e">
        <f t="shared" si="2"/>
        <v>#VALUE!</v>
      </c>
      <c r="L43" s="4169"/>
      <c r="M43" s="4169"/>
    </row>
    <row r="44" spans="2:14" ht="12.75" customHeight="1">
      <c r="B44" s="1403"/>
      <c r="C44" s="1404"/>
      <c r="D44" s="1405"/>
      <c r="E44" s="4834"/>
      <c r="F44" s="4835"/>
      <c r="G44" s="1319" t="e">
        <f t="shared" si="0"/>
        <v>#VALUE!</v>
      </c>
      <c r="H44" s="1320" t="e">
        <f>ROUNDUP(G44,0)</f>
        <v>#VALUE!</v>
      </c>
      <c r="I44" s="1317"/>
      <c r="J44" s="1321" t="e">
        <f t="shared" si="1"/>
        <v>#VALUE!</v>
      </c>
      <c r="K44" s="1321" t="e">
        <f t="shared" si="2"/>
        <v>#VALUE!</v>
      </c>
      <c r="L44" s="4169"/>
      <c r="M44" s="4169"/>
    </row>
    <row r="45" spans="2:14" ht="12.75" customHeight="1">
      <c r="B45" s="1403"/>
      <c r="C45" s="1404"/>
      <c r="D45" s="1405"/>
      <c r="E45" s="4834"/>
      <c r="F45" s="4835"/>
      <c r="G45" s="1319" t="e">
        <f t="shared" si="0"/>
        <v>#VALUE!</v>
      </c>
      <c r="H45" s="1320" t="e">
        <f>ROUNDUP(G45,0)</f>
        <v>#VALUE!</v>
      </c>
      <c r="I45" s="1317"/>
      <c r="J45" s="1321" t="e">
        <f t="shared" si="1"/>
        <v>#VALUE!</v>
      </c>
      <c r="K45" s="1321" t="e">
        <f t="shared" si="2"/>
        <v>#VALUE!</v>
      </c>
      <c r="L45" s="4169"/>
      <c r="M45" s="4169"/>
    </row>
    <row r="46" spans="2:14" ht="12.75" customHeight="1">
      <c r="B46" s="1403"/>
      <c r="C46" s="1404"/>
      <c r="D46" s="1405"/>
      <c r="E46" s="4834"/>
      <c r="F46" s="4835"/>
      <c r="G46" s="1319" t="e">
        <f t="shared" si="0"/>
        <v>#VALUE!</v>
      </c>
      <c r="H46" s="1320" t="e">
        <f t="shared" si="3"/>
        <v>#VALUE!</v>
      </c>
      <c r="I46" s="1317"/>
      <c r="J46" s="1321" t="e">
        <f t="shared" si="1"/>
        <v>#VALUE!</v>
      </c>
      <c r="K46" s="1321" t="e">
        <f t="shared" si="2"/>
        <v>#VALUE!</v>
      </c>
      <c r="L46" s="4169"/>
      <c r="M46" s="4169"/>
    </row>
    <row r="47" spans="2:14" ht="12.75" customHeight="1">
      <c r="B47" s="1403"/>
      <c r="C47" s="1404"/>
      <c r="D47" s="1405"/>
      <c r="E47" s="4834"/>
      <c r="F47" s="4835"/>
      <c r="G47" s="1319" t="e">
        <f t="shared" si="0"/>
        <v>#VALUE!</v>
      </c>
      <c r="H47" s="1320" t="e">
        <f t="shared" si="3"/>
        <v>#VALUE!</v>
      </c>
      <c r="I47" s="1317"/>
      <c r="J47" s="1321" t="e">
        <f t="shared" si="1"/>
        <v>#VALUE!</v>
      </c>
      <c r="K47" s="1321" t="e">
        <f t="shared" si="2"/>
        <v>#VALUE!</v>
      </c>
      <c r="L47" s="4169"/>
      <c r="M47" s="4169"/>
    </row>
    <row r="48" spans="2:14" ht="12.75" customHeight="1">
      <c r="B48" s="1403"/>
      <c r="C48" s="1404"/>
      <c r="D48" s="1405"/>
      <c r="E48" s="4834"/>
      <c r="F48" s="4835"/>
      <c r="G48" s="1319" t="e">
        <f t="shared" si="0"/>
        <v>#VALUE!</v>
      </c>
      <c r="H48" s="1320" t="e">
        <f>ROUNDUP(G48,0)</f>
        <v>#VALUE!</v>
      </c>
      <c r="I48" s="1317"/>
      <c r="J48" s="1321" t="e">
        <f t="shared" si="1"/>
        <v>#VALUE!</v>
      </c>
      <c r="K48" s="1321" t="e">
        <f t="shared" si="2"/>
        <v>#VALUE!</v>
      </c>
      <c r="L48" s="4169"/>
      <c r="M48" s="4169"/>
    </row>
    <row r="49" spans="1:13" ht="12.75" customHeight="1">
      <c r="B49" s="1403"/>
      <c r="C49" s="1404"/>
      <c r="D49" s="1405"/>
      <c r="E49" s="4834"/>
      <c r="F49" s="4835"/>
      <c r="G49" s="1319" t="e">
        <f t="shared" si="0"/>
        <v>#VALUE!</v>
      </c>
      <c r="H49" s="1320" t="e">
        <f t="shared" si="3"/>
        <v>#VALUE!</v>
      </c>
      <c r="I49" s="1317"/>
      <c r="J49" s="1321" t="e">
        <f t="shared" si="1"/>
        <v>#VALUE!</v>
      </c>
      <c r="K49" s="1321" t="e">
        <f t="shared" si="2"/>
        <v>#VALUE!</v>
      </c>
      <c r="L49" s="4169"/>
      <c r="M49" s="4169"/>
    </row>
    <row r="50" spans="1:13" ht="12.75" customHeight="1">
      <c r="B50" s="1403"/>
      <c r="C50" s="1404"/>
      <c r="D50" s="1405"/>
      <c r="E50" s="4834"/>
      <c r="F50" s="4835"/>
      <c r="G50" s="1319" t="e">
        <f t="shared" si="0"/>
        <v>#VALUE!</v>
      </c>
      <c r="H50" s="1320" t="e">
        <f t="shared" si="3"/>
        <v>#VALUE!</v>
      </c>
      <c r="I50" s="1317"/>
      <c r="J50" s="1321" t="e">
        <f t="shared" si="1"/>
        <v>#VALUE!</v>
      </c>
      <c r="K50" s="1321" t="e">
        <f t="shared" si="2"/>
        <v>#VALUE!</v>
      </c>
      <c r="L50" s="4169"/>
      <c r="M50" s="4169"/>
    </row>
    <row r="51" spans="1:13" ht="12.75" customHeight="1" thickBot="1">
      <c r="B51" s="1406"/>
      <c r="C51" s="1407"/>
      <c r="D51" s="1408"/>
      <c r="E51" s="4832"/>
      <c r="F51" s="4833"/>
      <c r="G51" s="1322" t="e">
        <f t="shared" si="0"/>
        <v>#VALUE!</v>
      </c>
      <c r="H51" s="1323" t="e">
        <f t="shared" si="3"/>
        <v>#VALUE!</v>
      </c>
      <c r="I51" s="1317"/>
      <c r="J51" s="1324" t="e">
        <f t="shared" si="1"/>
        <v>#VALUE!</v>
      </c>
      <c r="K51" s="1324" t="e">
        <f t="shared" si="2"/>
        <v>#VALUE!</v>
      </c>
      <c r="L51" s="4169"/>
      <c r="M51" s="4169"/>
    </row>
    <row r="52" spans="1:13" ht="15" customHeight="1" thickBot="1">
      <c r="B52" s="1290"/>
      <c r="D52" s="1284"/>
      <c r="E52" s="1284"/>
      <c r="F52" s="1284"/>
      <c r="G52" s="1301" t="s">
        <v>3858</v>
      </c>
      <c r="H52" s="1300" t="e">
        <f>SUM(H33:H51)</f>
        <v>#VALUE!</v>
      </c>
      <c r="I52" s="1284"/>
      <c r="J52" s="1290" t="s">
        <v>3859</v>
      </c>
      <c r="K52" s="1286" t="e">
        <f>SUM(K33:K51)</f>
        <v>#VALUE!</v>
      </c>
      <c r="L52" s="4169"/>
      <c r="M52" s="4169"/>
    </row>
    <row r="53" spans="1:13" ht="15" customHeight="1">
      <c r="B53" s="1291"/>
      <c r="C53" s="4172" t="s">
        <v>3860</v>
      </c>
      <c r="D53" s="4172"/>
      <c r="E53" s="4172"/>
      <c r="F53" s="4172"/>
      <c r="G53" s="4172"/>
      <c r="H53" s="4172"/>
      <c r="I53" s="4172"/>
      <c r="J53" s="4173"/>
      <c r="K53" s="1292" t="str">
        <f>IF(J17="no",0,IF(J17="yes",J16,"Error"))</f>
        <v>Error</v>
      </c>
      <c r="L53" s="4169"/>
      <c r="M53" s="4169"/>
    </row>
    <row r="54" spans="1:13" ht="15" customHeight="1" thickBot="1">
      <c r="B54" s="1291"/>
      <c r="C54" s="4153" t="s">
        <v>3861</v>
      </c>
      <c r="D54" s="4153"/>
      <c r="E54" s="4153"/>
      <c r="F54" s="4153"/>
      <c r="G54" s="4153"/>
      <c r="H54" s="4153"/>
      <c r="I54" s="4153"/>
      <c r="J54" s="4154"/>
      <c r="K54" s="1303" t="e">
        <f>K52+K53</f>
        <v>#VALUE!</v>
      </c>
    </row>
    <row r="55" spans="1:13" ht="7.95" customHeight="1">
      <c r="A55" s="4155"/>
      <c r="B55" s="4149"/>
      <c r="C55" s="4149"/>
      <c r="D55" s="4149"/>
      <c r="E55" s="4149"/>
      <c r="F55" s="4149"/>
      <c r="G55" s="4149"/>
      <c r="H55" s="4149"/>
      <c r="I55" s="4149"/>
      <c r="J55" s="4149"/>
      <c r="K55" s="1314"/>
    </row>
    <row r="56" spans="1:13" ht="15" customHeight="1">
      <c r="A56" s="4150" t="s">
        <v>3862</v>
      </c>
      <c r="B56" s="4151"/>
      <c r="C56" s="4151"/>
      <c r="D56" s="4151"/>
      <c r="E56" s="4151"/>
      <c r="F56" s="4151"/>
      <c r="G56" s="4151"/>
      <c r="H56" s="4151"/>
      <c r="I56" s="4151"/>
      <c r="J56" s="4151"/>
      <c r="K56" s="4152"/>
    </row>
    <row r="57" spans="1:13" ht="48" customHeight="1">
      <c r="A57" s="1276"/>
      <c r="B57" s="1267"/>
      <c r="C57" s="1278" t="s">
        <v>3863</v>
      </c>
      <c r="D57" s="1389" t="s">
        <v>3961</v>
      </c>
      <c r="E57" s="4156" t="s">
        <v>3879</v>
      </c>
      <c r="F57" s="4157"/>
      <c r="G57" s="4841" t="s">
        <v>3864</v>
      </c>
      <c r="H57" s="4842"/>
      <c r="I57" s="4156" t="s">
        <v>3878</v>
      </c>
      <c r="J57" s="4157"/>
      <c r="K57" s="4160"/>
    </row>
    <row r="58" spans="1:13" ht="15" customHeight="1">
      <c r="A58" s="1379"/>
      <c r="B58" s="1309"/>
      <c r="C58" s="1287">
        <f>SUMIF(C33:C51, "0", H33:H51)</f>
        <v>0</v>
      </c>
      <c r="D58" s="1390">
        <f t="shared" ref="D58:D63" si="4">ROUNDUP(C58*1.1,0)</f>
        <v>0</v>
      </c>
      <c r="E58" s="4162" t="s">
        <v>3865</v>
      </c>
      <c r="F58" s="4163"/>
      <c r="G58" s="4843">
        <f>'DCA Underwriting Assumptions'!H156</f>
        <v>181488</v>
      </c>
      <c r="H58" s="4844"/>
      <c r="I58" s="4164">
        <f t="shared" ref="I58:I63" si="5">D58*G58</f>
        <v>0</v>
      </c>
      <c r="J58" s="4164"/>
      <c r="K58" s="4161"/>
    </row>
    <row r="59" spans="1:13">
      <c r="A59" s="1379"/>
      <c r="B59" s="1309"/>
      <c r="C59" s="1288">
        <f>SUMIF(C33:C51, "1", H33:H51)</f>
        <v>0</v>
      </c>
      <c r="D59" s="1391">
        <f t="shared" si="4"/>
        <v>0</v>
      </c>
      <c r="E59" s="4141" t="s">
        <v>2454</v>
      </c>
      <c r="F59" s="4142"/>
      <c r="G59" s="4839">
        <f>'DCA Underwriting Assumptions'!H157</f>
        <v>208048.8</v>
      </c>
      <c r="H59" s="4840"/>
      <c r="I59" s="4145">
        <f t="shared" si="5"/>
        <v>0</v>
      </c>
      <c r="J59" s="4145"/>
      <c r="K59" s="4161"/>
    </row>
    <row r="60" spans="1:13" ht="15" customHeight="1">
      <c r="A60" s="1379"/>
      <c r="B60" s="1309"/>
      <c r="C60" s="1288">
        <f>SUMIF(C33:C51, "2", H33:H51)</f>
        <v>0</v>
      </c>
      <c r="D60" s="1391">
        <f t="shared" si="4"/>
        <v>0</v>
      </c>
      <c r="E60" s="4141" t="s">
        <v>2455</v>
      </c>
      <c r="F60" s="4142"/>
      <c r="G60" s="4839">
        <f>'DCA Underwriting Assumptions'!H158</f>
        <v>252993.59999999998</v>
      </c>
      <c r="H60" s="4840"/>
      <c r="I60" s="4145">
        <f t="shared" si="5"/>
        <v>0</v>
      </c>
      <c r="J60" s="4145"/>
      <c r="K60" s="4161"/>
    </row>
    <row r="61" spans="1:13">
      <c r="A61" s="1379"/>
      <c r="B61" s="1309"/>
      <c r="C61" s="1288">
        <f>SUMIF(C33:C51, "3", H33:H51)</f>
        <v>0</v>
      </c>
      <c r="D61" s="1391">
        <f t="shared" si="4"/>
        <v>0</v>
      </c>
      <c r="E61" s="4141" t="s">
        <v>2458</v>
      </c>
      <c r="F61" s="4142"/>
      <c r="G61" s="4839">
        <f>'DCA Underwriting Assumptions'!H159</f>
        <v>327292.79999999999</v>
      </c>
      <c r="H61" s="4840"/>
      <c r="I61" s="4145">
        <f t="shared" si="5"/>
        <v>0</v>
      </c>
      <c r="J61" s="4145"/>
      <c r="K61" s="4161"/>
    </row>
    <row r="62" spans="1:13">
      <c r="A62" s="1379"/>
      <c r="B62" s="1309"/>
      <c r="C62" s="1288">
        <f>SUMIF(C33:C51, "4", H33:H51)</f>
        <v>0</v>
      </c>
      <c r="D62" s="1391">
        <f t="shared" si="4"/>
        <v>0</v>
      </c>
      <c r="E62" s="4141" t="s">
        <v>3866</v>
      </c>
      <c r="F62" s="4142"/>
      <c r="G62" s="4839">
        <f>'DCA Underwriting Assumptions'!H160</f>
        <v>359263.2</v>
      </c>
      <c r="H62" s="4840"/>
      <c r="I62" s="4145">
        <f t="shared" si="5"/>
        <v>0</v>
      </c>
      <c r="J62" s="4145"/>
      <c r="K62" s="4161"/>
    </row>
    <row r="63" spans="1:13">
      <c r="A63" s="1388"/>
      <c r="B63" s="1310"/>
      <c r="C63" s="1289">
        <f>SUMIF(C33:C51, "5", H33:H51)</f>
        <v>0</v>
      </c>
      <c r="D63" s="1392">
        <f t="shared" si="4"/>
        <v>0</v>
      </c>
      <c r="E63" s="4146" t="s">
        <v>3867</v>
      </c>
      <c r="F63" s="4147"/>
      <c r="G63" s="4837">
        <f>'DCA Underwriting Assumptions'!H160</f>
        <v>359263.2</v>
      </c>
      <c r="H63" s="4838"/>
      <c r="I63" s="4148">
        <f t="shared" si="5"/>
        <v>0</v>
      </c>
      <c r="J63" s="4148"/>
      <c r="K63" s="1312"/>
    </row>
    <row r="64" spans="1:13" ht="14.4" thickBot="1">
      <c r="A64" s="1387" t="s">
        <v>3868</v>
      </c>
      <c r="B64" s="1305">
        <f>SUM(C58:C63)</f>
        <v>0</v>
      </c>
      <c r="C64" s="1393"/>
      <c r="D64" s="1393">
        <f>SUM(D58:D63)</f>
        <v>0</v>
      </c>
      <c r="E64" s="1386"/>
      <c r="F64" s="1386"/>
      <c r="G64" s="1386"/>
      <c r="H64" s="1386"/>
      <c r="I64" s="1386"/>
      <c r="J64" s="1380" t="s">
        <v>3869</v>
      </c>
      <c r="K64" s="1304">
        <f>SUM(I58:I62)</f>
        <v>0</v>
      </c>
    </row>
    <row r="65" spans="1:11">
      <c r="A65" s="4149"/>
      <c r="B65" s="4149"/>
      <c r="C65" s="4149"/>
      <c r="D65" s="4149"/>
      <c r="E65" s="4149"/>
      <c r="F65" s="4149"/>
      <c r="G65" s="4149"/>
      <c r="H65" s="4149"/>
      <c r="I65" s="4149"/>
      <c r="J65" s="4149"/>
    </row>
    <row r="66" spans="1:11">
      <c r="A66" s="4150" t="s">
        <v>3870</v>
      </c>
      <c r="B66" s="4151"/>
      <c r="C66" s="4151"/>
      <c r="D66" s="4151"/>
      <c r="E66" s="4151"/>
      <c r="F66" s="4151"/>
      <c r="G66" s="4151"/>
      <c r="H66" s="4151"/>
      <c r="I66" s="4151"/>
      <c r="J66" s="4151"/>
      <c r="K66" s="4152"/>
    </row>
    <row r="67" spans="1:11" ht="15" customHeight="1">
      <c r="A67" s="1306"/>
      <c r="B67" s="1266"/>
      <c r="C67" s="1266"/>
      <c r="D67" s="1266"/>
      <c r="E67" s="1266" t="s">
        <v>3871</v>
      </c>
      <c r="F67" s="1266"/>
      <c r="G67" s="1266"/>
      <c r="H67" s="1266"/>
      <c r="I67" s="1266"/>
      <c r="J67" s="1267"/>
      <c r="K67" s="1275">
        <f>J11</f>
        <v>0</v>
      </c>
    </row>
    <row r="68" spans="1:11">
      <c r="A68" s="1307"/>
      <c r="E68" s="1255" t="s">
        <v>3872</v>
      </c>
      <c r="J68" s="1309"/>
      <c r="K68" s="1275" t="e">
        <f>K54</f>
        <v>#VALUE!</v>
      </c>
    </row>
    <row r="69" spans="1:11" ht="14.4" thickBot="1">
      <c r="A69" s="1308"/>
      <c r="B69" s="1268"/>
      <c r="C69" s="1268"/>
      <c r="D69" s="1268"/>
      <c r="E69" s="1268" t="s">
        <v>3873</v>
      </c>
      <c r="F69" s="1268"/>
      <c r="G69" s="1268"/>
      <c r="H69" s="1268"/>
      <c r="I69" s="1268"/>
      <c r="J69" s="1310"/>
      <c r="K69" s="1313">
        <f>K64</f>
        <v>0</v>
      </c>
    </row>
    <row r="70" spans="1:11" ht="14.4" thickBot="1">
      <c r="A70" s="1277"/>
      <c r="B70" s="1269"/>
      <c r="C70" s="4140" t="s">
        <v>3874</v>
      </c>
      <c r="D70" s="4140"/>
      <c r="E70" s="4140"/>
      <c r="F70" s="4140"/>
      <c r="G70" s="4140"/>
      <c r="H70" s="4140"/>
      <c r="I70" s="4140"/>
      <c r="J70" s="4140"/>
      <c r="K70" s="1311" t="e">
        <f>IF(ISBLANK(J11),MIN(K68:K69),MIN(K67:K69))</f>
        <v>#VALUE!</v>
      </c>
    </row>
    <row r="71" spans="1:11">
      <c r="E71" s="1255"/>
    </row>
    <row r="72" spans="1:11">
      <c r="E72" s="1255"/>
    </row>
    <row r="73" spans="1:11">
      <c r="E73" s="1255"/>
    </row>
    <row r="74" spans="1:11">
      <c r="E74" s="1255"/>
    </row>
    <row r="75" spans="1:11">
      <c r="E75" s="1255"/>
    </row>
    <row r="76" spans="1:11">
      <c r="E76" s="1255"/>
    </row>
    <row r="77" spans="1:11">
      <c r="E77" s="1255"/>
    </row>
    <row r="78" spans="1:11">
      <c r="E78" s="1255"/>
    </row>
    <row r="79" spans="1:11">
      <c r="E79" s="1255"/>
    </row>
  </sheetData>
  <sheetProtection algorithmName="SHA-512" hashValue="COlj357BISm5Y7qtNc9hUDWzT7Y9jpGTPh+7W8u6S7JsRnsWD8E2uRyMeU4OBDgPXQNINl9P8aAryLC3TWwcow==" saltValue="9Z+JHiccVwIlSjsXeadZ5Q=="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8" t="s">
        <v>2871</v>
      </c>
      <c r="H1" s="601" t="str">
        <f>'Sensitivity Analysis'!C8</f>
        <v>Retreat at Madison Place</v>
      </c>
    </row>
    <row r="2" spans="1:11">
      <c r="A2" s="548" t="s">
        <v>2872</v>
      </c>
      <c r="H2" s="431" t="str">
        <f>'Sensitivity Analysis'!E8</f>
        <v>2025-0</v>
      </c>
    </row>
    <row r="3" spans="1:11" ht="3" customHeight="1"/>
    <row r="4" spans="1:11" ht="51.75" customHeight="1">
      <c r="A4" s="4853" t="s">
        <v>2910</v>
      </c>
      <c r="B4" s="4853"/>
      <c r="C4" s="4853"/>
      <c r="D4" s="4853"/>
      <c r="E4" s="4853"/>
      <c r="F4" s="4853"/>
      <c r="G4" s="4853"/>
      <c r="H4" s="4853"/>
      <c r="J4" s="986">
        <f>SUM('Part VI-Pro Forma'!B15:B17)/12</f>
        <v>207603.00719999999</v>
      </c>
      <c r="K4" s="985" t="s">
        <v>3541</v>
      </c>
    </row>
    <row r="5" spans="1:11" ht="1.5" customHeight="1"/>
    <row r="6" spans="1:11" ht="12.75" customHeight="1">
      <c r="B6" s="621" t="s">
        <v>2233</v>
      </c>
      <c r="C6" s="4853" t="s">
        <v>2873</v>
      </c>
      <c r="D6" s="4853"/>
      <c r="E6" s="4853"/>
      <c r="F6" s="4853"/>
      <c r="G6" s="4853"/>
      <c r="H6" s="4853"/>
    </row>
    <row r="7" spans="1:11" ht="12.75" customHeight="1">
      <c r="B7" s="621" t="s">
        <v>2234</v>
      </c>
      <c r="C7" s="4853" t="s">
        <v>2874</v>
      </c>
      <c r="D7" s="4853"/>
      <c r="E7" s="4853"/>
      <c r="F7" s="4853"/>
      <c r="G7" s="4853"/>
      <c r="H7" s="4853"/>
    </row>
    <row r="8" spans="1:11" ht="3" customHeight="1"/>
    <row r="9" spans="1:11">
      <c r="A9" s="431" t="s">
        <v>2875</v>
      </c>
    </row>
    <row r="10" spans="1:11" ht="1.5" customHeight="1"/>
    <row r="11" spans="1:11" ht="26.25" customHeight="1">
      <c r="A11" s="622" t="s">
        <v>1835</v>
      </c>
      <c r="B11" s="4857" t="s">
        <v>2907</v>
      </c>
      <c r="C11" s="4857"/>
      <c r="D11" s="4857"/>
      <c r="E11" s="4857"/>
      <c r="F11" s="4857"/>
      <c r="G11" s="4858">
        <f>'Part II-Sources of Funds'!I53+'Part II-Sources of Funds'!I54</f>
        <v>19416628</v>
      </c>
      <c r="H11" s="4858"/>
    </row>
    <row r="12" spans="1:11" ht="1.5" customHeight="1">
      <c r="G12" s="603"/>
      <c r="H12" s="603"/>
    </row>
    <row r="13" spans="1:11" ht="26.25" customHeight="1">
      <c r="A13" s="622" t="s">
        <v>1837</v>
      </c>
      <c r="B13" s="4857" t="s">
        <v>2908</v>
      </c>
      <c r="C13" s="4857"/>
      <c r="D13" s="4857"/>
      <c r="E13" s="4857"/>
      <c r="F13" s="4857"/>
      <c r="G13" s="4859" t="s">
        <v>2803</v>
      </c>
      <c r="H13" s="4859"/>
    </row>
    <row r="14" spans="1:11" ht="12" hidden="1" customHeight="1">
      <c r="A14" s="622"/>
      <c r="B14" s="4814"/>
      <c r="C14" s="4814"/>
      <c r="D14" s="4814"/>
      <c r="E14" s="4814"/>
      <c r="F14" s="4814"/>
      <c r="G14" s="4814"/>
      <c r="H14" s="4814"/>
    </row>
    <row r="15" spans="1:11" ht="1.5" customHeight="1"/>
    <row r="16" spans="1:11" ht="12" customHeight="1">
      <c r="A16" s="622" t="s">
        <v>697</v>
      </c>
      <c r="B16" s="431" t="s">
        <v>2911</v>
      </c>
      <c r="G16" s="4860" t="s">
        <v>2643</v>
      </c>
      <c r="H16" s="4860"/>
    </row>
    <row r="17" spans="1:8" ht="1.5" customHeight="1">
      <c r="G17" s="606"/>
    </row>
    <row r="18" spans="1:8" ht="12" customHeight="1">
      <c r="A18" s="622" t="s">
        <v>1956</v>
      </c>
      <c r="B18" s="603" t="s">
        <v>2909</v>
      </c>
      <c r="C18" s="622"/>
      <c r="D18" s="622"/>
      <c r="E18" s="622"/>
      <c r="G18" s="4814" t="s">
        <v>2506</v>
      </c>
      <c r="H18" s="4814"/>
    </row>
    <row r="19" spans="1:8" ht="12" hidden="1" customHeight="1">
      <c r="B19" s="4814"/>
      <c r="C19" s="4814"/>
      <c r="D19" s="4814"/>
      <c r="E19" s="4814"/>
      <c r="F19" s="4814"/>
      <c r="G19" s="4814"/>
      <c r="H19" s="4814"/>
    </row>
    <row r="20" spans="1:8" ht="13.5" customHeight="1"/>
    <row r="21" spans="1:8" ht="12" customHeight="1">
      <c r="A21" s="548" t="s">
        <v>2876</v>
      </c>
    </row>
    <row r="22" spans="1:8" ht="3" customHeight="1"/>
    <row r="23" spans="1:8" ht="24.75" customHeight="1">
      <c r="A23" s="4861" t="s">
        <v>3946</v>
      </c>
      <c r="B23" s="4861"/>
      <c r="C23" s="4861"/>
      <c r="D23" s="4861"/>
      <c r="E23" s="4861"/>
      <c r="F23" s="4861"/>
      <c r="G23" s="4861"/>
      <c r="H23" s="4861"/>
    </row>
    <row r="24" spans="1:8" ht="9" customHeight="1" thickBot="1">
      <c r="A24" s="598"/>
    </row>
    <row r="25" spans="1:8" ht="16.2" customHeight="1" thickBot="1">
      <c r="A25" s="4854">
        <v>20</v>
      </c>
      <c r="B25" s="4855"/>
      <c r="C25" s="1378" t="s">
        <v>974</v>
      </c>
    </row>
    <row r="26" spans="1:8" ht="9" customHeight="1">
      <c r="A26" s="598"/>
    </row>
    <row r="27" spans="1:8" ht="28.2" customHeight="1">
      <c r="A27" s="4853" t="s">
        <v>3951</v>
      </c>
      <c r="B27" s="4853"/>
      <c r="C27" s="4853"/>
      <c r="D27" s="4853"/>
      <c r="E27" s="4853"/>
      <c r="F27" s="4853"/>
      <c r="G27" s="4853"/>
      <c r="H27" s="4853"/>
    </row>
    <row r="28" spans="1:8" ht="9" customHeight="1">
      <c r="A28" s="598"/>
    </row>
    <row r="29" spans="1:8">
      <c r="A29" s="606" t="s">
        <v>2912</v>
      </c>
      <c r="B29" s="623" t="str">
        <f>IF('Part V-Revenues &amp; Expenses'!$K$71=0,"",'Part V-Revenues &amp; Expenses'!$K$71)</f>
        <v/>
      </c>
      <c r="C29" s="606" t="s">
        <v>3944</v>
      </c>
      <c r="D29" s="624" t="s">
        <v>3945</v>
      </c>
    </row>
    <row r="30" spans="1:8" ht="1.95" customHeight="1"/>
    <row r="31" spans="1:8" ht="12.75" customHeight="1">
      <c r="C31" s="603" t="s">
        <v>2877</v>
      </c>
      <c r="D31" s="625" t="s">
        <v>1838</v>
      </c>
      <c r="E31" s="626"/>
      <c r="F31" s="4853" t="s">
        <v>2878</v>
      </c>
      <c r="G31" s="4853"/>
      <c r="H31" s="4853"/>
    </row>
    <row r="32" spans="1:8" ht="12.75" customHeight="1">
      <c r="C32" s="627" t="s">
        <v>1273</v>
      </c>
      <c r="D32" s="625" t="s">
        <v>1840</v>
      </c>
      <c r="E32" s="4853" t="s">
        <v>2917</v>
      </c>
      <c r="F32" s="4853"/>
      <c r="G32" s="4853"/>
      <c r="H32" s="4853"/>
    </row>
    <row r="33" spans="1:11" ht="12.75" customHeight="1">
      <c r="C33" s="1376" t="s">
        <v>3949</v>
      </c>
      <c r="E33" s="4853" t="s">
        <v>3035</v>
      </c>
      <c r="F33" s="4853"/>
      <c r="G33" s="4853"/>
      <c r="H33" s="4853"/>
    </row>
    <row r="34" spans="1:11" ht="12.75" customHeight="1">
      <c r="C34" s="1377"/>
      <c r="D34" s="1375" t="s">
        <v>2916</v>
      </c>
      <c r="E34" s="4856" t="s">
        <v>3036</v>
      </c>
      <c r="F34" s="4856"/>
      <c r="G34" s="4856"/>
      <c r="H34" s="4856"/>
    </row>
    <row r="35" spans="1:11" ht="3" customHeight="1">
      <c r="D35" s="625"/>
      <c r="E35" s="999"/>
      <c r="F35" s="999"/>
      <c r="G35" s="999"/>
      <c r="H35" s="999"/>
    </row>
    <row r="36" spans="1:11" ht="12.75" customHeight="1">
      <c r="C36" s="603" t="s">
        <v>2877</v>
      </c>
      <c r="D36" s="625" t="s">
        <v>1838</v>
      </c>
      <c r="E36" s="626"/>
      <c r="F36" s="622" t="s">
        <v>2878</v>
      </c>
      <c r="G36" s="622"/>
      <c r="H36" s="622"/>
    </row>
    <row r="37" spans="1:11" ht="12.75" customHeight="1">
      <c r="C37" s="627" t="s">
        <v>1273</v>
      </c>
      <c r="D37" s="625" t="s">
        <v>1840</v>
      </c>
      <c r="E37" s="4853" t="s">
        <v>2917</v>
      </c>
      <c r="F37" s="4853"/>
      <c r="G37" s="4853"/>
      <c r="H37" s="4853"/>
    </row>
    <row r="38" spans="1:11" ht="12.75" customHeight="1">
      <c r="C38" s="1376" t="s">
        <v>3949</v>
      </c>
      <c r="E38" s="4853" t="s">
        <v>3035</v>
      </c>
      <c r="F38" s="4853"/>
      <c r="G38" s="4853"/>
      <c r="H38" s="4853"/>
    </row>
    <row r="39" spans="1:11" ht="12.75" customHeight="1">
      <c r="C39" s="1377"/>
      <c r="D39" s="1375" t="s">
        <v>2916</v>
      </c>
      <c r="E39" s="4856" t="s">
        <v>3036</v>
      </c>
      <c r="F39" s="4856"/>
      <c r="G39" s="4856"/>
      <c r="H39" s="4856"/>
    </row>
    <row r="40" spans="1:11" ht="3" customHeight="1">
      <c r="D40" s="625"/>
      <c r="E40" s="999"/>
      <c r="F40" s="999"/>
      <c r="G40" s="999"/>
      <c r="H40" s="999"/>
    </row>
    <row r="41" spans="1:11" ht="12.75" customHeight="1">
      <c r="C41" s="603" t="s">
        <v>2877</v>
      </c>
      <c r="D41" s="625" t="s">
        <v>1838</v>
      </c>
      <c r="E41" s="626"/>
      <c r="F41" s="622" t="s">
        <v>2878</v>
      </c>
      <c r="G41" s="622"/>
      <c r="H41" s="622"/>
    </row>
    <row r="42" spans="1:11" ht="12.75" customHeight="1">
      <c r="C42" s="627" t="s">
        <v>1273</v>
      </c>
      <c r="D42" s="625" t="s">
        <v>1840</v>
      </c>
      <c r="E42" s="4853" t="s">
        <v>2917</v>
      </c>
      <c r="F42" s="4853"/>
      <c r="G42" s="4853"/>
      <c r="H42" s="4853"/>
    </row>
    <row r="43" spans="1:11" ht="12.75" customHeight="1">
      <c r="C43" s="1376" t="s">
        <v>3949</v>
      </c>
      <c r="E43" s="4853" t="s">
        <v>3035</v>
      </c>
      <c r="F43" s="4853"/>
      <c r="G43" s="4853"/>
      <c r="H43" s="4853"/>
    </row>
    <row r="44" spans="1:11" ht="12.75" customHeight="1">
      <c r="C44" s="1377"/>
      <c r="D44" s="1375" t="s">
        <v>2916</v>
      </c>
      <c r="E44" s="4856" t="s">
        <v>3036</v>
      </c>
      <c r="F44" s="4856"/>
      <c r="G44" s="4856"/>
      <c r="H44" s="4856"/>
    </row>
    <row r="45" spans="1:11" ht="6" customHeight="1">
      <c r="D45" s="625"/>
      <c r="E45" s="999"/>
      <c r="F45" s="999"/>
      <c r="G45" s="999"/>
      <c r="H45" s="999"/>
    </row>
    <row r="46" spans="1:11">
      <c r="A46" s="606" t="s">
        <v>2912</v>
      </c>
      <c r="B46" s="623" t="str">
        <f>IF('Part V-Revenues &amp; Expenses'!$L$71=0,"",'Part V-Revenues &amp; Expenses'!$L$71)</f>
        <v/>
      </c>
      <c r="C46" s="606" t="s">
        <v>2913</v>
      </c>
      <c r="D46" s="624" t="s">
        <v>3037</v>
      </c>
    </row>
    <row r="47" spans="1:11" ht="1.95" customHeight="1">
      <c r="K47" s="597"/>
    </row>
    <row r="48" spans="1:11" ht="12.75" customHeight="1">
      <c r="C48" s="603" t="s">
        <v>2877</v>
      </c>
      <c r="D48" s="625" t="s">
        <v>1838</v>
      </c>
      <c r="E48" s="626"/>
      <c r="F48" s="622" t="s">
        <v>2878</v>
      </c>
      <c r="G48" s="622"/>
      <c r="H48" s="622"/>
      <c r="K48" s="597"/>
    </row>
    <row r="49" spans="1:11" ht="12.75" customHeight="1">
      <c r="C49" s="627" t="s">
        <v>1273</v>
      </c>
      <c r="D49" s="625" t="s">
        <v>1840</v>
      </c>
      <c r="E49" s="4853" t="s">
        <v>2917</v>
      </c>
      <c r="F49" s="4853"/>
      <c r="G49" s="4853"/>
      <c r="H49" s="4853"/>
      <c r="K49" s="597"/>
    </row>
    <row r="50" spans="1:11" ht="12.75" customHeight="1">
      <c r="C50" s="1376" t="s">
        <v>3949</v>
      </c>
      <c r="E50" s="4853" t="s">
        <v>3035</v>
      </c>
      <c r="F50" s="4853"/>
      <c r="G50" s="4853"/>
      <c r="H50" s="4853"/>
    </row>
    <row r="51" spans="1:11" ht="12.75" customHeight="1">
      <c r="C51" s="1377"/>
      <c r="D51" s="628" t="s">
        <v>2916</v>
      </c>
      <c r="E51" s="4853" t="s">
        <v>3036</v>
      </c>
      <c r="F51" s="4853"/>
      <c r="G51" s="4853"/>
      <c r="H51" s="4853"/>
    </row>
    <row r="52" spans="1:11" ht="3" customHeight="1">
      <c r="D52" s="625"/>
      <c r="E52" s="999"/>
      <c r="F52" s="999"/>
      <c r="G52" s="999"/>
      <c r="H52" s="999"/>
    </row>
    <row r="53" spans="1:11" ht="12.75" customHeight="1">
      <c r="C53" s="603" t="s">
        <v>2877</v>
      </c>
      <c r="D53" s="625" t="s">
        <v>1838</v>
      </c>
      <c r="E53" s="626"/>
      <c r="F53" s="622" t="s">
        <v>2878</v>
      </c>
      <c r="G53" s="622"/>
      <c r="H53" s="622"/>
    </row>
    <row r="54" spans="1:11" ht="12.75" customHeight="1">
      <c r="C54" s="627" t="s">
        <v>1273</v>
      </c>
      <c r="D54" s="625" t="s">
        <v>1840</v>
      </c>
      <c r="E54" s="4853" t="s">
        <v>2917</v>
      </c>
      <c r="F54" s="4853"/>
      <c r="G54" s="4853"/>
      <c r="H54" s="4853"/>
    </row>
    <row r="55" spans="1:11" ht="12.75" customHeight="1">
      <c r="C55" s="1376" t="s">
        <v>3949</v>
      </c>
      <c r="E55" s="4853" t="s">
        <v>3035</v>
      </c>
      <c r="F55" s="4853"/>
      <c r="G55" s="4853"/>
      <c r="H55" s="4853"/>
    </row>
    <row r="56" spans="1:11" ht="12.75" customHeight="1">
      <c r="C56" s="1377"/>
      <c r="D56" s="1375" t="s">
        <v>2916</v>
      </c>
      <c r="E56" s="4856" t="s">
        <v>3036</v>
      </c>
      <c r="F56" s="4856"/>
      <c r="G56" s="4856"/>
      <c r="H56" s="4856"/>
    </row>
    <row r="57" spans="1:11" ht="3" customHeight="1">
      <c r="D57" s="625"/>
      <c r="E57" s="999"/>
      <c r="F57" s="999"/>
      <c r="G57" s="999"/>
      <c r="H57" s="999"/>
    </row>
    <row r="58" spans="1:11" ht="12.75" customHeight="1">
      <c r="C58" s="603" t="s">
        <v>2877</v>
      </c>
      <c r="D58" s="625" t="s">
        <v>1838</v>
      </c>
      <c r="E58" s="626"/>
      <c r="F58" s="622" t="s">
        <v>2878</v>
      </c>
      <c r="G58" s="622"/>
      <c r="H58" s="622"/>
    </row>
    <row r="59" spans="1:11" ht="12.75" customHeight="1">
      <c r="C59" s="627" t="s">
        <v>1273</v>
      </c>
      <c r="D59" s="625" t="s">
        <v>1840</v>
      </c>
      <c r="E59" s="4853" t="s">
        <v>2917</v>
      </c>
      <c r="F59" s="4853"/>
      <c r="G59" s="4853"/>
      <c r="H59" s="4853"/>
    </row>
    <row r="60" spans="1:11" ht="12.75" customHeight="1">
      <c r="C60" s="1376" t="s">
        <v>3949</v>
      </c>
      <c r="E60" s="4853" t="s">
        <v>3035</v>
      </c>
      <c r="F60" s="4853"/>
      <c r="G60" s="4853"/>
      <c r="H60" s="4853"/>
    </row>
    <row r="61" spans="1:11" ht="12.75" customHeight="1">
      <c r="C61" s="1377"/>
      <c r="D61" s="1375" t="s">
        <v>2916</v>
      </c>
      <c r="E61" s="4856" t="s">
        <v>3036</v>
      </c>
      <c r="F61" s="4856"/>
      <c r="G61" s="4856"/>
      <c r="H61" s="4856"/>
    </row>
    <row r="62" spans="1:11" ht="6" customHeight="1">
      <c r="D62" s="625"/>
      <c r="E62" s="999"/>
      <c r="F62" s="999"/>
      <c r="G62" s="999"/>
      <c r="H62" s="999"/>
    </row>
    <row r="63" spans="1:11">
      <c r="A63" s="606" t="s">
        <v>2912</v>
      </c>
      <c r="B63" s="623" t="str">
        <f>IF('Part V-Revenues &amp; Expenses'!$M$71=0,"",'Part V-Revenues &amp; Expenses'!$M$71)</f>
        <v/>
      </c>
      <c r="C63" s="606" t="s">
        <v>2914</v>
      </c>
      <c r="D63" s="624" t="s">
        <v>3038</v>
      </c>
    </row>
    <row r="64" spans="1:11" ht="1.95" customHeight="1"/>
    <row r="65" spans="1:8" ht="12.75" customHeight="1">
      <c r="C65" s="603" t="s">
        <v>2877</v>
      </c>
      <c r="D65" s="625" t="s">
        <v>1838</v>
      </c>
      <c r="E65" s="626"/>
      <c r="F65" s="622" t="s">
        <v>2878</v>
      </c>
      <c r="G65" s="622"/>
      <c r="H65" s="622"/>
    </row>
    <row r="66" spans="1:8" ht="12.75" customHeight="1">
      <c r="C66" s="627" t="s">
        <v>1273</v>
      </c>
      <c r="D66" s="625" t="s">
        <v>1840</v>
      </c>
      <c r="E66" s="4853" t="s">
        <v>2917</v>
      </c>
      <c r="F66" s="4853"/>
      <c r="G66" s="4853"/>
      <c r="H66" s="4853"/>
    </row>
    <row r="67" spans="1:8" ht="12.75" customHeight="1">
      <c r="C67" s="1376" t="s">
        <v>3949</v>
      </c>
      <c r="E67" s="4853" t="s">
        <v>3035</v>
      </c>
      <c r="F67" s="4853"/>
      <c r="G67" s="4853"/>
      <c r="H67" s="4853"/>
    </row>
    <row r="68" spans="1:8" ht="12.75" customHeight="1">
      <c r="C68" s="1377"/>
      <c r="D68" s="628" t="s">
        <v>2916</v>
      </c>
      <c r="E68" s="4853" t="s">
        <v>3036</v>
      </c>
      <c r="F68" s="4853"/>
      <c r="G68" s="4853"/>
      <c r="H68" s="4853"/>
    </row>
    <row r="69" spans="1:8" ht="3" customHeight="1">
      <c r="D69" s="625"/>
      <c r="E69" s="999"/>
      <c r="F69" s="999"/>
      <c r="G69" s="999"/>
      <c r="H69" s="999"/>
    </row>
    <row r="70" spans="1:8" ht="12.75" customHeight="1">
      <c r="C70" s="603" t="s">
        <v>2877</v>
      </c>
      <c r="D70" s="625" t="s">
        <v>1838</v>
      </c>
      <c r="E70" s="626"/>
      <c r="F70" s="622" t="s">
        <v>2878</v>
      </c>
      <c r="G70" s="622"/>
      <c r="H70" s="622"/>
    </row>
    <row r="71" spans="1:8" ht="12.75" customHeight="1">
      <c r="C71" s="627" t="s">
        <v>1273</v>
      </c>
      <c r="D71" s="625" t="s">
        <v>1840</v>
      </c>
      <c r="E71" s="4853" t="s">
        <v>2917</v>
      </c>
      <c r="F71" s="4853"/>
      <c r="G71" s="4853"/>
      <c r="H71" s="4853"/>
    </row>
    <row r="72" spans="1:8" ht="12.75" customHeight="1">
      <c r="C72" s="1376" t="s">
        <v>3949</v>
      </c>
      <c r="E72" s="4853" t="s">
        <v>3035</v>
      </c>
      <c r="F72" s="4853"/>
      <c r="G72" s="4853"/>
      <c r="H72" s="4853"/>
    </row>
    <row r="73" spans="1:8" ht="12.75" customHeight="1">
      <c r="C73" s="1377"/>
      <c r="D73" s="1375" t="s">
        <v>2916</v>
      </c>
      <c r="E73" s="4856" t="s">
        <v>3036</v>
      </c>
      <c r="F73" s="4856"/>
      <c r="G73" s="4856"/>
      <c r="H73" s="4856"/>
    </row>
    <row r="74" spans="1:8" ht="3" customHeight="1">
      <c r="D74" s="625"/>
      <c r="E74" s="999"/>
      <c r="F74" s="999"/>
      <c r="G74" s="999"/>
      <c r="H74" s="999"/>
    </row>
    <row r="75" spans="1:8" ht="12.75" customHeight="1">
      <c r="C75" s="603" t="s">
        <v>2877</v>
      </c>
      <c r="D75" s="625" t="s">
        <v>1838</v>
      </c>
      <c r="E75" s="626"/>
      <c r="F75" s="622" t="s">
        <v>2878</v>
      </c>
      <c r="G75" s="622"/>
      <c r="H75" s="622"/>
    </row>
    <row r="76" spans="1:8" ht="12.75" customHeight="1">
      <c r="C76" s="627" t="s">
        <v>1273</v>
      </c>
      <c r="D76" s="625" t="s">
        <v>1840</v>
      </c>
      <c r="E76" s="4853" t="s">
        <v>2917</v>
      </c>
      <c r="F76" s="4853"/>
      <c r="G76" s="4853"/>
      <c r="H76" s="4853"/>
    </row>
    <row r="77" spans="1:8" ht="12.75" customHeight="1">
      <c r="C77" s="1376" t="s">
        <v>3949</v>
      </c>
      <c r="E77" s="4853" t="s">
        <v>3035</v>
      </c>
      <c r="F77" s="4853"/>
      <c r="G77" s="4853"/>
      <c r="H77" s="4853"/>
    </row>
    <row r="78" spans="1:8" ht="12.75" customHeight="1">
      <c r="C78" s="1377"/>
      <c r="D78" s="1375" t="s">
        <v>2916</v>
      </c>
      <c r="E78" s="4856" t="s">
        <v>3036</v>
      </c>
      <c r="F78" s="4856"/>
      <c r="G78" s="4856"/>
      <c r="H78" s="4856"/>
    </row>
    <row r="79" spans="1:8" ht="6" customHeight="1">
      <c r="D79" s="625"/>
      <c r="E79" s="999"/>
      <c r="F79" s="999"/>
      <c r="G79" s="999"/>
      <c r="H79" s="999"/>
    </row>
    <row r="80" spans="1:8">
      <c r="A80" s="606" t="s">
        <v>2912</v>
      </c>
      <c r="B80" s="623" t="str">
        <f>IF('Part V-Revenues &amp; Expenses'!$N$71=0,"",'Part V-Revenues &amp; Expenses'!$N$71)</f>
        <v/>
      </c>
      <c r="C80" s="606" t="s">
        <v>2915</v>
      </c>
      <c r="D80" s="624" t="s">
        <v>3039</v>
      </c>
    </row>
    <row r="81" spans="3:8" ht="1.95" customHeight="1"/>
    <row r="82" spans="3:8" ht="12.75" customHeight="1">
      <c r="C82" s="603" t="s">
        <v>2877</v>
      </c>
      <c r="D82" s="625" t="s">
        <v>1838</v>
      </c>
      <c r="E82" s="626"/>
      <c r="F82" s="622" t="s">
        <v>2878</v>
      </c>
      <c r="G82" s="622"/>
      <c r="H82" s="622"/>
    </row>
    <row r="83" spans="3:8" ht="12.75" customHeight="1">
      <c r="C83" s="627" t="s">
        <v>1273</v>
      </c>
      <c r="D83" s="625" t="s">
        <v>1840</v>
      </c>
      <c r="E83" s="4853" t="s">
        <v>2917</v>
      </c>
      <c r="F83" s="4853"/>
      <c r="G83" s="4853"/>
      <c r="H83" s="4853"/>
    </row>
    <row r="84" spans="3:8" ht="12.75" customHeight="1">
      <c r="C84" s="1376" t="s">
        <v>3949</v>
      </c>
      <c r="E84" s="4853" t="s">
        <v>3035</v>
      </c>
      <c r="F84" s="4853"/>
      <c r="G84" s="4853"/>
      <c r="H84" s="4853"/>
    </row>
    <row r="85" spans="3:8" ht="12.75" customHeight="1">
      <c r="C85" s="1377"/>
      <c r="D85" s="628" t="s">
        <v>2916</v>
      </c>
      <c r="E85" s="4853" t="s">
        <v>3036</v>
      </c>
      <c r="F85" s="4853"/>
      <c r="G85" s="4853"/>
      <c r="H85" s="4853"/>
    </row>
    <row r="86" spans="3:8" ht="3" customHeight="1">
      <c r="D86" s="625"/>
      <c r="E86" s="999"/>
      <c r="F86" s="999"/>
      <c r="G86" s="999"/>
      <c r="H86" s="999"/>
    </row>
    <row r="87" spans="3:8" ht="12.75" customHeight="1">
      <c r="C87" s="603" t="s">
        <v>2877</v>
      </c>
      <c r="D87" s="625" t="s">
        <v>1838</v>
      </c>
      <c r="E87" s="626"/>
      <c r="F87" s="622" t="s">
        <v>2878</v>
      </c>
      <c r="G87" s="622"/>
      <c r="H87" s="622"/>
    </row>
    <row r="88" spans="3:8" ht="12.75" customHeight="1">
      <c r="C88" s="627" t="s">
        <v>1273</v>
      </c>
      <c r="D88" s="625" t="s">
        <v>1840</v>
      </c>
      <c r="E88" s="4853" t="s">
        <v>2917</v>
      </c>
      <c r="F88" s="4853"/>
      <c r="G88" s="4853"/>
      <c r="H88" s="4853"/>
    </row>
    <row r="89" spans="3:8" ht="12.75" customHeight="1">
      <c r="C89" s="1376" t="s">
        <v>3949</v>
      </c>
      <c r="E89" s="4853" t="s">
        <v>3035</v>
      </c>
      <c r="F89" s="4853"/>
      <c r="G89" s="4853"/>
      <c r="H89" s="4853"/>
    </row>
    <row r="90" spans="3:8" ht="12.75" customHeight="1">
      <c r="C90" s="1377"/>
      <c r="D90" s="1375" t="s">
        <v>2916</v>
      </c>
      <c r="E90" s="4856" t="s">
        <v>3036</v>
      </c>
      <c r="F90" s="4856"/>
      <c r="G90" s="4856"/>
      <c r="H90" s="4856"/>
    </row>
    <row r="91" spans="3:8" ht="3" customHeight="1">
      <c r="D91" s="625"/>
      <c r="E91" s="999"/>
      <c r="F91" s="999"/>
      <c r="G91" s="999"/>
      <c r="H91" s="999"/>
    </row>
    <row r="92" spans="3:8" ht="12.75" customHeight="1">
      <c r="C92" s="603" t="s">
        <v>2877</v>
      </c>
      <c r="D92" s="625" t="s">
        <v>1838</v>
      </c>
      <c r="E92" s="626"/>
      <c r="F92" s="622" t="s">
        <v>2878</v>
      </c>
      <c r="G92" s="622"/>
      <c r="H92" s="622"/>
    </row>
    <row r="93" spans="3:8" ht="12.75" customHeight="1">
      <c r="C93" s="627" t="s">
        <v>1273</v>
      </c>
      <c r="D93" s="625" t="s">
        <v>1840</v>
      </c>
      <c r="E93" s="4853" t="s">
        <v>2917</v>
      </c>
      <c r="F93" s="4853"/>
      <c r="G93" s="4853"/>
      <c r="H93" s="4853"/>
    </row>
    <row r="94" spans="3:8" ht="12.75" customHeight="1">
      <c r="C94" s="1376" t="s">
        <v>3949</v>
      </c>
      <c r="E94" s="4853" t="s">
        <v>3035</v>
      </c>
      <c r="F94" s="4853"/>
      <c r="G94" s="4853"/>
      <c r="H94" s="4853"/>
    </row>
    <row r="95" spans="3:8" ht="12.75" customHeight="1">
      <c r="C95" s="1377"/>
      <c r="D95" s="1375" t="s">
        <v>2916</v>
      </c>
      <c r="E95" s="4856" t="s">
        <v>3036</v>
      </c>
      <c r="F95" s="4856"/>
      <c r="G95" s="4856"/>
      <c r="H95" s="4856"/>
    </row>
    <row r="96" spans="3:8" ht="6" customHeight="1">
      <c r="D96" s="625"/>
      <c r="E96" s="999"/>
      <c r="F96" s="999"/>
      <c r="G96" s="999"/>
      <c r="H96" s="999"/>
    </row>
    <row r="97" spans="1:11">
      <c r="A97" s="606" t="s">
        <v>2912</v>
      </c>
      <c r="B97" s="623" t="str">
        <f>IF('Part V-Revenues &amp; Expenses'!$O$71=0,"",'Part V-Revenues &amp; Expenses'!$O$71)</f>
        <v/>
      </c>
      <c r="C97" s="606" t="s">
        <v>3947</v>
      </c>
      <c r="D97" s="624" t="s">
        <v>3948</v>
      </c>
    </row>
    <row r="98" spans="1:11" ht="1.95" customHeight="1"/>
    <row r="99" spans="1:11" ht="12.75" customHeight="1">
      <c r="C99" s="603" t="s">
        <v>2877</v>
      </c>
      <c r="D99" s="625" t="s">
        <v>1838</v>
      </c>
      <c r="E99" s="626"/>
      <c r="F99" s="4853" t="s">
        <v>2878</v>
      </c>
      <c r="G99" s="4853"/>
      <c r="H99" s="4853"/>
      <c r="K99" s="431" t="s">
        <v>233</v>
      </c>
    </row>
    <row r="100" spans="1:11" ht="12.75" customHeight="1">
      <c r="C100" s="627" t="s">
        <v>1273</v>
      </c>
      <c r="D100" s="625" t="s">
        <v>1840</v>
      </c>
      <c r="E100" s="4853" t="s">
        <v>2918</v>
      </c>
      <c r="F100" s="4853"/>
      <c r="G100" s="4853"/>
      <c r="H100" s="4853"/>
    </row>
    <row r="101" spans="1:11" ht="12.75" customHeight="1">
      <c r="E101" s="4853" t="s">
        <v>3035</v>
      </c>
      <c r="F101" s="4853"/>
      <c r="G101" s="4853"/>
      <c r="H101" s="4853"/>
    </row>
    <row r="102" spans="1:11" ht="12.75" customHeight="1">
      <c r="D102" s="628" t="s">
        <v>2916</v>
      </c>
      <c r="E102" s="4853" t="s">
        <v>3036</v>
      </c>
      <c r="F102" s="4853"/>
      <c r="G102" s="4853"/>
      <c r="H102" s="4853"/>
    </row>
    <row r="103" spans="1:11" ht="9" customHeight="1" thickBot="1"/>
    <row r="104" spans="1:11" ht="16.2" customHeight="1" thickBot="1">
      <c r="A104" s="4854">
        <v>30</v>
      </c>
      <c r="B104" s="4855"/>
      <c r="C104" s="1378" t="s">
        <v>974</v>
      </c>
    </row>
    <row r="105" spans="1:11" ht="9" customHeight="1">
      <c r="A105" s="598"/>
    </row>
    <row r="106" spans="1:11" ht="28.2" customHeight="1">
      <c r="A106" s="4853" t="s">
        <v>3952</v>
      </c>
      <c r="B106" s="4853"/>
      <c r="C106" s="4853"/>
      <c r="D106" s="4853"/>
      <c r="E106" s="4853"/>
      <c r="F106" s="4853"/>
      <c r="G106" s="4853"/>
      <c r="H106" s="4853"/>
    </row>
    <row r="107" spans="1:11" ht="9" customHeight="1">
      <c r="A107" s="598"/>
    </row>
    <row r="108" spans="1:11">
      <c r="A108" s="606" t="s">
        <v>2912</v>
      </c>
      <c r="B108" s="623" t="str">
        <f>IF('Part V-Revenues &amp; Expenses'!$K$70=0,"",'Part V-Revenues &amp; Expenses'!$K$70)</f>
        <v/>
      </c>
      <c r="C108" s="606" t="s">
        <v>3944</v>
      </c>
      <c r="D108" s="624" t="s">
        <v>3945</v>
      </c>
    </row>
    <row r="109" spans="1:11" ht="1.95" customHeight="1"/>
    <row r="110" spans="1:11" ht="12.75" customHeight="1">
      <c r="C110" s="603" t="s">
        <v>2877</v>
      </c>
      <c r="D110" s="625" t="s">
        <v>1838</v>
      </c>
      <c r="E110" s="626"/>
      <c r="F110" s="4853" t="s">
        <v>2878</v>
      </c>
      <c r="G110" s="4853"/>
      <c r="H110" s="4853"/>
    </row>
    <row r="111" spans="1:11" ht="12.75" customHeight="1">
      <c r="C111" s="627" t="s">
        <v>1273</v>
      </c>
      <c r="D111" s="625" t="s">
        <v>1840</v>
      </c>
      <c r="E111" s="4853" t="s">
        <v>2917</v>
      </c>
      <c r="F111" s="4853"/>
      <c r="G111" s="4853"/>
      <c r="H111" s="4853"/>
    </row>
    <row r="112" spans="1:11" ht="12.75" customHeight="1">
      <c r="C112" s="1376" t="s">
        <v>3949</v>
      </c>
      <c r="E112" s="4853" t="s">
        <v>3035</v>
      </c>
      <c r="F112" s="4853"/>
      <c r="G112" s="4853"/>
      <c r="H112" s="4853"/>
    </row>
    <row r="113" spans="1:8" ht="12.75" customHeight="1">
      <c r="C113" s="1377"/>
      <c r="D113" s="1375" t="s">
        <v>2916</v>
      </c>
      <c r="E113" s="4856" t="s">
        <v>3036</v>
      </c>
      <c r="F113" s="4856"/>
      <c r="G113" s="4856"/>
      <c r="H113" s="4856"/>
    </row>
    <row r="114" spans="1:8" ht="3" customHeight="1">
      <c r="D114" s="625"/>
      <c r="E114" s="999"/>
      <c r="F114" s="999"/>
      <c r="G114" s="999"/>
      <c r="H114" s="999"/>
    </row>
    <row r="115" spans="1:8" ht="12.75" customHeight="1">
      <c r="C115" s="603" t="s">
        <v>2877</v>
      </c>
      <c r="D115" s="625" t="s">
        <v>1838</v>
      </c>
      <c r="E115" s="626"/>
      <c r="F115" s="622" t="s">
        <v>2878</v>
      </c>
      <c r="G115" s="622"/>
      <c r="H115" s="622"/>
    </row>
    <row r="116" spans="1:8" ht="12.75" customHeight="1">
      <c r="C116" s="627" t="s">
        <v>1273</v>
      </c>
      <c r="D116" s="625" t="s">
        <v>1840</v>
      </c>
      <c r="E116" s="4853" t="s">
        <v>2917</v>
      </c>
      <c r="F116" s="4853"/>
      <c r="G116" s="4853"/>
      <c r="H116" s="4853"/>
    </row>
    <row r="117" spans="1:8" ht="12.75" customHeight="1">
      <c r="C117" s="1376" t="s">
        <v>3949</v>
      </c>
      <c r="E117" s="4853" t="s">
        <v>3035</v>
      </c>
      <c r="F117" s="4853"/>
      <c r="G117" s="4853"/>
      <c r="H117" s="4853"/>
    </row>
    <row r="118" spans="1:8" ht="12.75" customHeight="1">
      <c r="C118" s="1377"/>
      <c r="D118" s="1375" t="s">
        <v>2916</v>
      </c>
      <c r="E118" s="4856" t="s">
        <v>3036</v>
      </c>
      <c r="F118" s="4856"/>
      <c r="G118" s="4856"/>
      <c r="H118" s="4856"/>
    </row>
    <row r="119" spans="1:8" ht="3" customHeight="1">
      <c r="D119" s="625"/>
      <c r="E119" s="999"/>
      <c r="F119" s="999"/>
      <c r="G119" s="999"/>
      <c r="H119" s="999"/>
    </row>
    <row r="120" spans="1:8" ht="12.75" customHeight="1">
      <c r="C120" s="603" t="s">
        <v>2877</v>
      </c>
      <c r="D120" s="625" t="s">
        <v>1838</v>
      </c>
      <c r="E120" s="626"/>
      <c r="F120" s="622" t="s">
        <v>2878</v>
      </c>
      <c r="G120" s="622"/>
      <c r="H120" s="622"/>
    </row>
    <row r="121" spans="1:8" ht="12.75" customHeight="1">
      <c r="C121" s="627" t="s">
        <v>1273</v>
      </c>
      <c r="D121" s="625" t="s">
        <v>1840</v>
      </c>
      <c r="E121" s="4853" t="s">
        <v>2917</v>
      </c>
      <c r="F121" s="4853"/>
      <c r="G121" s="4853"/>
      <c r="H121" s="4853"/>
    </row>
    <row r="122" spans="1:8" ht="12.75" customHeight="1">
      <c r="C122" s="1376" t="s">
        <v>3949</v>
      </c>
      <c r="E122" s="4853" t="s">
        <v>3035</v>
      </c>
      <c r="F122" s="4853"/>
      <c r="G122" s="4853"/>
      <c r="H122" s="4853"/>
    </row>
    <row r="123" spans="1:8" ht="12.75" customHeight="1">
      <c r="C123" s="1377"/>
      <c r="D123" s="1375" t="s">
        <v>2916</v>
      </c>
      <c r="E123" s="4856" t="s">
        <v>3036</v>
      </c>
      <c r="F123" s="4856"/>
      <c r="G123" s="4856"/>
      <c r="H123" s="4856"/>
    </row>
    <row r="124" spans="1:8" ht="6" customHeight="1">
      <c r="D124" s="625"/>
      <c r="E124" s="999"/>
      <c r="F124" s="999"/>
      <c r="G124" s="999"/>
      <c r="H124" s="999"/>
    </row>
    <row r="125" spans="1:8">
      <c r="A125" s="606" t="s">
        <v>2912</v>
      </c>
      <c r="B125" s="623">
        <f>IF('Part V-Revenues &amp; Expenses'!$L$70=0,"",'Part V-Revenues &amp; Expenses'!$L$70)</f>
        <v>4</v>
      </c>
      <c r="C125" s="606" t="s">
        <v>2913</v>
      </c>
      <c r="D125" s="624" t="s">
        <v>3037</v>
      </c>
    </row>
    <row r="126" spans="1:8" ht="1.95" customHeight="1"/>
    <row r="127" spans="1:8" ht="12.75" customHeight="1">
      <c r="C127" s="603" t="s">
        <v>2877</v>
      </c>
      <c r="D127" s="625" t="s">
        <v>1838</v>
      </c>
      <c r="E127" s="626"/>
      <c r="F127" s="622" t="s">
        <v>2878</v>
      </c>
      <c r="G127" s="622"/>
      <c r="H127" s="622"/>
    </row>
    <row r="128" spans="1:8" ht="12.75" customHeight="1">
      <c r="C128" s="627" t="s">
        <v>1273</v>
      </c>
      <c r="D128" s="625" t="s">
        <v>1840</v>
      </c>
      <c r="E128" s="4853" t="s">
        <v>2917</v>
      </c>
      <c r="F128" s="4853"/>
      <c r="G128" s="4853"/>
      <c r="H128" s="4853"/>
    </row>
    <row r="129" spans="1:8" ht="12.75" customHeight="1">
      <c r="C129" s="1376" t="s">
        <v>3949</v>
      </c>
      <c r="E129" s="4853" t="s">
        <v>3035</v>
      </c>
      <c r="F129" s="4853"/>
      <c r="G129" s="4853"/>
      <c r="H129" s="4853"/>
    </row>
    <row r="130" spans="1:8" ht="12.75" customHeight="1">
      <c r="C130" s="1377"/>
      <c r="D130" s="628" t="s">
        <v>2916</v>
      </c>
      <c r="E130" s="4853" t="s">
        <v>3036</v>
      </c>
      <c r="F130" s="4853"/>
      <c r="G130" s="4853"/>
      <c r="H130" s="4853"/>
    </row>
    <row r="131" spans="1:8" ht="3" customHeight="1">
      <c r="D131" s="625"/>
      <c r="E131" s="999"/>
      <c r="F131" s="999"/>
      <c r="G131" s="999"/>
      <c r="H131" s="999"/>
    </row>
    <row r="132" spans="1:8" ht="12.75" customHeight="1">
      <c r="C132" s="603" t="s">
        <v>2877</v>
      </c>
      <c r="D132" s="625" t="s">
        <v>1838</v>
      </c>
      <c r="E132" s="626"/>
      <c r="F132" s="622" t="s">
        <v>2878</v>
      </c>
      <c r="G132" s="622"/>
      <c r="H132" s="622"/>
    </row>
    <row r="133" spans="1:8" ht="12.75" customHeight="1">
      <c r="C133" s="627" t="s">
        <v>1273</v>
      </c>
      <c r="D133" s="625" t="s">
        <v>1840</v>
      </c>
      <c r="E133" s="4853" t="s">
        <v>2917</v>
      </c>
      <c r="F133" s="4853"/>
      <c r="G133" s="4853"/>
      <c r="H133" s="4853"/>
    </row>
    <row r="134" spans="1:8" ht="12.75" customHeight="1">
      <c r="C134" s="1376" t="s">
        <v>3949</v>
      </c>
      <c r="E134" s="4853" t="s">
        <v>3035</v>
      </c>
      <c r="F134" s="4853"/>
      <c r="G134" s="4853"/>
      <c r="H134" s="4853"/>
    </row>
    <row r="135" spans="1:8" ht="12.75" customHeight="1">
      <c r="C135" s="1377"/>
      <c r="D135" s="1375" t="s">
        <v>2916</v>
      </c>
      <c r="E135" s="4856" t="s">
        <v>3036</v>
      </c>
      <c r="F135" s="4856"/>
      <c r="G135" s="4856"/>
      <c r="H135" s="4856"/>
    </row>
    <row r="136" spans="1:8" ht="3" customHeight="1">
      <c r="D136" s="625"/>
      <c r="E136" s="999"/>
      <c r="F136" s="999"/>
      <c r="G136" s="999"/>
      <c r="H136" s="999"/>
    </row>
    <row r="137" spans="1:8" ht="12.75" customHeight="1">
      <c r="C137" s="603" t="s">
        <v>2877</v>
      </c>
      <c r="D137" s="625" t="s">
        <v>1838</v>
      </c>
      <c r="E137" s="626"/>
      <c r="F137" s="622" t="s">
        <v>2878</v>
      </c>
      <c r="G137" s="622"/>
      <c r="H137" s="622"/>
    </row>
    <row r="138" spans="1:8" ht="12.75" customHeight="1">
      <c r="C138" s="627" t="s">
        <v>1273</v>
      </c>
      <c r="D138" s="625" t="s">
        <v>1840</v>
      </c>
      <c r="E138" s="4853" t="s">
        <v>2917</v>
      </c>
      <c r="F138" s="4853"/>
      <c r="G138" s="4853"/>
      <c r="H138" s="4853"/>
    </row>
    <row r="139" spans="1:8" ht="12.75" customHeight="1">
      <c r="C139" s="1376" t="s">
        <v>3949</v>
      </c>
      <c r="E139" s="4853" t="s">
        <v>3035</v>
      </c>
      <c r="F139" s="4853"/>
      <c r="G139" s="4853"/>
      <c r="H139" s="4853"/>
    </row>
    <row r="140" spans="1:8" ht="12.75" customHeight="1">
      <c r="C140" s="1377"/>
      <c r="D140" s="1375" t="s">
        <v>2916</v>
      </c>
      <c r="E140" s="4856" t="s">
        <v>3036</v>
      </c>
      <c r="F140" s="4856"/>
      <c r="G140" s="4856"/>
      <c r="H140" s="4856"/>
    </row>
    <row r="141" spans="1:8" ht="6" customHeight="1">
      <c r="D141" s="625"/>
      <c r="E141" s="999"/>
      <c r="F141" s="999"/>
      <c r="G141" s="999"/>
      <c r="H141" s="999"/>
    </row>
    <row r="142" spans="1:8">
      <c r="A142" s="606" t="s">
        <v>2912</v>
      </c>
      <c r="B142" s="623">
        <f>IF('Part V-Revenues &amp; Expenses'!$M$70=0,"",'Part V-Revenues &amp; Expenses'!$M$70)</f>
        <v>12</v>
      </c>
      <c r="C142" s="606" t="s">
        <v>2914</v>
      </c>
      <c r="D142" s="624" t="s">
        <v>3038</v>
      </c>
    </row>
    <row r="143" spans="1:8" ht="1.95" customHeight="1"/>
    <row r="144" spans="1:8" ht="12.75" customHeight="1">
      <c r="C144" s="603" t="s">
        <v>2877</v>
      </c>
      <c r="D144" s="625" t="s">
        <v>1838</v>
      </c>
      <c r="E144" s="626"/>
      <c r="F144" s="622" t="s">
        <v>2878</v>
      </c>
      <c r="G144" s="622"/>
      <c r="H144" s="622"/>
    </row>
    <row r="145" spans="1:8" ht="12.75" customHeight="1">
      <c r="C145" s="627" t="s">
        <v>1273</v>
      </c>
      <c r="D145" s="625" t="s">
        <v>1840</v>
      </c>
      <c r="E145" s="4853" t="s">
        <v>2917</v>
      </c>
      <c r="F145" s="4853"/>
      <c r="G145" s="4853"/>
      <c r="H145" s="4853"/>
    </row>
    <row r="146" spans="1:8" ht="12.75" customHeight="1">
      <c r="C146" s="1376" t="s">
        <v>3949</v>
      </c>
      <c r="E146" s="4853" t="s">
        <v>3035</v>
      </c>
      <c r="F146" s="4853"/>
      <c r="G146" s="4853"/>
      <c r="H146" s="4853"/>
    </row>
    <row r="147" spans="1:8" ht="12.75" customHeight="1">
      <c r="C147" s="1377"/>
      <c r="D147" s="628" t="s">
        <v>2916</v>
      </c>
      <c r="E147" s="4853" t="s">
        <v>3036</v>
      </c>
      <c r="F147" s="4853"/>
      <c r="G147" s="4853"/>
      <c r="H147" s="4853"/>
    </row>
    <row r="148" spans="1:8" ht="3" customHeight="1">
      <c r="D148" s="625"/>
      <c r="E148" s="999"/>
      <c r="F148" s="999"/>
      <c r="G148" s="999"/>
      <c r="H148" s="999"/>
    </row>
    <row r="149" spans="1:8" ht="12.75" customHeight="1">
      <c r="C149" s="603" t="s">
        <v>2877</v>
      </c>
      <c r="D149" s="625" t="s">
        <v>1838</v>
      </c>
      <c r="E149" s="626"/>
      <c r="F149" s="622" t="s">
        <v>2878</v>
      </c>
      <c r="G149" s="622"/>
      <c r="H149" s="622"/>
    </row>
    <row r="150" spans="1:8" ht="12.75" customHeight="1">
      <c r="C150" s="627" t="s">
        <v>1273</v>
      </c>
      <c r="D150" s="625" t="s">
        <v>1840</v>
      </c>
      <c r="E150" s="4853" t="s">
        <v>2917</v>
      </c>
      <c r="F150" s="4853"/>
      <c r="G150" s="4853"/>
      <c r="H150" s="4853"/>
    </row>
    <row r="151" spans="1:8" ht="12.75" customHeight="1">
      <c r="C151" s="1376" t="s">
        <v>3949</v>
      </c>
      <c r="E151" s="4853" t="s">
        <v>3035</v>
      </c>
      <c r="F151" s="4853"/>
      <c r="G151" s="4853"/>
      <c r="H151" s="4853"/>
    </row>
    <row r="152" spans="1:8" ht="12.75" customHeight="1">
      <c r="C152" s="1377"/>
      <c r="D152" s="1375" t="s">
        <v>2916</v>
      </c>
      <c r="E152" s="4856" t="s">
        <v>3036</v>
      </c>
      <c r="F152" s="4856"/>
      <c r="G152" s="4856"/>
      <c r="H152" s="4856"/>
    </row>
    <row r="153" spans="1:8" ht="3" customHeight="1">
      <c r="D153" s="625"/>
      <c r="E153" s="999"/>
      <c r="F153" s="999"/>
      <c r="G153" s="999"/>
      <c r="H153" s="999"/>
    </row>
    <row r="154" spans="1:8" ht="12.75" customHeight="1">
      <c r="C154" s="603" t="s">
        <v>2877</v>
      </c>
      <c r="D154" s="625" t="s">
        <v>1838</v>
      </c>
      <c r="E154" s="626"/>
      <c r="F154" s="622" t="s">
        <v>2878</v>
      </c>
      <c r="G154" s="622"/>
      <c r="H154" s="622"/>
    </row>
    <row r="155" spans="1:8" ht="12.75" customHeight="1">
      <c r="C155" s="627" t="s">
        <v>1273</v>
      </c>
      <c r="D155" s="625" t="s">
        <v>1840</v>
      </c>
      <c r="E155" s="4853" t="s">
        <v>2917</v>
      </c>
      <c r="F155" s="4853"/>
      <c r="G155" s="4853"/>
      <c r="H155" s="4853"/>
    </row>
    <row r="156" spans="1:8" ht="12.75" customHeight="1">
      <c r="C156" s="1376" t="s">
        <v>3949</v>
      </c>
      <c r="E156" s="4853" t="s">
        <v>3035</v>
      </c>
      <c r="F156" s="4853"/>
      <c r="G156" s="4853"/>
      <c r="H156" s="4853"/>
    </row>
    <row r="157" spans="1:8" ht="12.75" customHeight="1">
      <c r="C157" s="1377"/>
      <c r="D157" s="1375" t="s">
        <v>2916</v>
      </c>
      <c r="E157" s="4856" t="s">
        <v>3036</v>
      </c>
      <c r="F157" s="4856"/>
      <c r="G157" s="4856"/>
      <c r="H157" s="4856"/>
    </row>
    <row r="158" spans="1:8" ht="6" customHeight="1">
      <c r="D158" s="625"/>
      <c r="E158" s="999"/>
      <c r="F158" s="999"/>
      <c r="G158" s="999"/>
      <c r="H158" s="999"/>
    </row>
    <row r="159" spans="1:8">
      <c r="A159" s="606" t="s">
        <v>2912</v>
      </c>
      <c r="B159" s="623" t="str">
        <f>IF('Part V-Revenues &amp; Expenses'!$N$70=0,"",'Part V-Revenues &amp; Expenses'!$N$70)</f>
        <v/>
      </c>
      <c r="C159" s="606" t="s">
        <v>2915</v>
      </c>
      <c r="D159" s="624" t="s">
        <v>3039</v>
      </c>
    </row>
    <row r="160" spans="1:8" ht="1.95" customHeight="1"/>
    <row r="161" spans="1:8" ht="12.75" customHeight="1">
      <c r="C161" s="603" t="s">
        <v>2877</v>
      </c>
      <c r="D161" s="625" t="s">
        <v>1838</v>
      </c>
      <c r="E161" s="626"/>
      <c r="F161" s="622" t="s">
        <v>2878</v>
      </c>
      <c r="G161" s="622"/>
      <c r="H161" s="622"/>
    </row>
    <row r="162" spans="1:8" ht="12.75" customHeight="1">
      <c r="C162" s="627" t="s">
        <v>1273</v>
      </c>
      <c r="D162" s="625" t="s">
        <v>1840</v>
      </c>
      <c r="E162" s="4853" t="s">
        <v>2917</v>
      </c>
      <c r="F162" s="4853"/>
      <c r="G162" s="4853"/>
      <c r="H162" s="4853"/>
    </row>
    <row r="163" spans="1:8" ht="12.75" customHeight="1">
      <c r="C163" s="1376" t="s">
        <v>3949</v>
      </c>
      <c r="E163" s="4853" t="s">
        <v>3035</v>
      </c>
      <c r="F163" s="4853"/>
      <c r="G163" s="4853"/>
      <c r="H163" s="4853"/>
    </row>
    <row r="164" spans="1:8" ht="12.75" customHeight="1">
      <c r="C164" s="1377"/>
      <c r="D164" s="628" t="s">
        <v>2916</v>
      </c>
      <c r="E164" s="4853" t="s">
        <v>3036</v>
      </c>
      <c r="F164" s="4853"/>
      <c r="G164" s="4853"/>
      <c r="H164" s="4853"/>
    </row>
    <row r="165" spans="1:8" ht="3" customHeight="1">
      <c r="D165" s="625"/>
      <c r="E165" s="999"/>
      <c r="F165" s="999"/>
      <c r="G165" s="999"/>
      <c r="H165" s="999"/>
    </row>
    <row r="166" spans="1:8" ht="12.75" customHeight="1">
      <c r="C166" s="603" t="s">
        <v>2877</v>
      </c>
      <c r="D166" s="625" t="s">
        <v>1838</v>
      </c>
      <c r="E166" s="626"/>
      <c r="F166" s="622" t="s">
        <v>2878</v>
      </c>
      <c r="G166" s="622"/>
      <c r="H166" s="622"/>
    </row>
    <row r="167" spans="1:8" ht="12.75" customHeight="1">
      <c r="C167" s="627" t="s">
        <v>1273</v>
      </c>
      <c r="D167" s="625" t="s">
        <v>1840</v>
      </c>
      <c r="E167" s="4853" t="s">
        <v>2917</v>
      </c>
      <c r="F167" s="4853"/>
      <c r="G167" s="4853"/>
      <c r="H167" s="4853"/>
    </row>
    <row r="168" spans="1:8" ht="12.75" customHeight="1">
      <c r="C168" s="1376" t="s">
        <v>3949</v>
      </c>
      <c r="E168" s="4853" t="s">
        <v>3035</v>
      </c>
      <c r="F168" s="4853"/>
      <c r="G168" s="4853"/>
      <c r="H168" s="4853"/>
    </row>
    <row r="169" spans="1:8" ht="12.75" customHeight="1">
      <c r="C169" s="1377"/>
      <c r="D169" s="1375" t="s">
        <v>2916</v>
      </c>
      <c r="E169" s="4856" t="s">
        <v>3036</v>
      </c>
      <c r="F169" s="4856"/>
      <c r="G169" s="4856"/>
      <c r="H169" s="4856"/>
    </row>
    <row r="170" spans="1:8" ht="3" customHeight="1">
      <c r="D170" s="625"/>
      <c r="E170" s="999"/>
      <c r="F170" s="999"/>
      <c r="G170" s="999"/>
      <c r="H170" s="999"/>
    </row>
    <row r="171" spans="1:8" ht="12.75" customHeight="1">
      <c r="C171" s="603" t="s">
        <v>2877</v>
      </c>
      <c r="D171" s="625" t="s">
        <v>1838</v>
      </c>
      <c r="E171" s="626"/>
      <c r="F171" s="622" t="s">
        <v>2878</v>
      </c>
      <c r="G171" s="622"/>
      <c r="H171" s="622"/>
    </row>
    <row r="172" spans="1:8" ht="12.75" customHeight="1">
      <c r="C172" s="627" t="s">
        <v>1273</v>
      </c>
      <c r="D172" s="625" t="s">
        <v>1840</v>
      </c>
      <c r="E172" s="4853" t="s">
        <v>2917</v>
      </c>
      <c r="F172" s="4853"/>
      <c r="G172" s="4853"/>
      <c r="H172" s="4853"/>
    </row>
    <row r="173" spans="1:8" ht="12.75" customHeight="1">
      <c r="C173" s="1376" t="s">
        <v>3949</v>
      </c>
      <c r="E173" s="4853" t="s">
        <v>3035</v>
      </c>
      <c r="F173" s="4853"/>
      <c r="G173" s="4853"/>
      <c r="H173" s="4853"/>
    </row>
    <row r="174" spans="1:8" ht="12.75" customHeight="1">
      <c r="C174" s="1377"/>
      <c r="D174" s="1375" t="s">
        <v>2916</v>
      </c>
      <c r="E174" s="4856" t="s">
        <v>3036</v>
      </c>
      <c r="F174" s="4856"/>
      <c r="G174" s="4856"/>
      <c r="H174" s="4856"/>
    </row>
    <row r="175" spans="1:8" ht="6" customHeight="1">
      <c r="D175" s="625"/>
      <c r="E175" s="999"/>
      <c r="F175" s="999"/>
      <c r="G175" s="999"/>
      <c r="H175" s="999"/>
    </row>
    <row r="176" spans="1:8">
      <c r="A176" s="606" t="s">
        <v>2912</v>
      </c>
      <c r="B176" s="623" t="str">
        <f>IF('Part V-Revenues &amp; Expenses'!$O70=0,"",'Part V-Revenues &amp; Expenses'!$O$70)</f>
        <v/>
      </c>
      <c r="C176" s="606" t="s">
        <v>3947</v>
      </c>
      <c r="D176" s="624" t="s">
        <v>3948</v>
      </c>
    </row>
    <row r="177" spans="1:11" ht="1.95" customHeight="1"/>
    <row r="178" spans="1:11" ht="12.75" customHeight="1">
      <c r="C178" s="603" t="s">
        <v>2877</v>
      </c>
      <c r="D178" s="625" t="s">
        <v>1838</v>
      </c>
      <c r="E178" s="626"/>
      <c r="F178" s="4853" t="s">
        <v>2878</v>
      </c>
      <c r="G178" s="4853"/>
      <c r="H178" s="4853"/>
      <c r="K178" s="431" t="s">
        <v>233</v>
      </c>
    </row>
    <row r="179" spans="1:11" ht="12.75" customHeight="1">
      <c r="C179" s="627" t="s">
        <v>1273</v>
      </c>
      <c r="D179" s="625" t="s">
        <v>1840</v>
      </c>
      <c r="E179" s="4853" t="s">
        <v>2918</v>
      </c>
      <c r="F179" s="4853"/>
      <c r="G179" s="4853"/>
      <c r="H179" s="4853"/>
    </row>
    <row r="180" spans="1:11" ht="12.75" customHeight="1">
      <c r="E180" s="4853" t="s">
        <v>3035</v>
      </c>
      <c r="F180" s="4853"/>
      <c r="G180" s="4853"/>
      <c r="H180" s="4853"/>
    </row>
    <row r="181" spans="1:11" ht="12.75" customHeight="1">
      <c r="D181" s="628" t="s">
        <v>2916</v>
      </c>
      <c r="E181" s="4853" t="s">
        <v>3036</v>
      </c>
      <c r="F181" s="4853"/>
      <c r="G181" s="4853"/>
      <c r="H181" s="4853"/>
    </row>
    <row r="182" spans="1:11" ht="9" customHeight="1" thickBot="1"/>
    <row r="183" spans="1:11" ht="16.2" customHeight="1" thickBot="1">
      <c r="A183" s="4854">
        <v>40</v>
      </c>
      <c r="B183" s="4855"/>
      <c r="C183" s="1378" t="s">
        <v>974</v>
      </c>
    </row>
    <row r="184" spans="1:11" ht="9" customHeight="1">
      <c r="A184" s="598"/>
    </row>
    <row r="185" spans="1:11" ht="28.2" customHeight="1">
      <c r="A185" s="4853" t="s">
        <v>3953</v>
      </c>
      <c r="B185" s="4853"/>
      <c r="C185" s="4853"/>
      <c r="D185" s="4853"/>
      <c r="E185" s="4853"/>
      <c r="F185" s="4853"/>
      <c r="G185" s="4853"/>
      <c r="H185" s="4853"/>
    </row>
    <row r="186" spans="1:11" ht="9" customHeight="1">
      <c r="A186" s="598"/>
    </row>
    <row r="187" spans="1:11">
      <c r="A187" s="606" t="s">
        <v>2912</v>
      </c>
      <c r="B187" s="623" t="str">
        <f>IF('Part V-Revenues &amp; Expenses'!$K$69=0,"",'Part V-Revenues &amp; Expenses'!$K$69)</f>
        <v/>
      </c>
      <c r="C187" s="606" t="s">
        <v>3944</v>
      </c>
      <c r="D187" s="624" t="s">
        <v>3945</v>
      </c>
    </row>
    <row r="188" spans="1:11" ht="1.95" customHeight="1"/>
    <row r="189" spans="1:11" ht="12.75" customHeight="1">
      <c r="C189" s="603" t="s">
        <v>2877</v>
      </c>
      <c r="D189" s="625" t="s">
        <v>1838</v>
      </c>
      <c r="E189" s="626"/>
      <c r="F189" s="4853" t="s">
        <v>2878</v>
      </c>
      <c r="G189" s="4853"/>
      <c r="H189" s="4853"/>
    </row>
    <row r="190" spans="1:11" ht="12.75" customHeight="1">
      <c r="C190" s="627" t="s">
        <v>1273</v>
      </c>
      <c r="D190" s="625" t="s">
        <v>1840</v>
      </c>
      <c r="E190" s="4853" t="s">
        <v>2917</v>
      </c>
      <c r="F190" s="4853"/>
      <c r="G190" s="4853"/>
      <c r="H190" s="4853"/>
    </row>
    <row r="191" spans="1:11" ht="12.75" customHeight="1">
      <c r="C191" s="1376" t="s">
        <v>3949</v>
      </c>
      <c r="E191" s="4853" t="s">
        <v>3035</v>
      </c>
      <c r="F191" s="4853"/>
      <c r="G191" s="4853"/>
      <c r="H191" s="4853"/>
    </row>
    <row r="192" spans="1:11" ht="12.75" customHeight="1">
      <c r="C192" s="1377"/>
      <c r="D192" s="1375" t="s">
        <v>2916</v>
      </c>
      <c r="E192" s="4856" t="s">
        <v>3036</v>
      </c>
      <c r="F192" s="4856"/>
      <c r="G192" s="4856"/>
      <c r="H192" s="4856"/>
    </row>
    <row r="193" spans="1:8" ht="3" customHeight="1">
      <c r="D193" s="625"/>
      <c r="E193" s="999"/>
      <c r="F193" s="999"/>
      <c r="G193" s="999"/>
      <c r="H193" s="999"/>
    </row>
    <row r="194" spans="1:8" ht="12.75" customHeight="1">
      <c r="C194" s="603" t="s">
        <v>2877</v>
      </c>
      <c r="D194" s="625" t="s">
        <v>1838</v>
      </c>
      <c r="E194" s="626"/>
      <c r="F194" s="622" t="s">
        <v>2878</v>
      </c>
      <c r="G194" s="622"/>
      <c r="H194" s="622"/>
    </row>
    <row r="195" spans="1:8" ht="12.75" customHeight="1">
      <c r="C195" s="627" t="s">
        <v>1273</v>
      </c>
      <c r="D195" s="625" t="s">
        <v>1840</v>
      </c>
      <c r="E195" s="4853" t="s">
        <v>2917</v>
      </c>
      <c r="F195" s="4853"/>
      <c r="G195" s="4853"/>
      <c r="H195" s="4853"/>
    </row>
    <row r="196" spans="1:8" ht="12.75" customHeight="1">
      <c r="C196" s="1376" t="s">
        <v>3949</v>
      </c>
      <c r="E196" s="4853" t="s">
        <v>3035</v>
      </c>
      <c r="F196" s="4853"/>
      <c r="G196" s="4853"/>
      <c r="H196" s="4853"/>
    </row>
    <row r="197" spans="1:8" ht="12.75" customHeight="1">
      <c r="C197" s="1377"/>
      <c r="D197" s="1375" t="s">
        <v>2916</v>
      </c>
      <c r="E197" s="4856" t="s">
        <v>3036</v>
      </c>
      <c r="F197" s="4856"/>
      <c r="G197" s="4856"/>
      <c r="H197" s="4856"/>
    </row>
    <row r="198" spans="1:8" ht="3" customHeight="1">
      <c r="D198" s="625"/>
      <c r="E198" s="999"/>
      <c r="F198" s="999"/>
      <c r="G198" s="999"/>
      <c r="H198" s="999"/>
    </row>
    <row r="199" spans="1:8" ht="12.75" customHeight="1">
      <c r="C199" s="603" t="s">
        <v>2877</v>
      </c>
      <c r="D199" s="625" t="s">
        <v>1838</v>
      </c>
      <c r="E199" s="626"/>
      <c r="F199" s="622" t="s">
        <v>2878</v>
      </c>
      <c r="G199" s="622"/>
      <c r="H199" s="622"/>
    </row>
    <row r="200" spans="1:8" ht="12.75" customHeight="1">
      <c r="C200" s="627" t="s">
        <v>1273</v>
      </c>
      <c r="D200" s="625" t="s">
        <v>1840</v>
      </c>
      <c r="E200" s="4853" t="s">
        <v>2917</v>
      </c>
      <c r="F200" s="4853"/>
      <c r="G200" s="4853"/>
      <c r="H200" s="4853"/>
    </row>
    <row r="201" spans="1:8" ht="12.75" customHeight="1">
      <c r="C201" s="1376" t="s">
        <v>3949</v>
      </c>
      <c r="E201" s="4853" t="s">
        <v>3035</v>
      </c>
      <c r="F201" s="4853"/>
      <c r="G201" s="4853"/>
      <c r="H201" s="4853"/>
    </row>
    <row r="202" spans="1:8" ht="12.75" customHeight="1">
      <c r="C202" s="1377"/>
      <c r="D202" s="1375" t="s">
        <v>2916</v>
      </c>
      <c r="E202" s="4856" t="s">
        <v>3036</v>
      </c>
      <c r="F202" s="4856"/>
      <c r="G202" s="4856"/>
      <c r="H202" s="4856"/>
    </row>
    <row r="203" spans="1:8" ht="6" customHeight="1">
      <c r="D203" s="625"/>
      <c r="E203" s="999"/>
      <c r="F203" s="999"/>
      <c r="G203" s="999"/>
      <c r="H203" s="999"/>
    </row>
    <row r="204" spans="1:8">
      <c r="A204" s="606" t="s">
        <v>2912</v>
      </c>
      <c r="B204" s="623" t="str">
        <f>IF('Part V-Revenues &amp; Expenses'!$L$69=0,"",'Part V-Revenues &amp; Expenses'!$L$69)</f>
        <v/>
      </c>
      <c r="C204" s="606" t="s">
        <v>2913</v>
      </c>
      <c r="D204" s="624" t="s">
        <v>3037</v>
      </c>
    </row>
    <row r="205" spans="1:8" ht="1.95" customHeight="1"/>
    <row r="206" spans="1:8" ht="12.75" customHeight="1">
      <c r="C206" s="603" t="s">
        <v>2877</v>
      </c>
      <c r="D206" s="625" t="s">
        <v>1838</v>
      </c>
      <c r="E206" s="626"/>
      <c r="F206" s="622" t="s">
        <v>2878</v>
      </c>
      <c r="G206" s="622"/>
      <c r="H206" s="622"/>
    </row>
    <row r="207" spans="1:8" ht="12.75" customHeight="1">
      <c r="C207" s="627" t="s">
        <v>1273</v>
      </c>
      <c r="D207" s="625" t="s">
        <v>1840</v>
      </c>
      <c r="E207" s="4853" t="s">
        <v>2917</v>
      </c>
      <c r="F207" s="4853"/>
      <c r="G207" s="4853"/>
      <c r="H207" s="4853"/>
    </row>
    <row r="208" spans="1:8" ht="12.75" customHeight="1">
      <c r="C208" s="1376" t="s">
        <v>3949</v>
      </c>
      <c r="E208" s="4853" t="s">
        <v>3035</v>
      </c>
      <c r="F208" s="4853"/>
      <c r="G208" s="4853"/>
      <c r="H208" s="4853"/>
    </row>
    <row r="209" spans="1:8" ht="12.75" customHeight="1">
      <c r="C209" s="1377"/>
      <c r="D209" s="628" t="s">
        <v>2916</v>
      </c>
      <c r="E209" s="4853" t="s">
        <v>3036</v>
      </c>
      <c r="F209" s="4853"/>
      <c r="G209" s="4853"/>
      <c r="H209" s="4853"/>
    </row>
    <row r="210" spans="1:8" ht="3" customHeight="1">
      <c r="D210" s="625"/>
      <c r="E210" s="999"/>
      <c r="F210" s="999"/>
      <c r="G210" s="999"/>
      <c r="H210" s="999"/>
    </row>
    <row r="211" spans="1:8" ht="12.75" customHeight="1">
      <c r="C211" s="603" t="s">
        <v>2877</v>
      </c>
      <c r="D211" s="625" t="s">
        <v>1838</v>
      </c>
      <c r="E211" s="626"/>
      <c r="F211" s="622" t="s">
        <v>2878</v>
      </c>
      <c r="G211" s="622"/>
      <c r="H211" s="622"/>
    </row>
    <row r="212" spans="1:8" ht="12.75" customHeight="1">
      <c r="C212" s="627" t="s">
        <v>1273</v>
      </c>
      <c r="D212" s="625" t="s">
        <v>1840</v>
      </c>
      <c r="E212" s="4853" t="s">
        <v>2917</v>
      </c>
      <c r="F212" s="4853"/>
      <c r="G212" s="4853"/>
      <c r="H212" s="4853"/>
    </row>
    <row r="213" spans="1:8" ht="12.75" customHeight="1">
      <c r="C213" s="1376" t="s">
        <v>3949</v>
      </c>
      <c r="E213" s="4853" t="s">
        <v>3035</v>
      </c>
      <c r="F213" s="4853"/>
      <c r="G213" s="4853"/>
      <c r="H213" s="4853"/>
    </row>
    <row r="214" spans="1:8" ht="12.75" customHeight="1">
      <c r="C214" s="1377"/>
      <c r="D214" s="1375" t="s">
        <v>2916</v>
      </c>
      <c r="E214" s="4856" t="s">
        <v>3036</v>
      </c>
      <c r="F214" s="4856"/>
      <c r="G214" s="4856"/>
      <c r="H214" s="4856"/>
    </row>
    <row r="215" spans="1:8" ht="3" customHeight="1">
      <c r="D215" s="625"/>
      <c r="E215" s="999"/>
      <c r="F215" s="999"/>
      <c r="G215" s="999"/>
      <c r="H215" s="999"/>
    </row>
    <row r="216" spans="1:8" ht="12.75" customHeight="1">
      <c r="C216" s="603" t="s">
        <v>2877</v>
      </c>
      <c r="D216" s="625" t="s">
        <v>1838</v>
      </c>
      <c r="E216" s="626"/>
      <c r="F216" s="622" t="s">
        <v>2878</v>
      </c>
      <c r="G216" s="622"/>
      <c r="H216" s="622"/>
    </row>
    <row r="217" spans="1:8" ht="12.75" customHeight="1">
      <c r="C217" s="627" t="s">
        <v>1273</v>
      </c>
      <c r="D217" s="625" t="s">
        <v>1840</v>
      </c>
      <c r="E217" s="4853" t="s">
        <v>2917</v>
      </c>
      <c r="F217" s="4853"/>
      <c r="G217" s="4853"/>
      <c r="H217" s="4853"/>
    </row>
    <row r="218" spans="1:8" ht="12.75" customHeight="1">
      <c r="C218" s="1376" t="s">
        <v>3949</v>
      </c>
      <c r="E218" s="4853" t="s">
        <v>3035</v>
      </c>
      <c r="F218" s="4853"/>
      <c r="G218" s="4853"/>
      <c r="H218" s="4853"/>
    </row>
    <row r="219" spans="1:8" ht="12.75" customHeight="1">
      <c r="C219" s="1377"/>
      <c r="D219" s="1375" t="s">
        <v>2916</v>
      </c>
      <c r="E219" s="4856" t="s">
        <v>3036</v>
      </c>
      <c r="F219" s="4856"/>
      <c r="G219" s="4856"/>
      <c r="H219" s="4856"/>
    </row>
    <row r="220" spans="1:8" ht="6" customHeight="1">
      <c r="D220" s="625"/>
      <c r="E220" s="999"/>
      <c r="F220" s="999"/>
      <c r="G220" s="999"/>
      <c r="H220" s="999"/>
    </row>
    <row r="221" spans="1:8">
      <c r="A221" s="606" t="s">
        <v>2912</v>
      </c>
      <c r="B221" s="623" t="str">
        <f>IF('Part V-Revenues &amp; Expenses'!$M$69=0,"",'Part V-Revenues &amp; Expenses'!$M$69)</f>
        <v/>
      </c>
      <c r="C221" s="606" t="s">
        <v>2914</v>
      </c>
      <c r="D221" s="624" t="s">
        <v>3038</v>
      </c>
    </row>
    <row r="222" spans="1:8" ht="1.95" customHeight="1"/>
    <row r="223" spans="1:8" ht="12.75" customHeight="1">
      <c r="C223" s="603" t="s">
        <v>2877</v>
      </c>
      <c r="D223" s="625" t="s">
        <v>1838</v>
      </c>
      <c r="E223" s="626"/>
      <c r="F223" s="622" t="s">
        <v>2878</v>
      </c>
      <c r="G223" s="622"/>
      <c r="H223" s="622"/>
    </row>
    <row r="224" spans="1:8" ht="12.75" customHeight="1">
      <c r="C224" s="627" t="s">
        <v>1273</v>
      </c>
      <c r="D224" s="625" t="s">
        <v>1840</v>
      </c>
      <c r="E224" s="4853" t="s">
        <v>2917</v>
      </c>
      <c r="F224" s="4853"/>
      <c r="G224" s="4853"/>
      <c r="H224" s="4853"/>
    </row>
    <row r="225" spans="1:8" ht="12.75" customHeight="1">
      <c r="C225" s="1376" t="s">
        <v>3949</v>
      </c>
      <c r="E225" s="4853" t="s">
        <v>3035</v>
      </c>
      <c r="F225" s="4853"/>
      <c r="G225" s="4853"/>
      <c r="H225" s="4853"/>
    </row>
    <row r="226" spans="1:8" ht="12.75" customHeight="1">
      <c r="C226" s="1377"/>
      <c r="D226" s="628" t="s">
        <v>2916</v>
      </c>
      <c r="E226" s="4853" t="s">
        <v>3036</v>
      </c>
      <c r="F226" s="4853"/>
      <c r="G226" s="4853"/>
      <c r="H226" s="4853"/>
    </row>
    <row r="227" spans="1:8" ht="3" customHeight="1">
      <c r="D227" s="625"/>
      <c r="E227" s="999"/>
      <c r="F227" s="999"/>
      <c r="G227" s="999"/>
      <c r="H227" s="999"/>
    </row>
    <row r="228" spans="1:8" ht="12.75" customHeight="1">
      <c r="C228" s="603" t="s">
        <v>2877</v>
      </c>
      <c r="D228" s="625" t="s">
        <v>1838</v>
      </c>
      <c r="E228" s="626"/>
      <c r="F228" s="622" t="s">
        <v>2878</v>
      </c>
      <c r="G228" s="622"/>
      <c r="H228" s="622"/>
    </row>
    <row r="229" spans="1:8" ht="12.75" customHeight="1">
      <c r="C229" s="627" t="s">
        <v>1273</v>
      </c>
      <c r="D229" s="625" t="s">
        <v>1840</v>
      </c>
      <c r="E229" s="4853" t="s">
        <v>2917</v>
      </c>
      <c r="F229" s="4853"/>
      <c r="G229" s="4853"/>
      <c r="H229" s="4853"/>
    </row>
    <row r="230" spans="1:8" ht="12.75" customHeight="1">
      <c r="C230" s="1376" t="s">
        <v>3949</v>
      </c>
      <c r="E230" s="4853" t="s">
        <v>3035</v>
      </c>
      <c r="F230" s="4853"/>
      <c r="G230" s="4853"/>
      <c r="H230" s="4853"/>
    </row>
    <row r="231" spans="1:8" ht="12.75" customHeight="1">
      <c r="C231" s="1377"/>
      <c r="D231" s="1375" t="s">
        <v>2916</v>
      </c>
      <c r="E231" s="4856" t="s">
        <v>3036</v>
      </c>
      <c r="F231" s="4856"/>
      <c r="G231" s="4856"/>
      <c r="H231" s="4856"/>
    </row>
    <row r="232" spans="1:8" ht="3" customHeight="1">
      <c r="D232" s="625"/>
      <c r="E232" s="999"/>
      <c r="F232" s="999"/>
      <c r="G232" s="999"/>
      <c r="H232" s="999"/>
    </row>
    <row r="233" spans="1:8" ht="12.75" customHeight="1">
      <c r="C233" s="603" t="s">
        <v>2877</v>
      </c>
      <c r="D233" s="625" t="s">
        <v>1838</v>
      </c>
      <c r="E233" s="626"/>
      <c r="F233" s="622" t="s">
        <v>2878</v>
      </c>
      <c r="G233" s="622"/>
      <c r="H233" s="622"/>
    </row>
    <row r="234" spans="1:8" ht="12.75" customHeight="1">
      <c r="C234" s="627" t="s">
        <v>1273</v>
      </c>
      <c r="D234" s="625" t="s">
        <v>1840</v>
      </c>
      <c r="E234" s="4853" t="s">
        <v>2917</v>
      </c>
      <c r="F234" s="4853"/>
      <c r="G234" s="4853"/>
      <c r="H234" s="4853"/>
    </row>
    <row r="235" spans="1:8" ht="12.75" customHeight="1">
      <c r="C235" s="1376" t="s">
        <v>3949</v>
      </c>
      <c r="E235" s="4853" t="s">
        <v>3035</v>
      </c>
      <c r="F235" s="4853"/>
      <c r="G235" s="4853"/>
      <c r="H235" s="4853"/>
    </row>
    <row r="236" spans="1:8" ht="12.75" customHeight="1">
      <c r="C236" s="1377"/>
      <c r="D236" s="1375" t="s">
        <v>2916</v>
      </c>
      <c r="E236" s="4856" t="s">
        <v>3036</v>
      </c>
      <c r="F236" s="4856"/>
      <c r="G236" s="4856"/>
      <c r="H236" s="4856"/>
    </row>
    <row r="237" spans="1:8" ht="6" customHeight="1">
      <c r="D237" s="625"/>
      <c r="E237" s="999"/>
      <c r="F237" s="999"/>
      <c r="G237" s="999"/>
      <c r="H237" s="999"/>
    </row>
    <row r="238" spans="1:8">
      <c r="A238" s="606" t="s">
        <v>2912</v>
      </c>
      <c r="B238" s="623" t="str">
        <f>IF('Part V-Revenues &amp; Expenses'!$N$69=0,"",'Part V-Revenues &amp; Expenses'!$N$69)</f>
        <v/>
      </c>
      <c r="C238" s="606" t="s">
        <v>2915</v>
      </c>
      <c r="D238" s="624" t="s">
        <v>3039</v>
      </c>
    </row>
    <row r="239" spans="1:8" ht="1.95" customHeight="1"/>
    <row r="240" spans="1:8" ht="12.75" customHeight="1">
      <c r="C240" s="603" t="s">
        <v>2877</v>
      </c>
      <c r="D240" s="625" t="s">
        <v>1838</v>
      </c>
      <c r="E240" s="626"/>
      <c r="F240" s="622" t="s">
        <v>2878</v>
      </c>
      <c r="G240" s="622"/>
      <c r="H240" s="622"/>
    </row>
    <row r="241" spans="1:8" ht="12.75" customHeight="1">
      <c r="C241" s="627" t="s">
        <v>1273</v>
      </c>
      <c r="D241" s="625" t="s">
        <v>1840</v>
      </c>
      <c r="E241" s="4853" t="s">
        <v>2917</v>
      </c>
      <c r="F241" s="4853"/>
      <c r="G241" s="4853"/>
      <c r="H241" s="4853"/>
    </row>
    <row r="242" spans="1:8" ht="12.75" customHeight="1">
      <c r="C242" s="1376" t="s">
        <v>3949</v>
      </c>
      <c r="E242" s="4853" t="s">
        <v>3035</v>
      </c>
      <c r="F242" s="4853"/>
      <c r="G242" s="4853"/>
      <c r="H242" s="4853"/>
    </row>
    <row r="243" spans="1:8" ht="12.75" customHeight="1">
      <c r="C243" s="1377"/>
      <c r="D243" s="628" t="s">
        <v>2916</v>
      </c>
      <c r="E243" s="4853" t="s">
        <v>3036</v>
      </c>
      <c r="F243" s="4853"/>
      <c r="G243" s="4853"/>
      <c r="H243" s="4853"/>
    </row>
    <row r="244" spans="1:8" ht="3" customHeight="1">
      <c r="D244" s="625"/>
      <c r="E244" s="999"/>
      <c r="F244" s="999"/>
      <c r="G244" s="999"/>
      <c r="H244" s="999"/>
    </row>
    <row r="245" spans="1:8" ht="12.75" customHeight="1">
      <c r="C245" s="603" t="s">
        <v>2877</v>
      </c>
      <c r="D245" s="625" t="s">
        <v>1838</v>
      </c>
      <c r="E245" s="626"/>
      <c r="F245" s="622" t="s">
        <v>2878</v>
      </c>
      <c r="G245" s="622"/>
      <c r="H245" s="622"/>
    </row>
    <row r="246" spans="1:8" ht="12.75" customHeight="1">
      <c r="C246" s="627" t="s">
        <v>1273</v>
      </c>
      <c r="D246" s="625" t="s">
        <v>1840</v>
      </c>
      <c r="E246" s="4853" t="s">
        <v>2917</v>
      </c>
      <c r="F246" s="4853"/>
      <c r="G246" s="4853"/>
      <c r="H246" s="4853"/>
    </row>
    <row r="247" spans="1:8" ht="12.75" customHeight="1">
      <c r="C247" s="1376" t="s">
        <v>3949</v>
      </c>
      <c r="E247" s="4853" t="s">
        <v>3035</v>
      </c>
      <c r="F247" s="4853"/>
      <c r="G247" s="4853"/>
      <c r="H247" s="4853"/>
    </row>
    <row r="248" spans="1:8" ht="12.75" customHeight="1">
      <c r="C248" s="1377"/>
      <c r="D248" s="1375" t="s">
        <v>2916</v>
      </c>
      <c r="E248" s="4856" t="s">
        <v>3036</v>
      </c>
      <c r="F248" s="4856"/>
      <c r="G248" s="4856"/>
      <c r="H248" s="4856"/>
    </row>
    <row r="249" spans="1:8" ht="3" customHeight="1">
      <c r="D249" s="625"/>
      <c r="E249" s="999"/>
      <c r="F249" s="999"/>
      <c r="G249" s="999"/>
      <c r="H249" s="999"/>
    </row>
    <row r="250" spans="1:8" ht="12.75" customHeight="1">
      <c r="C250" s="603" t="s">
        <v>2877</v>
      </c>
      <c r="D250" s="625" t="s">
        <v>1838</v>
      </c>
      <c r="E250" s="626"/>
      <c r="F250" s="622" t="s">
        <v>2878</v>
      </c>
      <c r="G250" s="622"/>
      <c r="H250" s="622"/>
    </row>
    <row r="251" spans="1:8" ht="12.75" customHeight="1">
      <c r="C251" s="627" t="s">
        <v>1273</v>
      </c>
      <c r="D251" s="625" t="s">
        <v>1840</v>
      </c>
      <c r="E251" s="4853" t="s">
        <v>2917</v>
      </c>
      <c r="F251" s="4853"/>
      <c r="G251" s="4853"/>
      <c r="H251" s="4853"/>
    </row>
    <row r="252" spans="1:8" ht="12.75" customHeight="1">
      <c r="C252" s="1376" t="s">
        <v>3949</v>
      </c>
      <c r="E252" s="4853" t="s">
        <v>3035</v>
      </c>
      <c r="F252" s="4853"/>
      <c r="G252" s="4853"/>
      <c r="H252" s="4853"/>
    </row>
    <row r="253" spans="1:8" ht="12.75" customHeight="1">
      <c r="C253" s="1377"/>
      <c r="D253" s="1375" t="s">
        <v>2916</v>
      </c>
      <c r="E253" s="4856" t="s">
        <v>3036</v>
      </c>
      <c r="F253" s="4856"/>
      <c r="G253" s="4856"/>
      <c r="H253" s="4856"/>
    </row>
    <row r="254" spans="1:8" ht="6" customHeight="1">
      <c r="D254" s="625"/>
      <c r="E254" s="999"/>
      <c r="F254" s="999"/>
      <c r="G254" s="999"/>
      <c r="H254" s="999"/>
    </row>
    <row r="255" spans="1:8">
      <c r="A255" s="606" t="s">
        <v>2912</v>
      </c>
      <c r="B255" s="623" t="str">
        <f>IF('Part V-Revenues &amp; Expenses'!$O$69=0,"",'Part V-Revenues &amp; Expenses'!$O$69)</f>
        <v/>
      </c>
      <c r="C255" s="606" t="s">
        <v>3947</v>
      </c>
      <c r="D255" s="624" t="s">
        <v>3948</v>
      </c>
    </row>
    <row r="256" spans="1:8" ht="1.95" customHeight="1"/>
    <row r="257" spans="1:11" ht="12.75" customHeight="1">
      <c r="C257" s="603" t="s">
        <v>2877</v>
      </c>
      <c r="D257" s="625" t="s">
        <v>1838</v>
      </c>
      <c r="E257" s="626"/>
      <c r="F257" s="4853" t="s">
        <v>2878</v>
      </c>
      <c r="G257" s="4853"/>
      <c r="H257" s="4853"/>
      <c r="K257" s="431" t="s">
        <v>233</v>
      </c>
    </row>
    <row r="258" spans="1:11" ht="12.75" customHeight="1">
      <c r="C258" s="627" t="s">
        <v>1273</v>
      </c>
      <c r="D258" s="625" t="s">
        <v>1840</v>
      </c>
      <c r="E258" s="4853" t="s">
        <v>2918</v>
      </c>
      <c r="F258" s="4853"/>
      <c r="G258" s="4853"/>
      <c r="H258" s="4853"/>
    </row>
    <row r="259" spans="1:11" ht="12.75" customHeight="1">
      <c r="E259" s="4853" t="s">
        <v>3035</v>
      </c>
      <c r="F259" s="4853"/>
      <c r="G259" s="4853"/>
      <c r="H259" s="4853"/>
    </row>
    <row r="260" spans="1:11" ht="12.75" customHeight="1">
      <c r="D260" s="628" t="s">
        <v>2916</v>
      </c>
      <c r="E260" s="4853" t="s">
        <v>3036</v>
      </c>
      <c r="F260" s="4853"/>
      <c r="G260" s="4853"/>
      <c r="H260" s="4853"/>
    </row>
    <row r="261" spans="1:11" ht="9" customHeight="1" thickBot="1"/>
    <row r="262" spans="1:11" ht="16.2" customHeight="1" thickBot="1">
      <c r="A262" s="4854">
        <v>50</v>
      </c>
      <c r="B262" s="4855"/>
      <c r="C262" s="1378" t="s">
        <v>974</v>
      </c>
    </row>
    <row r="263" spans="1:11" ht="9" customHeight="1">
      <c r="A263" s="598"/>
    </row>
    <row r="264" spans="1:11" ht="28.2" customHeight="1">
      <c r="A264" s="4853" t="s">
        <v>3950</v>
      </c>
      <c r="B264" s="4853"/>
      <c r="C264" s="4853"/>
      <c r="D264" s="4853"/>
      <c r="E264" s="4853"/>
      <c r="F264" s="4853"/>
      <c r="G264" s="4853"/>
      <c r="H264" s="4853"/>
    </row>
    <row r="265" spans="1:11" ht="9" customHeight="1">
      <c r="A265" s="598"/>
    </row>
    <row r="266" spans="1:11">
      <c r="A266" s="606" t="s">
        <v>2912</v>
      </c>
      <c r="B266" s="623" t="str">
        <f>IF('Part V-Revenues &amp; Expenses'!$K$68=0,"",'Part V-Revenues &amp; Expenses'!$K$68)</f>
        <v/>
      </c>
      <c r="C266" s="606" t="s">
        <v>3944</v>
      </c>
      <c r="D266" s="624" t="s">
        <v>3945</v>
      </c>
    </row>
    <row r="267" spans="1:11" ht="1.95" customHeight="1"/>
    <row r="268" spans="1:11" ht="12.75" customHeight="1">
      <c r="C268" s="603" t="s">
        <v>2877</v>
      </c>
      <c r="D268" s="625" t="s">
        <v>1838</v>
      </c>
      <c r="E268" s="626"/>
      <c r="F268" s="4853" t="s">
        <v>2878</v>
      </c>
      <c r="G268" s="4853"/>
      <c r="H268" s="4853"/>
    </row>
    <row r="269" spans="1:11" ht="12.75" customHeight="1">
      <c r="C269" s="627" t="s">
        <v>1273</v>
      </c>
      <c r="D269" s="625" t="s">
        <v>1840</v>
      </c>
      <c r="E269" s="4853" t="s">
        <v>2917</v>
      </c>
      <c r="F269" s="4853"/>
      <c r="G269" s="4853"/>
      <c r="H269" s="4853"/>
    </row>
    <row r="270" spans="1:11" ht="12.75" customHeight="1">
      <c r="C270" s="1376" t="s">
        <v>3949</v>
      </c>
      <c r="E270" s="4853" t="s">
        <v>3035</v>
      </c>
      <c r="F270" s="4853"/>
      <c r="G270" s="4853"/>
      <c r="H270" s="4853"/>
    </row>
    <row r="271" spans="1:11" ht="12.75" customHeight="1">
      <c r="C271" s="1377"/>
      <c r="D271" s="1375" t="s">
        <v>2916</v>
      </c>
      <c r="E271" s="4856" t="s">
        <v>3036</v>
      </c>
      <c r="F271" s="4856"/>
      <c r="G271" s="4856"/>
      <c r="H271" s="4856"/>
    </row>
    <row r="272" spans="1:11" ht="3" customHeight="1">
      <c r="D272" s="625"/>
      <c r="E272" s="999"/>
      <c r="F272" s="999"/>
      <c r="G272" s="999"/>
      <c r="H272" s="999"/>
    </row>
    <row r="273" spans="1:8" ht="12.75" customHeight="1">
      <c r="C273" s="603" t="s">
        <v>2877</v>
      </c>
      <c r="D273" s="625" t="s">
        <v>1838</v>
      </c>
      <c r="E273" s="626"/>
      <c r="F273" s="622" t="s">
        <v>2878</v>
      </c>
      <c r="G273" s="622"/>
      <c r="H273" s="622"/>
    </row>
    <row r="274" spans="1:8" ht="12.75" customHeight="1">
      <c r="C274" s="627" t="s">
        <v>1273</v>
      </c>
      <c r="D274" s="625" t="s">
        <v>1840</v>
      </c>
      <c r="E274" s="4853" t="s">
        <v>2917</v>
      </c>
      <c r="F274" s="4853"/>
      <c r="G274" s="4853"/>
      <c r="H274" s="4853"/>
    </row>
    <row r="275" spans="1:8" ht="12.75" customHeight="1">
      <c r="C275" s="1376" t="s">
        <v>3949</v>
      </c>
      <c r="E275" s="4853" t="s">
        <v>3035</v>
      </c>
      <c r="F275" s="4853"/>
      <c r="G275" s="4853"/>
      <c r="H275" s="4853"/>
    </row>
    <row r="276" spans="1:8" ht="12.75" customHeight="1">
      <c r="C276" s="1377"/>
      <c r="D276" s="1375" t="s">
        <v>2916</v>
      </c>
      <c r="E276" s="4856" t="s">
        <v>3036</v>
      </c>
      <c r="F276" s="4856"/>
      <c r="G276" s="4856"/>
      <c r="H276" s="4856"/>
    </row>
    <row r="277" spans="1:8" ht="3" customHeight="1">
      <c r="D277" s="625"/>
      <c r="E277" s="999"/>
      <c r="F277" s="999"/>
      <c r="G277" s="999"/>
      <c r="H277" s="999"/>
    </row>
    <row r="278" spans="1:8" ht="12.75" customHeight="1">
      <c r="C278" s="603" t="s">
        <v>2877</v>
      </c>
      <c r="D278" s="625" t="s">
        <v>1838</v>
      </c>
      <c r="E278" s="626"/>
      <c r="F278" s="622" t="s">
        <v>2878</v>
      </c>
      <c r="G278" s="622"/>
      <c r="H278" s="622"/>
    </row>
    <row r="279" spans="1:8" ht="12.75" customHeight="1">
      <c r="C279" s="627" t="s">
        <v>1273</v>
      </c>
      <c r="D279" s="625" t="s">
        <v>1840</v>
      </c>
      <c r="E279" s="4853" t="s">
        <v>2917</v>
      </c>
      <c r="F279" s="4853"/>
      <c r="G279" s="4853"/>
      <c r="H279" s="4853"/>
    </row>
    <row r="280" spans="1:8" ht="12.75" customHeight="1">
      <c r="C280" s="1376" t="s">
        <v>3949</v>
      </c>
      <c r="E280" s="4853" t="s">
        <v>3035</v>
      </c>
      <c r="F280" s="4853"/>
      <c r="G280" s="4853"/>
      <c r="H280" s="4853"/>
    </row>
    <row r="281" spans="1:8" ht="12.75" customHeight="1">
      <c r="C281" s="1377"/>
      <c r="D281" s="1375" t="s">
        <v>2916</v>
      </c>
      <c r="E281" s="4856" t="s">
        <v>3036</v>
      </c>
      <c r="F281" s="4856"/>
      <c r="G281" s="4856"/>
      <c r="H281" s="4856"/>
    </row>
    <row r="282" spans="1:8" ht="6" customHeight="1">
      <c r="D282" s="625"/>
      <c r="E282" s="999"/>
      <c r="F282" s="999"/>
      <c r="G282" s="999"/>
      <c r="H282" s="999"/>
    </row>
    <row r="283" spans="1:8">
      <c r="A283" s="606" t="s">
        <v>2912</v>
      </c>
      <c r="B283" s="623">
        <f>IF('Part V-Revenues &amp; Expenses'!$L$68=0,"",'Part V-Revenues &amp; Expenses'!$L$68)</f>
        <v>4</v>
      </c>
      <c r="C283" s="606" t="s">
        <v>2913</v>
      </c>
      <c r="D283" s="624" t="s">
        <v>3037</v>
      </c>
    </row>
    <row r="284" spans="1:8" ht="1.95" customHeight="1"/>
    <row r="285" spans="1:8" ht="12.75" customHeight="1">
      <c r="C285" s="603" t="s">
        <v>2877</v>
      </c>
      <c r="D285" s="625" t="s">
        <v>1838</v>
      </c>
      <c r="E285" s="626"/>
      <c r="F285" s="622" t="s">
        <v>2878</v>
      </c>
      <c r="G285" s="622"/>
      <c r="H285" s="622"/>
    </row>
    <row r="286" spans="1:8" ht="12.75" customHeight="1">
      <c r="C286" s="627" t="s">
        <v>1273</v>
      </c>
      <c r="D286" s="625" t="s">
        <v>1840</v>
      </c>
      <c r="E286" s="4853" t="s">
        <v>2917</v>
      </c>
      <c r="F286" s="4853"/>
      <c r="G286" s="4853"/>
      <c r="H286" s="4853"/>
    </row>
    <row r="287" spans="1:8" ht="12.75" customHeight="1">
      <c r="C287" s="1376" t="s">
        <v>3949</v>
      </c>
      <c r="E287" s="4853" t="s">
        <v>3035</v>
      </c>
      <c r="F287" s="4853"/>
      <c r="G287" s="4853"/>
      <c r="H287" s="4853"/>
    </row>
    <row r="288" spans="1:8" ht="12.75" customHeight="1">
      <c r="C288" s="1377"/>
      <c r="D288" s="628" t="s">
        <v>2916</v>
      </c>
      <c r="E288" s="4853" t="s">
        <v>3036</v>
      </c>
      <c r="F288" s="4853"/>
      <c r="G288" s="4853"/>
      <c r="H288" s="4853"/>
    </row>
    <row r="289" spans="1:8" ht="3" customHeight="1">
      <c r="D289" s="625"/>
      <c r="E289" s="999"/>
      <c r="F289" s="999"/>
      <c r="G289" s="999"/>
      <c r="H289" s="999"/>
    </row>
    <row r="290" spans="1:8" ht="12.75" customHeight="1">
      <c r="C290" s="603" t="s">
        <v>2877</v>
      </c>
      <c r="D290" s="625" t="s">
        <v>1838</v>
      </c>
      <c r="E290" s="626"/>
      <c r="F290" s="622" t="s">
        <v>2878</v>
      </c>
      <c r="G290" s="622"/>
      <c r="H290" s="622"/>
    </row>
    <row r="291" spans="1:8" ht="12.75" customHeight="1">
      <c r="C291" s="627" t="s">
        <v>1273</v>
      </c>
      <c r="D291" s="625" t="s">
        <v>1840</v>
      </c>
      <c r="E291" s="4853" t="s">
        <v>2917</v>
      </c>
      <c r="F291" s="4853"/>
      <c r="G291" s="4853"/>
      <c r="H291" s="4853"/>
    </row>
    <row r="292" spans="1:8" ht="12.75" customHeight="1">
      <c r="C292" s="1376" t="s">
        <v>3949</v>
      </c>
      <c r="E292" s="4853" t="s">
        <v>3035</v>
      </c>
      <c r="F292" s="4853"/>
      <c r="G292" s="4853"/>
      <c r="H292" s="4853"/>
    </row>
    <row r="293" spans="1:8" ht="12.75" customHeight="1">
      <c r="C293" s="1377"/>
      <c r="D293" s="1375" t="s">
        <v>2916</v>
      </c>
      <c r="E293" s="4856" t="s">
        <v>3036</v>
      </c>
      <c r="F293" s="4856"/>
      <c r="G293" s="4856"/>
      <c r="H293" s="4856"/>
    </row>
    <row r="294" spans="1:8" ht="3" customHeight="1">
      <c r="D294" s="625"/>
      <c r="E294" s="999"/>
      <c r="F294" s="999"/>
      <c r="G294" s="999"/>
      <c r="H294" s="999"/>
    </row>
    <row r="295" spans="1:8" ht="12.75" customHeight="1">
      <c r="C295" s="603" t="s">
        <v>2877</v>
      </c>
      <c r="D295" s="625" t="s">
        <v>1838</v>
      </c>
      <c r="E295" s="626"/>
      <c r="F295" s="622" t="s">
        <v>2878</v>
      </c>
      <c r="G295" s="622"/>
      <c r="H295" s="622"/>
    </row>
    <row r="296" spans="1:8" ht="12.75" customHeight="1">
      <c r="C296" s="627" t="s">
        <v>1273</v>
      </c>
      <c r="D296" s="625" t="s">
        <v>1840</v>
      </c>
      <c r="E296" s="4853" t="s">
        <v>2917</v>
      </c>
      <c r="F296" s="4853"/>
      <c r="G296" s="4853"/>
      <c r="H296" s="4853"/>
    </row>
    <row r="297" spans="1:8" ht="12.75" customHeight="1">
      <c r="C297" s="1376" t="s">
        <v>3949</v>
      </c>
      <c r="E297" s="4853" t="s">
        <v>3035</v>
      </c>
      <c r="F297" s="4853"/>
      <c r="G297" s="4853"/>
      <c r="H297" s="4853"/>
    </row>
    <row r="298" spans="1:8" ht="12.75" customHeight="1">
      <c r="C298" s="1377"/>
      <c r="D298" s="1375" t="s">
        <v>2916</v>
      </c>
      <c r="E298" s="4856" t="s">
        <v>3036</v>
      </c>
      <c r="F298" s="4856"/>
      <c r="G298" s="4856"/>
      <c r="H298" s="4856"/>
    </row>
    <row r="299" spans="1:8" ht="6" customHeight="1">
      <c r="D299" s="625"/>
      <c r="E299" s="999"/>
      <c r="F299" s="999"/>
      <c r="G299" s="999"/>
      <c r="H299" s="999"/>
    </row>
    <row r="300" spans="1:8">
      <c r="A300" s="606" t="s">
        <v>2912</v>
      </c>
      <c r="B300" s="623">
        <f>IF('Part V-Revenues &amp; Expenses'!$M$68=0,"",'Part V-Revenues &amp; Expenses'!$M$68)</f>
        <v>12</v>
      </c>
      <c r="C300" s="606" t="s">
        <v>2914</v>
      </c>
      <c r="D300" s="624" t="s">
        <v>3038</v>
      </c>
    </row>
    <row r="301" spans="1:8" ht="1.95" customHeight="1"/>
    <row r="302" spans="1:8" ht="12.75" customHeight="1">
      <c r="C302" s="603" t="s">
        <v>2877</v>
      </c>
      <c r="D302" s="625" t="s">
        <v>1838</v>
      </c>
      <c r="E302" s="626"/>
      <c r="F302" s="622" t="s">
        <v>2878</v>
      </c>
      <c r="G302" s="622"/>
      <c r="H302" s="622"/>
    </row>
    <row r="303" spans="1:8" ht="12.75" customHeight="1">
      <c r="C303" s="627" t="s">
        <v>1273</v>
      </c>
      <c r="D303" s="625" t="s">
        <v>1840</v>
      </c>
      <c r="E303" s="4853" t="s">
        <v>2917</v>
      </c>
      <c r="F303" s="4853"/>
      <c r="G303" s="4853"/>
      <c r="H303" s="4853"/>
    </row>
    <row r="304" spans="1:8" ht="12.75" customHeight="1">
      <c r="C304" s="1376" t="s">
        <v>3949</v>
      </c>
      <c r="E304" s="4853" t="s">
        <v>3035</v>
      </c>
      <c r="F304" s="4853"/>
      <c r="G304" s="4853"/>
      <c r="H304" s="4853"/>
    </row>
    <row r="305" spans="1:8" ht="12.75" customHeight="1">
      <c r="C305" s="1377"/>
      <c r="D305" s="628" t="s">
        <v>2916</v>
      </c>
      <c r="E305" s="4853" t="s">
        <v>3036</v>
      </c>
      <c r="F305" s="4853"/>
      <c r="G305" s="4853"/>
      <c r="H305" s="4853"/>
    </row>
    <row r="306" spans="1:8" ht="3" customHeight="1">
      <c r="D306" s="625"/>
      <c r="E306" s="999"/>
      <c r="F306" s="999"/>
      <c r="G306" s="999"/>
      <c r="H306" s="999"/>
    </row>
    <row r="307" spans="1:8" ht="12.75" customHeight="1">
      <c r="C307" s="603" t="s">
        <v>2877</v>
      </c>
      <c r="D307" s="625" t="s">
        <v>1838</v>
      </c>
      <c r="E307" s="626"/>
      <c r="F307" s="622" t="s">
        <v>2878</v>
      </c>
      <c r="G307" s="622"/>
      <c r="H307" s="622"/>
    </row>
    <row r="308" spans="1:8" ht="12.75" customHeight="1">
      <c r="C308" s="627" t="s">
        <v>1273</v>
      </c>
      <c r="D308" s="625" t="s">
        <v>1840</v>
      </c>
      <c r="E308" s="4853" t="s">
        <v>2917</v>
      </c>
      <c r="F308" s="4853"/>
      <c r="G308" s="4853"/>
      <c r="H308" s="4853"/>
    </row>
    <row r="309" spans="1:8" ht="12.75" customHeight="1">
      <c r="C309" s="1376" t="s">
        <v>3949</v>
      </c>
      <c r="E309" s="4853" t="s">
        <v>3035</v>
      </c>
      <c r="F309" s="4853"/>
      <c r="G309" s="4853"/>
      <c r="H309" s="4853"/>
    </row>
    <row r="310" spans="1:8" ht="12.75" customHeight="1">
      <c r="C310" s="1377"/>
      <c r="D310" s="1375" t="s">
        <v>2916</v>
      </c>
      <c r="E310" s="4856" t="s">
        <v>3036</v>
      </c>
      <c r="F310" s="4856"/>
      <c r="G310" s="4856"/>
      <c r="H310" s="4856"/>
    </row>
    <row r="311" spans="1:8" ht="3" customHeight="1">
      <c r="D311" s="625"/>
      <c r="E311" s="999"/>
      <c r="F311" s="999"/>
      <c r="G311" s="999"/>
      <c r="H311" s="999"/>
    </row>
    <row r="312" spans="1:8" ht="12.75" customHeight="1">
      <c r="C312" s="603" t="s">
        <v>2877</v>
      </c>
      <c r="D312" s="625" t="s">
        <v>1838</v>
      </c>
      <c r="E312" s="626"/>
      <c r="F312" s="622" t="s">
        <v>2878</v>
      </c>
      <c r="G312" s="622"/>
      <c r="H312" s="622"/>
    </row>
    <row r="313" spans="1:8" ht="12.75" customHeight="1">
      <c r="C313" s="627" t="s">
        <v>1273</v>
      </c>
      <c r="D313" s="625" t="s">
        <v>1840</v>
      </c>
      <c r="E313" s="4853" t="s">
        <v>2917</v>
      </c>
      <c r="F313" s="4853"/>
      <c r="G313" s="4853"/>
      <c r="H313" s="4853"/>
    </row>
    <row r="314" spans="1:8" ht="12.75" customHeight="1">
      <c r="C314" s="1376" t="s">
        <v>3949</v>
      </c>
      <c r="E314" s="4853" t="s">
        <v>3035</v>
      </c>
      <c r="F314" s="4853"/>
      <c r="G314" s="4853"/>
      <c r="H314" s="4853"/>
    </row>
    <row r="315" spans="1:8" ht="12.75" customHeight="1">
      <c r="C315" s="1377"/>
      <c r="D315" s="1375" t="s">
        <v>2916</v>
      </c>
      <c r="E315" s="4856" t="s">
        <v>3036</v>
      </c>
      <c r="F315" s="4856"/>
      <c r="G315" s="4856"/>
      <c r="H315" s="4856"/>
    </row>
    <row r="316" spans="1:8" ht="6" customHeight="1">
      <c r="D316" s="625"/>
      <c r="E316" s="999"/>
      <c r="F316" s="999"/>
      <c r="G316" s="999"/>
      <c r="H316" s="999"/>
    </row>
    <row r="317" spans="1:8">
      <c r="A317" s="606" t="s">
        <v>2912</v>
      </c>
      <c r="B317" s="623" t="str">
        <f>IF('Part V-Revenues &amp; Expenses'!$N$68=0,"",'Part V-Revenues &amp; Expenses'!$N$68)</f>
        <v/>
      </c>
      <c r="C317" s="606" t="s">
        <v>2915</v>
      </c>
      <c r="D317" s="624" t="s">
        <v>3039</v>
      </c>
    </row>
    <row r="318" spans="1:8" ht="1.95" customHeight="1"/>
    <row r="319" spans="1:8" ht="12.75" customHeight="1">
      <c r="C319" s="603" t="s">
        <v>2877</v>
      </c>
      <c r="D319" s="625" t="s">
        <v>1838</v>
      </c>
      <c r="E319" s="626"/>
      <c r="F319" s="622" t="s">
        <v>2878</v>
      </c>
      <c r="G319" s="622"/>
      <c r="H319" s="622"/>
    </row>
    <row r="320" spans="1:8" ht="12.75" customHeight="1">
      <c r="C320" s="627" t="s">
        <v>1273</v>
      </c>
      <c r="D320" s="625" t="s">
        <v>1840</v>
      </c>
      <c r="E320" s="4853" t="s">
        <v>2917</v>
      </c>
      <c r="F320" s="4853"/>
      <c r="G320" s="4853"/>
      <c r="H320" s="4853"/>
    </row>
    <row r="321" spans="1:11" ht="12.75" customHeight="1">
      <c r="C321" s="1376" t="s">
        <v>3949</v>
      </c>
      <c r="E321" s="4853" t="s">
        <v>3035</v>
      </c>
      <c r="F321" s="4853"/>
      <c r="G321" s="4853"/>
      <c r="H321" s="4853"/>
    </row>
    <row r="322" spans="1:11" ht="12.75" customHeight="1">
      <c r="C322" s="1377"/>
      <c r="D322" s="628" t="s">
        <v>2916</v>
      </c>
      <c r="E322" s="4853" t="s">
        <v>3036</v>
      </c>
      <c r="F322" s="4853"/>
      <c r="G322" s="4853"/>
      <c r="H322" s="4853"/>
    </row>
    <row r="323" spans="1:11" ht="3" customHeight="1">
      <c r="D323" s="625"/>
      <c r="E323" s="999"/>
      <c r="F323" s="999"/>
      <c r="G323" s="999"/>
      <c r="H323" s="999"/>
    </row>
    <row r="324" spans="1:11" ht="12.75" customHeight="1">
      <c r="C324" s="603" t="s">
        <v>2877</v>
      </c>
      <c r="D324" s="625" t="s">
        <v>1838</v>
      </c>
      <c r="E324" s="626"/>
      <c r="F324" s="622" t="s">
        <v>2878</v>
      </c>
      <c r="G324" s="622"/>
      <c r="H324" s="622"/>
    </row>
    <row r="325" spans="1:11" ht="12.75" customHeight="1">
      <c r="C325" s="627" t="s">
        <v>1273</v>
      </c>
      <c r="D325" s="625" t="s">
        <v>1840</v>
      </c>
      <c r="E325" s="4853" t="s">
        <v>2917</v>
      </c>
      <c r="F325" s="4853"/>
      <c r="G325" s="4853"/>
      <c r="H325" s="4853"/>
    </row>
    <row r="326" spans="1:11" ht="12.75" customHeight="1">
      <c r="C326" s="1376" t="s">
        <v>3949</v>
      </c>
      <c r="E326" s="4853" t="s">
        <v>3035</v>
      </c>
      <c r="F326" s="4853"/>
      <c r="G326" s="4853"/>
      <c r="H326" s="4853"/>
    </row>
    <row r="327" spans="1:11" ht="12.75" customHeight="1">
      <c r="C327" s="1377"/>
      <c r="D327" s="1375" t="s">
        <v>2916</v>
      </c>
      <c r="E327" s="4856" t="s">
        <v>3036</v>
      </c>
      <c r="F327" s="4856"/>
      <c r="G327" s="4856"/>
      <c r="H327" s="4856"/>
    </row>
    <row r="328" spans="1:11" ht="3" customHeight="1">
      <c r="D328" s="625"/>
      <c r="E328" s="999"/>
      <c r="F328" s="999"/>
      <c r="G328" s="999"/>
      <c r="H328" s="999"/>
    </row>
    <row r="329" spans="1:11" ht="12.75" customHeight="1">
      <c r="C329" s="603" t="s">
        <v>2877</v>
      </c>
      <c r="D329" s="625" t="s">
        <v>1838</v>
      </c>
      <c r="E329" s="626"/>
      <c r="F329" s="622" t="s">
        <v>2878</v>
      </c>
      <c r="G329" s="622"/>
      <c r="H329" s="622"/>
    </row>
    <row r="330" spans="1:11" ht="12.75" customHeight="1">
      <c r="C330" s="627" t="s">
        <v>1273</v>
      </c>
      <c r="D330" s="625" t="s">
        <v>1840</v>
      </c>
      <c r="E330" s="4853" t="s">
        <v>2917</v>
      </c>
      <c r="F330" s="4853"/>
      <c r="G330" s="4853"/>
      <c r="H330" s="4853"/>
    </row>
    <row r="331" spans="1:11" ht="12.75" customHeight="1">
      <c r="C331" s="1376" t="s">
        <v>3949</v>
      </c>
      <c r="E331" s="4853" t="s">
        <v>3035</v>
      </c>
      <c r="F331" s="4853"/>
      <c r="G331" s="4853"/>
      <c r="H331" s="4853"/>
    </row>
    <row r="332" spans="1:11" ht="12.75" customHeight="1">
      <c r="C332" s="1377"/>
      <c r="D332" s="1375" t="s">
        <v>2916</v>
      </c>
      <c r="E332" s="4856" t="s">
        <v>3036</v>
      </c>
      <c r="F332" s="4856"/>
      <c r="G332" s="4856"/>
      <c r="H332" s="4856"/>
    </row>
    <row r="333" spans="1:11" ht="6" customHeight="1">
      <c r="D333" s="625"/>
      <c r="E333" s="999"/>
      <c r="F333" s="999"/>
      <c r="G333" s="999"/>
      <c r="H333" s="999"/>
    </row>
    <row r="334" spans="1:11">
      <c r="A334" s="606" t="s">
        <v>2912</v>
      </c>
      <c r="B334" s="623" t="str">
        <f>IF('Part V-Revenues &amp; Expenses'!$O$68=0,"",'Part V-Revenues &amp; Expenses'!$O$68)</f>
        <v/>
      </c>
      <c r="C334" s="606" t="s">
        <v>3947</v>
      </c>
      <c r="D334" s="624" t="s">
        <v>3948</v>
      </c>
    </row>
    <row r="335" spans="1:11" ht="1.95" customHeight="1"/>
    <row r="336" spans="1:11" ht="12.75" customHeight="1">
      <c r="C336" s="603" t="s">
        <v>2877</v>
      </c>
      <c r="D336" s="625" t="s">
        <v>1838</v>
      </c>
      <c r="E336" s="626"/>
      <c r="F336" s="4853" t="s">
        <v>2878</v>
      </c>
      <c r="G336" s="4853"/>
      <c r="H336" s="4853"/>
      <c r="K336" s="431" t="s">
        <v>233</v>
      </c>
    </row>
    <row r="337" spans="1:8" ht="12.75" customHeight="1">
      <c r="C337" s="627" t="s">
        <v>1273</v>
      </c>
      <c r="D337" s="625" t="s">
        <v>1840</v>
      </c>
      <c r="E337" s="4853" t="s">
        <v>2918</v>
      </c>
      <c r="F337" s="4853"/>
      <c r="G337" s="4853"/>
      <c r="H337" s="4853"/>
    </row>
    <row r="338" spans="1:8" ht="12.75" customHeight="1">
      <c r="E338" s="4853" t="s">
        <v>3035</v>
      </c>
      <c r="F338" s="4853"/>
      <c r="G338" s="4853"/>
      <c r="H338" s="4853"/>
    </row>
    <row r="339" spans="1:8" ht="12.75" customHeight="1">
      <c r="D339" s="628" t="s">
        <v>2916</v>
      </c>
      <c r="E339" s="4853" t="s">
        <v>3036</v>
      </c>
      <c r="F339" s="4853"/>
      <c r="G339" s="4853"/>
      <c r="H339" s="4853"/>
    </row>
    <row r="340" spans="1:8" ht="9" customHeight="1"/>
    <row r="341" spans="1:8" ht="7.5" customHeight="1" thickBot="1">
      <c r="E341" s="4853"/>
      <c r="F341" s="4853"/>
      <c r="G341" s="4853"/>
      <c r="H341" s="4853"/>
    </row>
    <row r="342" spans="1:8" ht="16.2" customHeight="1" thickBot="1">
      <c r="A342" s="4854">
        <v>60</v>
      </c>
      <c r="B342" s="4855"/>
      <c r="C342" s="1378" t="s">
        <v>974</v>
      </c>
    </row>
    <row r="343" spans="1:8" ht="9" customHeight="1">
      <c r="A343" s="598"/>
    </row>
    <row r="344" spans="1:8" ht="28.2" customHeight="1">
      <c r="A344" s="4853" t="s">
        <v>3954</v>
      </c>
      <c r="B344" s="4853"/>
      <c r="C344" s="4853"/>
      <c r="D344" s="4853"/>
      <c r="E344" s="4853"/>
      <c r="F344" s="4853"/>
      <c r="G344" s="4853"/>
      <c r="H344" s="4853"/>
    </row>
    <row r="345" spans="1:8" ht="9" customHeight="1">
      <c r="A345" s="598"/>
    </row>
    <row r="346" spans="1:8">
      <c r="A346" s="606" t="s">
        <v>2912</v>
      </c>
      <c r="B346" s="623" t="str">
        <f>IF('Part V-Revenues &amp; Expenses'!$K$67=0,"",'Part V-Revenues &amp; Expenses'!$K$67)</f>
        <v/>
      </c>
      <c r="C346" s="606" t="s">
        <v>3944</v>
      </c>
      <c r="D346" s="624" t="s">
        <v>3945</v>
      </c>
    </row>
    <row r="347" spans="1:8" ht="1.95" customHeight="1"/>
    <row r="348" spans="1:8" ht="12.75" customHeight="1">
      <c r="C348" s="603" t="s">
        <v>2877</v>
      </c>
      <c r="D348" s="625" t="s">
        <v>1838</v>
      </c>
      <c r="E348" s="626"/>
      <c r="F348" s="4853" t="s">
        <v>2878</v>
      </c>
      <c r="G348" s="4853"/>
      <c r="H348" s="4853"/>
    </row>
    <row r="349" spans="1:8" ht="12.75" customHeight="1">
      <c r="C349" s="627" t="s">
        <v>1273</v>
      </c>
      <c r="D349" s="625" t="s">
        <v>1840</v>
      </c>
      <c r="E349" s="4853" t="s">
        <v>2917</v>
      </c>
      <c r="F349" s="4853"/>
      <c r="G349" s="4853"/>
      <c r="H349" s="4853"/>
    </row>
    <row r="350" spans="1:8" ht="12.75" customHeight="1">
      <c r="C350" s="1376" t="s">
        <v>3949</v>
      </c>
      <c r="E350" s="4853" t="s">
        <v>3035</v>
      </c>
      <c r="F350" s="4853"/>
      <c r="G350" s="4853"/>
      <c r="H350" s="4853"/>
    </row>
    <row r="351" spans="1:8" ht="12.75" customHeight="1">
      <c r="C351" s="1377"/>
      <c r="D351" s="1375" t="s">
        <v>2916</v>
      </c>
      <c r="E351" s="4856" t="s">
        <v>3036</v>
      </c>
      <c r="F351" s="4856"/>
      <c r="G351" s="4856"/>
      <c r="H351" s="4856"/>
    </row>
    <row r="352" spans="1:8" ht="3" customHeight="1">
      <c r="D352" s="625"/>
      <c r="E352" s="999"/>
      <c r="F352" s="999"/>
      <c r="G352" s="999"/>
      <c r="H352" s="999"/>
    </row>
    <row r="353" spans="1:8" ht="12.75" customHeight="1">
      <c r="C353" s="603" t="s">
        <v>2877</v>
      </c>
      <c r="D353" s="625" t="s">
        <v>1838</v>
      </c>
      <c r="E353" s="626"/>
      <c r="F353" s="622" t="s">
        <v>2878</v>
      </c>
      <c r="G353" s="622"/>
      <c r="H353" s="622"/>
    </row>
    <row r="354" spans="1:8" ht="12.75" customHeight="1">
      <c r="C354" s="627" t="s">
        <v>1273</v>
      </c>
      <c r="D354" s="625" t="s">
        <v>1840</v>
      </c>
      <c r="E354" s="4853" t="s">
        <v>2917</v>
      </c>
      <c r="F354" s="4853"/>
      <c r="G354" s="4853"/>
      <c r="H354" s="4853"/>
    </row>
    <row r="355" spans="1:8" ht="12.75" customHeight="1">
      <c r="C355" s="1376" t="s">
        <v>3949</v>
      </c>
      <c r="E355" s="4853" t="s">
        <v>3035</v>
      </c>
      <c r="F355" s="4853"/>
      <c r="G355" s="4853"/>
      <c r="H355" s="4853"/>
    </row>
    <row r="356" spans="1:8" ht="12.75" customHeight="1">
      <c r="C356" s="1377"/>
      <c r="D356" s="1375" t="s">
        <v>2916</v>
      </c>
      <c r="E356" s="4856" t="s">
        <v>3036</v>
      </c>
      <c r="F356" s="4856"/>
      <c r="G356" s="4856"/>
      <c r="H356" s="4856"/>
    </row>
    <row r="357" spans="1:8" ht="3" customHeight="1">
      <c r="D357" s="625"/>
      <c r="E357" s="999"/>
      <c r="F357" s="999"/>
      <c r="G357" s="999"/>
      <c r="H357" s="999"/>
    </row>
    <row r="358" spans="1:8" ht="12.75" customHeight="1">
      <c r="C358" s="603" t="s">
        <v>2877</v>
      </c>
      <c r="D358" s="625" t="s">
        <v>1838</v>
      </c>
      <c r="E358" s="626"/>
      <c r="F358" s="622" t="s">
        <v>2878</v>
      </c>
      <c r="G358" s="622"/>
      <c r="H358" s="622"/>
    </row>
    <row r="359" spans="1:8" ht="12.75" customHeight="1">
      <c r="C359" s="627" t="s">
        <v>1273</v>
      </c>
      <c r="D359" s="625" t="s">
        <v>1840</v>
      </c>
      <c r="E359" s="4853" t="s">
        <v>2917</v>
      </c>
      <c r="F359" s="4853"/>
      <c r="G359" s="4853"/>
      <c r="H359" s="4853"/>
    </row>
    <row r="360" spans="1:8" ht="12.75" customHeight="1">
      <c r="C360" s="1376" t="s">
        <v>3949</v>
      </c>
      <c r="E360" s="4853" t="s">
        <v>3035</v>
      </c>
      <c r="F360" s="4853"/>
      <c r="G360" s="4853"/>
      <c r="H360" s="4853"/>
    </row>
    <row r="361" spans="1:8" ht="12.75" customHeight="1">
      <c r="C361" s="1377"/>
      <c r="D361" s="1375" t="s">
        <v>2916</v>
      </c>
      <c r="E361" s="4856" t="s">
        <v>3036</v>
      </c>
      <c r="F361" s="4856"/>
      <c r="G361" s="4856"/>
      <c r="H361" s="4856"/>
    </row>
    <row r="362" spans="1:8" ht="6" customHeight="1">
      <c r="D362" s="625"/>
      <c r="E362" s="999"/>
      <c r="F362" s="999"/>
      <c r="G362" s="999"/>
      <c r="H362" s="999"/>
    </row>
    <row r="363" spans="1:8">
      <c r="A363" s="606" t="s">
        <v>2912</v>
      </c>
      <c r="B363" s="623">
        <f>IF('Part V-Revenues &amp; Expenses'!$L$67=0,"",'Part V-Revenues &amp; Expenses'!$L$67)</f>
        <v>24</v>
      </c>
      <c r="C363" s="606" t="s">
        <v>2913</v>
      </c>
      <c r="D363" s="624" t="s">
        <v>3037</v>
      </c>
    </row>
    <row r="364" spans="1:8" ht="1.95" customHeight="1"/>
    <row r="365" spans="1:8" ht="12.75" customHeight="1">
      <c r="C365" s="603" t="s">
        <v>2877</v>
      </c>
      <c r="D365" s="625" t="s">
        <v>1838</v>
      </c>
      <c r="E365" s="626"/>
      <c r="F365" s="622" t="s">
        <v>2878</v>
      </c>
      <c r="G365" s="622"/>
      <c r="H365" s="622"/>
    </row>
    <row r="366" spans="1:8" ht="12.75" customHeight="1">
      <c r="C366" s="627" t="s">
        <v>1273</v>
      </c>
      <c r="D366" s="625" t="s">
        <v>1840</v>
      </c>
      <c r="E366" s="4853" t="s">
        <v>2917</v>
      </c>
      <c r="F366" s="4853"/>
      <c r="G366" s="4853"/>
      <c r="H366" s="4853"/>
    </row>
    <row r="367" spans="1:8" ht="12.75" customHeight="1">
      <c r="C367" s="1376" t="s">
        <v>3949</v>
      </c>
      <c r="E367" s="4853" t="s">
        <v>3035</v>
      </c>
      <c r="F367" s="4853"/>
      <c r="G367" s="4853"/>
      <c r="H367" s="4853"/>
    </row>
    <row r="368" spans="1:8" ht="12.75" customHeight="1">
      <c r="C368" s="1377"/>
      <c r="D368" s="628" t="s">
        <v>2916</v>
      </c>
      <c r="E368" s="4853" t="s">
        <v>3036</v>
      </c>
      <c r="F368" s="4853"/>
      <c r="G368" s="4853"/>
      <c r="H368" s="4853"/>
    </row>
    <row r="369" spans="1:8" ht="3" customHeight="1">
      <c r="D369" s="625"/>
      <c r="E369" s="999"/>
      <c r="F369" s="999"/>
      <c r="G369" s="999"/>
      <c r="H369" s="999"/>
    </row>
    <row r="370" spans="1:8" ht="12.75" customHeight="1">
      <c r="C370" s="603" t="s">
        <v>2877</v>
      </c>
      <c r="D370" s="625" t="s">
        <v>1838</v>
      </c>
      <c r="E370" s="626"/>
      <c r="F370" s="622" t="s">
        <v>2878</v>
      </c>
      <c r="G370" s="622"/>
      <c r="H370" s="622"/>
    </row>
    <row r="371" spans="1:8" ht="12.75" customHeight="1">
      <c r="C371" s="627" t="s">
        <v>1273</v>
      </c>
      <c r="D371" s="625" t="s">
        <v>1840</v>
      </c>
      <c r="E371" s="4853" t="s">
        <v>2917</v>
      </c>
      <c r="F371" s="4853"/>
      <c r="G371" s="4853"/>
      <c r="H371" s="4853"/>
    </row>
    <row r="372" spans="1:8" ht="12.75" customHeight="1">
      <c r="C372" s="1376" t="s">
        <v>3949</v>
      </c>
      <c r="E372" s="4853" t="s">
        <v>3035</v>
      </c>
      <c r="F372" s="4853"/>
      <c r="G372" s="4853"/>
      <c r="H372" s="4853"/>
    </row>
    <row r="373" spans="1:8" ht="12.75" customHeight="1">
      <c r="C373" s="1377"/>
      <c r="D373" s="1375" t="s">
        <v>2916</v>
      </c>
      <c r="E373" s="4856" t="s">
        <v>3036</v>
      </c>
      <c r="F373" s="4856"/>
      <c r="G373" s="4856"/>
      <c r="H373" s="4856"/>
    </row>
    <row r="374" spans="1:8" ht="3" customHeight="1">
      <c r="D374" s="625"/>
      <c r="E374" s="999"/>
      <c r="F374" s="999"/>
      <c r="G374" s="999"/>
      <c r="H374" s="999"/>
    </row>
    <row r="375" spans="1:8" ht="12.75" customHeight="1">
      <c r="C375" s="603" t="s">
        <v>2877</v>
      </c>
      <c r="D375" s="625" t="s">
        <v>1838</v>
      </c>
      <c r="E375" s="626"/>
      <c r="F375" s="622" t="s">
        <v>2878</v>
      </c>
      <c r="G375" s="622"/>
      <c r="H375" s="622"/>
    </row>
    <row r="376" spans="1:8" ht="12.75" customHeight="1">
      <c r="C376" s="627" t="s">
        <v>1273</v>
      </c>
      <c r="D376" s="625" t="s">
        <v>1840</v>
      </c>
      <c r="E376" s="4853" t="s">
        <v>2917</v>
      </c>
      <c r="F376" s="4853"/>
      <c r="G376" s="4853"/>
      <c r="H376" s="4853"/>
    </row>
    <row r="377" spans="1:8" ht="12.75" customHeight="1">
      <c r="C377" s="1376" t="s">
        <v>3949</v>
      </c>
      <c r="E377" s="4853" t="s">
        <v>3035</v>
      </c>
      <c r="F377" s="4853"/>
      <c r="G377" s="4853"/>
      <c r="H377" s="4853"/>
    </row>
    <row r="378" spans="1:8" ht="12.75" customHeight="1">
      <c r="C378" s="1377"/>
      <c r="D378" s="1375" t="s">
        <v>2916</v>
      </c>
      <c r="E378" s="4856" t="s">
        <v>3036</v>
      </c>
      <c r="F378" s="4856"/>
      <c r="G378" s="4856"/>
      <c r="H378" s="4856"/>
    </row>
    <row r="379" spans="1:8" ht="6" customHeight="1">
      <c r="D379" s="625"/>
      <c r="E379" s="999"/>
      <c r="F379" s="999"/>
      <c r="G379" s="999"/>
      <c r="H379" s="999"/>
    </row>
    <row r="380" spans="1:8">
      <c r="A380" s="606" t="s">
        <v>2912</v>
      </c>
      <c r="B380" s="623">
        <f>IF('Part V-Revenues &amp; Expenses'!$M$67=0,"",'Part V-Revenues &amp; Expenses'!$M$67)</f>
        <v>72</v>
      </c>
      <c r="C380" s="606" t="s">
        <v>2914</v>
      </c>
      <c r="D380" s="624" t="s">
        <v>3038</v>
      </c>
    </row>
    <row r="381" spans="1:8" ht="1.95" customHeight="1"/>
    <row r="382" spans="1:8" ht="12.75" customHeight="1">
      <c r="C382" s="603" t="s">
        <v>2877</v>
      </c>
      <c r="D382" s="625" t="s">
        <v>1838</v>
      </c>
      <c r="E382" s="626"/>
      <c r="F382" s="622" t="s">
        <v>2878</v>
      </c>
      <c r="G382" s="622"/>
      <c r="H382" s="622"/>
    </row>
    <row r="383" spans="1:8" ht="12.75" customHeight="1">
      <c r="C383" s="627" t="s">
        <v>1273</v>
      </c>
      <c r="D383" s="625" t="s">
        <v>1840</v>
      </c>
      <c r="E383" s="4853" t="s">
        <v>2917</v>
      </c>
      <c r="F383" s="4853"/>
      <c r="G383" s="4853"/>
      <c r="H383" s="4853"/>
    </row>
    <row r="384" spans="1:8" ht="12.75" customHeight="1">
      <c r="C384" s="1376" t="s">
        <v>3949</v>
      </c>
      <c r="E384" s="4853" t="s">
        <v>3035</v>
      </c>
      <c r="F384" s="4853"/>
      <c r="G384" s="4853"/>
      <c r="H384" s="4853"/>
    </row>
    <row r="385" spans="1:8" ht="12.75" customHeight="1">
      <c r="C385" s="1377"/>
      <c r="D385" s="628" t="s">
        <v>2916</v>
      </c>
      <c r="E385" s="4853" t="s">
        <v>3036</v>
      </c>
      <c r="F385" s="4853"/>
      <c r="G385" s="4853"/>
      <c r="H385" s="4853"/>
    </row>
    <row r="386" spans="1:8" ht="3" customHeight="1">
      <c r="D386" s="625"/>
      <c r="E386" s="999"/>
      <c r="F386" s="999"/>
      <c r="G386" s="999"/>
      <c r="H386" s="999"/>
    </row>
    <row r="387" spans="1:8" ht="12.75" customHeight="1">
      <c r="C387" s="603" t="s">
        <v>2877</v>
      </c>
      <c r="D387" s="625" t="s">
        <v>1838</v>
      </c>
      <c r="E387" s="626"/>
      <c r="F387" s="622" t="s">
        <v>2878</v>
      </c>
      <c r="G387" s="622"/>
      <c r="H387" s="622"/>
    </row>
    <row r="388" spans="1:8" ht="12.75" customHeight="1">
      <c r="C388" s="627" t="s">
        <v>1273</v>
      </c>
      <c r="D388" s="625" t="s">
        <v>1840</v>
      </c>
      <c r="E388" s="4853" t="s">
        <v>2917</v>
      </c>
      <c r="F388" s="4853"/>
      <c r="G388" s="4853"/>
      <c r="H388" s="4853"/>
    </row>
    <row r="389" spans="1:8" ht="12.75" customHeight="1">
      <c r="C389" s="1376" t="s">
        <v>3949</v>
      </c>
      <c r="E389" s="4853" t="s">
        <v>3035</v>
      </c>
      <c r="F389" s="4853"/>
      <c r="G389" s="4853"/>
      <c r="H389" s="4853"/>
    </row>
    <row r="390" spans="1:8" ht="12.75" customHeight="1">
      <c r="C390" s="1377"/>
      <c r="D390" s="1375" t="s">
        <v>2916</v>
      </c>
      <c r="E390" s="4856" t="s">
        <v>3036</v>
      </c>
      <c r="F390" s="4856"/>
      <c r="G390" s="4856"/>
      <c r="H390" s="4856"/>
    </row>
    <row r="391" spans="1:8" ht="3" customHeight="1">
      <c r="D391" s="625"/>
      <c r="E391" s="999"/>
      <c r="F391" s="999"/>
      <c r="G391" s="999"/>
      <c r="H391" s="999"/>
    </row>
    <row r="392" spans="1:8" ht="12.75" customHeight="1">
      <c r="C392" s="603" t="s">
        <v>2877</v>
      </c>
      <c r="D392" s="625" t="s">
        <v>1838</v>
      </c>
      <c r="E392" s="626"/>
      <c r="F392" s="622" t="s">
        <v>2878</v>
      </c>
      <c r="G392" s="622"/>
      <c r="H392" s="622"/>
    </row>
    <row r="393" spans="1:8" ht="12.75" customHeight="1">
      <c r="C393" s="627" t="s">
        <v>1273</v>
      </c>
      <c r="D393" s="625" t="s">
        <v>1840</v>
      </c>
      <c r="E393" s="4853" t="s">
        <v>2917</v>
      </c>
      <c r="F393" s="4853"/>
      <c r="G393" s="4853"/>
      <c r="H393" s="4853"/>
    </row>
    <row r="394" spans="1:8" ht="12.75" customHeight="1">
      <c r="C394" s="1376" t="s">
        <v>3949</v>
      </c>
      <c r="E394" s="4853" t="s">
        <v>3035</v>
      </c>
      <c r="F394" s="4853"/>
      <c r="G394" s="4853"/>
      <c r="H394" s="4853"/>
    </row>
    <row r="395" spans="1:8" ht="12.75" customHeight="1">
      <c r="C395" s="1377"/>
      <c r="D395" s="1375" t="s">
        <v>2916</v>
      </c>
      <c r="E395" s="4856" t="s">
        <v>3036</v>
      </c>
      <c r="F395" s="4856"/>
      <c r="G395" s="4856"/>
      <c r="H395" s="4856"/>
    </row>
    <row r="396" spans="1:8" ht="6" customHeight="1">
      <c r="D396" s="625"/>
      <c r="E396" s="999"/>
      <c r="F396" s="999"/>
      <c r="G396" s="999"/>
      <c r="H396" s="999"/>
    </row>
    <row r="397" spans="1:8">
      <c r="A397" s="606" t="s">
        <v>2912</v>
      </c>
      <c r="B397" s="623" t="str">
        <f>IF('Part V-Revenues &amp; Expenses'!$N$67=0,"",'Part V-Revenues &amp; Expenses'!$N$67)</f>
        <v/>
      </c>
      <c r="C397" s="606" t="s">
        <v>2915</v>
      </c>
      <c r="D397" s="624" t="s">
        <v>3039</v>
      </c>
    </row>
    <row r="398" spans="1:8" ht="1.95" customHeight="1"/>
    <row r="399" spans="1:8" ht="12.75" customHeight="1">
      <c r="C399" s="603" t="s">
        <v>2877</v>
      </c>
      <c r="D399" s="625" t="s">
        <v>1838</v>
      </c>
      <c r="E399" s="626"/>
      <c r="F399" s="622" t="s">
        <v>2878</v>
      </c>
      <c r="G399" s="622"/>
      <c r="H399" s="622"/>
    </row>
    <row r="400" spans="1:8" ht="12.75" customHeight="1">
      <c r="C400" s="627" t="s">
        <v>1273</v>
      </c>
      <c r="D400" s="625" t="s">
        <v>1840</v>
      </c>
      <c r="E400" s="4853" t="s">
        <v>2917</v>
      </c>
      <c r="F400" s="4853"/>
      <c r="G400" s="4853"/>
      <c r="H400" s="4853"/>
    </row>
    <row r="401" spans="1:11" ht="12.75" customHeight="1">
      <c r="C401" s="1376" t="s">
        <v>3949</v>
      </c>
      <c r="E401" s="4853" t="s">
        <v>3035</v>
      </c>
      <c r="F401" s="4853"/>
      <c r="G401" s="4853"/>
      <c r="H401" s="4853"/>
    </row>
    <row r="402" spans="1:11" ht="12.75" customHeight="1">
      <c r="C402" s="1377"/>
      <c r="D402" s="628" t="s">
        <v>2916</v>
      </c>
      <c r="E402" s="4853" t="s">
        <v>3036</v>
      </c>
      <c r="F402" s="4853"/>
      <c r="G402" s="4853"/>
      <c r="H402" s="4853"/>
    </row>
    <row r="403" spans="1:11" ht="3" customHeight="1">
      <c r="D403" s="625"/>
      <c r="E403" s="999"/>
      <c r="F403" s="999"/>
      <c r="G403" s="999"/>
      <c r="H403" s="999"/>
    </row>
    <row r="404" spans="1:11" ht="12.75" customHeight="1">
      <c r="C404" s="603" t="s">
        <v>2877</v>
      </c>
      <c r="D404" s="625" t="s">
        <v>1838</v>
      </c>
      <c r="E404" s="626"/>
      <c r="F404" s="622" t="s">
        <v>2878</v>
      </c>
      <c r="G404" s="622"/>
      <c r="H404" s="622"/>
    </row>
    <row r="405" spans="1:11" ht="12.75" customHeight="1">
      <c r="C405" s="627" t="s">
        <v>1273</v>
      </c>
      <c r="D405" s="625" t="s">
        <v>1840</v>
      </c>
      <c r="E405" s="4853" t="s">
        <v>2917</v>
      </c>
      <c r="F405" s="4853"/>
      <c r="G405" s="4853"/>
      <c r="H405" s="4853"/>
    </row>
    <row r="406" spans="1:11" ht="12.75" customHeight="1">
      <c r="C406" s="1376" t="s">
        <v>3949</v>
      </c>
      <c r="E406" s="4853" t="s">
        <v>3035</v>
      </c>
      <c r="F406" s="4853"/>
      <c r="G406" s="4853"/>
      <c r="H406" s="4853"/>
    </row>
    <row r="407" spans="1:11" ht="12.75" customHeight="1">
      <c r="C407" s="1377"/>
      <c r="D407" s="1375" t="s">
        <v>2916</v>
      </c>
      <c r="E407" s="4856" t="s">
        <v>3036</v>
      </c>
      <c r="F407" s="4856"/>
      <c r="G407" s="4856"/>
      <c r="H407" s="4856"/>
    </row>
    <row r="408" spans="1:11" ht="3" customHeight="1">
      <c r="D408" s="625"/>
      <c r="E408" s="999"/>
      <c r="F408" s="999"/>
      <c r="G408" s="999"/>
      <c r="H408" s="999"/>
    </row>
    <row r="409" spans="1:11" ht="12.75" customHeight="1">
      <c r="C409" s="603" t="s">
        <v>2877</v>
      </c>
      <c r="D409" s="625" t="s">
        <v>1838</v>
      </c>
      <c r="E409" s="626"/>
      <c r="F409" s="622" t="s">
        <v>2878</v>
      </c>
      <c r="G409" s="622"/>
      <c r="H409" s="622"/>
    </row>
    <row r="410" spans="1:11" ht="12.75" customHeight="1">
      <c r="C410" s="627" t="s">
        <v>1273</v>
      </c>
      <c r="D410" s="625" t="s">
        <v>1840</v>
      </c>
      <c r="E410" s="4853" t="s">
        <v>2917</v>
      </c>
      <c r="F410" s="4853"/>
      <c r="G410" s="4853"/>
      <c r="H410" s="4853"/>
    </row>
    <row r="411" spans="1:11" ht="12.75" customHeight="1">
      <c r="C411" s="1376" t="s">
        <v>3949</v>
      </c>
      <c r="E411" s="4853" t="s">
        <v>3035</v>
      </c>
      <c r="F411" s="4853"/>
      <c r="G411" s="4853"/>
      <c r="H411" s="4853"/>
    </row>
    <row r="412" spans="1:11" ht="12.75" customHeight="1">
      <c r="C412" s="1377"/>
      <c r="D412" s="1375" t="s">
        <v>2916</v>
      </c>
      <c r="E412" s="4856" t="s">
        <v>3036</v>
      </c>
      <c r="F412" s="4856"/>
      <c r="G412" s="4856"/>
      <c r="H412" s="4856"/>
    </row>
    <row r="413" spans="1:11" ht="6" customHeight="1">
      <c r="D413" s="625"/>
      <c r="E413" s="999"/>
      <c r="F413" s="999"/>
      <c r="G413" s="999"/>
      <c r="H413" s="999"/>
    </row>
    <row r="414" spans="1:11">
      <c r="A414" s="606" t="s">
        <v>2912</v>
      </c>
      <c r="B414" s="623" t="str">
        <f>IF('Part V-Revenues &amp; Expenses'!$O$67=0,"",'Part V-Revenues &amp; Expenses'!$O$67)</f>
        <v/>
      </c>
      <c r="C414" s="606" t="s">
        <v>3947</v>
      </c>
      <c r="D414" s="624" t="s">
        <v>3948</v>
      </c>
    </row>
    <row r="415" spans="1:11" ht="1.95" customHeight="1"/>
    <row r="416" spans="1:11" ht="12.75" customHeight="1">
      <c r="C416" s="603" t="s">
        <v>2877</v>
      </c>
      <c r="D416" s="625" t="s">
        <v>1838</v>
      </c>
      <c r="E416" s="626"/>
      <c r="F416" s="4853" t="s">
        <v>2878</v>
      </c>
      <c r="G416" s="4853"/>
      <c r="H416" s="4853"/>
      <c r="K416" s="431" t="s">
        <v>233</v>
      </c>
    </row>
    <row r="417" spans="1:8" ht="12.75" customHeight="1">
      <c r="C417" s="627" t="s">
        <v>1273</v>
      </c>
      <c r="D417" s="625" t="s">
        <v>1840</v>
      </c>
      <c r="E417" s="4853" t="s">
        <v>2918</v>
      </c>
      <c r="F417" s="4853"/>
      <c r="G417" s="4853"/>
      <c r="H417" s="4853"/>
    </row>
    <row r="418" spans="1:8" ht="12.75" customHeight="1">
      <c r="E418" s="4853" t="s">
        <v>3035</v>
      </c>
      <c r="F418" s="4853"/>
      <c r="G418" s="4853"/>
      <c r="H418" s="4853"/>
    </row>
    <row r="419" spans="1:8" ht="12.75" customHeight="1">
      <c r="D419" s="628" t="s">
        <v>2916</v>
      </c>
      <c r="E419" s="4853" t="s">
        <v>3036</v>
      </c>
      <c r="F419" s="4853"/>
      <c r="G419" s="4853"/>
      <c r="H419" s="4853"/>
    </row>
    <row r="420" spans="1:8" ht="9" customHeight="1" thickBot="1"/>
    <row r="421" spans="1:8" ht="16.2" customHeight="1" thickBot="1">
      <c r="A421" s="4854">
        <v>70</v>
      </c>
      <c r="B421" s="4855"/>
      <c r="C421" s="1378" t="s">
        <v>974</v>
      </c>
    </row>
    <row r="422" spans="1:8" ht="9" customHeight="1">
      <c r="A422" s="598"/>
    </row>
    <row r="423" spans="1:8" ht="28.2" customHeight="1">
      <c r="A423" s="4853" t="s">
        <v>3955</v>
      </c>
      <c r="B423" s="4853"/>
      <c r="C423" s="4853"/>
      <c r="D423" s="4853"/>
      <c r="E423" s="4853"/>
      <c r="F423" s="4853"/>
      <c r="G423" s="4853"/>
      <c r="H423" s="4853"/>
    </row>
    <row r="424" spans="1:8" ht="9" customHeight="1">
      <c r="A424" s="598"/>
    </row>
    <row r="425" spans="1:8">
      <c r="A425" s="606" t="s">
        <v>2912</v>
      </c>
      <c r="B425" s="623" t="str">
        <f>IF('Part V-Revenues &amp; Expenses'!$K$66=0,"",'Part V-Revenues &amp; Expenses'!$K$66)</f>
        <v/>
      </c>
      <c r="C425" s="606" t="s">
        <v>3944</v>
      </c>
      <c r="D425" s="624" t="s">
        <v>3945</v>
      </c>
    </row>
    <row r="426" spans="1:8" ht="1.95" customHeight="1"/>
    <row r="427" spans="1:8" ht="12.75" customHeight="1">
      <c r="C427" s="603" t="s">
        <v>2877</v>
      </c>
      <c r="D427" s="625" t="s">
        <v>1838</v>
      </c>
      <c r="E427" s="626"/>
      <c r="F427" s="4853" t="s">
        <v>2878</v>
      </c>
      <c r="G427" s="4853"/>
      <c r="H427" s="4853"/>
    </row>
    <row r="428" spans="1:8" ht="12.75" customHeight="1">
      <c r="C428" s="627" t="s">
        <v>1273</v>
      </c>
      <c r="D428" s="625" t="s">
        <v>1840</v>
      </c>
      <c r="E428" s="4853" t="s">
        <v>2917</v>
      </c>
      <c r="F428" s="4853"/>
      <c r="G428" s="4853"/>
      <c r="H428" s="4853"/>
    </row>
    <row r="429" spans="1:8" ht="12.75" customHeight="1">
      <c r="C429" s="1376" t="s">
        <v>3949</v>
      </c>
      <c r="E429" s="4853" t="s">
        <v>3035</v>
      </c>
      <c r="F429" s="4853"/>
      <c r="G429" s="4853"/>
      <c r="H429" s="4853"/>
    </row>
    <row r="430" spans="1:8" ht="12.75" customHeight="1">
      <c r="C430" s="1377"/>
      <c r="D430" s="1375" t="s">
        <v>2916</v>
      </c>
      <c r="E430" s="4856" t="s">
        <v>3036</v>
      </c>
      <c r="F430" s="4856"/>
      <c r="G430" s="4856"/>
      <c r="H430" s="4856"/>
    </row>
    <row r="431" spans="1:8" ht="3" customHeight="1">
      <c r="D431" s="625"/>
      <c r="E431" s="999"/>
      <c r="F431" s="999"/>
      <c r="G431" s="999"/>
      <c r="H431" s="999"/>
    </row>
    <row r="432" spans="1:8" ht="12.75" customHeight="1">
      <c r="C432" s="603" t="s">
        <v>2877</v>
      </c>
      <c r="D432" s="625" t="s">
        <v>1838</v>
      </c>
      <c r="E432" s="626"/>
      <c r="F432" s="622" t="s">
        <v>2878</v>
      </c>
      <c r="G432" s="622"/>
      <c r="H432" s="622"/>
    </row>
    <row r="433" spans="1:8" ht="12.75" customHeight="1">
      <c r="C433" s="627" t="s">
        <v>1273</v>
      </c>
      <c r="D433" s="625" t="s">
        <v>1840</v>
      </c>
      <c r="E433" s="4853" t="s">
        <v>2917</v>
      </c>
      <c r="F433" s="4853"/>
      <c r="G433" s="4853"/>
      <c r="H433" s="4853"/>
    </row>
    <row r="434" spans="1:8" ht="12.75" customHeight="1">
      <c r="C434" s="1376" t="s">
        <v>3949</v>
      </c>
      <c r="E434" s="4853" t="s">
        <v>3035</v>
      </c>
      <c r="F434" s="4853"/>
      <c r="G434" s="4853"/>
      <c r="H434" s="4853"/>
    </row>
    <row r="435" spans="1:8" ht="12.75" customHeight="1">
      <c r="C435" s="1377"/>
      <c r="D435" s="1375" t="s">
        <v>2916</v>
      </c>
      <c r="E435" s="4856" t="s">
        <v>3036</v>
      </c>
      <c r="F435" s="4856"/>
      <c r="G435" s="4856"/>
      <c r="H435" s="4856"/>
    </row>
    <row r="436" spans="1:8" ht="3" customHeight="1">
      <c r="D436" s="625"/>
      <c r="E436" s="999"/>
      <c r="F436" s="999"/>
      <c r="G436" s="999"/>
      <c r="H436" s="999"/>
    </row>
    <row r="437" spans="1:8" ht="12.75" customHeight="1">
      <c r="C437" s="603" t="s">
        <v>2877</v>
      </c>
      <c r="D437" s="625" t="s">
        <v>1838</v>
      </c>
      <c r="E437" s="626"/>
      <c r="F437" s="622" t="s">
        <v>2878</v>
      </c>
      <c r="G437" s="622"/>
      <c r="H437" s="622"/>
    </row>
    <row r="438" spans="1:8" ht="12.75" customHeight="1">
      <c r="C438" s="627" t="s">
        <v>1273</v>
      </c>
      <c r="D438" s="625" t="s">
        <v>1840</v>
      </c>
      <c r="E438" s="4853" t="s">
        <v>2917</v>
      </c>
      <c r="F438" s="4853"/>
      <c r="G438" s="4853"/>
      <c r="H438" s="4853"/>
    </row>
    <row r="439" spans="1:8" ht="12.75" customHeight="1">
      <c r="C439" s="1376" t="s">
        <v>3949</v>
      </c>
      <c r="E439" s="4853" t="s">
        <v>3035</v>
      </c>
      <c r="F439" s="4853"/>
      <c r="G439" s="4853"/>
      <c r="H439" s="4853"/>
    </row>
    <row r="440" spans="1:8" ht="12.75" customHeight="1">
      <c r="C440" s="1377"/>
      <c r="D440" s="1375" t="s">
        <v>2916</v>
      </c>
      <c r="E440" s="4856" t="s">
        <v>3036</v>
      </c>
      <c r="F440" s="4856"/>
      <c r="G440" s="4856"/>
      <c r="H440" s="4856"/>
    </row>
    <row r="441" spans="1:8" ht="6" customHeight="1">
      <c r="D441" s="625"/>
      <c r="E441" s="999"/>
      <c r="F441" s="999"/>
      <c r="G441" s="999"/>
      <c r="H441" s="999"/>
    </row>
    <row r="442" spans="1:8">
      <c r="A442" s="606" t="s">
        <v>2912</v>
      </c>
      <c r="B442" s="623" t="str">
        <f>IF('Part V-Revenues &amp; Expenses'!$L$66=0,"",'Part V-Revenues &amp; Expenses'!$L$66)</f>
        <v/>
      </c>
      <c r="C442" s="606" t="s">
        <v>2913</v>
      </c>
      <c r="D442" s="624" t="s">
        <v>3037</v>
      </c>
    </row>
    <row r="443" spans="1:8" ht="1.95" customHeight="1"/>
    <row r="444" spans="1:8" ht="12.75" customHeight="1">
      <c r="C444" s="603" t="s">
        <v>2877</v>
      </c>
      <c r="D444" s="625" t="s">
        <v>1838</v>
      </c>
      <c r="E444" s="626"/>
      <c r="F444" s="622" t="s">
        <v>2878</v>
      </c>
      <c r="G444" s="622"/>
      <c r="H444" s="622"/>
    </row>
    <row r="445" spans="1:8" ht="12.75" customHeight="1">
      <c r="C445" s="627" t="s">
        <v>1273</v>
      </c>
      <c r="D445" s="625" t="s">
        <v>1840</v>
      </c>
      <c r="E445" s="4853" t="s">
        <v>2917</v>
      </c>
      <c r="F445" s="4853"/>
      <c r="G445" s="4853"/>
      <c r="H445" s="4853"/>
    </row>
    <row r="446" spans="1:8" ht="12.75" customHeight="1">
      <c r="C446" s="1376" t="s">
        <v>3949</v>
      </c>
      <c r="E446" s="4853" t="s">
        <v>3035</v>
      </c>
      <c r="F446" s="4853"/>
      <c r="G446" s="4853"/>
      <c r="H446" s="4853"/>
    </row>
    <row r="447" spans="1:8" ht="12.75" customHeight="1">
      <c r="C447" s="1377"/>
      <c r="D447" s="628" t="s">
        <v>2916</v>
      </c>
      <c r="E447" s="4853" t="s">
        <v>3036</v>
      </c>
      <c r="F447" s="4853"/>
      <c r="G447" s="4853"/>
      <c r="H447" s="4853"/>
    </row>
    <row r="448" spans="1:8" ht="3" customHeight="1">
      <c r="D448" s="625"/>
      <c r="E448" s="999"/>
      <c r="F448" s="999"/>
      <c r="G448" s="999"/>
      <c r="H448" s="999"/>
    </row>
    <row r="449" spans="1:8" ht="12.75" customHeight="1">
      <c r="C449" s="603" t="s">
        <v>2877</v>
      </c>
      <c r="D449" s="625" t="s">
        <v>1838</v>
      </c>
      <c r="E449" s="626"/>
      <c r="F449" s="622" t="s">
        <v>2878</v>
      </c>
      <c r="G449" s="622"/>
      <c r="H449" s="622"/>
    </row>
    <row r="450" spans="1:8" ht="12.75" customHeight="1">
      <c r="C450" s="627" t="s">
        <v>1273</v>
      </c>
      <c r="D450" s="625" t="s">
        <v>1840</v>
      </c>
      <c r="E450" s="4853" t="s">
        <v>2917</v>
      </c>
      <c r="F450" s="4853"/>
      <c r="G450" s="4853"/>
      <c r="H450" s="4853"/>
    </row>
    <row r="451" spans="1:8" ht="12.75" customHeight="1">
      <c r="C451" s="1376" t="s">
        <v>3949</v>
      </c>
      <c r="E451" s="4853" t="s">
        <v>3035</v>
      </c>
      <c r="F451" s="4853"/>
      <c r="G451" s="4853"/>
      <c r="H451" s="4853"/>
    </row>
    <row r="452" spans="1:8" ht="12.75" customHeight="1">
      <c r="C452" s="1377"/>
      <c r="D452" s="1375" t="s">
        <v>2916</v>
      </c>
      <c r="E452" s="4856" t="s">
        <v>3036</v>
      </c>
      <c r="F452" s="4856"/>
      <c r="G452" s="4856"/>
      <c r="H452" s="4856"/>
    </row>
    <row r="453" spans="1:8" ht="3" customHeight="1">
      <c r="D453" s="625"/>
      <c r="E453" s="999"/>
      <c r="F453" s="999"/>
      <c r="G453" s="999"/>
      <c r="H453" s="999"/>
    </row>
    <row r="454" spans="1:8" ht="12.75" customHeight="1">
      <c r="C454" s="603" t="s">
        <v>2877</v>
      </c>
      <c r="D454" s="625" t="s">
        <v>1838</v>
      </c>
      <c r="E454" s="626"/>
      <c r="F454" s="622" t="s">
        <v>2878</v>
      </c>
      <c r="G454" s="622"/>
      <c r="H454" s="622"/>
    </row>
    <row r="455" spans="1:8" ht="12.75" customHeight="1">
      <c r="C455" s="627" t="s">
        <v>1273</v>
      </c>
      <c r="D455" s="625" t="s">
        <v>1840</v>
      </c>
      <c r="E455" s="4853" t="s">
        <v>2917</v>
      </c>
      <c r="F455" s="4853"/>
      <c r="G455" s="4853"/>
      <c r="H455" s="4853"/>
    </row>
    <row r="456" spans="1:8" ht="12.75" customHeight="1">
      <c r="C456" s="1376" t="s">
        <v>3949</v>
      </c>
      <c r="E456" s="4853" t="s">
        <v>3035</v>
      </c>
      <c r="F456" s="4853"/>
      <c r="G456" s="4853"/>
      <c r="H456" s="4853"/>
    </row>
    <row r="457" spans="1:8" ht="12.75" customHeight="1">
      <c r="C457" s="1377"/>
      <c r="D457" s="1375" t="s">
        <v>2916</v>
      </c>
      <c r="E457" s="4856" t="s">
        <v>3036</v>
      </c>
      <c r="F457" s="4856"/>
      <c r="G457" s="4856"/>
      <c r="H457" s="4856"/>
    </row>
    <row r="458" spans="1:8" ht="6" customHeight="1">
      <c r="D458" s="625"/>
      <c r="E458" s="999"/>
      <c r="F458" s="999"/>
      <c r="G458" s="999"/>
      <c r="H458" s="999"/>
    </row>
    <row r="459" spans="1:8">
      <c r="A459" s="606" t="s">
        <v>2912</v>
      </c>
      <c r="B459" s="623" t="str">
        <f>IF('Part V-Revenues &amp; Expenses'!$M$66=0,"",'Part V-Revenues &amp; Expenses'!$M$66)</f>
        <v/>
      </c>
      <c r="C459" s="606" t="s">
        <v>2914</v>
      </c>
      <c r="D459" s="624" t="s">
        <v>3038</v>
      </c>
    </row>
    <row r="460" spans="1:8" ht="1.95" customHeight="1"/>
    <row r="461" spans="1:8" ht="12.75" customHeight="1">
      <c r="C461" s="603" t="s">
        <v>2877</v>
      </c>
      <c r="D461" s="625" t="s">
        <v>1838</v>
      </c>
      <c r="E461" s="626"/>
      <c r="F461" s="622" t="s">
        <v>2878</v>
      </c>
      <c r="G461" s="622"/>
      <c r="H461" s="622"/>
    </row>
    <row r="462" spans="1:8" ht="12.75" customHeight="1">
      <c r="C462" s="627" t="s">
        <v>1273</v>
      </c>
      <c r="D462" s="625" t="s">
        <v>1840</v>
      </c>
      <c r="E462" s="4853" t="s">
        <v>2917</v>
      </c>
      <c r="F462" s="4853"/>
      <c r="G462" s="4853"/>
      <c r="H462" s="4853"/>
    </row>
    <row r="463" spans="1:8" ht="12.75" customHeight="1">
      <c r="C463" s="1376" t="s">
        <v>3949</v>
      </c>
      <c r="E463" s="4853" t="s">
        <v>3035</v>
      </c>
      <c r="F463" s="4853"/>
      <c r="G463" s="4853"/>
      <c r="H463" s="4853"/>
    </row>
    <row r="464" spans="1:8" ht="12.75" customHeight="1">
      <c r="C464" s="1377"/>
      <c r="D464" s="628" t="s">
        <v>2916</v>
      </c>
      <c r="E464" s="4853" t="s">
        <v>3036</v>
      </c>
      <c r="F464" s="4853"/>
      <c r="G464" s="4853"/>
      <c r="H464" s="4853"/>
    </row>
    <row r="465" spans="1:8" ht="3" customHeight="1">
      <c r="D465" s="625"/>
      <c r="E465" s="999"/>
      <c r="F465" s="999"/>
      <c r="G465" s="999"/>
      <c r="H465" s="999"/>
    </row>
    <row r="466" spans="1:8" ht="12.75" customHeight="1">
      <c r="C466" s="603" t="s">
        <v>2877</v>
      </c>
      <c r="D466" s="625" t="s">
        <v>1838</v>
      </c>
      <c r="E466" s="626"/>
      <c r="F466" s="622" t="s">
        <v>2878</v>
      </c>
      <c r="G466" s="622"/>
      <c r="H466" s="622"/>
    </row>
    <row r="467" spans="1:8" ht="12.75" customHeight="1">
      <c r="C467" s="627" t="s">
        <v>1273</v>
      </c>
      <c r="D467" s="625" t="s">
        <v>1840</v>
      </c>
      <c r="E467" s="4853" t="s">
        <v>2917</v>
      </c>
      <c r="F467" s="4853"/>
      <c r="G467" s="4853"/>
      <c r="H467" s="4853"/>
    </row>
    <row r="468" spans="1:8" ht="12.75" customHeight="1">
      <c r="C468" s="1376" t="s">
        <v>3949</v>
      </c>
      <c r="E468" s="4853" t="s">
        <v>3035</v>
      </c>
      <c r="F468" s="4853"/>
      <c r="G468" s="4853"/>
      <c r="H468" s="4853"/>
    </row>
    <row r="469" spans="1:8" ht="12.75" customHeight="1">
      <c r="C469" s="1377"/>
      <c r="D469" s="1375" t="s">
        <v>2916</v>
      </c>
      <c r="E469" s="4856" t="s">
        <v>3036</v>
      </c>
      <c r="F469" s="4856"/>
      <c r="G469" s="4856"/>
      <c r="H469" s="4856"/>
    </row>
    <row r="470" spans="1:8" ht="3" customHeight="1">
      <c r="D470" s="625"/>
      <c r="E470" s="999"/>
      <c r="F470" s="999"/>
      <c r="G470" s="999"/>
      <c r="H470" s="999"/>
    </row>
    <row r="471" spans="1:8" ht="12.75" customHeight="1">
      <c r="C471" s="603" t="s">
        <v>2877</v>
      </c>
      <c r="D471" s="625" t="s">
        <v>1838</v>
      </c>
      <c r="E471" s="626"/>
      <c r="F471" s="622" t="s">
        <v>2878</v>
      </c>
      <c r="G471" s="622"/>
      <c r="H471" s="622"/>
    </row>
    <row r="472" spans="1:8" ht="12.75" customHeight="1">
      <c r="C472" s="627" t="s">
        <v>1273</v>
      </c>
      <c r="D472" s="625" t="s">
        <v>1840</v>
      </c>
      <c r="E472" s="4853" t="s">
        <v>2917</v>
      </c>
      <c r="F472" s="4853"/>
      <c r="G472" s="4853"/>
      <c r="H472" s="4853"/>
    </row>
    <row r="473" spans="1:8" ht="12.75" customHeight="1">
      <c r="C473" s="1376" t="s">
        <v>3949</v>
      </c>
      <c r="E473" s="4853" t="s">
        <v>3035</v>
      </c>
      <c r="F473" s="4853"/>
      <c r="G473" s="4853"/>
      <c r="H473" s="4853"/>
    </row>
    <row r="474" spans="1:8" ht="12.75" customHeight="1">
      <c r="C474" s="1377"/>
      <c r="D474" s="1375" t="s">
        <v>2916</v>
      </c>
      <c r="E474" s="4856" t="s">
        <v>3036</v>
      </c>
      <c r="F474" s="4856"/>
      <c r="G474" s="4856"/>
      <c r="H474" s="4856"/>
    </row>
    <row r="475" spans="1:8" ht="6" customHeight="1">
      <c r="D475" s="625"/>
      <c r="E475" s="999"/>
      <c r="F475" s="999"/>
      <c r="G475" s="999"/>
      <c r="H475" s="999"/>
    </row>
    <row r="476" spans="1:8">
      <c r="A476" s="606" t="s">
        <v>2912</v>
      </c>
      <c r="B476" s="623" t="str">
        <f>IF('Part V-Revenues &amp; Expenses'!$N$66=0,"",'Part V-Revenues &amp; Expenses'!$N$66)</f>
        <v/>
      </c>
      <c r="C476" s="606" t="s">
        <v>2915</v>
      </c>
      <c r="D476" s="624" t="s">
        <v>3039</v>
      </c>
    </row>
    <row r="477" spans="1:8" ht="1.95" customHeight="1"/>
    <row r="478" spans="1:8" ht="12.75" customHeight="1">
      <c r="C478" s="603" t="s">
        <v>2877</v>
      </c>
      <c r="D478" s="625" t="s">
        <v>1838</v>
      </c>
      <c r="E478" s="626"/>
      <c r="F478" s="622" t="s">
        <v>2878</v>
      </c>
      <c r="G478" s="622"/>
      <c r="H478" s="622"/>
    </row>
    <row r="479" spans="1:8" ht="12.75" customHeight="1">
      <c r="C479" s="627" t="s">
        <v>1273</v>
      </c>
      <c r="D479" s="625" t="s">
        <v>1840</v>
      </c>
      <c r="E479" s="4853" t="s">
        <v>2917</v>
      </c>
      <c r="F479" s="4853"/>
      <c r="G479" s="4853"/>
      <c r="H479" s="4853"/>
    </row>
    <row r="480" spans="1:8" ht="12.75" customHeight="1">
      <c r="C480" s="1376" t="s">
        <v>3949</v>
      </c>
      <c r="E480" s="4853" t="s">
        <v>3035</v>
      </c>
      <c r="F480" s="4853"/>
      <c r="G480" s="4853"/>
      <c r="H480" s="4853"/>
    </row>
    <row r="481" spans="1:11" ht="12.75" customHeight="1">
      <c r="C481" s="1377"/>
      <c r="D481" s="628" t="s">
        <v>2916</v>
      </c>
      <c r="E481" s="4853" t="s">
        <v>3036</v>
      </c>
      <c r="F481" s="4853"/>
      <c r="G481" s="4853"/>
      <c r="H481" s="4853"/>
    </row>
    <row r="482" spans="1:11" ht="3" customHeight="1">
      <c r="D482" s="625"/>
      <c r="E482" s="999"/>
      <c r="F482" s="999"/>
      <c r="G482" s="999"/>
      <c r="H482" s="999"/>
    </row>
    <row r="483" spans="1:11" ht="12.75" customHeight="1">
      <c r="C483" s="603" t="s">
        <v>2877</v>
      </c>
      <c r="D483" s="625" t="s">
        <v>1838</v>
      </c>
      <c r="E483" s="626"/>
      <c r="F483" s="622" t="s">
        <v>2878</v>
      </c>
      <c r="G483" s="622"/>
      <c r="H483" s="622"/>
    </row>
    <row r="484" spans="1:11" ht="12.75" customHeight="1">
      <c r="C484" s="627" t="s">
        <v>1273</v>
      </c>
      <c r="D484" s="625" t="s">
        <v>1840</v>
      </c>
      <c r="E484" s="4853" t="s">
        <v>2917</v>
      </c>
      <c r="F484" s="4853"/>
      <c r="G484" s="4853"/>
      <c r="H484" s="4853"/>
    </row>
    <row r="485" spans="1:11" ht="12.75" customHeight="1">
      <c r="C485" s="1376" t="s">
        <v>3949</v>
      </c>
      <c r="E485" s="4853" t="s">
        <v>3035</v>
      </c>
      <c r="F485" s="4853"/>
      <c r="G485" s="4853"/>
      <c r="H485" s="4853"/>
    </row>
    <row r="486" spans="1:11" ht="12.75" customHeight="1">
      <c r="C486" s="1377"/>
      <c r="D486" s="1375" t="s">
        <v>2916</v>
      </c>
      <c r="E486" s="4856" t="s">
        <v>3036</v>
      </c>
      <c r="F486" s="4856"/>
      <c r="G486" s="4856"/>
      <c r="H486" s="4856"/>
    </row>
    <row r="487" spans="1:11" ht="3" customHeight="1">
      <c r="D487" s="625"/>
      <c r="E487" s="999"/>
      <c r="F487" s="999"/>
      <c r="G487" s="999"/>
      <c r="H487" s="999"/>
    </row>
    <row r="488" spans="1:11" ht="12.75" customHeight="1">
      <c r="C488" s="603" t="s">
        <v>2877</v>
      </c>
      <c r="D488" s="625" t="s">
        <v>1838</v>
      </c>
      <c r="E488" s="626"/>
      <c r="F488" s="622" t="s">
        <v>2878</v>
      </c>
      <c r="G488" s="622"/>
      <c r="H488" s="622"/>
    </row>
    <row r="489" spans="1:11" ht="12.75" customHeight="1">
      <c r="C489" s="627" t="s">
        <v>1273</v>
      </c>
      <c r="D489" s="625" t="s">
        <v>1840</v>
      </c>
      <c r="E489" s="4853" t="s">
        <v>2917</v>
      </c>
      <c r="F489" s="4853"/>
      <c r="G489" s="4853"/>
      <c r="H489" s="4853"/>
    </row>
    <row r="490" spans="1:11" ht="12.75" customHeight="1">
      <c r="C490" s="1376" t="s">
        <v>3949</v>
      </c>
      <c r="E490" s="4853" t="s">
        <v>3035</v>
      </c>
      <c r="F490" s="4853"/>
      <c r="G490" s="4853"/>
      <c r="H490" s="4853"/>
    </row>
    <row r="491" spans="1:11" ht="12.75" customHeight="1">
      <c r="C491" s="1377"/>
      <c r="D491" s="1375" t="s">
        <v>2916</v>
      </c>
      <c r="E491" s="4856" t="s">
        <v>3036</v>
      </c>
      <c r="F491" s="4856"/>
      <c r="G491" s="4856"/>
      <c r="H491" s="4856"/>
    </row>
    <row r="492" spans="1:11" ht="6" customHeight="1">
      <c r="D492" s="625"/>
      <c r="E492" s="999"/>
      <c r="F492" s="999"/>
      <c r="G492" s="999"/>
      <c r="H492" s="999"/>
    </row>
    <row r="493" spans="1:11">
      <c r="A493" s="606" t="s">
        <v>2912</v>
      </c>
      <c r="B493" s="623" t="str">
        <f>IF('Part V-Revenues &amp; Expenses'!$O$66=0,"",'Part V-Revenues &amp; Expenses'!$O$66)</f>
        <v/>
      </c>
      <c r="C493" s="606" t="s">
        <v>3947</v>
      </c>
      <c r="D493" s="624" t="s">
        <v>3948</v>
      </c>
    </row>
    <row r="494" spans="1:11" ht="1.95" customHeight="1"/>
    <row r="495" spans="1:11" ht="12.75" customHeight="1">
      <c r="C495" s="603" t="s">
        <v>2877</v>
      </c>
      <c r="D495" s="625" t="s">
        <v>1838</v>
      </c>
      <c r="E495" s="626"/>
      <c r="F495" s="4853" t="s">
        <v>2878</v>
      </c>
      <c r="G495" s="4853"/>
      <c r="H495" s="4853"/>
      <c r="K495" s="431" t="s">
        <v>233</v>
      </c>
    </row>
    <row r="496" spans="1:11" ht="12.75" customHeight="1">
      <c r="C496" s="627" t="s">
        <v>1273</v>
      </c>
      <c r="D496" s="625" t="s">
        <v>1840</v>
      </c>
      <c r="E496" s="4853" t="s">
        <v>2918</v>
      </c>
      <c r="F496" s="4853"/>
      <c r="G496" s="4853"/>
      <c r="H496" s="4853"/>
    </row>
    <row r="497" spans="1:8" ht="12.75" customHeight="1">
      <c r="E497" s="4853" t="s">
        <v>3035</v>
      </c>
      <c r="F497" s="4853"/>
      <c r="G497" s="4853"/>
      <c r="H497" s="4853"/>
    </row>
    <row r="498" spans="1:8" ht="12.75" customHeight="1">
      <c r="D498" s="628" t="s">
        <v>2916</v>
      </c>
      <c r="E498" s="4853" t="s">
        <v>3036</v>
      </c>
      <c r="F498" s="4853"/>
      <c r="G498" s="4853"/>
      <c r="H498" s="4853"/>
    </row>
    <row r="499" spans="1:8" ht="9" customHeight="1" thickBot="1"/>
    <row r="500" spans="1:8" ht="16.2" customHeight="1" thickBot="1">
      <c r="A500" s="4854">
        <v>80</v>
      </c>
      <c r="B500" s="4855"/>
      <c r="C500" s="1378" t="s">
        <v>974</v>
      </c>
    </row>
    <row r="501" spans="1:8" ht="9" customHeight="1">
      <c r="A501" s="598"/>
    </row>
    <row r="502" spans="1:8" ht="28.2" customHeight="1">
      <c r="A502" s="4853" t="s">
        <v>3956</v>
      </c>
      <c r="B502" s="4853"/>
      <c r="C502" s="4853"/>
      <c r="D502" s="4853"/>
      <c r="E502" s="4853"/>
      <c r="F502" s="4853"/>
      <c r="G502" s="4853"/>
      <c r="H502" s="4853"/>
    </row>
    <row r="503" spans="1:8" ht="9" customHeight="1">
      <c r="A503" s="598"/>
    </row>
    <row r="504" spans="1:8">
      <c r="A504" s="606" t="s">
        <v>2912</v>
      </c>
      <c r="B504" s="623" t="str">
        <f>IF('Part V-Revenues &amp; Expenses'!$K$65=0,"",'Part V-Revenues &amp; Expenses'!$K$65)</f>
        <v/>
      </c>
      <c r="C504" s="606" t="s">
        <v>3944</v>
      </c>
      <c r="D504" s="624" t="s">
        <v>3945</v>
      </c>
    </row>
    <row r="505" spans="1:8" ht="1.95" customHeight="1"/>
    <row r="506" spans="1:8" ht="12.75" customHeight="1">
      <c r="C506" s="603" t="s">
        <v>2877</v>
      </c>
      <c r="D506" s="625" t="s">
        <v>1838</v>
      </c>
      <c r="E506" s="626"/>
      <c r="F506" s="4853" t="s">
        <v>2878</v>
      </c>
      <c r="G506" s="4853"/>
      <c r="H506" s="4853"/>
    </row>
    <row r="507" spans="1:8" ht="12.75" customHeight="1">
      <c r="C507" s="627" t="s">
        <v>1273</v>
      </c>
      <c r="D507" s="625" t="s">
        <v>1840</v>
      </c>
      <c r="E507" s="4853" t="s">
        <v>2917</v>
      </c>
      <c r="F507" s="4853"/>
      <c r="G507" s="4853"/>
      <c r="H507" s="4853"/>
    </row>
    <row r="508" spans="1:8" ht="12.75" customHeight="1">
      <c r="C508" s="1376" t="s">
        <v>3949</v>
      </c>
      <c r="E508" s="4853" t="s">
        <v>3035</v>
      </c>
      <c r="F508" s="4853"/>
      <c r="G508" s="4853"/>
      <c r="H508" s="4853"/>
    </row>
    <row r="509" spans="1:8" ht="12.75" customHeight="1">
      <c r="C509" s="1377"/>
      <c r="D509" s="1375" t="s">
        <v>2916</v>
      </c>
      <c r="E509" s="4856" t="s">
        <v>3036</v>
      </c>
      <c r="F509" s="4856"/>
      <c r="G509" s="4856"/>
      <c r="H509" s="4856"/>
    </row>
    <row r="510" spans="1:8" ht="3" customHeight="1">
      <c r="D510" s="625"/>
      <c r="E510" s="999"/>
      <c r="F510" s="999"/>
      <c r="G510" s="999"/>
      <c r="H510" s="999"/>
    </row>
    <row r="511" spans="1:8" ht="12.75" customHeight="1">
      <c r="C511" s="603" t="s">
        <v>2877</v>
      </c>
      <c r="D511" s="625" t="s">
        <v>1838</v>
      </c>
      <c r="E511" s="626"/>
      <c r="F511" s="622" t="s">
        <v>2878</v>
      </c>
      <c r="G511" s="622"/>
      <c r="H511" s="622"/>
    </row>
    <row r="512" spans="1:8" ht="12.75" customHeight="1">
      <c r="C512" s="627" t="s">
        <v>1273</v>
      </c>
      <c r="D512" s="625" t="s">
        <v>1840</v>
      </c>
      <c r="E512" s="4853" t="s">
        <v>2917</v>
      </c>
      <c r="F512" s="4853"/>
      <c r="G512" s="4853"/>
      <c r="H512" s="4853"/>
    </row>
    <row r="513" spans="1:8" ht="12.75" customHeight="1">
      <c r="C513" s="1376" t="s">
        <v>3949</v>
      </c>
      <c r="E513" s="4853" t="s">
        <v>3035</v>
      </c>
      <c r="F513" s="4853"/>
      <c r="G513" s="4853"/>
      <c r="H513" s="4853"/>
    </row>
    <row r="514" spans="1:8" ht="12.75" customHeight="1">
      <c r="C514" s="1377"/>
      <c r="D514" s="1375" t="s">
        <v>2916</v>
      </c>
      <c r="E514" s="4856" t="s">
        <v>3036</v>
      </c>
      <c r="F514" s="4856"/>
      <c r="G514" s="4856"/>
      <c r="H514" s="4856"/>
    </row>
    <row r="515" spans="1:8" ht="3" customHeight="1">
      <c r="D515" s="625"/>
      <c r="E515" s="999"/>
      <c r="F515" s="999"/>
      <c r="G515" s="999"/>
      <c r="H515" s="999"/>
    </row>
    <row r="516" spans="1:8" ht="12.75" customHeight="1">
      <c r="C516" s="603" t="s">
        <v>2877</v>
      </c>
      <c r="D516" s="625" t="s">
        <v>1838</v>
      </c>
      <c r="E516" s="626"/>
      <c r="F516" s="622" t="s">
        <v>2878</v>
      </c>
      <c r="G516" s="622"/>
      <c r="H516" s="622"/>
    </row>
    <row r="517" spans="1:8" ht="12.75" customHeight="1">
      <c r="C517" s="627" t="s">
        <v>1273</v>
      </c>
      <c r="D517" s="625" t="s">
        <v>1840</v>
      </c>
      <c r="E517" s="4853" t="s">
        <v>2917</v>
      </c>
      <c r="F517" s="4853"/>
      <c r="G517" s="4853"/>
      <c r="H517" s="4853"/>
    </row>
    <row r="518" spans="1:8" ht="12.75" customHeight="1">
      <c r="C518" s="1376" t="s">
        <v>3949</v>
      </c>
      <c r="E518" s="4853" t="s">
        <v>3035</v>
      </c>
      <c r="F518" s="4853"/>
      <c r="G518" s="4853"/>
      <c r="H518" s="4853"/>
    </row>
    <row r="519" spans="1:8" ht="12.75" customHeight="1">
      <c r="C519" s="1377"/>
      <c r="D519" s="1375" t="s">
        <v>2916</v>
      </c>
      <c r="E519" s="4856" t="s">
        <v>3036</v>
      </c>
      <c r="F519" s="4856"/>
      <c r="G519" s="4856"/>
      <c r="H519" s="4856"/>
    </row>
    <row r="520" spans="1:8" ht="6" customHeight="1">
      <c r="D520" s="625"/>
      <c r="E520" s="999"/>
      <c r="F520" s="999"/>
      <c r="G520" s="999"/>
      <c r="H520" s="999"/>
    </row>
    <row r="521" spans="1:8">
      <c r="A521" s="606" t="s">
        <v>2912</v>
      </c>
      <c r="B521" s="623">
        <f>IF('Part V-Revenues &amp; Expenses'!$L$65=0,"",'Part V-Revenues &amp; Expenses'!$L$65)</f>
        <v>8</v>
      </c>
      <c r="C521" s="606" t="s">
        <v>2913</v>
      </c>
      <c r="D521" s="624" t="s">
        <v>3037</v>
      </c>
    </row>
    <row r="522" spans="1:8" ht="1.95" customHeight="1"/>
    <row r="523" spans="1:8" ht="12.75" customHeight="1">
      <c r="C523" s="603" t="s">
        <v>2877</v>
      </c>
      <c r="D523" s="625" t="s">
        <v>1838</v>
      </c>
      <c r="E523" s="626"/>
      <c r="F523" s="622" t="s">
        <v>2878</v>
      </c>
      <c r="G523" s="622"/>
      <c r="H523" s="622"/>
    </row>
    <row r="524" spans="1:8" ht="12.75" customHeight="1">
      <c r="C524" s="627" t="s">
        <v>1273</v>
      </c>
      <c r="D524" s="625" t="s">
        <v>1840</v>
      </c>
      <c r="E524" s="4853" t="s">
        <v>2917</v>
      </c>
      <c r="F524" s="4853"/>
      <c r="G524" s="4853"/>
      <c r="H524" s="4853"/>
    </row>
    <row r="525" spans="1:8" ht="12.75" customHeight="1">
      <c r="C525" s="1376" t="s">
        <v>3949</v>
      </c>
      <c r="E525" s="4853" t="s">
        <v>3035</v>
      </c>
      <c r="F525" s="4853"/>
      <c r="G525" s="4853"/>
      <c r="H525" s="4853"/>
    </row>
    <row r="526" spans="1:8" ht="12.75" customHeight="1">
      <c r="C526" s="1377"/>
      <c r="D526" s="628" t="s">
        <v>2916</v>
      </c>
      <c r="E526" s="4853" t="s">
        <v>3036</v>
      </c>
      <c r="F526" s="4853"/>
      <c r="G526" s="4853"/>
      <c r="H526" s="4853"/>
    </row>
    <row r="527" spans="1:8" ht="3" customHeight="1">
      <c r="D527" s="625"/>
      <c r="E527" s="999"/>
      <c r="F527" s="999"/>
      <c r="G527" s="999"/>
      <c r="H527" s="999"/>
    </row>
    <row r="528" spans="1:8" ht="12.75" customHeight="1">
      <c r="C528" s="603" t="s">
        <v>2877</v>
      </c>
      <c r="D528" s="625" t="s">
        <v>1838</v>
      </c>
      <c r="E528" s="626"/>
      <c r="F528" s="622" t="s">
        <v>2878</v>
      </c>
      <c r="G528" s="622"/>
      <c r="H528" s="622"/>
    </row>
    <row r="529" spans="1:8" ht="12.75" customHeight="1">
      <c r="C529" s="627" t="s">
        <v>1273</v>
      </c>
      <c r="D529" s="625" t="s">
        <v>1840</v>
      </c>
      <c r="E529" s="4853" t="s">
        <v>2917</v>
      </c>
      <c r="F529" s="4853"/>
      <c r="G529" s="4853"/>
      <c r="H529" s="4853"/>
    </row>
    <row r="530" spans="1:8" ht="12.75" customHeight="1">
      <c r="C530" s="1376" t="s">
        <v>3949</v>
      </c>
      <c r="E530" s="4853" t="s">
        <v>3035</v>
      </c>
      <c r="F530" s="4853"/>
      <c r="G530" s="4853"/>
      <c r="H530" s="4853"/>
    </row>
    <row r="531" spans="1:8" ht="12.75" customHeight="1">
      <c r="C531" s="1377"/>
      <c r="D531" s="1375" t="s">
        <v>2916</v>
      </c>
      <c r="E531" s="4856" t="s">
        <v>3036</v>
      </c>
      <c r="F531" s="4856"/>
      <c r="G531" s="4856"/>
      <c r="H531" s="4856"/>
    </row>
    <row r="532" spans="1:8" ht="3" customHeight="1">
      <c r="D532" s="625"/>
      <c r="E532" s="999"/>
      <c r="F532" s="999"/>
      <c r="G532" s="999"/>
      <c r="H532" s="999"/>
    </row>
    <row r="533" spans="1:8" ht="12.75" customHeight="1">
      <c r="C533" s="603" t="s">
        <v>2877</v>
      </c>
      <c r="D533" s="625" t="s">
        <v>1838</v>
      </c>
      <c r="E533" s="626"/>
      <c r="F533" s="622" t="s">
        <v>2878</v>
      </c>
      <c r="G533" s="622"/>
      <c r="H533" s="622"/>
    </row>
    <row r="534" spans="1:8" ht="12.75" customHeight="1">
      <c r="C534" s="627" t="s">
        <v>1273</v>
      </c>
      <c r="D534" s="625" t="s">
        <v>1840</v>
      </c>
      <c r="E534" s="4853" t="s">
        <v>2917</v>
      </c>
      <c r="F534" s="4853"/>
      <c r="G534" s="4853"/>
      <c r="H534" s="4853"/>
    </row>
    <row r="535" spans="1:8" ht="12.75" customHeight="1">
      <c r="C535" s="1376" t="s">
        <v>3949</v>
      </c>
      <c r="E535" s="4853" t="s">
        <v>3035</v>
      </c>
      <c r="F535" s="4853"/>
      <c r="G535" s="4853"/>
      <c r="H535" s="4853"/>
    </row>
    <row r="536" spans="1:8" ht="12.75" customHeight="1">
      <c r="C536" s="1377"/>
      <c r="D536" s="1375" t="s">
        <v>2916</v>
      </c>
      <c r="E536" s="4856" t="s">
        <v>3036</v>
      </c>
      <c r="F536" s="4856"/>
      <c r="G536" s="4856"/>
      <c r="H536" s="4856"/>
    </row>
    <row r="537" spans="1:8" ht="6" customHeight="1">
      <c r="D537" s="625"/>
      <c r="E537" s="999"/>
      <c r="F537" s="999"/>
      <c r="G537" s="999"/>
      <c r="H537" s="999"/>
    </row>
    <row r="538" spans="1:8">
      <c r="A538" s="606" t="s">
        <v>2912</v>
      </c>
      <c r="B538" s="623">
        <f>IF('Part V-Revenues &amp; Expenses'!$M$65=0,"",'Part V-Revenues &amp; Expenses'!$M$65)</f>
        <v>24</v>
      </c>
      <c r="C538" s="606" t="s">
        <v>2914</v>
      </c>
      <c r="D538" s="624" t="s">
        <v>3038</v>
      </c>
    </row>
    <row r="539" spans="1:8" ht="1.95" customHeight="1"/>
    <row r="540" spans="1:8" ht="12.75" customHeight="1">
      <c r="C540" s="603" t="s">
        <v>2877</v>
      </c>
      <c r="D540" s="625" t="s">
        <v>1838</v>
      </c>
      <c r="E540" s="626"/>
      <c r="F540" s="622" t="s">
        <v>2878</v>
      </c>
      <c r="G540" s="622"/>
      <c r="H540" s="622"/>
    </row>
    <row r="541" spans="1:8" ht="12.75" customHeight="1">
      <c r="C541" s="627" t="s">
        <v>1273</v>
      </c>
      <c r="D541" s="625" t="s">
        <v>1840</v>
      </c>
      <c r="E541" s="4853" t="s">
        <v>2917</v>
      </c>
      <c r="F541" s="4853"/>
      <c r="G541" s="4853"/>
      <c r="H541" s="4853"/>
    </row>
    <row r="542" spans="1:8" ht="12.75" customHeight="1">
      <c r="C542" s="1376" t="s">
        <v>3949</v>
      </c>
      <c r="E542" s="4853" t="s">
        <v>3035</v>
      </c>
      <c r="F542" s="4853"/>
      <c r="G542" s="4853"/>
      <c r="H542" s="4853"/>
    </row>
    <row r="543" spans="1:8" ht="12.75" customHeight="1">
      <c r="C543" s="1377"/>
      <c r="D543" s="628" t="s">
        <v>2916</v>
      </c>
      <c r="E543" s="4853" t="s">
        <v>3036</v>
      </c>
      <c r="F543" s="4853"/>
      <c r="G543" s="4853"/>
      <c r="H543" s="4853"/>
    </row>
    <row r="544" spans="1:8" ht="3" customHeight="1">
      <c r="D544" s="625"/>
      <c r="E544" s="999"/>
      <c r="F544" s="999"/>
      <c r="G544" s="999"/>
      <c r="H544" s="999"/>
    </row>
    <row r="545" spans="1:8" ht="12.75" customHeight="1">
      <c r="C545" s="603" t="s">
        <v>2877</v>
      </c>
      <c r="D545" s="625" t="s">
        <v>1838</v>
      </c>
      <c r="E545" s="626"/>
      <c r="F545" s="622" t="s">
        <v>2878</v>
      </c>
      <c r="G545" s="622"/>
      <c r="H545" s="622"/>
    </row>
    <row r="546" spans="1:8" ht="12.75" customHeight="1">
      <c r="C546" s="627" t="s">
        <v>1273</v>
      </c>
      <c r="D546" s="625" t="s">
        <v>1840</v>
      </c>
      <c r="E546" s="4853" t="s">
        <v>2917</v>
      </c>
      <c r="F546" s="4853"/>
      <c r="G546" s="4853"/>
      <c r="H546" s="4853"/>
    </row>
    <row r="547" spans="1:8" ht="12.75" customHeight="1">
      <c r="C547" s="1376" t="s">
        <v>3949</v>
      </c>
      <c r="E547" s="4853" t="s">
        <v>3035</v>
      </c>
      <c r="F547" s="4853"/>
      <c r="G547" s="4853"/>
      <c r="H547" s="4853"/>
    </row>
    <row r="548" spans="1:8" ht="12.75" customHeight="1">
      <c r="C548" s="1377"/>
      <c r="D548" s="1375" t="s">
        <v>2916</v>
      </c>
      <c r="E548" s="4856" t="s">
        <v>3036</v>
      </c>
      <c r="F548" s="4856"/>
      <c r="G548" s="4856"/>
      <c r="H548" s="4856"/>
    </row>
    <row r="549" spans="1:8" ht="3" customHeight="1">
      <c r="D549" s="625"/>
      <c r="E549" s="999"/>
      <c r="F549" s="999"/>
      <c r="G549" s="999"/>
      <c r="H549" s="999"/>
    </row>
    <row r="550" spans="1:8" ht="12.75" customHeight="1">
      <c r="C550" s="603" t="s">
        <v>2877</v>
      </c>
      <c r="D550" s="625" t="s">
        <v>1838</v>
      </c>
      <c r="E550" s="626"/>
      <c r="F550" s="622" t="s">
        <v>2878</v>
      </c>
      <c r="G550" s="622"/>
      <c r="H550" s="622"/>
    </row>
    <row r="551" spans="1:8" ht="12.75" customHeight="1">
      <c r="C551" s="627" t="s">
        <v>1273</v>
      </c>
      <c r="D551" s="625" t="s">
        <v>1840</v>
      </c>
      <c r="E551" s="4853" t="s">
        <v>2917</v>
      </c>
      <c r="F551" s="4853"/>
      <c r="G551" s="4853"/>
      <c r="H551" s="4853"/>
    </row>
    <row r="552" spans="1:8" ht="12.75" customHeight="1">
      <c r="C552" s="1376" t="s">
        <v>3949</v>
      </c>
      <c r="E552" s="4853" t="s">
        <v>3035</v>
      </c>
      <c r="F552" s="4853"/>
      <c r="G552" s="4853"/>
      <c r="H552" s="4853"/>
    </row>
    <row r="553" spans="1:8" ht="12.75" customHeight="1">
      <c r="C553" s="1377"/>
      <c r="D553" s="1375" t="s">
        <v>2916</v>
      </c>
      <c r="E553" s="4856" t="s">
        <v>3036</v>
      </c>
      <c r="F553" s="4856"/>
      <c r="G553" s="4856"/>
      <c r="H553" s="4856"/>
    </row>
    <row r="554" spans="1:8" ht="6" customHeight="1">
      <c r="D554" s="625"/>
      <c r="E554" s="999"/>
      <c r="F554" s="999"/>
      <c r="G554" s="999"/>
      <c r="H554" s="999"/>
    </row>
    <row r="555" spans="1:8">
      <c r="A555" s="606" t="s">
        <v>2912</v>
      </c>
      <c r="B555" s="623" t="str">
        <f>IF('Part V-Revenues &amp; Expenses'!$N$65=0,"",'Part V-Revenues &amp; Expenses'!$N$65)</f>
        <v/>
      </c>
      <c r="C555" s="606" t="s">
        <v>2915</v>
      </c>
      <c r="D555" s="624" t="s">
        <v>3039</v>
      </c>
    </row>
    <row r="556" spans="1:8" ht="1.95" customHeight="1"/>
    <row r="557" spans="1:8" ht="12.75" customHeight="1">
      <c r="C557" s="603" t="s">
        <v>2877</v>
      </c>
      <c r="D557" s="625" t="s">
        <v>1838</v>
      </c>
      <c r="E557" s="626"/>
      <c r="F557" s="622" t="s">
        <v>2878</v>
      </c>
      <c r="G557" s="622"/>
      <c r="H557" s="622"/>
    </row>
    <row r="558" spans="1:8" ht="12.75" customHeight="1">
      <c r="C558" s="627" t="s">
        <v>1273</v>
      </c>
      <c r="D558" s="625" t="s">
        <v>1840</v>
      </c>
      <c r="E558" s="4853" t="s">
        <v>2917</v>
      </c>
      <c r="F558" s="4853"/>
      <c r="G558" s="4853"/>
      <c r="H558" s="4853"/>
    </row>
    <row r="559" spans="1:8" ht="12.75" customHeight="1">
      <c r="C559" s="1376" t="s">
        <v>3949</v>
      </c>
      <c r="E559" s="4853" t="s">
        <v>3035</v>
      </c>
      <c r="F559" s="4853"/>
      <c r="G559" s="4853"/>
      <c r="H559" s="4853"/>
    </row>
    <row r="560" spans="1:8" ht="12.75" customHeight="1">
      <c r="C560" s="1377"/>
      <c r="D560" s="628" t="s">
        <v>2916</v>
      </c>
      <c r="E560" s="4853" t="s">
        <v>3036</v>
      </c>
      <c r="F560" s="4853"/>
      <c r="G560" s="4853"/>
      <c r="H560" s="4853"/>
    </row>
    <row r="561" spans="1:11" ht="3" customHeight="1">
      <c r="D561" s="625"/>
      <c r="E561" s="999"/>
      <c r="F561" s="999"/>
      <c r="G561" s="999"/>
      <c r="H561" s="999"/>
    </row>
    <row r="562" spans="1:11" ht="12.75" customHeight="1">
      <c r="C562" s="603" t="s">
        <v>2877</v>
      </c>
      <c r="D562" s="625" t="s">
        <v>1838</v>
      </c>
      <c r="E562" s="626"/>
      <c r="F562" s="622" t="s">
        <v>2878</v>
      </c>
      <c r="G562" s="622"/>
      <c r="H562" s="622"/>
    </row>
    <row r="563" spans="1:11" ht="12.75" customHeight="1">
      <c r="C563" s="627" t="s">
        <v>1273</v>
      </c>
      <c r="D563" s="625" t="s">
        <v>1840</v>
      </c>
      <c r="E563" s="4853" t="s">
        <v>2917</v>
      </c>
      <c r="F563" s="4853"/>
      <c r="G563" s="4853"/>
      <c r="H563" s="4853"/>
    </row>
    <row r="564" spans="1:11" ht="12.75" customHeight="1">
      <c r="C564" s="1376" t="s">
        <v>3949</v>
      </c>
      <c r="E564" s="4853" t="s">
        <v>3035</v>
      </c>
      <c r="F564" s="4853"/>
      <c r="G564" s="4853"/>
      <c r="H564" s="4853"/>
    </row>
    <row r="565" spans="1:11" ht="12.75" customHeight="1">
      <c r="C565" s="1377"/>
      <c r="D565" s="1375" t="s">
        <v>2916</v>
      </c>
      <c r="E565" s="4856" t="s">
        <v>3036</v>
      </c>
      <c r="F565" s="4856"/>
      <c r="G565" s="4856"/>
      <c r="H565" s="4856"/>
    </row>
    <row r="566" spans="1:11" ht="3" customHeight="1">
      <c r="D566" s="625"/>
      <c r="E566" s="999"/>
      <c r="F566" s="999"/>
      <c r="G566" s="999"/>
      <c r="H566" s="999"/>
    </row>
    <row r="567" spans="1:11" ht="12.75" customHeight="1">
      <c r="C567" s="603" t="s">
        <v>2877</v>
      </c>
      <c r="D567" s="625" t="s">
        <v>1838</v>
      </c>
      <c r="E567" s="626"/>
      <c r="F567" s="622" t="s">
        <v>2878</v>
      </c>
      <c r="G567" s="622"/>
      <c r="H567" s="622"/>
    </row>
    <row r="568" spans="1:11" ht="12.75" customHeight="1">
      <c r="C568" s="627" t="s">
        <v>1273</v>
      </c>
      <c r="D568" s="625" t="s">
        <v>1840</v>
      </c>
      <c r="E568" s="4853" t="s">
        <v>2917</v>
      </c>
      <c r="F568" s="4853"/>
      <c r="G568" s="4853"/>
      <c r="H568" s="4853"/>
    </row>
    <row r="569" spans="1:11" ht="12.75" customHeight="1">
      <c r="C569" s="1376" t="s">
        <v>3949</v>
      </c>
      <c r="E569" s="4853" t="s">
        <v>3035</v>
      </c>
      <c r="F569" s="4853"/>
      <c r="G569" s="4853"/>
      <c r="H569" s="4853"/>
    </row>
    <row r="570" spans="1:11" ht="12.75" customHeight="1">
      <c r="C570" s="1377"/>
      <c r="D570" s="1375" t="s">
        <v>2916</v>
      </c>
      <c r="E570" s="4856" t="s">
        <v>3036</v>
      </c>
      <c r="F570" s="4856"/>
      <c r="G570" s="4856"/>
      <c r="H570" s="4856"/>
    </row>
    <row r="571" spans="1:11" ht="6" customHeight="1">
      <c r="D571" s="625"/>
      <c r="E571" s="999"/>
      <c r="F571" s="999"/>
      <c r="G571" s="999"/>
      <c r="H571" s="999"/>
    </row>
    <row r="572" spans="1:11">
      <c r="A572" s="606" t="s">
        <v>2912</v>
      </c>
      <c r="B572" s="623" t="str">
        <f>IF('Part V-Revenues &amp; Expenses'!$O$65=0,"",'Part V-Revenues &amp; Expenses'!$O$65)</f>
        <v/>
      </c>
      <c r="C572" s="606" t="s">
        <v>3947</v>
      </c>
      <c r="D572" s="624" t="s">
        <v>3948</v>
      </c>
    </row>
    <row r="573" spans="1:11" ht="1.95" customHeight="1"/>
    <row r="574" spans="1:11" ht="12.75" customHeight="1">
      <c r="C574" s="603" t="s">
        <v>2877</v>
      </c>
      <c r="D574" s="625" t="s">
        <v>1838</v>
      </c>
      <c r="E574" s="626"/>
      <c r="F574" s="4853" t="s">
        <v>2878</v>
      </c>
      <c r="G574" s="4853"/>
      <c r="H574" s="4853"/>
      <c r="K574" s="431" t="s">
        <v>233</v>
      </c>
    </row>
    <row r="575" spans="1:11" ht="12.75" customHeight="1">
      <c r="C575" s="627" t="s">
        <v>1273</v>
      </c>
      <c r="D575" s="625" t="s">
        <v>1840</v>
      </c>
      <c r="E575" s="4853" t="s">
        <v>2918</v>
      </c>
      <c r="F575" s="4853"/>
      <c r="G575" s="4853"/>
      <c r="H575" s="4853"/>
    </row>
    <row r="576" spans="1:11" ht="12.75" customHeight="1">
      <c r="E576" s="4853" t="s">
        <v>3035</v>
      </c>
      <c r="F576" s="4853"/>
      <c r="G576" s="4853"/>
      <c r="H576" s="4853"/>
    </row>
    <row r="577" spans="4:8" ht="12.75" customHeight="1">
      <c r="D577" s="628" t="s">
        <v>2916</v>
      </c>
      <c r="E577" s="4853" t="s">
        <v>3036</v>
      </c>
      <c r="F577" s="4853"/>
      <c r="G577" s="4853"/>
      <c r="H577" s="4853"/>
    </row>
    <row r="578" spans="4:8" ht="9" customHeight="1"/>
    <row r="579" spans="4:8" ht="7.5" customHeight="1">
      <c r="E579" s="4853"/>
      <c r="F579" s="4853"/>
      <c r="G579" s="4853"/>
      <c r="H579" s="4853"/>
    </row>
  </sheetData>
  <sheetProtection algorithmName="SHA-512" hashValue="DZTPzvedJRoH/qnG96gvsqRAHJV7LbDkoTzw6zEYNft0yxiTf13h0I0aln+tzJeOyRReimGNe5JONbjlRE+A4Q==" saltValue="X4eI9Z8X5cqwx3ZIHNoES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8"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398"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6" customWidth="1"/>
    <col min="20" max="20" width="5.6640625" style="431" customWidth="1"/>
    <col min="21" max="21" width="3.6640625" style="431" customWidth="1"/>
    <col min="22" max="23" width="5.44140625" style="431" customWidth="1"/>
    <col min="24" max="16384" width="9.33203125" style="431"/>
  </cols>
  <sheetData>
    <row r="1" spans="1:14">
      <c r="A1" s="506" t="s">
        <v>2871</v>
      </c>
      <c r="H1" s="601" t="str">
        <f>'Sensitivity Analysis'!C8</f>
        <v>Retreat at Madison Place</v>
      </c>
    </row>
    <row r="2" spans="1:14">
      <c r="A2" s="548" t="s">
        <v>2872</v>
      </c>
      <c r="H2" s="431" t="str">
        <f>'Sensitivity Analysis'!E8</f>
        <v>2025-0</v>
      </c>
    </row>
    <row r="3" spans="1:14" ht="3" customHeight="1"/>
    <row r="4" spans="1:14" ht="69.599999999999994" customHeight="1">
      <c r="A4" s="4857" t="s">
        <v>2910</v>
      </c>
      <c r="B4" s="4857"/>
      <c r="C4" s="4857"/>
      <c r="D4" s="4857"/>
      <c r="E4" s="4857"/>
      <c r="F4" s="4857"/>
      <c r="G4" s="4857"/>
      <c r="H4" s="4857"/>
      <c r="I4" s="4857"/>
      <c r="J4" s="4857"/>
      <c r="K4" s="4857"/>
      <c r="L4" s="4899">
        <f>SUM('Part VI-Pro Forma'!B15:B17)/12</f>
        <v>207603.00719999999</v>
      </c>
      <c r="M4" s="4899"/>
      <c r="N4" s="1399" t="s">
        <v>3541</v>
      </c>
    </row>
    <row r="5" spans="1:14" ht="1.5" customHeight="1"/>
    <row r="6" spans="1:14" ht="12.75" customHeight="1">
      <c r="B6" s="621" t="s">
        <v>2233</v>
      </c>
      <c r="C6" s="603" t="s">
        <v>2873</v>
      </c>
      <c r="D6" s="603"/>
      <c r="E6" s="603"/>
      <c r="F6" s="603"/>
      <c r="G6" s="603"/>
      <c r="H6" s="603"/>
    </row>
    <row r="7" spans="1:14" ht="12.75" customHeight="1">
      <c r="B7" s="621" t="s">
        <v>2234</v>
      </c>
      <c r="C7" s="4857" t="s">
        <v>2874</v>
      </c>
      <c r="D7" s="4857"/>
      <c r="E7" s="4857"/>
      <c r="F7" s="4857"/>
      <c r="G7" s="4857"/>
      <c r="H7" s="4857"/>
      <c r="I7" s="4857"/>
      <c r="J7" s="4857"/>
      <c r="K7" s="4857"/>
      <c r="L7" s="4857"/>
      <c r="M7" s="4857"/>
    </row>
    <row r="8" spans="1:14" ht="3" customHeight="1"/>
    <row r="9" spans="1:14">
      <c r="A9" s="431" t="s">
        <v>2875</v>
      </c>
    </row>
    <row r="10" spans="1:14" ht="1.5" customHeight="1"/>
    <row r="11" spans="1:14" ht="26.25" customHeight="1">
      <c r="A11" s="622" t="s">
        <v>1835</v>
      </c>
      <c r="B11" s="4857" t="s">
        <v>2907</v>
      </c>
      <c r="C11" s="4857"/>
      <c r="D11" s="4857"/>
      <c r="E11" s="4857"/>
      <c r="F11" s="4857"/>
      <c r="G11" s="4857"/>
      <c r="H11" s="4857"/>
      <c r="I11" s="4857"/>
      <c r="J11" s="4857"/>
      <c r="K11" s="4857"/>
      <c r="L11" s="4858">
        <f>'Part II-Sources of Funds'!I53+'Part II-Sources of Funds'!I54</f>
        <v>19416628</v>
      </c>
      <c r="M11" s="4858"/>
    </row>
    <row r="12" spans="1:14" ht="1.5" customHeight="1">
      <c r="G12" s="603"/>
      <c r="H12" s="603"/>
    </row>
    <row r="13" spans="1:14" ht="25.95" customHeight="1">
      <c r="A13" s="622" t="s">
        <v>1837</v>
      </c>
      <c r="B13" s="4857" t="s">
        <v>2908</v>
      </c>
      <c r="C13" s="4857"/>
      <c r="D13" s="4857"/>
      <c r="E13" s="4857"/>
      <c r="F13" s="4857"/>
      <c r="G13" s="4857"/>
      <c r="H13" s="4857"/>
      <c r="I13" s="4857"/>
      <c r="J13" s="4857"/>
      <c r="K13" s="4857"/>
      <c r="L13" s="4859" t="s">
        <v>2803</v>
      </c>
      <c r="M13" s="4859"/>
    </row>
    <row r="14" spans="1:14">
      <c r="A14" s="622"/>
      <c r="B14" s="4814"/>
      <c r="C14" s="4814"/>
      <c r="D14" s="4814"/>
      <c r="E14" s="4814"/>
      <c r="F14" s="4814"/>
      <c r="G14" s="4814"/>
      <c r="H14" s="4814"/>
    </row>
    <row r="15" spans="1:14" ht="3" customHeight="1"/>
    <row r="16" spans="1:14">
      <c r="A16" s="622" t="s">
        <v>697</v>
      </c>
      <c r="B16" s="431" t="s">
        <v>2911</v>
      </c>
      <c r="L16" s="4860" t="s">
        <v>2643</v>
      </c>
      <c r="M16" s="4860"/>
    </row>
    <row r="17" spans="1:19" ht="1.5" customHeight="1">
      <c r="L17" s="606"/>
    </row>
    <row r="18" spans="1:19" ht="12" customHeight="1">
      <c r="A18" s="622" t="s">
        <v>1956</v>
      </c>
      <c r="B18" s="603" t="s">
        <v>2909</v>
      </c>
      <c r="C18" s="622"/>
      <c r="D18" s="622"/>
      <c r="E18" s="622"/>
      <c r="L18" s="4814" t="s">
        <v>2506</v>
      </c>
      <c r="M18" s="4814"/>
    </row>
    <row r="19" spans="1:19" ht="12" hidden="1" customHeight="1">
      <c r="B19" s="4814"/>
      <c r="C19" s="4814"/>
      <c r="D19" s="4814"/>
      <c r="E19" s="4814"/>
      <c r="F19" s="4814"/>
      <c r="G19" s="4814"/>
      <c r="H19" s="4814"/>
    </row>
    <row r="20" spans="1:19" ht="13.5" customHeight="1"/>
    <row r="21" spans="1:19" ht="12" customHeight="1">
      <c r="A21" s="548" t="s">
        <v>2876</v>
      </c>
    </row>
    <row r="22" spans="1:19" ht="3" customHeight="1"/>
    <row r="23" spans="1:19" ht="42.6" customHeight="1">
      <c r="A23" s="4861" t="s">
        <v>3946</v>
      </c>
      <c r="B23" s="4861"/>
      <c r="C23" s="4861"/>
      <c r="D23" s="4861"/>
      <c r="E23" s="4861"/>
      <c r="F23" s="4861"/>
      <c r="G23" s="4861"/>
      <c r="H23" s="4861"/>
      <c r="I23" s="4861"/>
      <c r="J23" s="4861"/>
      <c r="K23" s="4861"/>
      <c r="L23" s="4861"/>
      <c r="M23" s="4861"/>
    </row>
    <row r="24" spans="1:19" ht="18" customHeight="1">
      <c r="E24" s="602" t="s">
        <v>525</v>
      </c>
      <c r="F24" s="602" t="s">
        <v>499</v>
      </c>
      <c r="G24" s="602" t="s">
        <v>500</v>
      </c>
      <c r="H24" s="602" t="s">
        <v>501</v>
      </c>
      <c r="I24" s="602" t="s">
        <v>502</v>
      </c>
      <c r="J24" s="602" t="s">
        <v>503</v>
      </c>
      <c r="K24" s="431"/>
      <c r="S24" s="431"/>
    </row>
    <row r="25" spans="1:19" ht="14.25" customHeight="1">
      <c r="C25" s="720" t="s">
        <v>3554</v>
      </c>
      <c r="D25" s="438"/>
      <c r="E25" s="1487">
        <f>'Part V-Revenues &amp; Expenses'!K65</f>
        <v>0</v>
      </c>
      <c r="F25" s="1488">
        <f>'Part V-Revenues &amp; Expenses'!L65</f>
        <v>8</v>
      </c>
      <c r="G25" s="1488">
        <f>'Part V-Revenues &amp; Expenses'!M65</f>
        <v>24</v>
      </c>
      <c r="H25" s="1488">
        <f>'Part V-Revenues &amp; Expenses'!N65</f>
        <v>0</v>
      </c>
      <c r="I25" s="1488">
        <f>'Part V-Revenues &amp; Expenses'!O65</f>
        <v>0</v>
      </c>
      <c r="J25" s="2392">
        <f>'Part V-Revenues &amp; Expenses'!P65</f>
        <v>32</v>
      </c>
      <c r="K25" s="431"/>
      <c r="S25" s="431"/>
    </row>
    <row r="26" spans="1:19" ht="15" customHeight="1">
      <c r="C26" s="720" t="s">
        <v>3555</v>
      </c>
      <c r="D26" s="438"/>
      <c r="E26" s="1489">
        <f>'Part V-Revenues &amp; Expenses'!K66</f>
        <v>0</v>
      </c>
      <c r="F26" s="1490">
        <f>'Part V-Revenues &amp; Expenses'!L66</f>
        <v>0</v>
      </c>
      <c r="G26" s="1490">
        <f>'Part V-Revenues &amp; Expenses'!M66</f>
        <v>0</v>
      </c>
      <c r="H26" s="1490">
        <f>'Part V-Revenues &amp; Expenses'!N66</f>
        <v>0</v>
      </c>
      <c r="I26" s="1490">
        <f>'Part V-Revenues &amp; Expenses'!O66</f>
        <v>0</v>
      </c>
      <c r="J26" s="2393">
        <f>'Part V-Revenues &amp; Expenses'!P66</f>
        <v>0</v>
      </c>
      <c r="K26" s="431"/>
      <c r="S26" s="431"/>
    </row>
    <row r="27" spans="1:19" ht="15" customHeight="1">
      <c r="C27" s="720" t="s">
        <v>1080</v>
      </c>
      <c r="D27" s="438"/>
      <c r="E27" s="1489">
        <f>'Part V-Revenues &amp; Expenses'!K67</f>
        <v>0</v>
      </c>
      <c r="F27" s="1490">
        <f>'Part V-Revenues &amp; Expenses'!L67</f>
        <v>24</v>
      </c>
      <c r="G27" s="1490">
        <f>'Part V-Revenues &amp; Expenses'!M67</f>
        <v>72</v>
      </c>
      <c r="H27" s="1490">
        <f>'Part V-Revenues &amp; Expenses'!N67</f>
        <v>0</v>
      </c>
      <c r="I27" s="1490">
        <f>'Part V-Revenues &amp; Expenses'!O67</f>
        <v>0</v>
      </c>
      <c r="J27" s="2393">
        <f>'Part V-Revenues &amp; Expenses'!P67</f>
        <v>96</v>
      </c>
      <c r="K27" s="431"/>
      <c r="S27" s="431"/>
    </row>
    <row r="28" spans="1:19" ht="15" customHeight="1">
      <c r="C28" s="720" t="s">
        <v>112</v>
      </c>
      <c r="D28" s="438"/>
      <c r="E28" s="1489">
        <f>'Part V-Revenues &amp; Expenses'!K68</f>
        <v>0</v>
      </c>
      <c r="F28" s="1490">
        <f>'Part V-Revenues &amp; Expenses'!L68</f>
        <v>4</v>
      </c>
      <c r="G28" s="1490">
        <f>'Part V-Revenues &amp; Expenses'!M68</f>
        <v>12</v>
      </c>
      <c r="H28" s="1490">
        <f>'Part V-Revenues &amp; Expenses'!N68</f>
        <v>0</v>
      </c>
      <c r="I28" s="1490">
        <f>'Part V-Revenues &amp; Expenses'!O68</f>
        <v>0</v>
      </c>
      <c r="J28" s="2393">
        <f>'Part V-Revenues &amp; Expenses'!P68</f>
        <v>16</v>
      </c>
      <c r="K28" s="431"/>
      <c r="S28" s="431"/>
    </row>
    <row r="29" spans="1:19" ht="13.2" customHeight="1">
      <c r="C29" s="720" t="s">
        <v>3556</v>
      </c>
      <c r="D29" s="438"/>
      <c r="E29" s="1489">
        <f>'Part V-Revenues &amp; Expenses'!K69</f>
        <v>0</v>
      </c>
      <c r="F29" s="1490">
        <f>'Part V-Revenues &amp; Expenses'!L69</f>
        <v>0</v>
      </c>
      <c r="G29" s="1490">
        <f>'Part V-Revenues &amp; Expenses'!M69</f>
        <v>0</v>
      </c>
      <c r="H29" s="1490">
        <f>'Part V-Revenues &amp; Expenses'!N69</f>
        <v>0</v>
      </c>
      <c r="I29" s="1490">
        <f>'Part V-Revenues &amp; Expenses'!O69</f>
        <v>0</v>
      </c>
      <c r="J29" s="2393">
        <f>'Part V-Revenues &amp; Expenses'!P69</f>
        <v>0</v>
      </c>
      <c r="K29" s="431"/>
      <c r="S29" s="431"/>
    </row>
    <row r="30" spans="1:19" ht="13.2" customHeight="1">
      <c r="C30" s="720" t="s">
        <v>3557</v>
      </c>
      <c r="D30" s="438"/>
      <c r="E30" s="1489">
        <f>'Part V-Revenues &amp; Expenses'!K70</f>
        <v>0</v>
      </c>
      <c r="F30" s="1490">
        <f>'Part V-Revenues &amp; Expenses'!L70</f>
        <v>4</v>
      </c>
      <c r="G30" s="1490">
        <f>'Part V-Revenues &amp; Expenses'!M70</f>
        <v>12</v>
      </c>
      <c r="H30" s="1490">
        <f>'Part V-Revenues &amp; Expenses'!N70</f>
        <v>0</v>
      </c>
      <c r="I30" s="1490">
        <f>'Part V-Revenues &amp; Expenses'!O70</f>
        <v>0</v>
      </c>
      <c r="J30" s="2393">
        <f>'Part V-Revenues &amp; Expenses'!P70</f>
        <v>16</v>
      </c>
      <c r="K30" s="431"/>
      <c r="S30" s="431"/>
    </row>
    <row r="31" spans="1:19" ht="13.2" customHeight="1">
      <c r="C31" s="720" t="s">
        <v>3558</v>
      </c>
      <c r="D31" s="438"/>
      <c r="E31" s="1489">
        <f>'Part V-Revenues &amp; Expenses'!K71</f>
        <v>0</v>
      </c>
      <c r="F31" s="1490">
        <f>'Part V-Revenues &amp; Expenses'!L71</f>
        <v>0</v>
      </c>
      <c r="G31" s="1490">
        <f>'Part V-Revenues &amp; Expenses'!M71</f>
        <v>0</v>
      </c>
      <c r="H31" s="1490">
        <f>'Part V-Revenues &amp; Expenses'!N71</f>
        <v>0</v>
      </c>
      <c r="I31" s="1490">
        <f>'Part V-Revenues &amp; Expenses'!O71</f>
        <v>0</v>
      </c>
      <c r="J31" s="2393">
        <f>'Part V-Revenues &amp; Expenses'!P71</f>
        <v>0</v>
      </c>
      <c r="K31" s="431"/>
      <c r="S31" s="431"/>
    </row>
    <row r="32" spans="1:19" ht="13.2" customHeight="1">
      <c r="C32" s="438" t="s">
        <v>503</v>
      </c>
      <c r="D32" s="438"/>
      <c r="E32" s="2394">
        <f>'Part V-Revenues &amp; Expenses'!K72</f>
        <v>0</v>
      </c>
      <c r="F32" s="2395">
        <f>'Part V-Revenues &amp; Expenses'!L72</f>
        <v>40</v>
      </c>
      <c r="G32" s="2395">
        <f>'Part V-Revenues &amp; Expenses'!M72</f>
        <v>120</v>
      </c>
      <c r="H32" s="2395">
        <f>'Part V-Revenues &amp; Expenses'!N72</f>
        <v>0</v>
      </c>
      <c r="I32" s="2395">
        <f>'Part V-Revenues &amp; Expenses'!O72</f>
        <v>0</v>
      </c>
      <c r="J32" s="1491">
        <f>'Part V-Revenues &amp; Expenses'!P72</f>
        <v>160</v>
      </c>
      <c r="K32" s="431"/>
      <c r="S32" s="431"/>
    </row>
    <row r="33" spans="1:12" s="431" customFormat="1" ht="13.2" customHeight="1" thickBot="1">
      <c r="K33" s="1398"/>
    </row>
    <row r="34" spans="1:12" s="431" customFormat="1" ht="14.25" customHeight="1" thickBot="1">
      <c r="A34" s="1398"/>
      <c r="B34" s="4873" t="s">
        <v>4063</v>
      </c>
      <c r="E34" s="4874" t="s">
        <v>3965</v>
      </c>
      <c r="F34" s="4875"/>
      <c r="G34" s="4875"/>
      <c r="H34" s="4875"/>
      <c r="I34" s="4875"/>
      <c r="J34" s="4875"/>
      <c r="K34" s="4875"/>
      <c r="L34" s="4876"/>
    </row>
    <row r="35" spans="1:12" s="431" customFormat="1" ht="14.25" customHeight="1">
      <c r="A35" s="1398"/>
      <c r="B35" s="4873"/>
      <c r="C35" s="4877" t="s">
        <v>4064</v>
      </c>
      <c r="D35" s="4873" t="s">
        <v>4065</v>
      </c>
      <c r="E35" s="4878" t="s">
        <v>3968</v>
      </c>
      <c r="F35" s="4879"/>
      <c r="G35" s="4882" t="s">
        <v>1273</v>
      </c>
      <c r="H35" s="4884" t="s">
        <v>3964</v>
      </c>
      <c r="I35" s="4885"/>
      <c r="J35" s="4885"/>
      <c r="K35" s="4885"/>
      <c r="L35" s="4886"/>
    </row>
    <row r="36" spans="1:12" s="431" customFormat="1" ht="23.25" customHeight="1">
      <c r="A36" s="4877" t="s">
        <v>974</v>
      </c>
      <c r="B36" s="4873"/>
      <c r="C36" s="4877"/>
      <c r="D36" s="4873"/>
      <c r="E36" s="4880"/>
      <c r="F36" s="4881"/>
      <c r="G36" s="4883"/>
      <c r="H36" s="4887" t="s">
        <v>3966</v>
      </c>
      <c r="I36" s="4888"/>
      <c r="J36" s="4891" t="s">
        <v>1273</v>
      </c>
      <c r="K36" s="4888" t="s">
        <v>3967</v>
      </c>
      <c r="L36" s="4893"/>
    </row>
    <row r="37" spans="1:12" s="431" customFormat="1" ht="23.25" customHeight="1">
      <c r="A37" s="4877"/>
      <c r="B37" s="4873"/>
      <c r="C37" s="4877"/>
      <c r="D37" s="4873"/>
      <c r="E37" s="4880"/>
      <c r="F37" s="4881"/>
      <c r="G37" s="4883"/>
      <c r="H37" s="4887"/>
      <c r="I37" s="4888"/>
      <c r="J37" s="4892"/>
      <c r="K37" s="4888"/>
      <c r="L37" s="4893"/>
    </row>
    <row r="38" spans="1:12" s="431" customFormat="1" ht="23.25" customHeight="1">
      <c r="A38" s="4873"/>
      <c r="B38" s="4873"/>
      <c r="C38" s="4873"/>
      <c r="D38" s="4873"/>
      <c r="E38" s="4880"/>
      <c r="F38" s="4881"/>
      <c r="G38" s="4883"/>
      <c r="H38" s="4889"/>
      <c r="I38" s="4890"/>
      <c r="J38" s="4892"/>
      <c r="K38" s="4890"/>
      <c r="L38" s="4894"/>
    </row>
    <row r="39" spans="1:12" s="431" customFormat="1" ht="13.2" customHeight="1">
      <c r="A39" s="1477">
        <f>'Part V-Revenues &amp; Expenses'!B18</f>
        <v>30</v>
      </c>
      <c r="B39" s="1478">
        <f>'Part V-Revenues &amp; Expenses'!E18</f>
        <v>4</v>
      </c>
      <c r="C39" s="1479" t="str">
        <f>_xlfn.CONCAT('Part V-Revenues &amp; Expenses'!C18," / ",'Part V-Revenues &amp; Expenses'!D18)</f>
        <v>1 / 1</v>
      </c>
      <c r="D39" s="1478">
        <f>'Part V-Revenues &amp; Expenses'!F18</f>
        <v>701</v>
      </c>
      <c r="E39" s="4897">
        <f>'Part V-Revenues &amp; Expenses'!H18</f>
        <v>1818</v>
      </c>
      <c r="F39" s="4898"/>
      <c r="G39" s="438"/>
      <c r="H39" s="4867"/>
      <c r="I39" s="4868"/>
      <c r="J39" s="4868"/>
      <c r="K39" s="4868"/>
      <c r="L39" s="4869"/>
    </row>
    <row r="40" spans="1:12" s="431" customFormat="1" ht="13.2" customHeight="1">
      <c r="A40" s="1480">
        <f>'Part V-Revenues &amp; Expenses'!B19</f>
        <v>50</v>
      </c>
      <c r="B40" s="1481">
        <f>'Part V-Revenues &amp; Expenses'!E19</f>
        <v>4</v>
      </c>
      <c r="C40" s="1482" t="str">
        <f>_xlfn.CONCAT('Part V-Revenues &amp; Expenses'!C19," / ",'Part V-Revenues &amp; Expenses'!D19)</f>
        <v>1 / 1</v>
      </c>
      <c r="D40" s="1481">
        <f>'Part V-Revenues &amp; Expenses'!F19</f>
        <v>701</v>
      </c>
      <c r="E40" s="4865">
        <f>'Part V-Revenues &amp; Expenses'!H19</f>
        <v>1071</v>
      </c>
      <c r="F40" s="4866"/>
      <c r="G40" s="438"/>
      <c r="H40" s="4862"/>
      <c r="I40" s="4863"/>
      <c r="J40" s="4863"/>
      <c r="K40" s="4863"/>
      <c r="L40" s="4864"/>
    </row>
    <row r="41" spans="1:12" s="431" customFormat="1" ht="13.2" customHeight="1">
      <c r="A41" s="1480">
        <f>'Part V-Revenues &amp; Expenses'!B20</f>
        <v>60</v>
      </c>
      <c r="B41" s="1481">
        <f>'Part V-Revenues &amp; Expenses'!E20</f>
        <v>24</v>
      </c>
      <c r="C41" s="1482" t="str">
        <f>_xlfn.CONCAT('Part V-Revenues &amp; Expenses'!C20," / ",'Part V-Revenues &amp; Expenses'!D20)</f>
        <v>1 / 1</v>
      </c>
      <c r="D41" s="1481">
        <f>'Part V-Revenues &amp; Expenses'!F20</f>
        <v>701</v>
      </c>
      <c r="E41" s="4865">
        <f>'Part V-Revenues &amp; Expenses'!H20</f>
        <v>1212</v>
      </c>
      <c r="F41" s="4866"/>
      <c r="G41" s="438"/>
      <c r="H41" s="4862"/>
      <c r="I41" s="4863"/>
      <c r="J41" s="4863"/>
      <c r="K41" s="4863"/>
      <c r="L41" s="4864"/>
    </row>
    <row r="42" spans="1:12" s="431" customFormat="1" ht="13.2" customHeight="1">
      <c r="A42" s="1480">
        <f>'Part V-Revenues &amp; Expenses'!B21</f>
        <v>80</v>
      </c>
      <c r="B42" s="1481">
        <f>'Part V-Revenues &amp; Expenses'!E21</f>
        <v>8</v>
      </c>
      <c r="C42" s="1482" t="str">
        <f>_xlfn.CONCAT('Part V-Revenues &amp; Expenses'!C21," / ",'Part V-Revenues &amp; Expenses'!D21)</f>
        <v>1 / 1</v>
      </c>
      <c r="D42" s="1481">
        <f>'Part V-Revenues &amp; Expenses'!F21</f>
        <v>701</v>
      </c>
      <c r="E42" s="4865">
        <f>'Part V-Revenues &amp; Expenses'!H21</f>
        <v>1247</v>
      </c>
      <c r="F42" s="4866"/>
      <c r="G42" s="438"/>
      <c r="H42" s="4862"/>
      <c r="I42" s="4863"/>
      <c r="J42" s="4863"/>
      <c r="K42" s="4863"/>
      <c r="L42" s="4864"/>
    </row>
    <row r="43" spans="1:12" s="431" customFormat="1" ht="13.2" customHeight="1">
      <c r="A43" s="1480">
        <f>'Part V-Revenues &amp; Expenses'!B22</f>
        <v>30</v>
      </c>
      <c r="B43" s="1481">
        <f>'Part V-Revenues &amp; Expenses'!E22</f>
        <v>12</v>
      </c>
      <c r="C43" s="1482" t="str">
        <f>_xlfn.CONCAT('Part V-Revenues &amp; Expenses'!C22," / ",'Part V-Revenues &amp; Expenses'!D22)</f>
        <v>2 / 2</v>
      </c>
      <c r="D43" s="1481">
        <f>'Part V-Revenues &amp; Expenses'!F22</f>
        <v>971</v>
      </c>
      <c r="E43" s="4865">
        <f>'Part V-Revenues &amp; Expenses'!H22</f>
        <v>2013</v>
      </c>
      <c r="F43" s="4866"/>
      <c r="G43" s="438"/>
      <c r="H43" s="4862"/>
      <c r="I43" s="4863"/>
      <c r="J43" s="4863"/>
      <c r="K43" s="4863"/>
      <c r="L43" s="4864"/>
    </row>
    <row r="44" spans="1:12" s="431" customFormat="1" ht="13.2" customHeight="1">
      <c r="A44" s="1480">
        <f>'Part V-Revenues &amp; Expenses'!B23</f>
        <v>50</v>
      </c>
      <c r="B44" s="1481">
        <f>'Part V-Revenues &amp; Expenses'!E23</f>
        <v>12</v>
      </c>
      <c r="C44" s="1482" t="str">
        <f>_xlfn.CONCAT('Part V-Revenues &amp; Expenses'!C23," / ",'Part V-Revenues &amp; Expenses'!D23)</f>
        <v>2 / 2</v>
      </c>
      <c r="D44" s="1481">
        <f>'Part V-Revenues &amp; Expenses'!F23</f>
        <v>971</v>
      </c>
      <c r="E44" s="4865">
        <f>'Part V-Revenues &amp; Expenses'!H23</f>
        <v>1285</v>
      </c>
      <c r="F44" s="4866"/>
      <c r="G44" s="438"/>
      <c r="H44" s="4862"/>
      <c r="I44" s="4863"/>
      <c r="J44" s="4863"/>
      <c r="K44" s="4863"/>
      <c r="L44" s="4864"/>
    </row>
    <row r="45" spans="1:12" s="431" customFormat="1" ht="13.2" customHeight="1">
      <c r="A45" s="1480">
        <f>'Part V-Revenues &amp; Expenses'!B24</f>
        <v>60</v>
      </c>
      <c r="B45" s="1481">
        <f>'Part V-Revenues &amp; Expenses'!E24</f>
        <v>72</v>
      </c>
      <c r="C45" s="1482" t="str">
        <f>_xlfn.CONCAT('Part V-Revenues &amp; Expenses'!C24," / ",'Part V-Revenues &amp; Expenses'!D24)</f>
        <v>2 / 2</v>
      </c>
      <c r="D45" s="1481">
        <f>'Part V-Revenues &amp; Expenses'!F24</f>
        <v>971</v>
      </c>
      <c r="E45" s="4865">
        <f>'Part V-Revenues &amp; Expenses'!H24</f>
        <v>1469</v>
      </c>
      <c r="F45" s="4866"/>
      <c r="G45" s="438"/>
      <c r="H45" s="4862"/>
      <c r="I45" s="4863"/>
      <c r="J45" s="4863"/>
      <c r="K45" s="4863"/>
      <c r="L45" s="4864"/>
    </row>
    <row r="46" spans="1:12" s="431" customFormat="1" ht="13.2" customHeight="1">
      <c r="A46" s="1480">
        <f>'Part V-Revenues &amp; Expenses'!B25</f>
        <v>80</v>
      </c>
      <c r="B46" s="1481">
        <f>'Part V-Revenues &amp; Expenses'!E25</f>
        <v>24</v>
      </c>
      <c r="C46" s="1482" t="str">
        <f>_xlfn.CONCAT('Part V-Revenues &amp; Expenses'!C25," / ",'Part V-Revenues &amp; Expenses'!D25)</f>
        <v>2 / 2</v>
      </c>
      <c r="D46" s="1481">
        <f>'Part V-Revenues &amp; Expenses'!F25</f>
        <v>971</v>
      </c>
      <c r="E46" s="4865">
        <f>'Part V-Revenues &amp; Expenses'!H25</f>
        <v>1497</v>
      </c>
      <c r="F46" s="4866"/>
      <c r="G46" s="438"/>
      <c r="H46" s="4862"/>
      <c r="I46" s="4863"/>
      <c r="J46" s="4863"/>
      <c r="K46" s="4863"/>
      <c r="L46" s="4864"/>
    </row>
    <row r="47" spans="1:12" s="431" customFormat="1" ht="13.2" customHeight="1">
      <c r="A47" s="1480">
        <f>'Part V-Revenues &amp; Expenses'!B26</f>
        <v>0</v>
      </c>
      <c r="B47" s="1481">
        <f>'Part V-Revenues &amp; Expenses'!E26</f>
        <v>0</v>
      </c>
      <c r="C47" s="1482" t="str">
        <f>_xlfn.CONCAT('Part V-Revenues &amp; Expenses'!C26," / ",'Part V-Revenues &amp; Expenses'!D26)</f>
        <v xml:space="preserve"> / </v>
      </c>
      <c r="D47" s="1481">
        <f>'Part V-Revenues &amp; Expenses'!F26</f>
        <v>0</v>
      </c>
      <c r="E47" s="4865">
        <f>'Part V-Revenues &amp; Expenses'!H26</f>
        <v>0</v>
      </c>
      <c r="F47" s="4866"/>
      <c r="G47" s="438"/>
      <c r="H47" s="4862"/>
      <c r="I47" s="4863"/>
      <c r="J47" s="4863"/>
      <c r="K47" s="4863"/>
      <c r="L47" s="4864"/>
    </row>
    <row r="48" spans="1:12" s="431" customFormat="1" ht="13.2" customHeight="1">
      <c r="A48" s="1480">
        <f>'Part V-Revenues &amp; Expenses'!B27</f>
        <v>0</v>
      </c>
      <c r="B48" s="1481">
        <f>'Part V-Revenues &amp; Expenses'!E27</f>
        <v>0</v>
      </c>
      <c r="C48" s="1482" t="str">
        <f>_xlfn.CONCAT('Part V-Revenues &amp; Expenses'!C27," / ",'Part V-Revenues &amp; Expenses'!D27)</f>
        <v xml:space="preserve"> / </v>
      </c>
      <c r="D48" s="1481">
        <f>'Part V-Revenues &amp; Expenses'!F27</f>
        <v>0</v>
      </c>
      <c r="E48" s="4865">
        <f>'Part V-Revenues &amp; Expenses'!H27</f>
        <v>0</v>
      </c>
      <c r="F48" s="4866"/>
      <c r="G48" s="438"/>
      <c r="H48" s="4862"/>
      <c r="I48" s="4863"/>
      <c r="J48" s="4863"/>
      <c r="K48" s="4863"/>
      <c r="L48" s="4864"/>
    </row>
    <row r="49" spans="1:13" s="431" customFormat="1" ht="13.2" customHeight="1">
      <c r="A49" s="1480">
        <f>'Part V-Revenues &amp; Expenses'!B28</f>
        <v>0</v>
      </c>
      <c r="B49" s="1481">
        <f>'Part V-Revenues &amp; Expenses'!E28</f>
        <v>0</v>
      </c>
      <c r="C49" s="1482" t="str">
        <f>_xlfn.CONCAT('Part V-Revenues &amp; Expenses'!C28," / ",'Part V-Revenues &amp; Expenses'!D28)</f>
        <v xml:space="preserve"> / </v>
      </c>
      <c r="D49" s="1481">
        <f>'Part V-Revenues &amp; Expenses'!F28</f>
        <v>0</v>
      </c>
      <c r="E49" s="4865">
        <f>'Part V-Revenues &amp; Expenses'!H28</f>
        <v>0</v>
      </c>
      <c r="F49" s="4866"/>
      <c r="G49" s="438"/>
      <c r="H49" s="4862"/>
      <c r="I49" s="4863"/>
      <c r="J49" s="4863"/>
      <c r="K49" s="4863"/>
      <c r="L49" s="4864"/>
    </row>
    <row r="50" spans="1:13" s="431" customFormat="1" ht="13.2" customHeight="1">
      <c r="A50" s="1480">
        <f>'Part V-Revenues &amp; Expenses'!B29</f>
        <v>0</v>
      </c>
      <c r="B50" s="1481">
        <f>'Part V-Revenues &amp; Expenses'!E29</f>
        <v>0</v>
      </c>
      <c r="C50" s="1482" t="str">
        <f>_xlfn.CONCAT('Part V-Revenues &amp; Expenses'!C29," / ",'Part V-Revenues &amp; Expenses'!D29)</f>
        <v xml:space="preserve"> / </v>
      </c>
      <c r="D50" s="1481">
        <f>'Part V-Revenues &amp; Expenses'!F29</f>
        <v>0</v>
      </c>
      <c r="E50" s="4865">
        <f>'Part V-Revenues &amp; Expenses'!H29</f>
        <v>0</v>
      </c>
      <c r="F50" s="4866"/>
      <c r="G50" s="438"/>
      <c r="H50" s="4862"/>
      <c r="I50" s="4863"/>
      <c r="J50" s="4863"/>
      <c r="K50" s="4863"/>
      <c r="L50" s="4864"/>
    </row>
    <row r="51" spans="1:13" s="431" customFormat="1" ht="13.2" customHeight="1">
      <c r="A51" s="1480">
        <f>'Part V-Revenues &amp; Expenses'!B30</f>
        <v>0</v>
      </c>
      <c r="B51" s="1481">
        <f>'Part V-Revenues &amp; Expenses'!E30</f>
        <v>0</v>
      </c>
      <c r="C51" s="1482" t="str">
        <f>_xlfn.CONCAT('Part V-Revenues &amp; Expenses'!C30," / ",'Part V-Revenues &amp; Expenses'!D30)</f>
        <v xml:space="preserve"> / </v>
      </c>
      <c r="D51" s="1481">
        <f>'Part V-Revenues &amp; Expenses'!F30</f>
        <v>0</v>
      </c>
      <c r="E51" s="4865">
        <f>'Part V-Revenues &amp; Expenses'!H30</f>
        <v>0</v>
      </c>
      <c r="F51" s="4866"/>
      <c r="G51" s="438"/>
      <c r="H51" s="4862"/>
      <c r="I51" s="4863"/>
      <c r="J51" s="4863"/>
      <c r="K51" s="4863"/>
      <c r="L51" s="4864"/>
    </row>
    <row r="52" spans="1:13" s="431" customFormat="1" ht="13.2" customHeight="1">
      <c r="A52" s="1480">
        <f>'Part V-Revenues &amp; Expenses'!B31</f>
        <v>0</v>
      </c>
      <c r="B52" s="1481">
        <f>'Part V-Revenues &amp; Expenses'!E31</f>
        <v>0</v>
      </c>
      <c r="C52" s="1482" t="str">
        <f>_xlfn.CONCAT('Part V-Revenues &amp; Expenses'!C31," / ",'Part V-Revenues &amp; Expenses'!D31)</f>
        <v xml:space="preserve"> / </v>
      </c>
      <c r="D52" s="1481">
        <f>'Part V-Revenues &amp; Expenses'!F31</f>
        <v>0</v>
      </c>
      <c r="E52" s="4865">
        <f>'Part V-Revenues &amp; Expenses'!H31</f>
        <v>0</v>
      </c>
      <c r="F52" s="4866"/>
      <c r="G52" s="438"/>
      <c r="H52" s="4862"/>
      <c r="I52" s="4863"/>
      <c r="J52" s="4863"/>
      <c r="K52" s="4863"/>
      <c r="L52" s="4864"/>
    </row>
    <row r="53" spans="1:13" s="431" customFormat="1" ht="13.2" customHeight="1">
      <c r="A53" s="1480">
        <f>'Part V-Revenues &amp; Expenses'!B32</f>
        <v>0</v>
      </c>
      <c r="B53" s="1481">
        <f>'Part V-Revenues &amp; Expenses'!E32</f>
        <v>0</v>
      </c>
      <c r="C53" s="1482" t="str">
        <f>_xlfn.CONCAT('Part V-Revenues &amp; Expenses'!C32," / ",'Part V-Revenues &amp; Expenses'!D32)</f>
        <v xml:space="preserve"> / </v>
      </c>
      <c r="D53" s="1481">
        <f>'Part V-Revenues &amp; Expenses'!F32</f>
        <v>0</v>
      </c>
      <c r="E53" s="4865">
        <f>'Part V-Revenues &amp; Expenses'!H32</f>
        <v>0</v>
      </c>
      <c r="F53" s="4866"/>
      <c r="G53" s="438"/>
      <c r="H53" s="4862"/>
      <c r="I53" s="4863"/>
      <c r="J53" s="4863"/>
      <c r="K53" s="4863"/>
      <c r="L53" s="4864"/>
    </row>
    <row r="54" spans="1:13" s="431" customFormat="1" ht="13.2" customHeight="1">
      <c r="A54" s="1480">
        <f>'Part V-Revenues &amp; Expenses'!B33</f>
        <v>0</v>
      </c>
      <c r="B54" s="1481">
        <f>'Part V-Revenues &amp; Expenses'!E33</f>
        <v>0</v>
      </c>
      <c r="C54" s="1482" t="str">
        <f>_xlfn.CONCAT('Part V-Revenues &amp; Expenses'!C33," / ",'Part V-Revenues &amp; Expenses'!D33)</f>
        <v xml:space="preserve"> / </v>
      </c>
      <c r="D54" s="1481">
        <f>'Part V-Revenues &amp; Expenses'!F33</f>
        <v>0</v>
      </c>
      <c r="E54" s="4865">
        <f>'Part V-Revenues &amp; Expenses'!H33</f>
        <v>0</v>
      </c>
      <c r="F54" s="4866"/>
      <c r="G54" s="438"/>
      <c r="H54" s="4862"/>
      <c r="I54" s="4863"/>
      <c r="J54" s="4863"/>
      <c r="K54" s="4863"/>
      <c r="L54" s="4864"/>
    </row>
    <row r="55" spans="1:13" s="431" customFormat="1" ht="13.2" customHeight="1">
      <c r="A55" s="1480">
        <f>'Part V-Revenues &amp; Expenses'!B34</f>
        <v>0</v>
      </c>
      <c r="B55" s="1481">
        <f>'Part V-Revenues &amp; Expenses'!E34</f>
        <v>0</v>
      </c>
      <c r="C55" s="1482" t="str">
        <f>_xlfn.CONCAT('Part V-Revenues &amp; Expenses'!C34," / ",'Part V-Revenues &amp; Expenses'!D34)</f>
        <v xml:space="preserve"> / </v>
      </c>
      <c r="D55" s="1481">
        <f>'Part V-Revenues &amp; Expenses'!F34</f>
        <v>0</v>
      </c>
      <c r="E55" s="4865">
        <f>'Part V-Revenues &amp; Expenses'!H34</f>
        <v>0</v>
      </c>
      <c r="F55" s="4866"/>
      <c r="G55" s="438"/>
      <c r="H55" s="4862"/>
      <c r="I55" s="4863"/>
      <c r="J55" s="4863"/>
      <c r="K55" s="4863"/>
      <c r="L55" s="4864"/>
    </row>
    <row r="56" spans="1:13" s="431" customFormat="1" ht="13.2" customHeight="1">
      <c r="A56" s="1480">
        <f>'Part V-Revenues &amp; Expenses'!B35</f>
        <v>0</v>
      </c>
      <c r="B56" s="1481">
        <f>'Part V-Revenues &amp; Expenses'!E35</f>
        <v>0</v>
      </c>
      <c r="C56" s="1482" t="str">
        <f>_xlfn.CONCAT('Part V-Revenues &amp; Expenses'!C35," / ",'Part V-Revenues &amp; Expenses'!D35)</f>
        <v xml:space="preserve"> / </v>
      </c>
      <c r="D56" s="1481">
        <f>'Part V-Revenues &amp; Expenses'!F35</f>
        <v>0</v>
      </c>
      <c r="E56" s="4865">
        <f>'Part V-Revenues &amp; Expenses'!H35</f>
        <v>0</v>
      </c>
      <c r="F56" s="4866"/>
      <c r="G56" s="438"/>
      <c r="H56" s="4862"/>
      <c r="I56" s="4863"/>
      <c r="J56" s="4863"/>
      <c r="K56" s="4863"/>
      <c r="L56" s="4864"/>
    </row>
    <row r="57" spans="1:13" s="431" customFormat="1" ht="13.2" customHeight="1">
      <c r="A57" s="1480">
        <f>'Part V-Revenues &amp; Expenses'!B36</f>
        <v>0</v>
      </c>
      <c r="B57" s="1481">
        <f>'Part V-Revenues &amp; Expenses'!E36</f>
        <v>0</v>
      </c>
      <c r="C57" s="1482" t="str">
        <f>_xlfn.CONCAT('Part V-Revenues &amp; Expenses'!C36," / ",'Part V-Revenues &amp; Expenses'!D36)</f>
        <v xml:space="preserve"> / </v>
      </c>
      <c r="D57" s="1481">
        <f>'Part V-Revenues &amp; Expenses'!F36</f>
        <v>0</v>
      </c>
      <c r="E57" s="4865">
        <f>'Part V-Revenues &amp; Expenses'!H36</f>
        <v>0</v>
      </c>
      <c r="F57" s="4866"/>
      <c r="G57" s="438"/>
      <c r="H57" s="4862"/>
      <c r="I57" s="4863"/>
      <c r="J57" s="4863"/>
      <c r="K57" s="4863"/>
      <c r="L57" s="4864"/>
    </row>
    <row r="58" spans="1:13" s="431" customFormat="1" ht="13.2" customHeight="1">
      <c r="A58" s="1480">
        <f>'Part V-Revenues &amp; Expenses'!B37</f>
        <v>0</v>
      </c>
      <c r="B58" s="1481">
        <f>'Part V-Revenues &amp; Expenses'!E37</f>
        <v>0</v>
      </c>
      <c r="C58" s="1482" t="str">
        <f>_xlfn.CONCAT('Part V-Revenues &amp; Expenses'!C37," / ",'Part V-Revenues &amp; Expenses'!D37)</f>
        <v xml:space="preserve"> / </v>
      </c>
      <c r="D58" s="1481">
        <f>'Part V-Revenues &amp; Expenses'!F37</f>
        <v>0</v>
      </c>
      <c r="E58" s="4865">
        <f>'Part V-Revenues &amp; Expenses'!H37</f>
        <v>0</v>
      </c>
      <c r="F58" s="4866"/>
      <c r="G58" s="438"/>
      <c r="H58" s="4862"/>
      <c r="I58" s="4863"/>
      <c r="J58" s="4863"/>
      <c r="K58" s="4863"/>
      <c r="L58" s="4864"/>
    </row>
    <row r="59" spans="1:13" s="431" customFormat="1" ht="13.2" customHeight="1">
      <c r="A59" s="1480">
        <f>'Part V-Revenues &amp; Expenses'!B38</f>
        <v>0</v>
      </c>
      <c r="B59" s="1481">
        <f>'Part V-Revenues &amp; Expenses'!E38</f>
        <v>0</v>
      </c>
      <c r="C59" s="1482" t="str">
        <f>_xlfn.CONCAT('Part V-Revenues &amp; Expenses'!C38," / ",'Part V-Revenues &amp; Expenses'!D38)</f>
        <v xml:space="preserve"> / </v>
      </c>
      <c r="D59" s="1481">
        <f>'Part V-Revenues &amp; Expenses'!F38</f>
        <v>0</v>
      </c>
      <c r="E59" s="4865">
        <f>'Part V-Revenues &amp; Expenses'!H38</f>
        <v>0</v>
      </c>
      <c r="F59" s="4866"/>
      <c r="G59" s="438"/>
      <c r="H59" s="4862"/>
      <c r="I59" s="4863"/>
      <c r="J59" s="4863"/>
      <c r="K59" s="4863"/>
      <c r="L59" s="4864"/>
    </row>
    <row r="60" spans="1:13" s="431" customFormat="1" ht="13.2" customHeight="1">
      <c r="A60" s="1480">
        <f>'Part V-Revenues &amp; Expenses'!B39</f>
        <v>0</v>
      </c>
      <c r="B60" s="1481">
        <f>'Part V-Revenues &amp; Expenses'!E39</f>
        <v>0</v>
      </c>
      <c r="C60" s="1482" t="str">
        <f>_xlfn.CONCAT('Part V-Revenues &amp; Expenses'!C39," / ",'Part V-Revenues &amp; Expenses'!D39)</f>
        <v xml:space="preserve"> / </v>
      </c>
      <c r="D60" s="1481">
        <f>'Part V-Revenues &amp; Expenses'!F39</f>
        <v>0</v>
      </c>
      <c r="E60" s="4865">
        <f>'Part V-Revenues &amp; Expenses'!H39</f>
        <v>0</v>
      </c>
      <c r="F60" s="4866"/>
      <c r="G60" s="438"/>
      <c r="H60" s="4862"/>
      <c r="I60" s="4863"/>
      <c r="J60" s="4863"/>
      <c r="K60" s="4863"/>
      <c r="L60" s="4864"/>
      <c r="M60" s="602"/>
    </row>
    <row r="61" spans="1:13" s="431" customFormat="1" ht="13.2" customHeight="1">
      <c r="A61" s="1480">
        <f>'Part V-Revenues &amp; Expenses'!B40</f>
        <v>0</v>
      </c>
      <c r="B61" s="1481">
        <f>'Part V-Revenues &amp; Expenses'!E40</f>
        <v>0</v>
      </c>
      <c r="C61" s="1482" t="str">
        <f>_xlfn.CONCAT('Part V-Revenues &amp; Expenses'!C40," / ",'Part V-Revenues &amp; Expenses'!D40)</f>
        <v xml:space="preserve"> / </v>
      </c>
      <c r="D61" s="1481">
        <f>'Part V-Revenues &amp; Expenses'!F40</f>
        <v>0</v>
      </c>
      <c r="E61" s="4865">
        <f>'Part V-Revenues &amp; Expenses'!H40</f>
        <v>0</v>
      </c>
      <c r="F61" s="4866"/>
      <c r="G61" s="438"/>
      <c r="H61" s="4862"/>
      <c r="I61" s="4863"/>
      <c r="J61" s="4863"/>
      <c r="K61" s="4863"/>
      <c r="L61" s="4864"/>
      <c r="M61" s="602"/>
    </row>
    <row r="62" spans="1:13" s="431" customFormat="1" ht="13.2" customHeight="1">
      <c r="A62" s="1480">
        <f>'Part V-Revenues &amp; Expenses'!B41</f>
        <v>0</v>
      </c>
      <c r="B62" s="1481">
        <f>'Part V-Revenues &amp; Expenses'!E41</f>
        <v>0</v>
      </c>
      <c r="C62" s="1482" t="str">
        <f>_xlfn.CONCAT('Part V-Revenues &amp; Expenses'!C41," / ",'Part V-Revenues &amp; Expenses'!D41)</f>
        <v xml:space="preserve"> / </v>
      </c>
      <c r="D62" s="1481">
        <f>'Part V-Revenues &amp; Expenses'!F41</f>
        <v>0</v>
      </c>
      <c r="E62" s="4865">
        <f>'Part V-Revenues &amp; Expenses'!H41</f>
        <v>0</v>
      </c>
      <c r="F62" s="4866"/>
      <c r="G62" s="438"/>
      <c r="H62" s="4862"/>
      <c r="I62" s="4863"/>
      <c r="J62" s="4863"/>
      <c r="K62" s="4863"/>
      <c r="L62" s="4864"/>
      <c r="M62" s="602"/>
    </row>
    <row r="63" spans="1:13" s="431" customFormat="1" ht="13.2" customHeight="1">
      <c r="A63" s="1480">
        <f>'Part V-Revenues &amp; Expenses'!B42</f>
        <v>0</v>
      </c>
      <c r="B63" s="1481">
        <f>'Part V-Revenues &amp; Expenses'!E42</f>
        <v>0</v>
      </c>
      <c r="C63" s="1482" t="str">
        <f>_xlfn.CONCAT('Part V-Revenues &amp; Expenses'!C42," / ",'Part V-Revenues &amp; Expenses'!D42)</f>
        <v xml:space="preserve"> / </v>
      </c>
      <c r="D63" s="1481">
        <f>'Part V-Revenues &amp; Expenses'!F42</f>
        <v>0</v>
      </c>
      <c r="E63" s="4865">
        <f>'Part V-Revenues &amp; Expenses'!H42</f>
        <v>0</v>
      </c>
      <c r="F63" s="4866"/>
      <c r="G63" s="438"/>
      <c r="H63" s="4862"/>
      <c r="I63" s="4863"/>
      <c r="J63" s="4863"/>
      <c r="K63" s="4863"/>
      <c r="L63" s="4864"/>
      <c r="M63" s="602"/>
    </row>
    <row r="64" spans="1:13" s="431" customFormat="1" ht="13.2" customHeight="1">
      <c r="A64" s="1480">
        <f>'Part V-Revenues &amp; Expenses'!B43</f>
        <v>0</v>
      </c>
      <c r="B64" s="1481">
        <f>'Part V-Revenues &amp; Expenses'!E43</f>
        <v>0</v>
      </c>
      <c r="C64" s="1482" t="str">
        <f>_xlfn.CONCAT('Part V-Revenues &amp; Expenses'!C43," / ",'Part V-Revenues &amp; Expenses'!D43)</f>
        <v xml:space="preserve"> / </v>
      </c>
      <c r="D64" s="1481">
        <f>'Part V-Revenues &amp; Expenses'!F43</f>
        <v>0</v>
      </c>
      <c r="E64" s="4865">
        <f>'Part V-Revenues &amp; Expenses'!H43</f>
        <v>0</v>
      </c>
      <c r="F64" s="4866"/>
      <c r="G64" s="438"/>
      <c r="H64" s="4862"/>
      <c r="I64" s="4863"/>
      <c r="J64" s="4863"/>
      <c r="K64" s="4863"/>
      <c r="L64" s="4864"/>
      <c r="M64" s="602"/>
    </row>
    <row r="65" spans="1:19" ht="13.2" customHeight="1">
      <c r="A65" s="1480">
        <f>'Part V-Revenues &amp; Expenses'!B44</f>
        <v>0</v>
      </c>
      <c r="B65" s="1481">
        <f>'Part V-Revenues &amp; Expenses'!E44</f>
        <v>0</v>
      </c>
      <c r="C65" s="1482" t="str">
        <f>_xlfn.CONCAT('Part V-Revenues &amp; Expenses'!C44," / ",'Part V-Revenues &amp; Expenses'!D44)</f>
        <v xml:space="preserve"> / </v>
      </c>
      <c r="D65" s="1481">
        <f>'Part V-Revenues &amp; Expenses'!F44</f>
        <v>0</v>
      </c>
      <c r="E65" s="4865">
        <f>'Part V-Revenues &amp; Expenses'!H44</f>
        <v>0</v>
      </c>
      <c r="F65" s="4866"/>
      <c r="G65" s="438"/>
      <c r="H65" s="4862"/>
      <c r="I65" s="4863"/>
      <c r="J65" s="4863"/>
      <c r="K65" s="4863"/>
      <c r="L65" s="4864"/>
      <c r="M65" s="602"/>
      <c r="S65" s="431"/>
    </row>
    <row r="66" spans="1:19" ht="13.2" customHeight="1">
      <c r="A66" s="1480">
        <f>'Part V-Revenues &amp; Expenses'!B45</f>
        <v>0</v>
      </c>
      <c r="B66" s="1481">
        <f>'Part V-Revenues &amp; Expenses'!E45</f>
        <v>0</v>
      </c>
      <c r="C66" s="1482" t="str">
        <f>_xlfn.CONCAT('Part V-Revenues &amp; Expenses'!C45," / ",'Part V-Revenues &amp; Expenses'!D45)</f>
        <v xml:space="preserve"> / </v>
      </c>
      <c r="D66" s="1481">
        <f>'Part V-Revenues &amp; Expenses'!F45</f>
        <v>0</v>
      </c>
      <c r="E66" s="4865">
        <f>'Part V-Revenues &amp; Expenses'!H45</f>
        <v>0</v>
      </c>
      <c r="F66" s="4866"/>
      <c r="G66" s="438"/>
      <c r="H66" s="4862"/>
      <c r="I66" s="4863"/>
      <c r="J66" s="4863"/>
      <c r="K66" s="4863"/>
      <c r="L66" s="4864"/>
      <c r="M66" s="602"/>
      <c r="S66" s="431"/>
    </row>
    <row r="67" spans="1:19" ht="13.2" customHeight="1">
      <c r="A67" s="1480">
        <f>'Part V-Revenues &amp; Expenses'!B46</f>
        <v>0</v>
      </c>
      <c r="B67" s="1481">
        <f>'Part V-Revenues &amp; Expenses'!E46</f>
        <v>0</v>
      </c>
      <c r="C67" s="1482" t="str">
        <f>_xlfn.CONCAT('Part V-Revenues &amp; Expenses'!C46," / ",'Part V-Revenues &amp; Expenses'!D46)</f>
        <v xml:space="preserve"> / </v>
      </c>
      <c r="D67" s="1481">
        <f>'Part V-Revenues &amp; Expenses'!F46</f>
        <v>0</v>
      </c>
      <c r="E67" s="4865">
        <f>'Part V-Revenues &amp; Expenses'!H46</f>
        <v>0</v>
      </c>
      <c r="F67" s="4866"/>
      <c r="G67" s="438"/>
      <c r="H67" s="4862"/>
      <c r="I67" s="4863"/>
      <c r="J67" s="4863"/>
      <c r="K67" s="4863"/>
      <c r="L67" s="4864"/>
      <c r="M67" s="602"/>
      <c r="S67" s="431"/>
    </row>
    <row r="68" spans="1:19" ht="13.2" customHeight="1">
      <c r="A68" s="1480">
        <f>'Part V-Revenues &amp; Expenses'!B47</f>
        <v>0</v>
      </c>
      <c r="B68" s="1481">
        <f>'Part V-Revenues &amp; Expenses'!E47</f>
        <v>0</v>
      </c>
      <c r="C68" s="1482" t="str">
        <f>_xlfn.CONCAT('Part V-Revenues &amp; Expenses'!C47," / ",'Part V-Revenues &amp; Expenses'!D47)</f>
        <v xml:space="preserve"> / </v>
      </c>
      <c r="D68" s="1481">
        <f>'Part V-Revenues &amp; Expenses'!F47</f>
        <v>0</v>
      </c>
      <c r="E68" s="4865">
        <f>'Part V-Revenues &amp; Expenses'!H47</f>
        <v>0</v>
      </c>
      <c r="F68" s="4866"/>
      <c r="G68" s="438"/>
      <c r="H68" s="4862"/>
      <c r="I68" s="4863"/>
      <c r="J68" s="4863"/>
      <c r="K68" s="4863"/>
      <c r="L68" s="4864"/>
      <c r="M68" s="602"/>
      <c r="S68" s="431"/>
    </row>
    <row r="69" spans="1:19" ht="13.2" customHeight="1">
      <c r="A69" s="1483">
        <f>'Part V-Revenues &amp; Expenses'!B57</f>
        <v>0</v>
      </c>
      <c r="B69" s="1484">
        <f>'Part V-Revenues &amp; Expenses'!E57</f>
        <v>0</v>
      </c>
      <c r="C69" s="1485" t="str">
        <f>_xlfn.CONCAT('Part V-Revenues &amp; Expenses'!C57," / ",'Part V-Revenues &amp; Expenses'!D57)</f>
        <v xml:space="preserve"> / </v>
      </c>
      <c r="D69" s="1484">
        <f>'Part V-Revenues &amp; Expenses'!F57</f>
        <v>0</v>
      </c>
      <c r="E69" s="4895">
        <f>'Part V-Revenues &amp; Expenses'!H57</f>
        <v>0</v>
      </c>
      <c r="F69" s="4896"/>
      <c r="G69" s="1486"/>
      <c r="H69" s="4870"/>
      <c r="I69" s="4871"/>
      <c r="J69" s="4871"/>
      <c r="K69" s="4871"/>
      <c r="L69" s="4872"/>
      <c r="M69" s="602"/>
      <c r="S69" s="431"/>
    </row>
    <row r="70" spans="1:19" ht="13.2" customHeight="1">
      <c r="C70" s="1398"/>
      <c r="F70" s="602"/>
      <c r="G70" s="602"/>
      <c r="H70" s="602"/>
      <c r="I70" s="602"/>
      <c r="J70" s="602"/>
      <c r="K70" s="1397"/>
      <c r="L70" s="602"/>
      <c r="M70" s="602"/>
      <c r="S70" s="431"/>
    </row>
    <row r="71" spans="1:19" ht="13.2" customHeight="1">
      <c r="C71" s="1398"/>
      <c r="F71" s="602"/>
      <c r="G71" s="602"/>
      <c r="H71" s="602"/>
      <c r="I71" s="602"/>
      <c r="J71" s="602"/>
      <c r="K71" s="1397"/>
      <c r="L71" s="602"/>
      <c r="M71" s="602"/>
      <c r="S71" s="431"/>
    </row>
    <row r="72" spans="1:19" ht="13.2" customHeight="1">
      <c r="C72" s="1398"/>
      <c r="F72" s="602"/>
      <c r="G72" s="602"/>
      <c r="H72" s="602"/>
      <c r="I72" s="602"/>
      <c r="J72" s="602"/>
      <c r="K72" s="1397"/>
      <c r="L72" s="602"/>
      <c r="M72" s="602"/>
      <c r="S72" s="431"/>
    </row>
    <row r="73" spans="1:19" ht="13.2" customHeight="1">
      <c r="C73" s="1398"/>
      <c r="F73" s="602"/>
      <c r="G73" s="602"/>
      <c r="H73" s="602"/>
      <c r="I73" s="602"/>
      <c r="J73" s="602"/>
      <c r="K73" s="1397"/>
      <c r="L73" s="602"/>
      <c r="M73" s="602"/>
      <c r="S73" s="431"/>
    </row>
    <row r="74" spans="1:19" ht="13.2" customHeight="1">
      <c r="C74" s="1398"/>
      <c r="F74" s="602"/>
      <c r="G74" s="602"/>
      <c r="H74" s="602"/>
      <c r="I74" s="602"/>
      <c r="J74" s="602"/>
      <c r="K74" s="1397"/>
      <c r="L74" s="602"/>
      <c r="M74" s="602"/>
      <c r="S74" s="431"/>
    </row>
    <row r="75" spans="1:19" ht="13.2" customHeight="1">
      <c r="C75" s="1398"/>
      <c r="F75" s="602"/>
      <c r="G75" s="602"/>
      <c r="H75" s="602"/>
      <c r="I75" s="602"/>
      <c r="J75" s="602"/>
      <c r="K75" s="1397"/>
      <c r="L75" s="602"/>
      <c r="M75" s="602"/>
      <c r="S75" s="431"/>
    </row>
    <row r="76" spans="1:19" ht="13.2" customHeight="1">
      <c r="C76" s="1398"/>
      <c r="F76" s="602"/>
      <c r="G76" s="602"/>
      <c r="H76" s="602"/>
      <c r="I76" s="602"/>
      <c r="J76" s="602"/>
      <c r="K76" s="1397"/>
      <c r="L76" s="602"/>
      <c r="M76" s="602"/>
      <c r="S76" s="431"/>
    </row>
    <row r="77" spans="1:19" ht="13.2" customHeight="1">
      <c r="C77" s="1398"/>
      <c r="F77" s="602"/>
      <c r="G77" s="602"/>
      <c r="H77" s="602"/>
      <c r="I77" s="602"/>
      <c r="J77" s="602"/>
      <c r="K77" s="1397"/>
      <c r="L77" s="602"/>
      <c r="M77" s="602"/>
      <c r="S77" s="431"/>
    </row>
    <row r="78" spans="1:19" ht="13.2" customHeight="1">
      <c r="C78" s="1398"/>
      <c r="F78" s="602"/>
      <c r="G78" s="602"/>
      <c r="H78" s="602"/>
      <c r="I78" s="602"/>
      <c r="J78" s="602"/>
      <c r="K78" s="1397"/>
      <c r="L78" s="602"/>
      <c r="M78" s="602"/>
      <c r="S78" s="431"/>
    </row>
    <row r="79" spans="1:19" ht="13.2" customHeight="1">
      <c r="C79" s="1398"/>
      <c r="F79" s="602"/>
      <c r="G79" s="602"/>
      <c r="H79" s="602"/>
      <c r="I79" s="602"/>
      <c r="J79" s="602"/>
      <c r="K79" s="1397"/>
      <c r="L79" s="602"/>
      <c r="M79" s="602"/>
      <c r="S79" s="431"/>
    </row>
    <row r="80" spans="1:19" ht="13.2" customHeight="1">
      <c r="C80" s="1398"/>
      <c r="F80" s="602"/>
      <c r="G80" s="602"/>
      <c r="H80" s="602"/>
      <c r="I80" s="602"/>
      <c r="J80" s="602"/>
      <c r="K80" s="1397"/>
      <c r="L80" s="602"/>
      <c r="M80" s="602"/>
      <c r="S80" s="431"/>
    </row>
    <row r="81" spans="3:19" ht="13.2" customHeight="1">
      <c r="C81" s="1398"/>
      <c r="F81" s="602"/>
      <c r="G81" s="602"/>
      <c r="H81" s="602"/>
      <c r="I81" s="602"/>
      <c r="J81" s="602"/>
      <c r="K81" s="1397"/>
      <c r="L81" s="602"/>
      <c r="M81" s="602"/>
      <c r="S81" s="431"/>
    </row>
    <row r="82" spans="3:19" ht="13.2" customHeight="1">
      <c r="C82" s="1398"/>
      <c r="F82" s="602"/>
      <c r="G82" s="602"/>
      <c r="H82" s="602"/>
      <c r="I82" s="602"/>
      <c r="J82" s="602"/>
      <c r="K82" s="1397"/>
      <c r="L82" s="602"/>
      <c r="M82" s="602"/>
      <c r="S82" s="431"/>
    </row>
    <row r="83" spans="3:19" ht="13.2" customHeight="1">
      <c r="C83" s="1398"/>
      <c r="F83" s="602"/>
      <c r="G83" s="602"/>
      <c r="H83" s="602"/>
      <c r="I83" s="602"/>
      <c r="J83" s="602"/>
      <c r="K83" s="1397"/>
      <c r="L83" s="602"/>
      <c r="M83" s="602"/>
      <c r="S83" s="431"/>
    </row>
    <row r="84" spans="3:19" ht="13.2" customHeight="1">
      <c r="C84" s="1398"/>
      <c r="F84" s="602"/>
      <c r="G84" s="602"/>
      <c r="H84" s="602"/>
      <c r="I84" s="602"/>
      <c r="J84" s="602"/>
      <c r="K84" s="1397"/>
      <c r="L84" s="602"/>
      <c r="M84" s="602"/>
      <c r="S84" s="431"/>
    </row>
    <row r="85" spans="3:19" ht="13.2" customHeight="1">
      <c r="C85" s="1398"/>
      <c r="F85" s="602"/>
      <c r="G85" s="602"/>
      <c r="H85" s="602"/>
      <c r="I85" s="602"/>
      <c r="J85" s="602"/>
      <c r="K85" s="1397"/>
      <c r="L85" s="602"/>
      <c r="M85" s="602"/>
      <c r="S85" s="431"/>
    </row>
    <row r="86" spans="3:19" ht="13.2" customHeight="1">
      <c r="C86" s="1398"/>
      <c r="F86" s="602"/>
      <c r="G86" s="602"/>
      <c r="H86" s="602"/>
      <c r="I86" s="602"/>
      <c r="J86" s="602"/>
      <c r="K86" s="1397"/>
      <c r="L86" s="602"/>
      <c r="M86" s="602"/>
      <c r="S86" s="431"/>
    </row>
    <row r="87" spans="3:19" ht="13.2" customHeight="1">
      <c r="C87" s="1398"/>
      <c r="F87" s="602"/>
      <c r="G87" s="602"/>
      <c r="H87" s="602"/>
      <c r="I87" s="602"/>
      <c r="J87" s="602"/>
      <c r="K87" s="1397"/>
      <c r="L87" s="602"/>
      <c r="M87" s="602"/>
      <c r="S87" s="431"/>
    </row>
    <row r="88" spans="3:19" ht="13.2" customHeight="1">
      <c r="C88" s="1398"/>
      <c r="F88" s="602"/>
      <c r="G88" s="602"/>
      <c r="H88" s="602"/>
      <c r="I88" s="602"/>
      <c r="J88" s="602"/>
      <c r="K88" s="1397"/>
      <c r="L88" s="602"/>
      <c r="M88" s="602"/>
      <c r="S88" s="431"/>
    </row>
    <row r="89" spans="3:19" ht="13.2" customHeight="1">
      <c r="C89" s="1398"/>
      <c r="F89" s="602"/>
      <c r="G89" s="602"/>
      <c r="H89" s="602"/>
      <c r="I89" s="602"/>
      <c r="J89" s="602"/>
      <c r="K89" s="1397"/>
      <c r="L89" s="602"/>
      <c r="M89" s="602"/>
      <c r="S89" s="431"/>
    </row>
    <row r="90" spans="3:19" ht="13.2" customHeight="1">
      <c r="C90" s="1398"/>
      <c r="F90" s="602"/>
      <c r="G90" s="602"/>
      <c r="H90" s="602"/>
      <c r="I90" s="602"/>
      <c r="J90" s="602"/>
      <c r="K90" s="1397"/>
      <c r="L90" s="602"/>
      <c r="M90" s="602"/>
      <c r="S90" s="431"/>
    </row>
    <row r="91" spans="3:19" ht="13.2" customHeight="1">
      <c r="C91" s="1398"/>
      <c r="F91" s="602"/>
      <c r="G91" s="602"/>
      <c r="H91" s="602"/>
      <c r="I91" s="602"/>
      <c r="J91" s="602"/>
      <c r="K91" s="1397"/>
      <c r="L91" s="602"/>
      <c r="M91" s="602"/>
      <c r="S91" s="431"/>
    </row>
    <row r="92" spans="3:19" ht="13.2" customHeight="1">
      <c r="C92" s="1398"/>
      <c r="F92" s="602"/>
      <c r="G92" s="602"/>
      <c r="H92" s="602"/>
      <c r="I92" s="602"/>
      <c r="J92" s="602"/>
      <c r="K92" s="1397"/>
      <c r="L92" s="602"/>
      <c r="M92" s="602"/>
      <c r="S92" s="431"/>
    </row>
    <row r="93" spans="3:19" ht="13.2" customHeight="1">
      <c r="C93" s="1398"/>
      <c r="F93" s="602"/>
      <c r="G93" s="602"/>
      <c r="H93" s="602"/>
      <c r="I93" s="602"/>
      <c r="J93" s="602"/>
      <c r="K93" s="1397"/>
      <c r="L93" s="602"/>
      <c r="M93" s="602"/>
      <c r="S93" s="431"/>
    </row>
    <row r="94" spans="3:19" ht="13.2" customHeight="1">
      <c r="C94" s="1398"/>
      <c r="F94" s="602"/>
      <c r="G94" s="602"/>
      <c r="H94" s="602"/>
      <c r="I94" s="602"/>
      <c r="J94" s="602"/>
      <c r="K94" s="1397"/>
      <c r="L94" s="602"/>
      <c r="M94" s="602"/>
      <c r="S94" s="431"/>
    </row>
    <row r="95" spans="3:19" ht="13.2" customHeight="1">
      <c r="C95" s="1398"/>
      <c r="F95" s="602"/>
      <c r="G95" s="602"/>
      <c r="H95" s="602"/>
      <c r="I95" s="602"/>
      <c r="J95" s="602"/>
      <c r="K95" s="1397"/>
      <c r="L95" s="602"/>
      <c r="M95" s="602"/>
      <c r="S95" s="431"/>
    </row>
    <row r="96" spans="3:19" ht="13.2" customHeight="1">
      <c r="C96" s="1398"/>
      <c r="F96" s="602"/>
      <c r="G96" s="602"/>
      <c r="H96" s="602"/>
      <c r="I96" s="602"/>
      <c r="J96" s="602"/>
      <c r="K96" s="1397"/>
      <c r="L96" s="602"/>
      <c r="M96" s="602"/>
      <c r="S96" s="431"/>
    </row>
    <row r="97" spans="3:19" ht="13.2" customHeight="1">
      <c r="C97" s="1398"/>
      <c r="F97" s="602"/>
      <c r="G97" s="602"/>
      <c r="H97" s="602"/>
      <c r="I97" s="602"/>
      <c r="J97" s="602"/>
      <c r="K97" s="1397"/>
      <c r="L97" s="602"/>
      <c r="M97" s="602"/>
      <c r="S97" s="431"/>
    </row>
    <row r="98" spans="3:19" ht="13.2" customHeight="1">
      <c r="C98" s="1398"/>
      <c r="F98" s="602"/>
      <c r="G98" s="602"/>
      <c r="H98" s="602"/>
      <c r="I98" s="602"/>
      <c r="J98" s="602"/>
      <c r="K98" s="1397"/>
      <c r="L98" s="602"/>
      <c r="M98" s="602"/>
      <c r="S98" s="431"/>
    </row>
    <row r="99" spans="3:19" ht="13.2" customHeight="1">
      <c r="C99" s="1398"/>
      <c r="F99" s="602"/>
      <c r="G99" s="602"/>
      <c r="H99" s="602"/>
      <c r="I99" s="602"/>
      <c r="J99" s="602"/>
      <c r="K99" s="1397"/>
      <c r="L99" s="602"/>
      <c r="M99" s="602"/>
      <c r="S99" s="431"/>
    </row>
    <row r="100" spans="3:19" ht="13.2" customHeight="1">
      <c r="C100" s="1398"/>
      <c r="F100" s="602"/>
      <c r="G100" s="602"/>
      <c r="H100" s="602"/>
      <c r="I100" s="602"/>
      <c r="J100" s="602"/>
      <c r="K100" s="1397"/>
      <c r="L100" s="602"/>
      <c r="M100" s="602"/>
      <c r="S100" s="431"/>
    </row>
    <row r="101" spans="3:19" ht="13.2" customHeight="1">
      <c r="C101" s="1398"/>
      <c r="F101" s="602"/>
      <c r="G101" s="602"/>
      <c r="H101" s="602"/>
      <c r="I101" s="602"/>
      <c r="J101" s="602"/>
      <c r="K101" s="1397"/>
      <c r="L101" s="602"/>
      <c r="M101" s="602"/>
      <c r="S101" s="431"/>
    </row>
    <row r="102" spans="3:19" ht="13.2" customHeight="1">
      <c r="C102" s="1398"/>
      <c r="F102" s="602"/>
      <c r="G102" s="602"/>
      <c r="H102" s="602"/>
      <c r="I102" s="602"/>
      <c r="J102" s="602"/>
      <c r="K102" s="1397"/>
      <c r="L102" s="602"/>
      <c r="M102" s="602"/>
      <c r="S102" s="431"/>
    </row>
    <row r="103" spans="3:19" ht="13.2" customHeight="1">
      <c r="C103" s="1398"/>
      <c r="F103" s="602"/>
      <c r="G103" s="602"/>
      <c r="H103" s="602"/>
      <c r="I103" s="602"/>
      <c r="J103" s="602"/>
      <c r="K103" s="1397"/>
      <c r="L103" s="602"/>
      <c r="M103" s="602"/>
      <c r="S103" s="431"/>
    </row>
    <row r="104" spans="3:19" ht="13.2" customHeight="1">
      <c r="C104" s="1398"/>
      <c r="F104" s="602"/>
      <c r="G104" s="602"/>
      <c r="H104" s="602"/>
      <c r="I104" s="602"/>
      <c r="J104" s="602"/>
      <c r="K104" s="1397"/>
      <c r="L104" s="602"/>
      <c r="M104" s="602"/>
      <c r="S104" s="431"/>
    </row>
    <row r="105" spans="3:19" ht="13.2" customHeight="1">
      <c r="C105" s="1398"/>
      <c r="F105" s="602"/>
      <c r="G105" s="602"/>
      <c r="H105" s="602"/>
      <c r="I105" s="602"/>
      <c r="J105" s="602"/>
      <c r="K105" s="1397"/>
      <c r="L105" s="602"/>
      <c r="M105" s="602"/>
      <c r="S105" s="431"/>
    </row>
    <row r="106" spans="3:19" ht="13.2" customHeight="1">
      <c r="C106" s="1398"/>
      <c r="F106" s="602"/>
      <c r="G106" s="602"/>
      <c r="H106" s="602"/>
      <c r="I106" s="602"/>
      <c r="J106" s="602"/>
      <c r="K106" s="1397"/>
      <c r="L106" s="602"/>
      <c r="M106" s="602"/>
      <c r="S106" s="431"/>
    </row>
    <row r="107" spans="3:19" ht="13.2" customHeight="1">
      <c r="C107" s="1398"/>
      <c r="F107" s="602"/>
      <c r="G107" s="602"/>
      <c r="H107" s="602"/>
      <c r="I107" s="602"/>
      <c r="J107" s="602"/>
      <c r="K107" s="1397"/>
      <c r="L107" s="602"/>
      <c r="M107" s="602"/>
      <c r="S107" s="431"/>
    </row>
    <row r="108" spans="3:19" ht="13.2" customHeight="1">
      <c r="C108" s="1398" t="s">
        <v>233</v>
      </c>
      <c r="F108" s="602"/>
      <c r="G108" s="602"/>
      <c r="H108" s="602"/>
      <c r="I108" s="602"/>
      <c r="J108" s="602"/>
      <c r="K108" s="1397"/>
      <c r="L108" s="602"/>
      <c r="M108" s="602"/>
      <c r="S108" s="431"/>
    </row>
    <row r="109" spans="3:19" ht="13.2" customHeight="1">
      <c r="C109" s="1398"/>
      <c r="F109" s="602"/>
      <c r="G109" s="602"/>
      <c r="H109" s="602"/>
      <c r="I109" s="602"/>
      <c r="J109" s="602"/>
      <c r="K109" s="1397"/>
      <c r="L109" s="602"/>
      <c r="M109" s="602"/>
      <c r="S109" s="431"/>
    </row>
    <row r="110" spans="3:19" ht="13.2" customHeight="1">
      <c r="C110" s="1398"/>
      <c r="F110" s="602"/>
      <c r="G110" s="602"/>
      <c r="H110" s="602"/>
      <c r="I110" s="602"/>
      <c r="J110" s="602"/>
      <c r="K110" s="1397"/>
      <c r="L110" s="602"/>
      <c r="M110" s="602"/>
      <c r="S110" s="431"/>
    </row>
    <row r="111" spans="3:19" ht="13.2" customHeight="1">
      <c r="C111" s="1398"/>
      <c r="F111" s="602"/>
      <c r="G111" s="602"/>
      <c r="H111" s="602"/>
      <c r="I111" s="602"/>
      <c r="J111" s="602"/>
      <c r="K111" s="1397"/>
      <c r="L111" s="602"/>
      <c r="M111" s="602"/>
      <c r="S111" s="431"/>
    </row>
    <row r="112" spans="3:19" ht="13.2" customHeight="1">
      <c r="C112" s="1398"/>
      <c r="F112" s="602"/>
      <c r="G112" s="602"/>
      <c r="H112" s="602"/>
      <c r="I112" s="602"/>
      <c r="J112" s="602"/>
      <c r="K112" s="1397"/>
      <c r="L112" s="602"/>
      <c r="M112" s="602"/>
      <c r="S112" s="431"/>
    </row>
    <row r="113" spans="3:19" ht="13.2" customHeight="1">
      <c r="C113" s="1398"/>
      <c r="F113" s="602"/>
      <c r="G113" s="602"/>
      <c r="H113" s="602"/>
      <c r="I113" s="602"/>
      <c r="J113" s="602"/>
      <c r="K113" s="1397"/>
      <c r="L113" s="602"/>
      <c r="M113" s="602"/>
      <c r="S113" s="431"/>
    </row>
    <row r="114" spans="3:19" ht="13.2" customHeight="1">
      <c r="C114" s="1398"/>
      <c r="F114" s="602"/>
      <c r="G114" s="602"/>
      <c r="H114" s="602"/>
      <c r="I114" s="602"/>
      <c r="J114" s="602"/>
      <c r="K114" s="1397"/>
      <c r="L114" s="602"/>
      <c r="M114" s="602"/>
      <c r="S114" s="431"/>
    </row>
    <row r="115" spans="3:19" ht="13.2" customHeight="1">
      <c r="C115" s="1398"/>
      <c r="F115" s="602"/>
      <c r="G115" s="602"/>
      <c r="H115" s="602"/>
      <c r="I115" s="602"/>
      <c r="J115" s="602"/>
      <c r="K115" s="1397"/>
      <c r="L115" s="602"/>
      <c r="M115" s="602"/>
      <c r="S115" s="431"/>
    </row>
    <row r="116" spans="3:19" ht="13.2" customHeight="1">
      <c r="C116" s="1398"/>
      <c r="F116" s="602"/>
      <c r="G116" s="602"/>
      <c r="H116" s="602"/>
      <c r="I116" s="602"/>
      <c r="J116" s="602"/>
      <c r="K116" s="1397"/>
      <c r="L116" s="602"/>
      <c r="M116" s="602"/>
      <c r="S116" s="431"/>
    </row>
    <row r="117" spans="3:19" ht="13.2" customHeight="1">
      <c r="C117" s="1398"/>
      <c r="F117" s="602"/>
      <c r="G117" s="602"/>
      <c r="H117" s="602"/>
      <c r="I117" s="602"/>
      <c r="J117" s="602"/>
      <c r="K117" s="1397"/>
      <c r="L117" s="602"/>
      <c r="M117" s="602"/>
      <c r="S117" s="431"/>
    </row>
    <row r="118" spans="3:19" ht="13.2" customHeight="1">
      <c r="C118" s="1398"/>
      <c r="F118" s="602"/>
      <c r="G118" s="602"/>
      <c r="H118" s="602"/>
      <c r="I118" s="602"/>
      <c r="J118" s="602"/>
      <c r="K118" s="1397"/>
      <c r="L118" s="602"/>
      <c r="M118" s="602"/>
      <c r="S118" s="431"/>
    </row>
    <row r="119" spans="3:19" ht="13.2" customHeight="1">
      <c r="C119" s="1398"/>
      <c r="F119" s="602"/>
      <c r="G119" s="602"/>
      <c r="H119" s="602"/>
      <c r="I119" s="602"/>
      <c r="J119" s="602"/>
      <c r="K119" s="1397"/>
      <c r="L119" s="602"/>
      <c r="M119" s="602"/>
      <c r="S119" s="431"/>
    </row>
    <row r="120" spans="3:19" ht="13.2" customHeight="1">
      <c r="C120" s="1398"/>
      <c r="F120" s="602"/>
      <c r="G120" s="602"/>
      <c r="H120" s="602"/>
      <c r="I120" s="602"/>
      <c r="J120" s="602"/>
      <c r="K120" s="1397"/>
      <c r="L120" s="602"/>
      <c r="M120" s="602"/>
      <c r="S120" s="431"/>
    </row>
    <row r="121" spans="3:19" ht="13.2" customHeight="1">
      <c r="C121" s="1398"/>
      <c r="F121" s="602"/>
      <c r="G121" s="602"/>
      <c r="H121" s="602"/>
      <c r="I121" s="602"/>
      <c r="J121" s="602"/>
      <c r="K121" s="1397"/>
      <c r="L121" s="602"/>
      <c r="M121" s="602"/>
      <c r="S121" s="431"/>
    </row>
    <row r="122" spans="3:19" ht="13.2" customHeight="1">
      <c r="C122" s="1398"/>
      <c r="F122" s="602"/>
      <c r="G122" s="602"/>
      <c r="H122" s="602"/>
      <c r="I122" s="602"/>
      <c r="J122" s="602"/>
      <c r="K122" s="1397"/>
      <c r="L122" s="602"/>
      <c r="M122" s="602"/>
      <c r="S122" s="431"/>
    </row>
    <row r="123" spans="3:19" ht="13.2" customHeight="1">
      <c r="C123" s="1398"/>
      <c r="F123" s="602"/>
      <c r="G123" s="602"/>
      <c r="H123" s="602"/>
      <c r="I123" s="602"/>
      <c r="J123" s="602"/>
      <c r="K123" s="1397"/>
      <c r="L123" s="602"/>
      <c r="M123" s="602"/>
      <c r="S123" s="431"/>
    </row>
    <row r="124" spans="3:19" ht="13.2" customHeight="1">
      <c r="C124" s="1398"/>
      <c r="F124" s="602"/>
      <c r="G124" s="602"/>
      <c r="H124" s="602"/>
      <c r="I124" s="602"/>
      <c r="J124" s="602"/>
      <c r="K124" s="1397"/>
      <c r="L124" s="602"/>
      <c r="M124" s="602"/>
      <c r="S124" s="431"/>
    </row>
    <row r="125" spans="3:19" ht="13.2" customHeight="1">
      <c r="C125" s="1398"/>
      <c r="F125" s="602"/>
      <c r="G125" s="602"/>
      <c r="H125" s="602"/>
      <c r="I125" s="602"/>
      <c r="J125" s="602"/>
      <c r="K125" s="1397"/>
      <c r="L125" s="602"/>
      <c r="M125" s="602"/>
      <c r="S125" s="431"/>
    </row>
    <row r="126" spans="3:19" ht="13.2" customHeight="1">
      <c r="C126" s="1398"/>
      <c r="F126" s="602"/>
      <c r="G126" s="602"/>
      <c r="H126" s="602"/>
      <c r="I126" s="602"/>
      <c r="J126" s="602"/>
      <c r="K126" s="1397"/>
      <c r="L126" s="602"/>
      <c r="M126" s="602"/>
      <c r="S126" s="431"/>
    </row>
    <row r="127" spans="3:19" ht="13.2" customHeight="1">
      <c r="C127" s="1398"/>
      <c r="F127" s="602"/>
      <c r="G127" s="602"/>
      <c r="H127" s="602"/>
      <c r="I127" s="602"/>
      <c r="J127" s="602"/>
      <c r="K127" s="1397"/>
      <c r="L127" s="602"/>
      <c r="M127" s="602"/>
      <c r="S127" s="431"/>
    </row>
    <row r="128" spans="3:19" ht="13.2" customHeight="1">
      <c r="C128" s="1398"/>
      <c r="F128" s="602"/>
      <c r="G128" s="602"/>
      <c r="H128" s="602"/>
      <c r="I128" s="602"/>
      <c r="J128" s="602"/>
      <c r="K128" s="1397"/>
      <c r="L128" s="602"/>
      <c r="M128" s="602"/>
      <c r="S128" s="431"/>
    </row>
    <row r="129" spans="3:19" ht="13.2" customHeight="1">
      <c r="C129" s="1398"/>
      <c r="F129" s="602"/>
      <c r="G129" s="602"/>
      <c r="H129" s="602"/>
      <c r="I129" s="602"/>
      <c r="J129" s="602"/>
      <c r="K129" s="1397"/>
      <c r="L129" s="602"/>
      <c r="M129" s="602"/>
      <c r="S129" s="431"/>
    </row>
    <row r="130" spans="3:19" ht="13.2" customHeight="1">
      <c r="C130" s="1398"/>
      <c r="F130" s="602"/>
      <c r="G130" s="602"/>
      <c r="H130" s="602"/>
      <c r="I130" s="602"/>
      <c r="J130" s="602"/>
      <c r="K130" s="1397"/>
      <c r="L130" s="602"/>
      <c r="M130" s="602"/>
      <c r="S130" s="431"/>
    </row>
    <row r="131" spans="3:19" ht="13.2" customHeight="1">
      <c r="C131" s="1398"/>
      <c r="F131" s="602"/>
      <c r="G131" s="602"/>
      <c r="H131" s="602"/>
      <c r="I131" s="602"/>
      <c r="J131" s="602"/>
      <c r="K131" s="1397"/>
      <c r="L131" s="602"/>
      <c r="M131" s="602"/>
      <c r="S131" s="431"/>
    </row>
    <row r="132" spans="3:19" ht="13.2" customHeight="1">
      <c r="C132" s="1398"/>
      <c r="F132" s="602"/>
      <c r="G132" s="602"/>
      <c r="H132" s="602"/>
      <c r="I132" s="602"/>
      <c r="J132" s="602"/>
      <c r="K132" s="1397"/>
      <c r="L132" s="602"/>
      <c r="M132" s="602"/>
      <c r="S132" s="431"/>
    </row>
    <row r="133" spans="3:19" ht="13.2" customHeight="1">
      <c r="C133" s="1398"/>
      <c r="F133" s="602"/>
      <c r="G133" s="602"/>
      <c r="H133" s="602"/>
      <c r="I133" s="602"/>
      <c r="J133" s="602"/>
      <c r="K133" s="1397"/>
      <c r="L133" s="602"/>
      <c r="M133" s="602"/>
      <c r="S133" s="431"/>
    </row>
    <row r="134" spans="3:19" ht="13.2" customHeight="1">
      <c r="C134" s="1398"/>
      <c r="F134" s="602"/>
      <c r="G134" s="602"/>
      <c r="H134" s="602"/>
      <c r="I134" s="602"/>
      <c r="J134" s="602"/>
      <c r="K134" s="1397"/>
      <c r="L134" s="602"/>
      <c r="M134" s="602"/>
      <c r="S134" s="431"/>
    </row>
    <row r="135" spans="3:19" ht="13.2" customHeight="1">
      <c r="C135" s="1398"/>
      <c r="F135" s="602"/>
      <c r="G135" s="602"/>
      <c r="H135" s="602"/>
      <c r="I135" s="602"/>
      <c r="J135" s="602"/>
      <c r="K135" s="1397"/>
      <c r="L135" s="602"/>
      <c r="M135" s="602"/>
      <c r="S135" s="431"/>
    </row>
    <row r="136" spans="3:19" ht="13.2" customHeight="1">
      <c r="C136" s="1398"/>
      <c r="F136" s="602"/>
      <c r="G136" s="602"/>
      <c r="H136" s="602"/>
      <c r="I136" s="602"/>
      <c r="J136" s="602"/>
      <c r="K136" s="1397"/>
      <c r="L136" s="602"/>
      <c r="M136" s="602"/>
      <c r="S136" s="431"/>
    </row>
    <row r="137" spans="3:19" ht="13.2" customHeight="1">
      <c r="C137" s="1398"/>
      <c r="F137" s="602"/>
      <c r="G137" s="602"/>
      <c r="H137" s="602"/>
      <c r="I137" s="602"/>
      <c r="J137" s="602"/>
      <c r="K137" s="1397"/>
      <c r="L137" s="602"/>
      <c r="M137" s="602"/>
      <c r="S137" s="431"/>
    </row>
    <row r="138" spans="3:19" ht="13.2" customHeight="1">
      <c r="C138" s="1398"/>
      <c r="F138" s="602"/>
      <c r="G138" s="602"/>
      <c r="H138" s="602"/>
      <c r="I138" s="602"/>
      <c r="J138" s="602"/>
      <c r="K138" s="1397"/>
      <c r="L138" s="602"/>
      <c r="M138" s="602"/>
      <c r="S138" s="431"/>
    </row>
    <row r="139" spans="3:19" ht="13.2" customHeight="1">
      <c r="C139" s="1398"/>
      <c r="F139" s="602"/>
      <c r="G139" s="602"/>
      <c r="H139" s="602"/>
      <c r="I139" s="602"/>
      <c r="J139" s="602"/>
      <c r="K139" s="1397"/>
      <c r="L139" s="602"/>
      <c r="M139" s="602"/>
      <c r="S139" s="431"/>
    </row>
    <row r="140" spans="3:19" ht="13.2" customHeight="1">
      <c r="C140" s="1398"/>
      <c r="F140" s="602"/>
      <c r="G140" s="602"/>
      <c r="H140" s="602"/>
      <c r="I140" s="602"/>
      <c r="J140" s="602"/>
      <c r="K140" s="1397"/>
      <c r="L140" s="602"/>
      <c r="M140" s="602"/>
      <c r="S140" s="431"/>
    </row>
    <row r="141" spans="3:19" ht="13.2" customHeight="1">
      <c r="C141" s="1398"/>
      <c r="F141" s="602"/>
      <c r="G141" s="602"/>
      <c r="H141" s="602"/>
      <c r="I141" s="602"/>
      <c r="J141" s="602"/>
      <c r="K141" s="1397"/>
      <c r="L141" s="602"/>
      <c r="M141" s="602"/>
      <c r="S141" s="431"/>
    </row>
    <row r="142" spans="3:19" ht="13.2" customHeight="1">
      <c r="C142" s="1398"/>
      <c r="F142" s="602"/>
      <c r="G142" s="602"/>
      <c r="H142" s="602"/>
      <c r="I142" s="602"/>
      <c r="J142" s="602"/>
      <c r="K142" s="1397"/>
      <c r="L142" s="602"/>
      <c r="M142" s="602"/>
      <c r="S142" s="431"/>
    </row>
    <row r="143" spans="3:19" ht="13.2" customHeight="1">
      <c r="C143" s="1398"/>
      <c r="F143" s="602"/>
      <c r="G143" s="602"/>
      <c r="H143" s="602"/>
      <c r="I143" s="602"/>
      <c r="J143" s="602"/>
      <c r="K143" s="1397"/>
      <c r="L143" s="602"/>
      <c r="M143" s="602"/>
      <c r="S143" s="431"/>
    </row>
    <row r="144" spans="3:19" ht="13.2" customHeight="1">
      <c r="C144" s="1398"/>
      <c r="F144" s="602"/>
      <c r="G144" s="602"/>
      <c r="H144" s="602"/>
      <c r="I144" s="602"/>
      <c r="J144" s="602"/>
      <c r="K144" s="1397"/>
      <c r="L144" s="602"/>
      <c r="M144" s="602"/>
      <c r="S144" s="431"/>
    </row>
    <row r="145" spans="3:19" ht="13.2" customHeight="1">
      <c r="C145" s="1398"/>
      <c r="F145" s="602"/>
      <c r="G145" s="602"/>
      <c r="H145" s="602"/>
      <c r="I145" s="602"/>
      <c r="J145" s="602"/>
      <c r="K145" s="1397"/>
      <c r="L145" s="602"/>
      <c r="M145" s="602"/>
      <c r="S145" s="431"/>
    </row>
    <row r="146" spans="3:19" ht="13.2" customHeight="1">
      <c r="C146" s="1398"/>
      <c r="F146" s="602"/>
      <c r="G146" s="602"/>
      <c r="H146" s="602"/>
      <c r="I146" s="602"/>
      <c r="J146" s="602"/>
      <c r="K146" s="1397"/>
      <c r="L146" s="602"/>
      <c r="M146" s="602"/>
      <c r="S146" s="431"/>
    </row>
    <row r="147" spans="3:19" ht="13.2" customHeight="1">
      <c r="C147" s="1398"/>
      <c r="F147" s="602"/>
      <c r="G147" s="602"/>
      <c r="H147" s="602"/>
      <c r="I147" s="602"/>
      <c r="J147" s="602"/>
      <c r="K147" s="1397"/>
      <c r="L147" s="602"/>
      <c r="M147" s="602"/>
      <c r="S147" s="431"/>
    </row>
    <row r="148" spans="3:19" ht="13.2" customHeight="1">
      <c r="C148" s="1398"/>
      <c r="F148" s="602"/>
      <c r="G148" s="602"/>
      <c r="H148" s="602"/>
      <c r="I148" s="602"/>
      <c r="J148" s="602"/>
      <c r="K148" s="1397"/>
      <c r="L148" s="602"/>
      <c r="M148" s="602"/>
      <c r="S148" s="431"/>
    </row>
    <row r="149" spans="3:19" ht="13.2" customHeight="1">
      <c r="C149" s="1398"/>
      <c r="F149" s="602"/>
      <c r="G149" s="602"/>
      <c r="H149" s="602"/>
      <c r="I149" s="602"/>
      <c r="J149" s="602"/>
      <c r="K149" s="1397"/>
      <c r="L149" s="602"/>
      <c r="M149" s="602"/>
      <c r="S149" s="431"/>
    </row>
    <row r="150" spans="3:19" ht="13.2" customHeight="1">
      <c r="C150" s="1398"/>
      <c r="F150" s="602"/>
      <c r="G150" s="602"/>
      <c r="H150" s="602"/>
      <c r="I150" s="602"/>
      <c r="J150" s="602"/>
      <c r="K150" s="1397"/>
      <c r="L150" s="602"/>
      <c r="M150" s="602"/>
      <c r="S150" s="431"/>
    </row>
    <row r="151" spans="3:19" ht="13.2" customHeight="1">
      <c r="C151" s="1398"/>
      <c r="F151" s="602"/>
      <c r="G151" s="602"/>
      <c r="H151" s="602"/>
      <c r="I151" s="602"/>
      <c r="J151" s="602"/>
      <c r="K151" s="1397"/>
      <c r="L151" s="602"/>
      <c r="M151" s="602"/>
      <c r="S151" s="431"/>
    </row>
    <row r="152" spans="3:19" ht="13.2" customHeight="1">
      <c r="C152" s="1398"/>
      <c r="F152" s="602"/>
      <c r="G152" s="602"/>
      <c r="H152" s="602"/>
      <c r="I152" s="602"/>
      <c r="J152" s="602"/>
      <c r="K152" s="1397"/>
      <c r="L152" s="602"/>
      <c r="M152" s="602"/>
      <c r="S152" s="431"/>
    </row>
    <row r="153" spans="3:19" ht="13.2" customHeight="1">
      <c r="C153" s="1398"/>
      <c r="F153" s="602"/>
      <c r="G153" s="602"/>
      <c r="H153" s="602"/>
      <c r="I153" s="602"/>
      <c r="J153" s="602"/>
      <c r="K153" s="1397"/>
      <c r="L153" s="602"/>
      <c r="M153" s="602"/>
      <c r="S153" s="431"/>
    </row>
    <row r="154" spans="3:19" ht="13.2" customHeight="1">
      <c r="C154" s="1398"/>
      <c r="F154" s="602"/>
      <c r="G154" s="602"/>
      <c r="H154" s="602"/>
      <c r="I154" s="602"/>
      <c r="J154" s="602"/>
      <c r="K154" s="1397"/>
      <c r="L154" s="602"/>
      <c r="M154" s="602"/>
      <c r="S154" s="431"/>
    </row>
    <row r="155" spans="3:19" ht="13.2" customHeight="1">
      <c r="C155" s="1398"/>
      <c r="F155" s="602"/>
      <c r="G155" s="602"/>
      <c r="H155" s="602"/>
      <c r="I155" s="602"/>
      <c r="J155" s="602"/>
      <c r="K155" s="1397"/>
      <c r="L155" s="602"/>
      <c r="M155" s="602"/>
      <c r="S155" s="431"/>
    </row>
    <row r="156" spans="3:19" ht="13.2" customHeight="1">
      <c r="C156" s="1398"/>
      <c r="F156" s="602"/>
      <c r="G156" s="602"/>
      <c r="H156" s="602"/>
      <c r="I156" s="602"/>
      <c r="J156" s="602"/>
      <c r="K156" s="1397"/>
      <c r="L156" s="602"/>
      <c r="M156" s="602"/>
      <c r="S156" s="431"/>
    </row>
    <row r="157" spans="3:19" ht="13.2" customHeight="1">
      <c r="C157" s="1398"/>
      <c r="F157" s="602"/>
      <c r="G157" s="602"/>
      <c r="H157" s="602"/>
      <c r="I157" s="602"/>
      <c r="J157" s="602"/>
      <c r="K157" s="1397"/>
      <c r="L157" s="602"/>
      <c r="M157" s="602"/>
      <c r="S157" s="431"/>
    </row>
    <row r="158" spans="3:19" ht="13.2" customHeight="1">
      <c r="C158" s="1398"/>
      <c r="F158" s="602"/>
      <c r="G158" s="602"/>
      <c r="H158" s="602"/>
      <c r="I158" s="602"/>
      <c r="J158" s="602"/>
      <c r="K158" s="1397"/>
      <c r="L158" s="602"/>
      <c r="M158" s="602"/>
      <c r="S158" s="431"/>
    </row>
    <row r="159" spans="3:19" ht="13.2" customHeight="1">
      <c r="C159" s="1398"/>
      <c r="F159" s="602"/>
      <c r="G159" s="602"/>
      <c r="H159" s="602"/>
      <c r="I159" s="602"/>
      <c r="J159" s="602"/>
      <c r="K159" s="1397"/>
      <c r="L159" s="602"/>
      <c r="M159" s="602"/>
      <c r="S159" s="431"/>
    </row>
    <row r="160" spans="3:19" ht="13.2" customHeight="1">
      <c r="C160" s="1398"/>
      <c r="F160" s="602"/>
      <c r="G160" s="602"/>
      <c r="H160" s="602"/>
      <c r="I160" s="602"/>
      <c r="J160" s="602"/>
      <c r="K160" s="1397"/>
      <c r="L160" s="602"/>
      <c r="M160" s="602"/>
      <c r="S160" s="431"/>
    </row>
    <row r="161" spans="3:19" ht="13.2" customHeight="1">
      <c r="C161" s="1398"/>
      <c r="F161" s="602"/>
      <c r="G161" s="602"/>
      <c r="H161" s="602"/>
      <c r="I161" s="602"/>
      <c r="J161" s="602"/>
      <c r="K161" s="1397"/>
      <c r="L161" s="602"/>
      <c r="M161" s="602"/>
      <c r="S161" s="431"/>
    </row>
    <row r="162" spans="3:19" ht="13.2" customHeight="1">
      <c r="C162" s="1398"/>
      <c r="F162" s="602"/>
      <c r="G162" s="602"/>
      <c r="H162" s="602"/>
      <c r="I162" s="602"/>
      <c r="J162" s="602"/>
      <c r="K162" s="1397"/>
      <c r="L162" s="602"/>
      <c r="M162" s="602"/>
      <c r="S162" s="431"/>
    </row>
    <row r="163" spans="3:19" ht="13.2" customHeight="1">
      <c r="C163" s="1398"/>
      <c r="F163" s="602"/>
      <c r="G163" s="602"/>
      <c r="H163" s="602"/>
      <c r="I163" s="602"/>
      <c r="J163" s="602"/>
      <c r="K163" s="1397"/>
      <c r="L163" s="602"/>
      <c r="M163" s="602"/>
      <c r="S163" s="431"/>
    </row>
    <row r="164" spans="3:19" ht="13.2" customHeight="1">
      <c r="C164" s="1398"/>
      <c r="F164" s="602"/>
      <c r="G164" s="602"/>
      <c r="H164" s="602"/>
      <c r="I164" s="602"/>
      <c r="J164" s="602"/>
      <c r="K164" s="1397"/>
      <c r="L164" s="602"/>
      <c r="M164" s="602"/>
      <c r="S164" s="431"/>
    </row>
    <row r="165" spans="3:19" ht="13.2" customHeight="1">
      <c r="C165" s="1398"/>
      <c r="F165" s="602"/>
      <c r="G165" s="602"/>
      <c r="H165" s="602"/>
      <c r="I165" s="602"/>
      <c r="J165" s="602"/>
      <c r="K165" s="1397"/>
      <c r="L165" s="602"/>
      <c r="M165" s="602"/>
      <c r="S165" s="431"/>
    </row>
    <row r="166" spans="3:19" ht="13.2" customHeight="1">
      <c r="C166" s="1398"/>
      <c r="F166" s="602"/>
      <c r="G166" s="602"/>
      <c r="H166" s="602"/>
      <c r="I166" s="602"/>
      <c r="J166" s="602"/>
      <c r="K166" s="1397"/>
      <c r="L166" s="602"/>
      <c r="M166" s="602"/>
      <c r="S166" s="431"/>
    </row>
    <row r="167" spans="3:19" ht="13.2" customHeight="1">
      <c r="C167" s="1398"/>
      <c r="F167" s="602"/>
      <c r="G167" s="602"/>
      <c r="H167" s="602"/>
      <c r="I167" s="602"/>
      <c r="J167" s="602"/>
      <c r="K167" s="1397"/>
      <c r="L167" s="602"/>
      <c r="M167" s="602"/>
      <c r="S167" s="431"/>
    </row>
    <row r="168" spans="3:19" ht="13.2" customHeight="1">
      <c r="C168" s="1398"/>
      <c r="F168" s="602"/>
      <c r="G168" s="602"/>
      <c r="H168" s="602"/>
      <c r="I168" s="602"/>
      <c r="J168" s="602"/>
      <c r="K168" s="1397"/>
      <c r="L168" s="602"/>
      <c r="M168" s="602"/>
      <c r="S168" s="431"/>
    </row>
    <row r="169" spans="3:19" ht="13.2" customHeight="1">
      <c r="C169" s="1398"/>
      <c r="F169" s="602"/>
      <c r="G169" s="602"/>
      <c r="H169" s="602"/>
      <c r="I169" s="602"/>
      <c r="J169" s="602"/>
      <c r="K169" s="1397"/>
      <c r="L169" s="602"/>
      <c r="M169" s="602"/>
      <c r="S169" s="431"/>
    </row>
    <row r="170" spans="3:19" ht="13.2" customHeight="1">
      <c r="C170" s="1398"/>
      <c r="F170" s="602"/>
      <c r="G170" s="602"/>
      <c r="H170" s="602"/>
      <c r="I170" s="602"/>
      <c r="J170" s="602"/>
      <c r="K170" s="1397"/>
      <c r="L170" s="602"/>
      <c r="M170" s="602"/>
      <c r="S170" s="431"/>
    </row>
    <row r="171" spans="3:19" ht="13.2" customHeight="1">
      <c r="C171" s="1398"/>
      <c r="F171" s="602"/>
      <c r="G171" s="602"/>
      <c r="H171" s="602"/>
      <c r="I171" s="602"/>
      <c r="J171" s="602"/>
      <c r="K171" s="1397"/>
      <c r="L171" s="602"/>
      <c r="M171" s="602"/>
      <c r="S171" s="431"/>
    </row>
    <row r="172" spans="3:19" ht="13.2" customHeight="1">
      <c r="C172" s="1398"/>
      <c r="F172" s="602"/>
      <c r="G172" s="602"/>
      <c r="H172" s="602"/>
      <c r="I172" s="602"/>
      <c r="J172" s="602"/>
      <c r="K172" s="1397"/>
      <c r="L172" s="602"/>
      <c r="M172" s="602"/>
      <c r="S172" s="431"/>
    </row>
    <row r="173" spans="3:19" ht="13.2" customHeight="1">
      <c r="C173" s="1398"/>
      <c r="F173" s="602"/>
      <c r="G173" s="602"/>
      <c r="H173" s="602"/>
      <c r="I173" s="602"/>
      <c r="J173" s="602"/>
      <c r="K173" s="1397"/>
      <c r="L173" s="602"/>
      <c r="M173" s="602"/>
      <c r="S173" s="431"/>
    </row>
    <row r="174" spans="3:19" ht="13.2" customHeight="1">
      <c r="C174" s="1398"/>
      <c r="F174" s="602"/>
      <c r="G174" s="602"/>
      <c r="H174" s="602"/>
      <c r="I174" s="602"/>
      <c r="J174" s="602"/>
      <c r="K174" s="1397"/>
      <c r="L174" s="602"/>
      <c r="M174" s="602"/>
      <c r="S174" s="431"/>
    </row>
    <row r="175" spans="3:19" ht="13.2" customHeight="1">
      <c r="C175" s="1398"/>
      <c r="F175" s="602"/>
      <c r="G175" s="602"/>
      <c r="H175" s="602"/>
      <c r="I175" s="602"/>
      <c r="J175" s="602"/>
      <c r="K175" s="1397"/>
      <c r="L175" s="602"/>
      <c r="M175" s="602"/>
      <c r="S175" s="431"/>
    </row>
    <row r="176" spans="3:19" ht="13.2" customHeight="1">
      <c r="C176" s="1398"/>
      <c r="F176" s="602"/>
      <c r="G176" s="602"/>
      <c r="H176" s="602"/>
      <c r="I176" s="602"/>
      <c r="J176" s="602"/>
      <c r="K176" s="1397"/>
      <c r="L176" s="602"/>
      <c r="M176" s="602"/>
      <c r="S176" s="431"/>
    </row>
    <row r="177" spans="3:19" ht="13.2" customHeight="1">
      <c r="C177" s="1398"/>
      <c r="F177" s="602"/>
      <c r="G177" s="602"/>
      <c r="H177" s="602"/>
      <c r="I177" s="602"/>
      <c r="J177" s="602"/>
      <c r="K177" s="1397"/>
      <c r="L177" s="602"/>
      <c r="M177" s="602"/>
      <c r="S177" s="431"/>
    </row>
    <row r="178" spans="3:19" ht="13.2" customHeight="1">
      <c r="C178" s="1398"/>
      <c r="F178" s="602"/>
      <c r="G178" s="602"/>
      <c r="H178" s="602"/>
      <c r="I178" s="602"/>
      <c r="J178" s="602"/>
      <c r="K178" s="1397"/>
      <c r="L178" s="602"/>
      <c r="M178" s="602"/>
      <c r="S178" s="431"/>
    </row>
    <row r="179" spans="3:19" ht="13.2" customHeight="1">
      <c r="C179" s="1398"/>
      <c r="F179" s="602"/>
      <c r="G179" s="602"/>
      <c r="H179" s="602"/>
      <c r="I179" s="602"/>
      <c r="J179" s="602"/>
      <c r="K179" s="1397"/>
      <c r="L179" s="602"/>
      <c r="M179" s="602"/>
      <c r="S179" s="431"/>
    </row>
    <row r="180" spans="3:19" ht="13.2" customHeight="1">
      <c r="C180" s="1398"/>
      <c r="F180" s="602"/>
      <c r="G180" s="602"/>
      <c r="H180" s="602"/>
      <c r="I180" s="602"/>
      <c r="J180" s="602"/>
      <c r="K180" s="1397"/>
      <c r="L180" s="602"/>
      <c r="M180" s="602"/>
      <c r="S180" s="431"/>
    </row>
    <row r="181" spans="3:19" ht="13.2" customHeight="1">
      <c r="C181" s="1398"/>
      <c r="F181" s="602"/>
      <c r="G181" s="602"/>
      <c r="H181" s="602"/>
      <c r="I181" s="602"/>
      <c r="J181" s="602"/>
      <c r="K181" s="1397"/>
      <c r="L181" s="602"/>
      <c r="M181" s="602"/>
      <c r="S181" s="431"/>
    </row>
    <row r="182" spans="3:19" ht="13.2" customHeight="1">
      <c r="C182" s="1398"/>
      <c r="F182" s="602"/>
      <c r="G182" s="602"/>
      <c r="H182" s="602"/>
      <c r="I182" s="602"/>
      <c r="J182" s="602"/>
      <c r="K182" s="1397"/>
      <c r="L182" s="602"/>
      <c r="M182" s="602"/>
      <c r="S182" s="431"/>
    </row>
    <row r="183" spans="3:19" ht="13.2" customHeight="1">
      <c r="C183" s="1398"/>
      <c r="F183" s="602"/>
      <c r="G183" s="602"/>
      <c r="H183" s="602"/>
      <c r="I183" s="602"/>
      <c r="J183" s="602"/>
      <c r="K183" s="1397"/>
      <c r="L183" s="602"/>
      <c r="M183" s="602"/>
      <c r="S183" s="431"/>
    </row>
    <row r="184" spans="3:19" ht="13.2" customHeight="1">
      <c r="C184" s="1398"/>
      <c r="F184" s="602"/>
      <c r="G184" s="602"/>
      <c r="H184" s="602"/>
      <c r="I184" s="602"/>
      <c r="J184" s="602"/>
      <c r="K184" s="1397"/>
      <c r="L184" s="602"/>
      <c r="M184" s="602"/>
      <c r="S184" s="431"/>
    </row>
    <row r="185" spans="3:19" ht="13.2" customHeight="1">
      <c r="C185" s="1398"/>
      <c r="F185" s="602"/>
      <c r="G185" s="602"/>
      <c r="H185" s="602"/>
      <c r="I185" s="602"/>
      <c r="J185" s="602"/>
      <c r="K185" s="1397"/>
      <c r="L185" s="602"/>
      <c r="M185" s="602"/>
      <c r="S185" s="431"/>
    </row>
    <row r="186" spans="3:19" ht="13.2" customHeight="1">
      <c r="C186" s="1398"/>
      <c r="F186" s="602"/>
      <c r="G186" s="602"/>
      <c r="H186" s="602"/>
      <c r="I186" s="602"/>
      <c r="J186" s="602"/>
      <c r="K186" s="1397"/>
      <c r="L186" s="602"/>
      <c r="M186" s="602"/>
      <c r="S186" s="431"/>
    </row>
    <row r="187" spans="3:19" ht="13.2" customHeight="1">
      <c r="C187" s="1398" t="s">
        <v>233</v>
      </c>
      <c r="F187" s="602"/>
      <c r="G187" s="602"/>
      <c r="H187" s="602"/>
      <c r="I187" s="602"/>
      <c r="J187" s="602"/>
      <c r="K187" s="1397"/>
      <c r="L187" s="602"/>
      <c r="M187" s="602"/>
      <c r="S187" s="431"/>
    </row>
    <row r="188" spans="3:19" ht="13.2" customHeight="1">
      <c r="C188" s="1398"/>
      <c r="F188" s="602"/>
      <c r="G188" s="602"/>
      <c r="H188" s="602"/>
      <c r="I188" s="602"/>
      <c r="J188" s="602"/>
      <c r="K188" s="1397"/>
      <c r="L188" s="602"/>
      <c r="M188" s="602"/>
      <c r="S188" s="431"/>
    </row>
    <row r="189" spans="3:19" ht="13.2" customHeight="1">
      <c r="C189" s="1398"/>
      <c r="F189" s="602"/>
      <c r="G189" s="602"/>
      <c r="H189" s="602"/>
      <c r="I189" s="602"/>
      <c r="J189" s="602"/>
      <c r="K189" s="1397"/>
      <c r="L189" s="602"/>
      <c r="M189" s="602"/>
      <c r="S189" s="431"/>
    </row>
    <row r="190" spans="3:19" ht="13.2" customHeight="1">
      <c r="C190" s="1398"/>
      <c r="F190" s="602"/>
      <c r="G190" s="602"/>
      <c r="H190" s="602"/>
      <c r="I190" s="602"/>
      <c r="J190" s="602"/>
      <c r="K190" s="1397"/>
      <c r="L190" s="602"/>
      <c r="M190" s="602"/>
      <c r="S190" s="431"/>
    </row>
    <row r="191" spans="3:19" ht="13.2" customHeight="1">
      <c r="C191" s="1398"/>
      <c r="F191" s="602"/>
      <c r="G191" s="602"/>
      <c r="H191" s="602"/>
      <c r="I191" s="602"/>
      <c r="J191" s="602"/>
      <c r="K191" s="1397"/>
      <c r="L191" s="602"/>
      <c r="M191" s="602"/>
      <c r="S191" s="431"/>
    </row>
    <row r="192" spans="3:19" ht="13.2" customHeight="1">
      <c r="C192" s="1398"/>
      <c r="F192" s="602"/>
      <c r="G192" s="602"/>
      <c r="H192" s="602"/>
      <c r="I192" s="602"/>
      <c r="J192" s="602"/>
      <c r="K192" s="1397"/>
      <c r="L192" s="602"/>
      <c r="M192" s="602"/>
      <c r="S192" s="431"/>
    </row>
    <row r="193" spans="3:19" ht="13.2" customHeight="1">
      <c r="C193" s="1398"/>
      <c r="F193" s="548"/>
      <c r="G193" s="548"/>
      <c r="H193" s="548"/>
      <c r="I193" s="548"/>
      <c r="J193" s="548"/>
      <c r="K193" s="1397"/>
      <c r="L193" s="548"/>
      <c r="M193" s="548"/>
      <c r="S193" s="431"/>
    </row>
    <row r="194" spans="3:19" ht="13.2" customHeight="1">
      <c r="C194" s="1398"/>
      <c r="F194" s="548"/>
      <c r="G194" s="548"/>
      <c r="H194" s="548"/>
      <c r="I194" s="548"/>
      <c r="J194" s="548"/>
      <c r="K194" s="1397"/>
      <c r="L194" s="548"/>
      <c r="M194" s="548"/>
      <c r="S194" s="431"/>
    </row>
    <row r="195" spans="3:19" ht="13.2" customHeight="1">
      <c r="C195" s="1398"/>
      <c r="F195" s="548"/>
      <c r="G195" s="548"/>
      <c r="H195" s="548"/>
      <c r="I195" s="548"/>
      <c r="J195" s="548"/>
      <c r="K195" s="1397"/>
      <c r="L195" s="548"/>
      <c r="M195" s="548"/>
      <c r="S195" s="431"/>
    </row>
    <row r="196" spans="3:19" ht="13.2" customHeight="1">
      <c r="C196" s="1398"/>
      <c r="F196" s="548"/>
      <c r="G196" s="548"/>
      <c r="H196" s="548"/>
      <c r="I196" s="548"/>
      <c r="J196" s="548"/>
      <c r="K196" s="1397"/>
      <c r="L196" s="548"/>
      <c r="M196" s="548"/>
      <c r="S196" s="431"/>
    </row>
    <row r="197" spans="3:19" ht="13.2" customHeight="1">
      <c r="C197" s="1398"/>
      <c r="F197" s="548"/>
      <c r="G197" s="548"/>
      <c r="H197" s="548"/>
      <c r="I197" s="548"/>
      <c r="J197" s="548"/>
      <c r="K197" s="1397"/>
      <c r="L197" s="548"/>
      <c r="M197" s="548"/>
      <c r="S197" s="431"/>
    </row>
    <row r="198" spans="3:19" ht="13.2" customHeight="1">
      <c r="C198" s="1398"/>
      <c r="F198" s="548"/>
      <c r="G198" s="548"/>
      <c r="H198" s="548"/>
      <c r="I198" s="548"/>
      <c r="J198" s="548"/>
      <c r="K198" s="1397"/>
      <c r="L198" s="548"/>
      <c r="M198" s="548"/>
      <c r="S198" s="431"/>
    </row>
    <row r="199" spans="3:19" ht="13.2" customHeight="1">
      <c r="C199" s="1398"/>
      <c r="F199" s="548"/>
      <c r="G199" s="548"/>
      <c r="H199" s="548"/>
      <c r="I199" s="548"/>
      <c r="J199" s="548"/>
      <c r="K199" s="1397"/>
      <c r="L199" s="548"/>
      <c r="M199" s="548"/>
      <c r="S199" s="431"/>
    </row>
    <row r="200" spans="3:19" ht="13.2" customHeight="1">
      <c r="C200" s="1398"/>
      <c r="F200" s="548"/>
      <c r="G200" s="548"/>
      <c r="H200" s="548"/>
      <c r="I200" s="548"/>
      <c r="J200" s="548"/>
      <c r="K200" s="1397"/>
      <c r="L200" s="548"/>
      <c r="M200" s="548"/>
      <c r="S200" s="431"/>
    </row>
    <row r="201" spans="3:19" ht="13.2" customHeight="1">
      <c r="C201" s="1398"/>
      <c r="F201" s="548"/>
      <c r="G201" s="548"/>
      <c r="H201" s="548"/>
      <c r="I201" s="548"/>
      <c r="J201" s="548"/>
      <c r="K201" s="1397"/>
      <c r="L201" s="548"/>
      <c r="M201" s="548"/>
      <c r="S201" s="431"/>
    </row>
    <row r="202" spans="3:19" ht="13.2" customHeight="1">
      <c r="C202" s="1398"/>
      <c r="F202" s="548"/>
      <c r="G202" s="548"/>
      <c r="H202" s="548"/>
      <c r="I202" s="548"/>
      <c r="J202" s="548"/>
      <c r="K202" s="1397"/>
      <c r="L202" s="548"/>
      <c r="M202" s="548"/>
      <c r="S202" s="431"/>
    </row>
    <row r="203" spans="3:19" ht="13.2" customHeight="1">
      <c r="C203" s="1398"/>
      <c r="F203" s="548"/>
      <c r="G203" s="548"/>
      <c r="H203" s="548"/>
      <c r="I203" s="548"/>
      <c r="J203" s="548"/>
      <c r="K203" s="1397"/>
      <c r="L203" s="548"/>
      <c r="M203" s="548"/>
      <c r="S203" s="431"/>
    </row>
    <row r="204" spans="3:19" ht="13.2" customHeight="1">
      <c r="C204" s="1398"/>
      <c r="F204" s="548"/>
      <c r="G204" s="548"/>
      <c r="H204" s="548"/>
      <c r="I204" s="548"/>
      <c r="J204" s="548"/>
      <c r="K204" s="1397"/>
      <c r="L204" s="548"/>
      <c r="M204" s="548"/>
      <c r="S204" s="431"/>
    </row>
    <row r="205" spans="3:19" ht="13.2" customHeight="1">
      <c r="C205" s="1398"/>
      <c r="F205" s="548"/>
      <c r="G205" s="548"/>
      <c r="H205" s="548"/>
      <c r="I205" s="548"/>
      <c r="J205" s="548"/>
      <c r="K205" s="1397"/>
      <c r="L205" s="548"/>
      <c r="M205" s="548"/>
      <c r="S205" s="431"/>
    </row>
    <row r="206" spans="3:19" ht="13.2" customHeight="1">
      <c r="C206" s="1398"/>
      <c r="F206" s="548"/>
      <c r="G206" s="548"/>
      <c r="H206" s="548"/>
      <c r="I206" s="548"/>
      <c r="J206" s="548"/>
      <c r="K206" s="1397"/>
      <c r="L206" s="548"/>
      <c r="M206" s="548"/>
      <c r="S206" s="431"/>
    </row>
    <row r="207" spans="3:19" ht="13.2" customHeight="1">
      <c r="C207" s="1398"/>
      <c r="F207" s="548"/>
      <c r="G207" s="548"/>
      <c r="H207" s="548"/>
      <c r="I207" s="548"/>
      <c r="J207" s="548"/>
      <c r="K207" s="1397"/>
      <c r="L207" s="548"/>
      <c r="M207" s="548"/>
      <c r="S207" s="431"/>
    </row>
    <row r="208" spans="3:19" ht="13.2" customHeight="1">
      <c r="C208" s="1398"/>
      <c r="F208" s="548"/>
      <c r="G208" s="548"/>
      <c r="H208" s="548"/>
      <c r="I208" s="548"/>
      <c r="J208" s="548"/>
      <c r="K208" s="1397"/>
      <c r="L208" s="548"/>
      <c r="M208" s="548"/>
      <c r="S208" s="431"/>
    </row>
    <row r="209" spans="3:19" ht="13.2" customHeight="1">
      <c r="C209" s="1398"/>
      <c r="F209" s="548"/>
      <c r="G209" s="548"/>
      <c r="H209" s="548"/>
      <c r="I209" s="548"/>
      <c r="J209" s="548"/>
      <c r="K209" s="1397"/>
      <c r="L209" s="548"/>
      <c r="M209" s="548"/>
      <c r="S209" s="431"/>
    </row>
    <row r="210" spans="3:19" ht="13.2" customHeight="1">
      <c r="C210" s="1398"/>
      <c r="F210" s="548"/>
      <c r="G210" s="548"/>
      <c r="H210" s="548"/>
      <c r="I210" s="548"/>
      <c r="J210" s="548"/>
      <c r="K210" s="1397"/>
      <c r="L210" s="548"/>
      <c r="M210" s="548"/>
      <c r="S210" s="431"/>
    </row>
    <row r="211" spans="3:19" ht="13.2" customHeight="1">
      <c r="C211" s="1398"/>
      <c r="F211" s="548"/>
      <c r="G211" s="548"/>
      <c r="H211" s="548"/>
      <c r="I211" s="548"/>
      <c r="J211" s="548"/>
      <c r="K211" s="1397"/>
      <c r="L211" s="548"/>
      <c r="M211" s="548"/>
      <c r="S211" s="431"/>
    </row>
    <row r="212" spans="3:19" ht="13.2" customHeight="1">
      <c r="C212" s="1398"/>
      <c r="F212" s="548"/>
      <c r="G212" s="548"/>
      <c r="H212" s="548"/>
      <c r="I212" s="548"/>
      <c r="J212" s="548"/>
      <c r="K212" s="1397"/>
      <c r="L212" s="548"/>
      <c r="M212" s="548"/>
      <c r="S212" s="431"/>
    </row>
    <row r="213" spans="3:19" ht="13.2" customHeight="1">
      <c r="C213" s="1398"/>
      <c r="F213" s="548"/>
      <c r="G213" s="548"/>
      <c r="H213" s="548"/>
      <c r="I213" s="548"/>
      <c r="J213" s="548"/>
      <c r="K213" s="1397"/>
      <c r="L213" s="548"/>
      <c r="M213" s="548"/>
      <c r="S213" s="431"/>
    </row>
    <row r="214" spans="3:19" ht="13.2" customHeight="1">
      <c r="C214" s="1398"/>
      <c r="F214" s="548"/>
      <c r="G214" s="548"/>
      <c r="H214" s="548"/>
      <c r="I214" s="548"/>
      <c r="J214" s="548"/>
      <c r="K214" s="1397"/>
      <c r="L214" s="548"/>
      <c r="M214" s="548"/>
      <c r="S214" s="431"/>
    </row>
    <row r="215" spans="3:19" ht="13.2" customHeight="1">
      <c r="C215" s="1398"/>
      <c r="F215" s="548"/>
      <c r="G215" s="548"/>
      <c r="H215" s="548"/>
      <c r="I215" s="548"/>
      <c r="J215" s="548"/>
      <c r="K215" s="1397"/>
      <c r="L215" s="548"/>
      <c r="M215" s="548"/>
      <c r="S215" s="431"/>
    </row>
    <row r="216" spans="3:19" ht="13.2" customHeight="1">
      <c r="C216" s="1398"/>
      <c r="F216" s="548"/>
      <c r="G216" s="548"/>
      <c r="H216" s="548"/>
      <c r="I216" s="548"/>
      <c r="J216" s="548"/>
      <c r="K216" s="1397"/>
      <c r="L216" s="548"/>
      <c r="M216" s="548"/>
      <c r="S216" s="431"/>
    </row>
    <row r="217" spans="3:19" ht="13.2" customHeight="1">
      <c r="C217" s="1398"/>
      <c r="F217" s="548"/>
      <c r="G217" s="548"/>
      <c r="H217" s="548"/>
      <c r="I217" s="548"/>
      <c r="J217" s="548"/>
      <c r="K217" s="1397"/>
      <c r="L217" s="548"/>
      <c r="M217" s="548"/>
      <c r="S217" s="431"/>
    </row>
    <row r="218" spans="3:19" ht="13.2" customHeight="1">
      <c r="C218" s="1398"/>
      <c r="F218" s="548"/>
      <c r="G218" s="548"/>
      <c r="H218" s="548"/>
      <c r="I218" s="548"/>
      <c r="J218" s="548"/>
      <c r="K218" s="1397"/>
      <c r="L218" s="548"/>
      <c r="M218" s="548"/>
      <c r="S218" s="431"/>
    </row>
    <row r="219" spans="3:19" ht="13.2" customHeight="1">
      <c r="C219" s="1398"/>
      <c r="F219" s="548"/>
      <c r="G219" s="548"/>
      <c r="H219" s="548"/>
      <c r="I219" s="548"/>
      <c r="J219" s="548"/>
      <c r="K219" s="1397"/>
      <c r="L219" s="548"/>
      <c r="M219" s="548"/>
      <c r="S219" s="431"/>
    </row>
    <row r="220" spans="3:19" ht="13.2" customHeight="1">
      <c r="C220" s="1398"/>
      <c r="F220" s="548"/>
      <c r="G220" s="548"/>
      <c r="H220" s="548"/>
      <c r="I220" s="548"/>
      <c r="J220" s="548"/>
      <c r="K220" s="1397"/>
      <c r="L220" s="548"/>
      <c r="M220" s="548"/>
      <c r="S220" s="431"/>
    </row>
    <row r="221" spans="3:19" ht="13.2" customHeight="1">
      <c r="C221" s="1398"/>
      <c r="F221" s="548"/>
      <c r="G221" s="548"/>
      <c r="H221" s="548"/>
      <c r="I221" s="548"/>
      <c r="J221" s="548"/>
      <c r="K221" s="1397"/>
      <c r="L221" s="548"/>
      <c r="M221" s="548"/>
      <c r="S221" s="431"/>
    </row>
    <row r="222" spans="3:19" ht="13.2" customHeight="1">
      <c r="C222" s="1398"/>
      <c r="F222" s="548"/>
      <c r="G222" s="548"/>
      <c r="H222" s="548"/>
      <c r="I222" s="548"/>
      <c r="J222" s="548"/>
      <c r="K222" s="1397"/>
      <c r="L222" s="548"/>
      <c r="M222" s="548"/>
      <c r="S222" s="431"/>
    </row>
    <row r="223" spans="3:19" ht="13.2" customHeight="1">
      <c r="C223" s="1398"/>
      <c r="F223" s="548"/>
      <c r="G223" s="548"/>
      <c r="H223" s="548"/>
      <c r="I223" s="548"/>
      <c r="J223" s="548"/>
      <c r="K223" s="1397"/>
      <c r="L223" s="548"/>
      <c r="M223" s="548"/>
      <c r="S223" s="431"/>
    </row>
    <row r="224" spans="3:19" ht="13.2" customHeight="1">
      <c r="C224" s="1398"/>
      <c r="F224" s="548"/>
      <c r="G224" s="548"/>
      <c r="H224" s="548"/>
      <c r="I224" s="548"/>
      <c r="J224" s="548"/>
      <c r="K224" s="1397"/>
      <c r="L224" s="548"/>
      <c r="M224" s="548"/>
      <c r="S224" s="431"/>
    </row>
    <row r="225" spans="3:19" ht="13.2" customHeight="1">
      <c r="C225" s="1398"/>
      <c r="F225" s="548"/>
      <c r="G225" s="548"/>
      <c r="H225" s="548"/>
      <c r="I225" s="548"/>
      <c r="J225" s="548"/>
      <c r="K225" s="1397"/>
      <c r="L225" s="548"/>
      <c r="M225" s="548"/>
      <c r="S225" s="431"/>
    </row>
    <row r="226" spans="3:19" ht="13.2" customHeight="1">
      <c r="C226" s="1398"/>
      <c r="F226" s="548"/>
      <c r="G226" s="548"/>
      <c r="H226" s="548"/>
      <c r="I226" s="548"/>
      <c r="J226" s="548"/>
      <c r="K226" s="1397"/>
      <c r="L226" s="548"/>
      <c r="M226" s="548"/>
      <c r="S226" s="431"/>
    </row>
    <row r="227" spans="3:19" ht="13.2" customHeight="1">
      <c r="C227" s="1398"/>
      <c r="F227" s="548"/>
      <c r="G227" s="548"/>
      <c r="H227" s="548"/>
      <c r="I227" s="548"/>
      <c r="J227" s="548"/>
      <c r="K227" s="1397"/>
      <c r="L227" s="548"/>
      <c r="M227" s="548"/>
      <c r="S227" s="431"/>
    </row>
    <row r="228" spans="3:19" ht="13.2" customHeight="1">
      <c r="C228" s="1398"/>
      <c r="F228" s="548"/>
      <c r="G228" s="548"/>
      <c r="H228" s="548"/>
      <c r="I228" s="548"/>
      <c r="J228" s="548"/>
      <c r="K228" s="1397"/>
      <c r="L228" s="548"/>
      <c r="M228" s="548"/>
      <c r="S228" s="431"/>
    </row>
    <row r="229" spans="3:19" ht="13.2" customHeight="1">
      <c r="C229" s="1398"/>
      <c r="F229" s="548"/>
      <c r="G229" s="548"/>
      <c r="H229" s="548"/>
      <c r="I229" s="548"/>
      <c r="J229" s="548"/>
      <c r="K229" s="1397"/>
      <c r="L229" s="548"/>
      <c r="M229" s="548"/>
      <c r="S229" s="431"/>
    </row>
    <row r="230" spans="3:19" ht="13.2" customHeight="1">
      <c r="C230" s="1398"/>
      <c r="F230" s="548"/>
      <c r="G230" s="548"/>
      <c r="H230" s="548"/>
      <c r="I230" s="548"/>
      <c r="J230" s="548"/>
      <c r="K230" s="1397"/>
      <c r="L230" s="548"/>
      <c r="M230" s="548"/>
      <c r="S230" s="431"/>
    </row>
    <row r="231" spans="3:19" ht="13.2" customHeight="1">
      <c r="C231" s="1398"/>
      <c r="F231" s="548"/>
      <c r="G231" s="548"/>
      <c r="H231" s="548"/>
      <c r="I231" s="548"/>
      <c r="J231" s="548"/>
      <c r="K231" s="1397"/>
      <c r="L231" s="548"/>
      <c r="M231" s="548"/>
      <c r="S231" s="431"/>
    </row>
    <row r="232" spans="3:19" ht="13.2" customHeight="1">
      <c r="C232" s="1398"/>
      <c r="F232" s="548"/>
      <c r="G232" s="548"/>
      <c r="H232" s="548"/>
      <c r="I232" s="548"/>
      <c r="J232" s="548"/>
      <c r="K232" s="1397"/>
      <c r="L232" s="548"/>
      <c r="M232" s="548"/>
      <c r="S232" s="431"/>
    </row>
    <row r="233" spans="3:19" ht="13.2" customHeight="1">
      <c r="C233" s="1398"/>
      <c r="F233" s="548"/>
      <c r="G233" s="548"/>
      <c r="H233" s="548"/>
      <c r="I233" s="548"/>
      <c r="J233" s="548"/>
      <c r="K233" s="1397"/>
      <c r="L233" s="548"/>
      <c r="M233" s="548"/>
      <c r="S233" s="431"/>
    </row>
    <row r="234" spans="3:19" ht="13.2" customHeight="1">
      <c r="C234" s="1398"/>
      <c r="F234" s="548"/>
      <c r="G234" s="548"/>
      <c r="H234" s="548"/>
      <c r="I234" s="548"/>
      <c r="J234" s="548"/>
      <c r="K234" s="1397"/>
      <c r="L234" s="548"/>
      <c r="M234" s="548"/>
      <c r="S234" s="431"/>
    </row>
    <row r="235" spans="3:19" ht="13.2" customHeight="1">
      <c r="C235" s="1398"/>
      <c r="F235" s="548"/>
      <c r="G235" s="548"/>
      <c r="H235" s="548"/>
      <c r="I235" s="548"/>
      <c r="J235" s="548"/>
      <c r="K235" s="1397"/>
      <c r="L235" s="548"/>
      <c r="M235" s="548"/>
      <c r="S235" s="431"/>
    </row>
    <row r="236" spans="3:19" ht="13.2" customHeight="1">
      <c r="C236" s="1398"/>
      <c r="F236" s="548"/>
      <c r="G236" s="548"/>
      <c r="H236" s="548"/>
      <c r="I236" s="548"/>
      <c r="J236" s="548"/>
      <c r="K236" s="1397"/>
      <c r="L236" s="548"/>
      <c r="M236" s="548"/>
      <c r="S236" s="431"/>
    </row>
    <row r="237" spans="3:19" ht="13.2" customHeight="1">
      <c r="C237" s="1398"/>
      <c r="F237" s="548"/>
      <c r="G237" s="548"/>
      <c r="H237" s="548"/>
      <c r="I237" s="548"/>
      <c r="J237" s="548"/>
      <c r="K237" s="1397"/>
      <c r="L237" s="548"/>
      <c r="M237" s="548"/>
      <c r="S237" s="431"/>
    </row>
    <row r="238" spans="3:19" ht="13.2" customHeight="1">
      <c r="C238" s="1398"/>
      <c r="F238" s="548"/>
      <c r="G238" s="548"/>
      <c r="H238" s="548"/>
      <c r="I238" s="548"/>
      <c r="J238" s="548"/>
      <c r="K238" s="1397"/>
      <c r="L238" s="548"/>
      <c r="M238" s="548"/>
      <c r="S238" s="431"/>
    </row>
    <row r="239" spans="3:19" ht="13.2" customHeight="1">
      <c r="C239" s="1398"/>
      <c r="F239" s="548"/>
      <c r="G239" s="548"/>
      <c r="H239" s="548"/>
      <c r="I239" s="548"/>
      <c r="J239" s="548"/>
      <c r="K239" s="1397"/>
      <c r="L239" s="548"/>
      <c r="M239" s="548"/>
      <c r="S239" s="431"/>
    </row>
    <row r="240" spans="3:19" ht="13.2" customHeight="1">
      <c r="C240" s="1398"/>
      <c r="F240" s="548"/>
      <c r="G240" s="548"/>
      <c r="H240" s="548"/>
      <c r="I240" s="548"/>
      <c r="J240" s="548"/>
      <c r="K240" s="1397"/>
      <c r="L240" s="548"/>
      <c r="M240" s="548"/>
      <c r="S240" s="431"/>
    </row>
    <row r="241" spans="3:19" ht="13.2" customHeight="1">
      <c r="C241" s="1398"/>
      <c r="F241" s="548"/>
      <c r="G241" s="548"/>
      <c r="H241" s="548"/>
      <c r="I241" s="548"/>
      <c r="J241" s="548"/>
      <c r="K241" s="1397"/>
      <c r="L241" s="548"/>
      <c r="M241" s="548"/>
      <c r="S241" s="431"/>
    </row>
    <row r="242" spans="3:19" ht="13.2" customHeight="1">
      <c r="C242" s="1398"/>
      <c r="F242" s="548"/>
      <c r="G242" s="548"/>
      <c r="H242" s="548"/>
      <c r="I242" s="548"/>
      <c r="J242" s="548"/>
      <c r="K242" s="1397"/>
      <c r="L242" s="548"/>
      <c r="M242" s="548"/>
      <c r="S242" s="431"/>
    </row>
    <row r="243" spans="3:19" ht="13.2" customHeight="1">
      <c r="C243" s="1398"/>
      <c r="F243" s="548"/>
      <c r="G243" s="548"/>
      <c r="H243" s="548"/>
      <c r="I243" s="548"/>
      <c r="J243" s="548"/>
      <c r="K243" s="1397"/>
      <c r="L243" s="548"/>
      <c r="M243" s="548"/>
      <c r="S243" s="431"/>
    </row>
    <row r="244" spans="3:19" ht="13.2" customHeight="1">
      <c r="C244" s="1398"/>
      <c r="F244" s="548"/>
      <c r="G244" s="548"/>
      <c r="H244" s="548"/>
      <c r="I244" s="548"/>
      <c r="J244" s="548"/>
      <c r="K244" s="1397"/>
      <c r="L244" s="548"/>
      <c r="M244" s="548"/>
      <c r="S244" s="431"/>
    </row>
    <row r="245" spans="3:19" ht="13.2" customHeight="1">
      <c r="C245" s="1398"/>
      <c r="F245" s="548"/>
      <c r="G245" s="548"/>
      <c r="H245" s="548"/>
      <c r="I245" s="548"/>
      <c r="J245" s="548"/>
      <c r="K245" s="1397"/>
      <c r="L245" s="548"/>
      <c r="M245" s="548"/>
      <c r="S245" s="431"/>
    </row>
    <row r="246" spans="3:19" ht="13.2" customHeight="1">
      <c r="C246" s="1398"/>
      <c r="K246" s="596"/>
      <c r="S246" s="431"/>
    </row>
    <row r="247" spans="3:19" ht="13.2" customHeight="1">
      <c r="C247" s="1398"/>
      <c r="K247" s="596"/>
      <c r="S247" s="431"/>
    </row>
    <row r="248" spans="3:19" ht="13.2" customHeight="1">
      <c r="C248" s="1398"/>
      <c r="K248" s="596"/>
      <c r="S248" s="431"/>
    </row>
    <row r="249" spans="3:19" ht="13.2" customHeight="1">
      <c r="C249" s="1398"/>
      <c r="K249" s="596"/>
      <c r="S249" s="431"/>
    </row>
    <row r="250" spans="3:19" ht="13.2" customHeight="1">
      <c r="C250" s="1398"/>
      <c r="K250" s="596"/>
      <c r="S250" s="431"/>
    </row>
    <row r="251" spans="3:19" ht="13.2" customHeight="1">
      <c r="C251" s="1398"/>
      <c r="K251" s="596"/>
      <c r="S251" s="431"/>
    </row>
    <row r="252" spans="3:19" ht="13.2" customHeight="1">
      <c r="C252" s="1398"/>
      <c r="K252" s="596"/>
      <c r="S252" s="431"/>
    </row>
    <row r="253" spans="3:19" ht="13.2" customHeight="1">
      <c r="C253" s="1398"/>
      <c r="K253" s="596"/>
      <c r="S253" s="431"/>
    </row>
    <row r="254" spans="3:19" ht="13.2" customHeight="1">
      <c r="C254" s="1398"/>
      <c r="K254" s="596"/>
      <c r="S254" s="431"/>
    </row>
    <row r="255" spans="3:19" ht="13.2" customHeight="1">
      <c r="C255" s="1398"/>
      <c r="K255" s="596"/>
      <c r="S255" s="431"/>
    </row>
    <row r="256" spans="3:19" ht="13.2" customHeight="1">
      <c r="C256" s="1398"/>
      <c r="K256" s="596"/>
      <c r="S256" s="431"/>
    </row>
    <row r="257" spans="3:19" ht="13.2" customHeight="1">
      <c r="C257" s="1398"/>
      <c r="K257" s="596"/>
      <c r="S257" s="431"/>
    </row>
    <row r="258" spans="3:19" ht="13.2" customHeight="1">
      <c r="C258" s="1398"/>
      <c r="K258" s="596"/>
      <c r="S258" s="431"/>
    </row>
    <row r="259" spans="3:19" ht="13.2" customHeight="1">
      <c r="C259" s="1398"/>
      <c r="K259" s="596"/>
      <c r="S259" s="431"/>
    </row>
    <row r="260" spans="3:19" ht="13.2" customHeight="1">
      <c r="C260" s="1398"/>
      <c r="K260" s="596"/>
      <c r="S260" s="431"/>
    </row>
    <row r="261" spans="3:19" ht="13.2" customHeight="1">
      <c r="C261" s="1398"/>
      <c r="K261" s="596"/>
      <c r="S261" s="431"/>
    </row>
    <row r="262" spans="3:19" ht="13.2" customHeight="1">
      <c r="C262" s="1398"/>
      <c r="K262" s="596"/>
      <c r="S262" s="431"/>
    </row>
    <row r="263" spans="3:19" ht="13.2" customHeight="1">
      <c r="C263" s="1398"/>
      <c r="K263" s="596"/>
      <c r="S263" s="431"/>
    </row>
    <row r="264" spans="3:19" ht="13.2" customHeight="1">
      <c r="C264" s="1398"/>
      <c r="K264" s="596"/>
      <c r="S264" s="431"/>
    </row>
    <row r="265" spans="3:19" ht="13.2" customHeight="1">
      <c r="C265" s="1398"/>
      <c r="K265" s="596"/>
      <c r="S265" s="431"/>
    </row>
    <row r="266" spans="3:19" ht="13.2" customHeight="1">
      <c r="C266" s="1398"/>
      <c r="K266" s="596"/>
      <c r="S266" s="431"/>
    </row>
    <row r="267" spans="3:19" ht="13.2" customHeight="1">
      <c r="C267" s="1398" t="s">
        <v>233</v>
      </c>
      <c r="K267" s="596"/>
      <c r="S267" s="431"/>
    </row>
    <row r="268" spans="3:19" ht="13.2" customHeight="1">
      <c r="C268" s="1398"/>
      <c r="K268" s="596"/>
      <c r="S268" s="431"/>
    </row>
    <row r="269" spans="3:19" ht="13.2" customHeight="1">
      <c r="C269" s="1398"/>
      <c r="K269" s="596"/>
      <c r="S269" s="431"/>
    </row>
    <row r="270" spans="3:19" ht="13.2" customHeight="1">
      <c r="C270" s="1398"/>
      <c r="K270" s="596"/>
      <c r="S270" s="431"/>
    </row>
    <row r="271" spans="3:19" ht="13.2" customHeight="1">
      <c r="C271" s="1398"/>
      <c r="K271" s="596"/>
      <c r="S271" s="431"/>
    </row>
    <row r="272" spans="3:19" ht="13.2" customHeight="1">
      <c r="C272" s="1398"/>
      <c r="K272" s="596"/>
      <c r="S272" s="431"/>
    </row>
    <row r="273" spans="3:19" ht="13.2" customHeight="1">
      <c r="C273" s="1398"/>
      <c r="K273" s="596"/>
      <c r="S273" s="431"/>
    </row>
    <row r="274" spans="3:19" ht="13.2" customHeight="1">
      <c r="C274" s="1398"/>
      <c r="K274" s="596"/>
      <c r="S274" s="431"/>
    </row>
    <row r="275" spans="3:19" ht="13.2" customHeight="1">
      <c r="C275" s="1398"/>
      <c r="K275" s="596"/>
      <c r="S275" s="431"/>
    </row>
    <row r="276" spans="3:19" ht="13.2" customHeight="1">
      <c r="C276" s="1398"/>
      <c r="K276" s="596"/>
      <c r="S276" s="431"/>
    </row>
    <row r="277" spans="3:19" ht="13.2" customHeight="1">
      <c r="C277" s="1398"/>
      <c r="K277" s="596"/>
      <c r="S277" s="431"/>
    </row>
    <row r="278" spans="3:19" ht="13.2" customHeight="1">
      <c r="C278" s="1398"/>
      <c r="K278" s="596"/>
      <c r="S278" s="431"/>
    </row>
    <row r="279" spans="3:19" ht="13.2" customHeight="1">
      <c r="C279" s="1398"/>
      <c r="K279" s="596"/>
      <c r="S279" s="431"/>
    </row>
    <row r="280" spans="3:19" ht="13.2" customHeight="1">
      <c r="C280" s="1398"/>
      <c r="K280" s="596"/>
      <c r="S280" s="431"/>
    </row>
    <row r="281" spans="3:19" ht="13.2" customHeight="1">
      <c r="C281" s="1398"/>
      <c r="K281" s="596"/>
      <c r="S281" s="431"/>
    </row>
    <row r="282" spans="3:19" ht="13.2" customHeight="1">
      <c r="C282" s="1398"/>
      <c r="K282" s="596"/>
      <c r="S282" s="431"/>
    </row>
    <row r="283" spans="3:19" ht="13.2" customHeight="1">
      <c r="C283" s="1398"/>
      <c r="K283" s="596"/>
      <c r="S283" s="431"/>
    </row>
    <row r="284" spans="3:19" ht="13.2" customHeight="1">
      <c r="C284" s="1398"/>
      <c r="K284" s="596"/>
      <c r="S284" s="431"/>
    </row>
    <row r="285" spans="3:19" ht="13.2" customHeight="1">
      <c r="C285" s="1398"/>
      <c r="K285" s="596"/>
      <c r="S285" s="431"/>
    </row>
    <row r="286" spans="3:19" ht="13.2" customHeight="1">
      <c r="C286" s="1398"/>
      <c r="K286" s="596"/>
      <c r="S286" s="431"/>
    </row>
    <row r="287" spans="3:19" ht="13.2" customHeight="1">
      <c r="C287" s="1398"/>
      <c r="K287" s="596"/>
      <c r="S287" s="431"/>
    </row>
    <row r="288" spans="3:19" ht="13.2" customHeight="1">
      <c r="C288" s="1398"/>
      <c r="K288" s="596"/>
      <c r="S288" s="431"/>
    </row>
    <row r="289" spans="3:19" ht="13.2" customHeight="1">
      <c r="C289" s="1398"/>
      <c r="K289" s="596"/>
      <c r="S289" s="431"/>
    </row>
    <row r="290" spans="3:19" ht="13.2" customHeight="1">
      <c r="C290" s="1398"/>
      <c r="K290" s="596"/>
      <c r="S290" s="431"/>
    </row>
    <row r="291" spans="3:19" ht="13.2" customHeight="1">
      <c r="C291" s="1398"/>
      <c r="K291" s="596"/>
      <c r="S291" s="431"/>
    </row>
    <row r="292" spans="3:19" ht="13.2" customHeight="1">
      <c r="C292" s="1398"/>
      <c r="K292" s="596"/>
      <c r="S292" s="431"/>
    </row>
    <row r="293" spans="3:19" ht="13.2" customHeight="1">
      <c r="C293" s="1398"/>
      <c r="K293" s="596"/>
      <c r="S293" s="431"/>
    </row>
    <row r="294" spans="3:19" ht="13.2" customHeight="1">
      <c r="C294" s="1398"/>
      <c r="K294" s="596"/>
      <c r="S294" s="431"/>
    </row>
    <row r="295" spans="3:19" ht="13.2" customHeight="1">
      <c r="C295" s="1398"/>
      <c r="K295" s="596"/>
      <c r="S295" s="431"/>
    </row>
    <row r="296" spans="3:19" ht="13.2" customHeight="1">
      <c r="C296" s="1398"/>
      <c r="K296" s="596"/>
      <c r="S296" s="431"/>
    </row>
    <row r="297" spans="3:19" ht="13.2" customHeight="1">
      <c r="C297" s="1398"/>
      <c r="K297" s="596"/>
      <c r="S297" s="431"/>
    </row>
    <row r="298" spans="3:19" ht="13.2" customHeight="1">
      <c r="C298" s="1398"/>
      <c r="K298" s="596"/>
      <c r="S298" s="431"/>
    </row>
    <row r="299" spans="3:19" ht="13.2" customHeight="1">
      <c r="C299" s="1398"/>
      <c r="K299" s="596"/>
      <c r="S299" s="431"/>
    </row>
    <row r="300" spans="3:19" ht="13.2" customHeight="1">
      <c r="C300" s="1398"/>
      <c r="K300" s="596"/>
      <c r="S300" s="431"/>
    </row>
    <row r="301" spans="3:19" ht="13.2" customHeight="1">
      <c r="C301" s="1398"/>
      <c r="K301" s="596"/>
      <c r="S301" s="431"/>
    </row>
    <row r="302" spans="3:19" ht="13.2" customHeight="1">
      <c r="C302" s="1398"/>
      <c r="K302" s="596"/>
      <c r="S302" s="431"/>
    </row>
    <row r="303" spans="3:19" ht="13.2" customHeight="1">
      <c r="C303" s="1398"/>
      <c r="K303" s="596"/>
      <c r="S303" s="431"/>
    </row>
    <row r="304" spans="3:19" ht="13.2" customHeight="1">
      <c r="C304" s="1398"/>
      <c r="K304" s="596"/>
      <c r="S304" s="431"/>
    </row>
    <row r="305" spans="3:19" ht="13.2" customHeight="1">
      <c r="C305" s="1398"/>
      <c r="K305" s="596"/>
      <c r="S305" s="431"/>
    </row>
    <row r="306" spans="3:19" ht="13.2" customHeight="1">
      <c r="C306" s="1398"/>
      <c r="K306" s="596"/>
      <c r="S306" s="431"/>
    </row>
    <row r="307" spans="3:19" ht="13.2" customHeight="1">
      <c r="C307" s="1398"/>
      <c r="K307" s="596"/>
      <c r="S307" s="431"/>
    </row>
    <row r="308" spans="3:19" ht="13.2" customHeight="1">
      <c r="C308" s="1398"/>
      <c r="K308" s="596"/>
      <c r="S308" s="431"/>
    </row>
    <row r="309" spans="3:19" ht="13.2" customHeight="1">
      <c r="C309" s="1398"/>
      <c r="K309" s="596"/>
      <c r="S309" s="431"/>
    </row>
    <row r="310" spans="3:19" ht="13.2" customHeight="1">
      <c r="C310" s="1398"/>
      <c r="K310" s="596"/>
      <c r="S310" s="431"/>
    </row>
    <row r="311" spans="3:19" ht="13.2" customHeight="1">
      <c r="C311" s="1398"/>
      <c r="K311" s="596"/>
      <c r="S311" s="431"/>
    </row>
    <row r="312" spans="3:19" ht="13.2" customHeight="1">
      <c r="C312" s="1398"/>
      <c r="K312" s="596"/>
      <c r="S312" s="431"/>
    </row>
    <row r="313" spans="3:19" ht="13.2" customHeight="1">
      <c r="C313" s="1398"/>
      <c r="K313" s="596"/>
      <c r="S313" s="431"/>
    </row>
    <row r="314" spans="3:19" ht="13.2" customHeight="1">
      <c r="C314" s="1398"/>
      <c r="K314" s="596"/>
      <c r="S314" s="431"/>
    </row>
    <row r="315" spans="3:19" ht="13.2" customHeight="1">
      <c r="C315" s="1398"/>
      <c r="K315" s="596"/>
      <c r="S315" s="431"/>
    </row>
    <row r="316" spans="3:19" ht="13.2" customHeight="1">
      <c r="C316" s="1398"/>
      <c r="K316" s="596"/>
      <c r="S316" s="431"/>
    </row>
    <row r="317" spans="3:19" ht="13.2" customHeight="1">
      <c r="C317" s="1398"/>
      <c r="K317" s="596"/>
      <c r="S317" s="431"/>
    </row>
    <row r="318" spans="3:19" ht="13.2" customHeight="1">
      <c r="C318" s="1398"/>
      <c r="K318" s="596"/>
      <c r="S318" s="431"/>
    </row>
    <row r="319" spans="3:19" ht="13.2" customHeight="1">
      <c r="C319" s="1398"/>
      <c r="K319" s="596"/>
      <c r="S319" s="431"/>
    </row>
    <row r="320" spans="3:19" ht="13.2" customHeight="1">
      <c r="C320" s="1398"/>
      <c r="K320" s="596"/>
      <c r="S320" s="431"/>
    </row>
    <row r="321" spans="3:19" ht="13.2" customHeight="1">
      <c r="C321" s="1398"/>
      <c r="K321" s="596"/>
      <c r="S321" s="431"/>
    </row>
    <row r="322" spans="3:19" ht="13.2" customHeight="1">
      <c r="C322" s="1398"/>
      <c r="K322" s="596"/>
      <c r="S322" s="431"/>
    </row>
    <row r="323" spans="3:19" ht="13.2" customHeight="1">
      <c r="C323" s="1398"/>
      <c r="K323" s="596"/>
      <c r="S323" s="431"/>
    </row>
    <row r="324" spans="3:19" ht="13.2" customHeight="1">
      <c r="C324" s="1398"/>
      <c r="K324" s="596"/>
      <c r="S324" s="431"/>
    </row>
    <row r="325" spans="3:19" ht="13.2" customHeight="1">
      <c r="C325" s="1398"/>
      <c r="K325" s="596"/>
      <c r="S325" s="431"/>
    </row>
    <row r="326" spans="3:19" ht="13.2" customHeight="1">
      <c r="C326" s="1398"/>
      <c r="K326" s="596"/>
      <c r="S326" s="431"/>
    </row>
    <row r="327" spans="3:19" ht="13.2" customHeight="1">
      <c r="C327" s="1398"/>
      <c r="K327" s="596"/>
      <c r="S327" s="431"/>
    </row>
    <row r="328" spans="3:19" ht="13.2" customHeight="1">
      <c r="C328" s="1398"/>
      <c r="K328" s="596"/>
      <c r="S328" s="431"/>
    </row>
    <row r="329" spans="3:19" ht="13.2" customHeight="1">
      <c r="C329" s="1398"/>
      <c r="K329" s="596"/>
      <c r="S329" s="431"/>
    </row>
    <row r="330" spans="3:19" ht="13.2" customHeight="1">
      <c r="C330" s="1398"/>
      <c r="K330" s="596"/>
      <c r="S330" s="431"/>
    </row>
    <row r="331" spans="3:19" ht="13.2" customHeight="1">
      <c r="C331" s="1398"/>
      <c r="K331" s="596"/>
      <c r="S331" s="431"/>
    </row>
    <row r="332" spans="3:19" ht="13.2" customHeight="1">
      <c r="C332" s="1398"/>
      <c r="K332" s="596"/>
      <c r="S332" s="431"/>
    </row>
    <row r="333" spans="3:19" ht="13.2" customHeight="1">
      <c r="C333" s="1398"/>
      <c r="K333" s="596"/>
      <c r="S333" s="431"/>
    </row>
    <row r="334" spans="3:19" ht="13.2" customHeight="1">
      <c r="C334" s="1398"/>
      <c r="K334" s="596"/>
      <c r="S334" s="431"/>
    </row>
    <row r="335" spans="3:19" ht="13.2" customHeight="1">
      <c r="C335" s="1398"/>
      <c r="K335" s="596"/>
      <c r="S335" s="431"/>
    </row>
    <row r="336" spans="3:19" ht="13.2" customHeight="1">
      <c r="C336" s="1398"/>
      <c r="K336" s="596"/>
      <c r="S336" s="431"/>
    </row>
    <row r="337" spans="3:19" ht="13.2" customHeight="1">
      <c r="C337" s="1398"/>
      <c r="K337" s="596"/>
      <c r="S337" s="431"/>
    </row>
    <row r="338" spans="3:19" ht="13.2" customHeight="1">
      <c r="C338" s="1398"/>
      <c r="K338" s="596"/>
      <c r="S338" s="431"/>
    </row>
    <row r="339" spans="3:19" ht="13.2" customHeight="1">
      <c r="C339" s="1398"/>
      <c r="K339" s="596"/>
      <c r="S339" s="431"/>
    </row>
    <row r="340" spans="3:19" ht="13.2" customHeight="1">
      <c r="C340" s="1398"/>
      <c r="K340" s="596"/>
      <c r="S340" s="431"/>
    </row>
    <row r="341" spans="3:19" ht="13.2" customHeight="1">
      <c r="C341" s="1398"/>
      <c r="K341" s="596"/>
      <c r="S341" s="431"/>
    </row>
    <row r="342" spans="3:19" ht="13.2" customHeight="1">
      <c r="C342" s="1398"/>
      <c r="K342" s="596"/>
      <c r="S342" s="431"/>
    </row>
    <row r="343" spans="3:19" ht="13.2" customHeight="1">
      <c r="C343" s="1398"/>
      <c r="K343" s="596"/>
      <c r="S343" s="431"/>
    </row>
    <row r="344" spans="3:19" ht="13.2" customHeight="1">
      <c r="C344" s="1398"/>
      <c r="K344" s="596"/>
      <c r="S344" s="431"/>
    </row>
    <row r="345" spans="3:19" ht="13.2" customHeight="1">
      <c r="C345" s="1398"/>
      <c r="K345" s="596"/>
      <c r="S345" s="431"/>
    </row>
    <row r="346" spans="3:19" ht="13.2" customHeight="1">
      <c r="C346" s="1398" t="s">
        <v>233</v>
      </c>
      <c r="K346" s="596"/>
      <c r="S346" s="431"/>
    </row>
    <row r="347" spans="3:19" ht="13.2" customHeight="1">
      <c r="C347" s="1398"/>
      <c r="K347" s="596"/>
      <c r="S347" s="431"/>
    </row>
    <row r="348" spans="3:19" ht="13.2" customHeight="1">
      <c r="C348" s="1398"/>
      <c r="K348" s="596"/>
      <c r="S348" s="431"/>
    </row>
    <row r="349" spans="3:19" ht="13.2" customHeight="1">
      <c r="C349" s="1398"/>
      <c r="K349" s="596"/>
      <c r="S349" s="431"/>
    </row>
    <row r="350" spans="3:19" ht="13.2" customHeight="1">
      <c r="C350" s="1398"/>
      <c r="K350" s="596"/>
      <c r="S350" s="431"/>
    </row>
    <row r="351" spans="3:19" ht="13.2" customHeight="1">
      <c r="C351" s="1398"/>
      <c r="K351" s="596"/>
      <c r="S351" s="431"/>
    </row>
    <row r="352" spans="3:19" ht="13.2" customHeight="1">
      <c r="C352" s="1398"/>
      <c r="K352" s="596"/>
      <c r="S352" s="431"/>
    </row>
    <row r="353" spans="3:19" ht="13.2" customHeight="1">
      <c r="C353" s="1398"/>
      <c r="K353" s="596"/>
      <c r="S353" s="431"/>
    </row>
    <row r="354" spans="3:19" ht="13.2" customHeight="1">
      <c r="C354" s="1398"/>
      <c r="K354" s="596"/>
      <c r="S354" s="431"/>
    </row>
    <row r="355" spans="3:19" ht="13.2" customHeight="1">
      <c r="C355" s="1398"/>
      <c r="K355" s="596"/>
      <c r="S355" s="431"/>
    </row>
    <row r="356" spans="3:19" ht="13.2" customHeight="1">
      <c r="C356" s="1398"/>
      <c r="K356" s="596"/>
      <c r="S356" s="431"/>
    </row>
    <row r="357" spans="3:19" ht="13.2" customHeight="1">
      <c r="C357" s="1398"/>
      <c r="K357" s="596"/>
      <c r="S357" s="431"/>
    </row>
    <row r="358" spans="3:19" ht="13.2" customHeight="1">
      <c r="C358" s="1398"/>
      <c r="K358" s="596"/>
      <c r="S358" s="431"/>
    </row>
    <row r="359" spans="3:19" ht="13.2" customHeight="1">
      <c r="C359" s="1398"/>
      <c r="K359" s="596"/>
      <c r="S359" s="431"/>
    </row>
    <row r="360" spans="3:19" ht="13.2" customHeight="1">
      <c r="C360" s="1398"/>
      <c r="K360" s="596"/>
      <c r="S360" s="431"/>
    </row>
    <row r="361" spans="3:19" ht="13.2" customHeight="1">
      <c r="C361" s="1398"/>
      <c r="K361" s="596"/>
      <c r="S361" s="431"/>
    </row>
    <row r="362" spans="3:19" ht="13.2" customHeight="1">
      <c r="C362" s="1398"/>
      <c r="K362" s="596"/>
      <c r="S362" s="431"/>
    </row>
    <row r="363" spans="3:19" ht="13.2" customHeight="1">
      <c r="C363" s="1398"/>
      <c r="K363" s="596"/>
      <c r="S363" s="431"/>
    </row>
    <row r="364" spans="3:19" ht="13.2" customHeight="1">
      <c r="C364" s="1398"/>
      <c r="K364" s="596"/>
      <c r="S364" s="431"/>
    </row>
    <row r="365" spans="3:19" ht="13.2" customHeight="1">
      <c r="C365" s="1398"/>
      <c r="K365" s="596"/>
      <c r="S365" s="431"/>
    </row>
    <row r="366" spans="3:19" ht="13.2" customHeight="1">
      <c r="C366" s="1398"/>
      <c r="K366" s="596"/>
      <c r="S366" s="431"/>
    </row>
    <row r="367" spans="3:19" ht="13.2" customHeight="1">
      <c r="C367" s="1398"/>
      <c r="K367" s="596"/>
      <c r="S367" s="431"/>
    </row>
    <row r="368" spans="3:19" ht="13.2" customHeight="1">
      <c r="C368" s="1398"/>
      <c r="K368" s="596"/>
      <c r="S368" s="431"/>
    </row>
    <row r="369" spans="3:19" ht="13.2" customHeight="1">
      <c r="C369" s="1398"/>
      <c r="K369" s="596"/>
      <c r="S369" s="431"/>
    </row>
    <row r="370" spans="3:19" ht="13.2" customHeight="1">
      <c r="C370" s="1398"/>
      <c r="K370" s="596"/>
      <c r="S370" s="431"/>
    </row>
    <row r="371" spans="3:19" ht="13.2" customHeight="1">
      <c r="C371" s="1398"/>
      <c r="K371" s="596"/>
      <c r="S371" s="431"/>
    </row>
    <row r="372" spans="3:19" ht="13.2" customHeight="1">
      <c r="C372" s="1398"/>
      <c r="K372" s="596"/>
      <c r="S372" s="431"/>
    </row>
    <row r="373" spans="3:19" ht="13.2" customHeight="1">
      <c r="C373" s="1398"/>
      <c r="K373" s="596"/>
      <c r="S373" s="431"/>
    </row>
    <row r="374" spans="3:19" ht="13.2" customHeight="1">
      <c r="C374" s="1398"/>
      <c r="K374" s="596"/>
      <c r="S374" s="431"/>
    </row>
    <row r="375" spans="3:19" ht="13.2" customHeight="1">
      <c r="C375" s="1398"/>
      <c r="K375" s="596"/>
      <c r="S375" s="431"/>
    </row>
    <row r="376" spans="3:19" ht="13.2" customHeight="1">
      <c r="C376" s="1398"/>
      <c r="K376" s="596"/>
      <c r="S376" s="431"/>
    </row>
    <row r="377" spans="3:19" ht="13.2" customHeight="1">
      <c r="C377" s="1398"/>
      <c r="K377" s="596"/>
      <c r="S377" s="431"/>
    </row>
    <row r="378" spans="3:19" ht="13.2" customHeight="1">
      <c r="C378" s="1398"/>
      <c r="K378" s="596"/>
      <c r="S378" s="431"/>
    </row>
    <row r="379" spans="3:19" ht="13.2" customHeight="1">
      <c r="C379" s="1398"/>
      <c r="K379" s="596"/>
      <c r="S379" s="431"/>
    </row>
    <row r="380" spans="3:19" ht="13.2" customHeight="1">
      <c r="C380" s="1398"/>
      <c r="K380" s="596"/>
      <c r="S380" s="431"/>
    </row>
    <row r="381" spans="3:19" ht="13.2" customHeight="1">
      <c r="C381" s="1398"/>
      <c r="K381" s="596"/>
      <c r="S381" s="431"/>
    </row>
    <row r="382" spans="3:19" ht="13.2" customHeight="1">
      <c r="C382" s="1398"/>
      <c r="K382" s="596"/>
      <c r="S382" s="431"/>
    </row>
    <row r="383" spans="3:19" ht="13.2" customHeight="1">
      <c r="C383" s="1398"/>
      <c r="K383" s="596"/>
      <c r="S383" s="431"/>
    </row>
    <row r="384" spans="3:19" ht="13.2" customHeight="1">
      <c r="C384" s="1398"/>
      <c r="K384" s="596"/>
      <c r="S384" s="431"/>
    </row>
    <row r="385" spans="3:19" ht="13.2" customHeight="1">
      <c r="C385" s="1398"/>
      <c r="K385" s="596"/>
      <c r="S385" s="431"/>
    </row>
    <row r="386" spans="3:19" ht="13.2" customHeight="1">
      <c r="C386" s="1398"/>
      <c r="K386" s="596"/>
      <c r="S386" s="431"/>
    </row>
    <row r="387" spans="3:19" ht="13.2" customHeight="1">
      <c r="C387" s="1398"/>
      <c r="K387" s="596"/>
      <c r="S387" s="431"/>
    </row>
    <row r="388" spans="3:19" ht="13.2" customHeight="1">
      <c r="C388" s="1398"/>
      <c r="K388" s="596"/>
      <c r="S388" s="431"/>
    </row>
    <row r="389" spans="3:19" ht="13.2" customHeight="1">
      <c r="C389" s="1398"/>
      <c r="K389" s="596"/>
      <c r="S389" s="431"/>
    </row>
    <row r="390" spans="3:19" ht="13.2" customHeight="1">
      <c r="C390" s="1398"/>
      <c r="K390" s="596"/>
      <c r="S390" s="431"/>
    </row>
    <row r="391" spans="3:19" ht="13.2" customHeight="1">
      <c r="C391" s="1398"/>
      <c r="K391" s="596"/>
      <c r="S391" s="431"/>
    </row>
    <row r="392" spans="3:19" ht="13.2" customHeight="1">
      <c r="C392" s="1398"/>
      <c r="K392" s="596"/>
      <c r="S392" s="431"/>
    </row>
    <row r="393" spans="3:19" ht="13.2" customHeight="1">
      <c r="C393" s="1398"/>
      <c r="K393" s="596"/>
      <c r="S393" s="431"/>
    </row>
    <row r="394" spans="3:19" ht="13.2" customHeight="1">
      <c r="C394" s="1398"/>
      <c r="K394" s="596"/>
      <c r="S394" s="431"/>
    </row>
    <row r="395" spans="3:19" ht="13.2" customHeight="1">
      <c r="C395" s="1398"/>
      <c r="K395" s="596"/>
      <c r="S395" s="431"/>
    </row>
    <row r="396" spans="3:19" ht="13.2" customHeight="1">
      <c r="C396" s="1398"/>
      <c r="K396" s="596"/>
      <c r="S396" s="431"/>
    </row>
    <row r="397" spans="3:19" ht="13.2" customHeight="1">
      <c r="C397" s="1398"/>
      <c r="K397" s="596"/>
      <c r="S397" s="431"/>
    </row>
    <row r="398" spans="3:19" ht="13.2" customHeight="1">
      <c r="C398" s="1398"/>
      <c r="K398" s="596"/>
      <c r="S398" s="431"/>
    </row>
    <row r="399" spans="3:19" ht="13.2" customHeight="1">
      <c r="C399" s="1398"/>
      <c r="K399" s="596"/>
      <c r="S399" s="431"/>
    </row>
    <row r="400" spans="3:19" ht="13.2" customHeight="1">
      <c r="C400" s="1398"/>
      <c r="K400" s="596"/>
      <c r="S400" s="431"/>
    </row>
    <row r="401" spans="3:19" ht="13.2" customHeight="1">
      <c r="C401" s="1398"/>
      <c r="K401" s="596"/>
      <c r="S401" s="431"/>
    </row>
    <row r="402" spans="3:19" ht="13.2" customHeight="1">
      <c r="C402" s="1398"/>
      <c r="K402" s="596"/>
      <c r="S402" s="431"/>
    </row>
    <row r="403" spans="3:19" ht="13.2" customHeight="1">
      <c r="C403" s="1398"/>
      <c r="K403" s="596"/>
      <c r="S403" s="431"/>
    </row>
    <row r="404" spans="3:19" ht="13.2" customHeight="1">
      <c r="C404" s="1398"/>
      <c r="K404" s="596"/>
      <c r="S404" s="431"/>
    </row>
    <row r="405" spans="3:19" ht="13.2" customHeight="1">
      <c r="C405" s="1398"/>
      <c r="K405" s="596"/>
      <c r="S405" s="431"/>
    </row>
    <row r="406" spans="3:19" ht="13.2" customHeight="1">
      <c r="C406" s="1398"/>
      <c r="K406" s="596"/>
      <c r="S406" s="431"/>
    </row>
    <row r="407" spans="3:19" ht="13.2" customHeight="1">
      <c r="C407" s="1398"/>
      <c r="K407" s="596"/>
      <c r="S407" s="431"/>
    </row>
    <row r="408" spans="3:19" ht="13.2" customHeight="1">
      <c r="C408" s="1398"/>
      <c r="K408" s="596"/>
      <c r="S408" s="431"/>
    </row>
    <row r="409" spans="3:19" ht="13.2" customHeight="1">
      <c r="C409" s="1398"/>
      <c r="K409" s="596"/>
      <c r="S409" s="431"/>
    </row>
    <row r="410" spans="3:19" ht="13.2" customHeight="1">
      <c r="C410" s="1398"/>
      <c r="K410" s="596"/>
      <c r="S410" s="431"/>
    </row>
    <row r="411" spans="3:19" ht="13.2" customHeight="1">
      <c r="C411" s="1398"/>
      <c r="K411" s="596"/>
      <c r="S411" s="431"/>
    </row>
    <row r="412" spans="3:19" ht="13.2" customHeight="1">
      <c r="C412" s="1398"/>
      <c r="K412" s="596"/>
      <c r="S412" s="431"/>
    </row>
    <row r="413" spans="3:19" ht="13.2" customHeight="1">
      <c r="C413" s="1398"/>
      <c r="K413" s="596"/>
      <c r="S413" s="431"/>
    </row>
    <row r="414" spans="3:19" ht="13.2" customHeight="1">
      <c r="C414" s="1398"/>
      <c r="K414" s="596"/>
      <c r="S414" s="431"/>
    </row>
    <row r="415" spans="3:19" ht="13.2" customHeight="1">
      <c r="C415" s="1398"/>
      <c r="K415" s="596"/>
      <c r="S415" s="431"/>
    </row>
    <row r="416" spans="3:19" ht="13.2" customHeight="1">
      <c r="C416" s="1398"/>
      <c r="K416" s="596"/>
      <c r="S416" s="431"/>
    </row>
    <row r="417" spans="3:19" ht="13.2" customHeight="1">
      <c r="C417" s="1398"/>
      <c r="K417" s="596"/>
      <c r="S417" s="431"/>
    </row>
    <row r="418" spans="3:19" ht="13.2" customHeight="1">
      <c r="C418" s="1398"/>
      <c r="K418" s="596"/>
      <c r="S418" s="431"/>
    </row>
    <row r="419" spans="3:19" ht="13.2" customHeight="1">
      <c r="C419" s="1398"/>
      <c r="K419" s="596"/>
      <c r="S419" s="431"/>
    </row>
    <row r="420" spans="3:19" ht="13.2" customHeight="1">
      <c r="C420" s="1398"/>
      <c r="K420" s="596"/>
      <c r="S420" s="431"/>
    </row>
    <row r="421" spans="3:19" ht="13.2" customHeight="1">
      <c r="C421" s="1398"/>
      <c r="K421" s="596"/>
      <c r="S421" s="431"/>
    </row>
    <row r="422" spans="3:19" ht="13.2" customHeight="1">
      <c r="C422" s="1398"/>
      <c r="K422" s="596"/>
      <c r="S422" s="431"/>
    </row>
    <row r="423" spans="3:19" ht="13.2" customHeight="1">
      <c r="C423" s="1398"/>
      <c r="K423" s="596"/>
      <c r="S423" s="431"/>
    </row>
    <row r="424" spans="3:19" ht="13.2" customHeight="1">
      <c r="C424" s="1398"/>
      <c r="K424" s="596"/>
      <c r="S424" s="431"/>
    </row>
    <row r="425" spans="3:19" ht="13.2" customHeight="1">
      <c r="C425" s="1398" t="s">
        <v>233</v>
      </c>
      <c r="K425" s="596"/>
      <c r="S425" s="431"/>
    </row>
    <row r="426" spans="3:19" ht="13.2" customHeight="1">
      <c r="C426" s="1398"/>
      <c r="K426" s="596"/>
      <c r="S426" s="431"/>
    </row>
    <row r="427" spans="3:19" ht="13.2" customHeight="1">
      <c r="C427" s="1398"/>
      <c r="K427" s="596"/>
      <c r="S427" s="431"/>
    </row>
    <row r="428" spans="3:19" ht="13.2" customHeight="1">
      <c r="C428" s="1398"/>
      <c r="K428" s="596"/>
      <c r="S428" s="431"/>
    </row>
    <row r="429" spans="3:19" ht="9" customHeight="1">
      <c r="C429" s="1398"/>
      <c r="K429" s="596"/>
      <c r="S429" s="431"/>
    </row>
    <row r="430" spans="3:19" ht="7.5" customHeight="1">
      <c r="C430" s="1398"/>
      <c r="K430" s="596"/>
      <c r="S430" s="431"/>
    </row>
    <row r="431" spans="3:19">
      <c r="C431" s="1398"/>
      <c r="K431" s="596"/>
      <c r="S431" s="431"/>
    </row>
  </sheetData>
  <sheetProtection algorithmName="SHA-512" hashValue="1kXDf4SHAAdnljukz7Ld+dMlHH/jQmkluWrF0/1uGFqIzS7L7tMp6dZY3cugCND4GZCzJ0OH1R/wbt6tMh1W9w==" saltValue="I2w9m8iYmuSzV00eJtuIvg=="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09"/>
    <col min="27" max="16384" width="9.33203125" style="145"/>
  </cols>
  <sheetData>
    <row r="1" spans="1:26" s="1638" customFormat="1" ht="13.5" hidden="1" customHeight="1">
      <c r="A1" s="1606"/>
      <c r="D1" s="1638" t="s">
        <v>4208</v>
      </c>
      <c r="E1" s="1638" t="s">
        <v>4198</v>
      </c>
      <c r="F1" s="1638" t="s">
        <v>4209</v>
      </c>
      <c r="H1" s="1638" t="s">
        <v>4210</v>
      </c>
      <c r="J1" s="1638" t="s">
        <v>4211</v>
      </c>
      <c r="K1" s="1638" t="s">
        <v>4212</v>
      </c>
      <c r="L1" s="1638" t="s">
        <v>4213</v>
      </c>
      <c r="M1" s="1638" t="s">
        <v>4214</v>
      </c>
      <c r="O1" s="1638" t="s">
        <v>4215</v>
      </c>
      <c r="Q1" s="1638" t="s">
        <v>4216</v>
      </c>
      <c r="Z1" s="1608">
        <v>1</v>
      </c>
    </row>
    <row r="2" spans="1:26" s="144" customFormat="1" ht="14.1" customHeight="1">
      <c r="A2" s="3116" t="e">
        <f>CONCATENATE("PART TWO - DEVELOPMENT TEAM INFORMATION","  -  ",#REF!," ",#REF!,", ",#REF!,", ",#REF!," County")</f>
        <v>#REF!</v>
      </c>
      <c r="B2" s="3117"/>
      <c r="C2" s="3117"/>
      <c r="D2" s="3117"/>
      <c r="E2" s="3117"/>
      <c r="F2" s="3117"/>
      <c r="G2" s="3117"/>
      <c r="H2" s="3117"/>
      <c r="I2" s="3117"/>
      <c r="J2" s="3117"/>
      <c r="K2" s="3117"/>
      <c r="L2" s="3117"/>
      <c r="M2" s="3117"/>
      <c r="N2" s="3117"/>
      <c r="O2" s="3117"/>
      <c r="P2" s="3117"/>
      <c r="Q2" s="3117"/>
      <c r="R2" s="3117"/>
      <c r="S2" s="3118"/>
      <c r="Z2" s="1608">
        <v>2</v>
      </c>
    </row>
    <row r="3" spans="1:26" ht="12" customHeight="1" thickBot="1">
      <c r="A3" s="727" t="s">
        <v>3536</v>
      </c>
      <c r="B3" s="728"/>
      <c r="C3" s="728"/>
      <c r="D3" s="728"/>
      <c r="E3" s="728"/>
      <c r="F3" s="728"/>
      <c r="G3" s="728"/>
      <c r="H3" s="728"/>
      <c r="I3" s="728"/>
      <c r="J3" s="728"/>
      <c r="K3" s="728"/>
      <c r="L3" s="728"/>
      <c r="M3" s="728"/>
      <c r="N3" s="728"/>
      <c r="O3" s="728"/>
      <c r="P3" s="728"/>
      <c r="Q3" s="728"/>
      <c r="R3" s="728"/>
      <c r="S3" s="728"/>
      <c r="Z3" s="1608">
        <v>3</v>
      </c>
    </row>
    <row r="4" spans="1:26" s="144" customFormat="1" ht="13.35" customHeight="1" thickBot="1">
      <c r="A4" s="243" t="s">
        <v>572</v>
      </c>
      <c r="B4" s="222" t="s">
        <v>1716</v>
      </c>
      <c r="C4" s="222"/>
      <c r="E4" s="222"/>
      <c r="F4" s="222"/>
      <c r="G4" s="222"/>
      <c r="H4" s="928" t="s">
        <v>3369</v>
      </c>
      <c r="O4" s="3120" t="e">
        <f>#REF!</f>
        <v>#REF!</v>
      </c>
      <c r="P4" s="3121"/>
      <c r="Q4" s="3121"/>
      <c r="R4" s="3121"/>
      <c r="S4" s="3122"/>
      <c r="Z4" s="1608">
        <v>4</v>
      </c>
    </row>
    <row r="5" spans="1:26" s="144" customFormat="1" ht="8.6999999999999993" customHeight="1">
      <c r="A5" s="243"/>
      <c r="B5" s="243"/>
      <c r="C5" s="243"/>
      <c r="D5" s="222"/>
      <c r="E5" s="222"/>
      <c r="F5" s="222"/>
      <c r="G5" s="222"/>
      <c r="H5" s="222"/>
      <c r="I5" s="222"/>
      <c r="J5" s="222"/>
      <c r="Z5" s="1608">
        <v>5</v>
      </c>
    </row>
    <row r="6" spans="1:26" s="144" customFormat="1" ht="11.25" customHeight="1">
      <c r="B6" s="243" t="s">
        <v>1835</v>
      </c>
      <c r="C6" s="222" t="s">
        <v>1712</v>
      </c>
      <c r="H6" s="3060" t="s">
        <v>87</v>
      </c>
      <c r="I6" s="3104"/>
      <c r="J6" s="3104"/>
      <c r="K6" s="3104"/>
      <c r="L6" s="3104"/>
      <c r="M6" s="3104"/>
      <c r="N6" s="3105"/>
      <c r="O6" s="259" t="s">
        <v>1841</v>
      </c>
      <c r="P6" s="259"/>
      <c r="Q6" s="3060"/>
      <c r="R6" s="3104"/>
      <c r="S6" s="3105"/>
      <c r="Y6" s="822"/>
      <c r="Z6" s="1608">
        <v>6</v>
      </c>
    </row>
    <row r="7" spans="1:26" s="144" customFormat="1" ht="11.25" customHeight="1">
      <c r="D7" s="260"/>
      <c r="E7" s="246" t="s">
        <v>956</v>
      </c>
      <c r="F7" s="247"/>
      <c r="H7" s="3033"/>
      <c r="I7" s="3107"/>
      <c r="J7" s="3107"/>
      <c r="K7" s="3108"/>
      <c r="L7" s="3107"/>
      <c r="M7" s="3107"/>
      <c r="N7" s="3109"/>
      <c r="O7" s="259" t="s">
        <v>1621</v>
      </c>
      <c r="P7" s="261"/>
      <c r="Q7" s="3110"/>
      <c r="R7" s="3111"/>
      <c r="S7" s="3112"/>
      <c r="V7" s="822"/>
      <c r="W7" s="822"/>
      <c r="X7" s="822"/>
      <c r="Y7" s="822"/>
      <c r="Z7" s="1608">
        <v>7</v>
      </c>
    </row>
    <row r="8" spans="1:26" s="144" customFormat="1" ht="11.25" customHeight="1">
      <c r="D8" s="260"/>
      <c r="E8" s="246" t="s">
        <v>574</v>
      </c>
      <c r="H8" s="3033"/>
      <c r="I8" s="3108"/>
      <c r="J8" s="3113"/>
      <c r="K8" s="334" t="s">
        <v>709</v>
      </c>
      <c r="L8" s="3119"/>
      <c r="M8" s="3107"/>
      <c r="N8" s="3109"/>
      <c r="O8" s="259" t="s">
        <v>1598</v>
      </c>
      <c r="P8" s="261"/>
      <c r="Q8" s="3025"/>
      <c r="R8" s="3026"/>
      <c r="S8" s="3027"/>
      <c r="Z8" s="1608">
        <v>8</v>
      </c>
    </row>
    <row r="9" spans="1:26" s="144" customFormat="1" ht="11.25" customHeight="1">
      <c r="D9" s="260"/>
      <c r="E9" s="246" t="s">
        <v>1666</v>
      </c>
      <c r="H9" s="976"/>
      <c r="I9" s="661" t="s">
        <v>2055</v>
      </c>
      <c r="J9" s="3096"/>
      <c r="K9" s="3097"/>
      <c r="L9" s="261" t="s">
        <v>3108</v>
      </c>
      <c r="M9" s="3098"/>
      <c r="N9" s="3099"/>
      <c r="O9" s="259" t="s">
        <v>1832</v>
      </c>
      <c r="P9" s="261"/>
      <c r="Q9" s="3025"/>
      <c r="R9" s="3026"/>
      <c r="S9" s="3027"/>
      <c r="Z9" s="1608">
        <v>9</v>
      </c>
    </row>
    <row r="10" spans="1:26" s="144" customFormat="1" ht="11.25" customHeight="1">
      <c r="D10" s="260"/>
      <c r="E10" s="246" t="s">
        <v>3370</v>
      </c>
      <c r="H10" s="3100"/>
      <c r="I10" s="3101"/>
      <c r="J10" s="696"/>
      <c r="K10" s="262" t="s">
        <v>1836</v>
      </c>
      <c r="L10" s="3102"/>
      <c r="M10" s="3055"/>
      <c r="N10" s="3055"/>
      <c r="O10" s="3031"/>
      <c r="P10" s="3031"/>
      <c r="Q10" s="3055"/>
      <c r="R10" s="3055"/>
      <c r="S10" s="3103"/>
      <c r="Z10" s="1608">
        <v>10</v>
      </c>
    </row>
    <row r="11" spans="1:26" s="144" customFormat="1" ht="11.25" customHeight="1">
      <c r="D11" s="260"/>
      <c r="E11" s="928" t="s">
        <v>3369</v>
      </c>
      <c r="H11" s="263"/>
      <c r="I11" s="261"/>
      <c r="J11" s="261"/>
      <c r="K11" s="304"/>
      <c r="L11" s="261"/>
      <c r="M11" s="261"/>
      <c r="N11" s="335" t="s">
        <v>3050</v>
      </c>
      <c r="O11" s="261"/>
      <c r="P11" s="261"/>
      <c r="Q11" s="262"/>
      <c r="R11" s="261"/>
      <c r="S11" s="261"/>
      <c r="T11" s="261"/>
      <c r="Z11" s="16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08">
        <v>12</v>
      </c>
    </row>
    <row r="13" spans="1:26" s="144" customFormat="1" ht="11.25" customHeight="1">
      <c r="B13" s="253" t="s">
        <v>1837</v>
      </c>
      <c r="C13" s="222" t="s">
        <v>1713</v>
      </c>
      <c r="F13" s="222"/>
      <c r="G13" s="222"/>
      <c r="H13" s="264"/>
      <c r="I13" s="264"/>
      <c r="J13" s="261"/>
      <c r="K13" s="261"/>
      <c r="L13" s="261"/>
      <c r="M13" s="261"/>
      <c r="N13" s="385" t="s">
        <v>1205</v>
      </c>
      <c r="O13" s="261"/>
      <c r="P13" s="261"/>
      <c r="Q13" s="261"/>
      <c r="R13" s="261"/>
      <c r="S13" s="261"/>
      <c r="W13" s="385"/>
      <c r="X13" s="385"/>
      <c r="Y13" s="385"/>
      <c r="Z13" s="1608">
        <v>13</v>
      </c>
    </row>
    <row r="14" spans="1:26" s="144" customFormat="1" ht="11.25" customHeight="1">
      <c r="C14" s="266" t="s">
        <v>1838</v>
      </c>
      <c r="D14" s="253" t="s">
        <v>1839</v>
      </c>
      <c r="H14" s="261"/>
      <c r="I14" s="261"/>
      <c r="J14" s="261"/>
      <c r="K14" s="261"/>
      <c r="L14" s="261"/>
      <c r="M14" s="261"/>
      <c r="N14" s="304"/>
      <c r="O14" s="261"/>
      <c r="P14" s="261"/>
      <c r="Q14" s="261"/>
      <c r="R14" s="261"/>
      <c r="S14" s="261"/>
      <c r="W14" s="387"/>
      <c r="X14" s="387"/>
      <c r="Y14" s="387"/>
      <c r="Z14" s="1608">
        <v>14</v>
      </c>
    </row>
    <row r="15" spans="1:26" s="144" customFormat="1" ht="11.25" customHeight="1">
      <c r="D15" s="243" t="s">
        <v>1957</v>
      </c>
      <c r="E15" s="144" t="s">
        <v>1714</v>
      </c>
      <c r="H15" s="3060"/>
      <c r="I15" s="3104"/>
      <c r="J15" s="3104"/>
      <c r="K15" s="3104"/>
      <c r="L15" s="3104"/>
      <c r="M15" s="3104"/>
      <c r="N15" s="3105"/>
      <c r="O15" s="259" t="s">
        <v>1841</v>
      </c>
      <c r="P15" s="259"/>
      <c r="Q15" s="3060"/>
      <c r="R15" s="3104"/>
      <c r="S15" s="3105"/>
      <c r="Z15" s="1608">
        <v>15</v>
      </c>
    </row>
    <row r="16" spans="1:26" s="144" customFormat="1" ht="11.25" customHeight="1">
      <c r="D16" s="260"/>
      <c r="E16" s="246" t="s">
        <v>956</v>
      </c>
      <c r="F16" s="247"/>
      <c r="H16" s="3033"/>
      <c r="I16" s="3107"/>
      <c r="J16" s="3107"/>
      <c r="K16" s="3108"/>
      <c r="L16" s="3107"/>
      <c r="M16" s="3107"/>
      <c r="N16" s="3109"/>
      <c r="O16" s="259" t="s">
        <v>1621</v>
      </c>
      <c r="P16" s="261"/>
      <c r="Q16" s="3110"/>
      <c r="R16" s="3111"/>
      <c r="S16" s="3112"/>
      <c r="Z16" s="1608">
        <v>16</v>
      </c>
    </row>
    <row r="17" spans="4:26" s="144" customFormat="1" ht="11.25" customHeight="1">
      <c r="D17" s="260"/>
      <c r="E17" s="246" t="s">
        <v>574</v>
      </c>
      <c r="H17" s="3033"/>
      <c r="I17" s="3108"/>
      <c r="J17" s="3113"/>
      <c r="K17" s="262" t="s">
        <v>2450</v>
      </c>
      <c r="L17" s="3033"/>
      <c r="M17" s="3107"/>
      <c r="N17" s="3113"/>
      <c r="O17" s="259" t="s">
        <v>1598</v>
      </c>
      <c r="P17" s="261"/>
      <c r="Q17" s="3025"/>
      <c r="R17" s="3026"/>
      <c r="S17" s="3027"/>
      <c r="Z17" s="1608">
        <v>17</v>
      </c>
    </row>
    <row r="18" spans="4:26" s="144" customFormat="1" ht="11.25" customHeight="1">
      <c r="D18" s="243"/>
      <c r="E18" s="246" t="s">
        <v>1666</v>
      </c>
      <c r="H18" s="976"/>
      <c r="I18" s="261"/>
      <c r="J18" s="261"/>
      <c r="K18" s="661" t="s">
        <v>2055</v>
      </c>
      <c r="L18" s="3114"/>
      <c r="M18" s="3115"/>
      <c r="N18" s="261"/>
      <c r="O18" s="259" t="s">
        <v>1832</v>
      </c>
      <c r="P18" s="261"/>
      <c r="Q18" s="3025"/>
      <c r="R18" s="3026"/>
      <c r="S18" s="3027"/>
      <c r="Z18" s="1608">
        <v>18</v>
      </c>
    </row>
    <row r="19" spans="4:26" s="144" customFormat="1" ht="11.25" customHeight="1">
      <c r="D19" s="260"/>
      <c r="E19" s="246" t="s">
        <v>3370</v>
      </c>
      <c r="H19" s="3100"/>
      <c r="I19" s="3106"/>
      <c r="J19" s="255"/>
      <c r="K19" s="262" t="s">
        <v>1836</v>
      </c>
      <c r="L19" s="3054"/>
      <c r="M19" s="3055"/>
      <c r="N19" s="3031"/>
      <c r="O19" s="3031"/>
      <c r="P19" s="3031"/>
      <c r="Q19" s="3055"/>
      <c r="R19" s="3055"/>
      <c r="S19" s="3103"/>
      <c r="Z19" s="1608">
        <v>19</v>
      </c>
    </row>
    <row r="20" spans="4:26" ht="4.3499999999999996" customHeight="1">
      <c r="D20" s="253"/>
      <c r="H20" s="270"/>
      <c r="I20" s="270"/>
      <c r="J20" s="270"/>
      <c r="K20" s="262"/>
      <c r="L20" s="270"/>
      <c r="M20" s="270"/>
      <c r="N20" s="268"/>
      <c r="O20" s="269"/>
      <c r="P20" s="269"/>
      <c r="Q20" s="262"/>
      <c r="R20" s="269"/>
      <c r="S20" s="269"/>
      <c r="Z20" s="1608">
        <v>20</v>
      </c>
    </row>
    <row r="21" spans="4:26" s="144" customFormat="1" ht="11.25" customHeight="1">
      <c r="D21" s="243" t="s">
        <v>1958</v>
      </c>
      <c r="E21" s="144" t="s">
        <v>1715</v>
      </c>
      <c r="H21" s="3060"/>
      <c r="I21" s="3104"/>
      <c r="J21" s="3104"/>
      <c r="K21" s="3104"/>
      <c r="L21" s="3104"/>
      <c r="M21" s="3104"/>
      <c r="N21" s="3105"/>
      <c r="O21" s="259" t="s">
        <v>1841</v>
      </c>
      <c r="P21" s="259"/>
      <c r="Q21" s="3060"/>
      <c r="R21" s="3104"/>
      <c r="S21" s="3105"/>
      <c r="Z21" s="1608">
        <v>21</v>
      </c>
    </row>
    <row r="22" spans="4:26" s="144" customFormat="1" ht="11.25" customHeight="1">
      <c r="D22" s="260"/>
      <c r="E22" s="246" t="s">
        <v>956</v>
      </c>
      <c r="F22" s="247"/>
      <c r="H22" s="3033"/>
      <c r="I22" s="3107"/>
      <c r="J22" s="3107"/>
      <c r="K22" s="3108"/>
      <c r="L22" s="3107"/>
      <c r="M22" s="3107"/>
      <c r="N22" s="3109"/>
      <c r="O22" s="259" t="s">
        <v>1621</v>
      </c>
      <c r="P22" s="261"/>
      <c r="Q22" s="3110"/>
      <c r="R22" s="3111"/>
      <c r="S22" s="3112"/>
      <c r="Z22" s="1608">
        <v>22</v>
      </c>
    </row>
    <row r="23" spans="4:26" s="144" customFormat="1" ht="11.25" customHeight="1">
      <c r="D23" s="260"/>
      <c r="E23" s="246" t="s">
        <v>574</v>
      </c>
      <c r="H23" s="3033"/>
      <c r="I23" s="3108"/>
      <c r="J23" s="3113"/>
      <c r="K23" s="262" t="s">
        <v>2450</v>
      </c>
      <c r="L23" s="3033"/>
      <c r="M23" s="3107"/>
      <c r="N23" s="3113"/>
      <c r="O23" s="259" t="s">
        <v>1598</v>
      </c>
      <c r="P23" s="261"/>
      <c r="Q23" s="3025"/>
      <c r="R23" s="3026"/>
      <c r="S23" s="3027"/>
      <c r="Z23" s="1608">
        <v>23</v>
      </c>
    </row>
    <row r="24" spans="4:26" s="144" customFormat="1" ht="11.25" customHeight="1">
      <c r="E24" s="246" t="s">
        <v>1666</v>
      </c>
      <c r="H24" s="976"/>
      <c r="I24" s="261"/>
      <c r="J24" s="261"/>
      <c r="K24" s="661" t="s">
        <v>2055</v>
      </c>
      <c r="L24" s="3114"/>
      <c r="M24" s="3115"/>
      <c r="N24" s="261"/>
      <c r="O24" s="259" t="s">
        <v>1832</v>
      </c>
      <c r="P24" s="261"/>
      <c r="Q24" s="3025"/>
      <c r="R24" s="3026"/>
      <c r="S24" s="3027"/>
      <c r="Z24" s="1608">
        <v>24</v>
      </c>
    </row>
    <row r="25" spans="4:26" s="144" customFormat="1" ht="11.25" customHeight="1">
      <c r="D25" s="260"/>
      <c r="E25" s="246" t="s">
        <v>3370</v>
      </c>
      <c r="H25" s="3100"/>
      <c r="I25" s="3106"/>
      <c r="J25" s="255"/>
      <c r="K25" s="262" t="s">
        <v>1836</v>
      </c>
      <c r="L25" s="3054"/>
      <c r="M25" s="3055"/>
      <c r="N25" s="3031"/>
      <c r="O25" s="3031"/>
      <c r="P25" s="3031"/>
      <c r="Q25" s="3055"/>
      <c r="R25" s="3055"/>
      <c r="S25" s="3103"/>
      <c r="Z25" s="1608">
        <v>25</v>
      </c>
    </row>
    <row r="26" spans="4:26" s="144" customFormat="1" ht="4.3499999999999996" customHeight="1">
      <c r="D26" s="260"/>
      <c r="G26" s="246"/>
      <c r="H26" s="270"/>
      <c r="I26" s="270"/>
      <c r="J26" s="270"/>
      <c r="K26" s="262"/>
      <c r="L26" s="270"/>
      <c r="M26" s="270"/>
      <c r="N26" s="268"/>
      <c r="O26" s="269"/>
      <c r="P26" s="269"/>
      <c r="Q26" s="262"/>
      <c r="R26" s="269"/>
      <c r="S26" s="269"/>
      <c r="Z26" s="1608">
        <v>26</v>
      </c>
    </row>
    <row r="27" spans="4:26" s="144" customFormat="1" ht="11.25" customHeight="1">
      <c r="D27" s="243" t="s">
        <v>1608</v>
      </c>
      <c r="E27" s="144" t="s">
        <v>1715</v>
      </c>
      <c r="H27" s="3060"/>
      <c r="I27" s="3104"/>
      <c r="J27" s="3104"/>
      <c r="K27" s="3104"/>
      <c r="L27" s="3104"/>
      <c r="M27" s="3104"/>
      <c r="N27" s="3105"/>
      <c r="O27" s="259" t="s">
        <v>1841</v>
      </c>
      <c r="P27" s="259"/>
      <c r="Q27" s="3060"/>
      <c r="R27" s="3104"/>
      <c r="S27" s="3105"/>
      <c r="Z27" s="1608">
        <v>27</v>
      </c>
    </row>
    <row r="28" spans="4:26" s="144" customFormat="1" ht="11.25" customHeight="1">
      <c r="D28" s="260"/>
      <c r="E28" s="246" t="s">
        <v>956</v>
      </c>
      <c r="F28" s="247"/>
      <c r="H28" s="3033"/>
      <c r="I28" s="3107"/>
      <c r="J28" s="3107"/>
      <c r="K28" s="3108"/>
      <c r="L28" s="3107"/>
      <c r="M28" s="3107"/>
      <c r="N28" s="3109"/>
      <c r="O28" s="259" t="s">
        <v>1621</v>
      </c>
      <c r="P28" s="261"/>
      <c r="Q28" s="3110"/>
      <c r="R28" s="3111"/>
      <c r="S28" s="3112"/>
      <c r="Z28" s="1608">
        <v>28</v>
      </c>
    </row>
    <row r="29" spans="4:26" s="144" customFormat="1" ht="11.25" customHeight="1">
      <c r="D29" s="260"/>
      <c r="E29" s="246" t="s">
        <v>574</v>
      </c>
      <c r="H29" s="3033"/>
      <c r="I29" s="3108"/>
      <c r="J29" s="3113"/>
      <c r="K29" s="262" t="s">
        <v>2450</v>
      </c>
      <c r="L29" s="3033"/>
      <c r="M29" s="3107"/>
      <c r="N29" s="3113"/>
      <c r="O29" s="259" t="s">
        <v>1598</v>
      </c>
      <c r="P29" s="261"/>
      <c r="Q29" s="3025"/>
      <c r="R29" s="3026"/>
      <c r="S29" s="3027"/>
      <c r="Z29" s="1608">
        <v>29</v>
      </c>
    </row>
    <row r="30" spans="4:26" s="144" customFormat="1" ht="11.25" customHeight="1">
      <c r="E30" s="246" t="s">
        <v>1666</v>
      </c>
      <c r="H30" s="976"/>
      <c r="I30" s="261"/>
      <c r="J30" s="261"/>
      <c r="K30" s="661" t="s">
        <v>2055</v>
      </c>
      <c r="L30" s="3114"/>
      <c r="M30" s="3115"/>
      <c r="N30" s="261"/>
      <c r="O30" s="259" t="s">
        <v>1832</v>
      </c>
      <c r="P30" s="261"/>
      <c r="Q30" s="3025"/>
      <c r="R30" s="3026"/>
      <c r="S30" s="3027"/>
      <c r="Z30" s="1608">
        <v>30</v>
      </c>
    </row>
    <row r="31" spans="4:26" s="144" customFormat="1" ht="11.25" customHeight="1">
      <c r="D31" s="260"/>
      <c r="E31" s="246" t="s">
        <v>3370</v>
      </c>
      <c r="H31" s="3100"/>
      <c r="I31" s="3106"/>
      <c r="J31" s="255"/>
      <c r="K31" s="262" t="s">
        <v>1836</v>
      </c>
      <c r="L31" s="3054"/>
      <c r="M31" s="3055"/>
      <c r="N31" s="3031"/>
      <c r="O31" s="3031"/>
      <c r="P31" s="3031"/>
      <c r="Q31" s="3055"/>
      <c r="R31" s="3055"/>
      <c r="S31" s="3103"/>
      <c r="Z31" s="1608">
        <v>31</v>
      </c>
    </row>
    <row r="32" spans="4:26" ht="4.3499999999999996" customHeight="1">
      <c r="H32" s="271"/>
      <c r="I32" s="271"/>
      <c r="J32" s="271"/>
      <c r="K32" s="271"/>
      <c r="L32" s="271"/>
      <c r="M32" s="271"/>
      <c r="N32" s="271"/>
      <c r="O32" s="271"/>
      <c r="P32" s="271"/>
      <c r="Q32" s="271"/>
      <c r="R32" s="271"/>
      <c r="S32" s="271"/>
      <c r="Z32" s="1608">
        <v>32</v>
      </c>
    </row>
    <row r="33" spans="3:26" s="144" customFormat="1" ht="11.25" customHeight="1">
      <c r="C33" s="266" t="s">
        <v>1840</v>
      </c>
      <c r="D33" s="253" t="s">
        <v>1717</v>
      </c>
      <c r="H33" s="261"/>
      <c r="I33" s="261"/>
      <c r="J33" s="261"/>
      <c r="K33" s="1217" t="s">
        <v>3369</v>
      </c>
      <c r="L33" s="261"/>
      <c r="M33" s="261"/>
      <c r="N33" s="261"/>
      <c r="O33" s="261"/>
      <c r="P33" s="261"/>
      <c r="Q33" s="261"/>
      <c r="R33" s="261"/>
      <c r="S33" s="261"/>
      <c r="Z33" s="1608">
        <v>33</v>
      </c>
    </row>
    <row r="34" spans="3:26" s="144" customFormat="1" ht="11.25" customHeight="1">
      <c r="D34" s="243" t="s">
        <v>1957</v>
      </c>
      <c r="E34" s="144" t="s">
        <v>698</v>
      </c>
      <c r="H34" s="3060"/>
      <c r="I34" s="3104"/>
      <c r="J34" s="3104"/>
      <c r="K34" s="3104"/>
      <c r="L34" s="3104"/>
      <c r="M34" s="3104"/>
      <c r="N34" s="3105"/>
      <c r="O34" s="259" t="s">
        <v>1841</v>
      </c>
      <c r="P34" s="259"/>
      <c r="Q34" s="3060"/>
      <c r="R34" s="3104"/>
      <c r="S34" s="3105"/>
      <c r="Z34" s="1608">
        <v>34</v>
      </c>
    </row>
    <row r="35" spans="3:26" s="144" customFormat="1" ht="11.25" customHeight="1">
      <c r="D35" s="260"/>
      <c r="E35" s="246" t="s">
        <v>956</v>
      </c>
      <c r="F35" s="247"/>
      <c r="H35" s="3033"/>
      <c r="I35" s="3107"/>
      <c r="J35" s="3107"/>
      <c r="K35" s="3108"/>
      <c r="L35" s="3107"/>
      <c r="M35" s="3107"/>
      <c r="N35" s="3109"/>
      <c r="O35" s="259" t="s">
        <v>1621</v>
      </c>
      <c r="P35" s="261"/>
      <c r="Q35" s="3110"/>
      <c r="R35" s="3111"/>
      <c r="S35" s="3112"/>
      <c r="Z35" s="1608">
        <v>35</v>
      </c>
    </row>
    <row r="36" spans="3:26" s="144" customFormat="1" ht="11.25" customHeight="1">
      <c r="D36" s="260"/>
      <c r="E36" s="246" t="s">
        <v>574</v>
      </c>
      <c r="H36" s="3033"/>
      <c r="I36" s="3108"/>
      <c r="J36" s="3113"/>
      <c r="K36" s="262" t="s">
        <v>2450</v>
      </c>
      <c r="L36" s="3033"/>
      <c r="M36" s="3107"/>
      <c r="N36" s="3113"/>
      <c r="O36" s="259" t="s">
        <v>1598</v>
      </c>
      <c r="P36" s="261"/>
      <c r="Q36" s="3025"/>
      <c r="R36" s="3026"/>
      <c r="S36" s="3027"/>
      <c r="Z36" s="1608">
        <v>36</v>
      </c>
    </row>
    <row r="37" spans="3:26" s="144" customFormat="1" ht="11.25" customHeight="1">
      <c r="E37" s="246" t="s">
        <v>1666</v>
      </c>
      <c r="H37" s="976"/>
      <c r="I37" s="261"/>
      <c r="J37" s="261"/>
      <c r="K37" s="661" t="s">
        <v>2055</v>
      </c>
      <c r="L37" s="3114"/>
      <c r="M37" s="3115"/>
      <c r="N37" s="261"/>
      <c r="O37" s="259" t="s">
        <v>1832</v>
      </c>
      <c r="P37" s="261"/>
      <c r="Q37" s="3025"/>
      <c r="R37" s="3026"/>
      <c r="S37" s="3027"/>
      <c r="Z37" s="1608">
        <v>37</v>
      </c>
    </row>
    <row r="38" spans="3:26" s="144" customFormat="1" ht="11.25" customHeight="1">
      <c r="D38" s="260"/>
      <c r="E38" s="246" t="s">
        <v>3370</v>
      </c>
      <c r="H38" s="3100"/>
      <c r="I38" s="3106"/>
      <c r="J38" s="255"/>
      <c r="K38" s="262" t="s">
        <v>1836</v>
      </c>
      <c r="L38" s="3054"/>
      <c r="M38" s="3055"/>
      <c r="N38" s="3031"/>
      <c r="O38" s="3031"/>
      <c r="P38" s="3031"/>
      <c r="Q38" s="3055"/>
      <c r="R38" s="3055"/>
      <c r="S38" s="3103"/>
      <c r="Z38" s="1608">
        <v>38</v>
      </c>
    </row>
    <row r="39" spans="3:26" ht="4.3499999999999996" customHeight="1">
      <c r="H39" s="270"/>
      <c r="I39" s="270"/>
      <c r="J39" s="270"/>
      <c r="K39" s="262"/>
      <c r="L39" s="270"/>
      <c r="M39" s="270"/>
      <c r="N39" s="268"/>
      <c r="O39" s="269"/>
      <c r="P39" s="269"/>
      <c r="Q39" s="262"/>
      <c r="R39" s="269"/>
      <c r="S39" s="269"/>
      <c r="Z39" s="1608">
        <v>39</v>
      </c>
    </row>
    <row r="40" spans="3:26" s="144" customFormat="1" ht="11.25" customHeight="1">
      <c r="D40" s="243" t="s">
        <v>1958</v>
      </c>
      <c r="E40" s="144" t="s">
        <v>699</v>
      </c>
      <c r="F40" s="243"/>
      <c r="H40" s="3060"/>
      <c r="I40" s="3104"/>
      <c r="J40" s="3104"/>
      <c r="K40" s="3104"/>
      <c r="L40" s="3104"/>
      <c r="M40" s="3104"/>
      <c r="N40" s="3105"/>
      <c r="O40" s="259" t="s">
        <v>1841</v>
      </c>
      <c r="P40" s="259"/>
      <c r="Q40" s="3060"/>
      <c r="R40" s="3104"/>
      <c r="S40" s="3105"/>
      <c r="Z40" s="1608">
        <v>40</v>
      </c>
    </row>
    <row r="41" spans="3:26" s="144" customFormat="1" ht="11.25" customHeight="1">
      <c r="D41" s="260"/>
      <c r="E41" s="246" t="s">
        <v>956</v>
      </c>
      <c r="F41" s="247"/>
      <c r="H41" s="3033"/>
      <c r="I41" s="3107"/>
      <c r="J41" s="3107"/>
      <c r="K41" s="3108"/>
      <c r="L41" s="3107"/>
      <c r="M41" s="3107"/>
      <c r="N41" s="3109"/>
      <c r="O41" s="259" t="s">
        <v>1621</v>
      </c>
      <c r="P41" s="261"/>
      <c r="Q41" s="3110"/>
      <c r="R41" s="3111"/>
      <c r="S41" s="3112"/>
      <c r="Z41" s="1608">
        <v>41</v>
      </c>
    </row>
    <row r="42" spans="3:26" s="144" customFormat="1" ht="11.25" customHeight="1">
      <c r="D42" s="260"/>
      <c r="E42" s="246" t="s">
        <v>574</v>
      </c>
      <c r="H42" s="3033"/>
      <c r="I42" s="3108"/>
      <c r="J42" s="3113"/>
      <c r="K42" s="262" t="s">
        <v>2450</v>
      </c>
      <c r="L42" s="3033"/>
      <c r="M42" s="3107"/>
      <c r="N42" s="3113"/>
      <c r="O42" s="259" t="s">
        <v>1598</v>
      </c>
      <c r="P42" s="261"/>
      <c r="Q42" s="3025"/>
      <c r="R42" s="3026"/>
      <c r="S42" s="3027"/>
      <c r="Z42" s="1608">
        <v>42</v>
      </c>
    </row>
    <row r="43" spans="3:26" s="144" customFormat="1" ht="11.25" customHeight="1">
      <c r="D43" s="243"/>
      <c r="E43" s="246" t="s">
        <v>1666</v>
      </c>
      <c r="H43" s="976"/>
      <c r="I43" s="261"/>
      <c r="J43" s="261"/>
      <c r="K43" s="661" t="s">
        <v>2055</v>
      </c>
      <c r="L43" s="3114"/>
      <c r="M43" s="3115"/>
      <c r="N43" s="261"/>
      <c r="O43" s="259" t="s">
        <v>1832</v>
      </c>
      <c r="P43" s="261"/>
      <c r="Q43" s="3025"/>
      <c r="R43" s="3026"/>
      <c r="S43" s="3027"/>
      <c r="Z43" s="1608">
        <v>43</v>
      </c>
    </row>
    <row r="44" spans="3:26" s="144" customFormat="1" ht="11.25" customHeight="1">
      <c r="D44" s="260"/>
      <c r="E44" s="246" t="s">
        <v>3370</v>
      </c>
      <c r="H44" s="3100"/>
      <c r="I44" s="3106"/>
      <c r="J44" s="255"/>
      <c r="K44" s="262" t="s">
        <v>1836</v>
      </c>
      <c r="L44" s="3054"/>
      <c r="M44" s="3055"/>
      <c r="N44" s="3031"/>
      <c r="O44" s="3031"/>
      <c r="P44" s="3031"/>
      <c r="Q44" s="3055"/>
      <c r="R44" s="3055"/>
      <c r="S44" s="3103"/>
      <c r="Z44" s="1608">
        <v>44</v>
      </c>
    </row>
    <row r="45" spans="3:26" s="144" customFormat="1" ht="4.3499999999999996" customHeight="1">
      <c r="D45" s="260"/>
      <c r="E45" s="246"/>
      <c r="F45" s="243"/>
      <c r="H45" s="263"/>
      <c r="I45" s="263"/>
      <c r="J45" s="273"/>
      <c r="K45" s="262"/>
      <c r="L45" s="263"/>
      <c r="M45" s="263"/>
      <c r="N45" s="262"/>
      <c r="O45" s="263"/>
      <c r="P45" s="263"/>
      <c r="Q45" s="262"/>
      <c r="R45" s="263"/>
      <c r="S45" s="263"/>
      <c r="Z45" s="1608">
        <v>45</v>
      </c>
    </row>
    <row r="46" spans="3:26" s="144" customFormat="1" ht="11.25" customHeight="1">
      <c r="C46" s="272" t="s">
        <v>2325</v>
      </c>
      <c r="D46" s="253" t="s">
        <v>604</v>
      </c>
      <c r="H46" s="261"/>
      <c r="I46" s="261"/>
      <c r="J46" s="261"/>
      <c r="K46" s="1217" t="s">
        <v>3369</v>
      </c>
      <c r="L46" s="261"/>
      <c r="M46" s="261"/>
      <c r="N46" s="261"/>
      <c r="O46" s="261"/>
      <c r="P46" s="261"/>
      <c r="Q46" s="261"/>
      <c r="R46" s="261"/>
      <c r="S46" s="261"/>
      <c r="Z46" s="1608">
        <v>46</v>
      </c>
    </row>
    <row r="47" spans="3:26" s="144" customFormat="1" ht="11.25" customHeight="1">
      <c r="E47" s="144" t="s">
        <v>88</v>
      </c>
      <c r="H47" s="3060"/>
      <c r="I47" s="3104"/>
      <c r="J47" s="3104"/>
      <c r="K47" s="3104"/>
      <c r="L47" s="3104"/>
      <c r="M47" s="3104"/>
      <c r="N47" s="3105"/>
      <c r="O47" s="259" t="s">
        <v>1841</v>
      </c>
      <c r="P47" s="259"/>
      <c r="Q47" s="3060"/>
      <c r="R47" s="3104"/>
      <c r="S47" s="3105"/>
      <c r="Z47" s="1608">
        <v>47</v>
      </c>
    </row>
    <row r="48" spans="3:26" s="144" customFormat="1" ht="11.25" customHeight="1">
      <c r="D48" s="260"/>
      <c r="E48" s="246" t="s">
        <v>956</v>
      </c>
      <c r="F48" s="247"/>
      <c r="H48" s="3033"/>
      <c r="I48" s="3107"/>
      <c r="J48" s="3107"/>
      <c r="K48" s="3108"/>
      <c r="L48" s="3107"/>
      <c r="M48" s="3107"/>
      <c r="N48" s="3109"/>
      <c r="O48" s="259" t="s">
        <v>1621</v>
      </c>
      <c r="P48" s="261"/>
      <c r="Q48" s="3110"/>
      <c r="R48" s="3111"/>
      <c r="S48" s="3112"/>
      <c r="Z48" s="1608">
        <v>48</v>
      </c>
    </row>
    <row r="49" spans="1:26" s="144" customFormat="1" ht="11.25" customHeight="1">
      <c r="D49" s="260"/>
      <c r="E49" s="246" t="s">
        <v>574</v>
      </c>
      <c r="H49" s="3033"/>
      <c r="I49" s="3108"/>
      <c r="J49" s="3113"/>
      <c r="K49" s="262" t="s">
        <v>2450</v>
      </c>
      <c r="L49" s="3033"/>
      <c r="M49" s="3107"/>
      <c r="N49" s="3113"/>
      <c r="O49" s="259" t="s">
        <v>1598</v>
      </c>
      <c r="P49" s="261"/>
      <c r="Q49" s="3025"/>
      <c r="R49" s="3026"/>
      <c r="S49" s="3027"/>
      <c r="Z49" s="1608">
        <v>49</v>
      </c>
    </row>
    <row r="50" spans="1:26" s="144" customFormat="1" ht="11.25" customHeight="1">
      <c r="E50" s="246" t="s">
        <v>1666</v>
      </c>
      <c r="H50" s="976"/>
      <c r="I50" s="261"/>
      <c r="J50" s="261"/>
      <c r="K50" s="661" t="s">
        <v>2055</v>
      </c>
      <c r="L50" s="3114"/>
      <c r="M50" s="3115"/>
      <c r="N50" s="261"/>
      <c r="O50" s="259" t="s">
        <v>1832</v>
      </c>
      <c r="P50" s="261"/>
      <c r="Q50" s="3025"/>
      <c r="R50" s="3026"/>
      <c r="S50" s="3027"/>
      <c r="Z50" s="1608">
        <v>50</v>
      </c>
    </row>
    <row r="51" spans="1:26" s="144" customFormat="1" ht="11.25" customHeight="1">
      <c r="D51" s="260"/>
      <c r="E51" s="246" t="s">
        <v>3370</v>
      </c>
      <c r="H51" s="3100"/>
      <c r="I51" s="3106"/>
      <c r="J51" s="255"/>
      <c r="K51" s="262" t="s">
        <v>1836</v>
      </c>
      <c r="L51" s="3054"/>
      <c r="M51" s="3055"/>
      <c r="N51" s="3031"/>
      <c r="O51" s="3031"/>
      <c r="P51" s="3031"/>
      <c r="Q51" s="3055"/>
      <c r="R51" s="3055"/>
      <c r="S51" s="3103"/>
      <c r="Z51" s="1608">
        <v>51</v>
      </c>
    </row>
    <row r="52" spans="1:26" ht="6.75" customHeight="1">
      <c r="H52" s="271"/>
      <c r="I52" s="271"/>
      <c r="J52" s="271"/>
      <c r="K52" s="271"/>
      <c r="L52" s="271"/>
      <c r="M52" s="271"/>
      <c r="N52" s="271"/>
      <c r="O52" s="271"/>
      <c r="P52" s="271"/>
      <c r="Q52" s="271"/>
      <c r="R52" s="271"/>
      <c r="S52" s="271"/>
      <c r="Z52" s="1608">
        <v>52</v>
      </c>
    </row>
    <row r="53" spans="1:26" s="144" customFormat="1" ht="13.35" customHeight="1">
      <c r="A53" s="243" t="s">
        <v>688</v>
      </c>
      <c r="B53" s="243" t="s">
        <v>605</v>
      </c>
      <c r="F53" s="243"/>
      <c r="G53" s="248"/>
      <c r="H53" s="262"/>
      <c r="I53" s="262"/>
      <c r="J53" s="261"/>
      <c r="K53" s="1217" t="s">
        <v>3369</v>
      </c>
      <c r="L53" s="261"/>
      <c r="M53" s="261"/>
      <c r="N53" s="261"/>
      <c r="O53" s="261"/>
      <c r="P53" s="261"/>
      <c r="Q53" s="261"/>
      <c r="R53" s="261"/>
      <c r="S53" s="261"/>
      <c r="Z53" s="1608">
        <v>53</v>
      </c>
    </row>
    <row r="54" spans="1:26" s="144" customFormat="1" ht="3" customHeight="1">
      <c r="A54" s="243"/>
      <c r="B54" s="243"/>
      <c r="F54" s="243"/>
      <c r="G54" s="248"/>
      <c r="H54" s="267"/>
      <c r="I54" s="267"/>
      <c r="J54" s="267"/>
      <c r="K54" s="268"/>
      <c r="L54" s="267"/>
      <c r="M54" s="267"/>
      <c r="N54" s="268"/>
      <c r="O54" s="269"/>
      <c r="P54" s="269"/>
      <c r="Q54" s="262"/>
      <c r="R54" s="269"/>
      <c r="S54" s="269"/>
      <c r="Z54" s="1608">
        <v>54</v>
      </c>
    </row>
    <row r="55" spans="1:26" s="144" customFormat="1" ht="11.25" customHeight="1">
      <c r="B55" s="243" t="s">
        <v>1835</v>
      </c>
      <c r="C55" s="243" t="s">
        <v>270</v>
      </c>
      <c r="H55" s="3060"/>
      <c r="I55" s="3104"/>
      <c r="J55" s="3104"/>
      <c r="K55" s="3104"/>
      <c r="L55" s="3104"/>
      <c r="M55" s="3104"/>
      <c r="N55" s="3105"/>
      <c r="O55" s="259" t="s">
        <v>1841</v>
      </c>
      <c r="P55" s="259"/>
      <c r="Q55" s="3060"/>
      <c r="R55" s="3104"/>
      <c r="S55" s="3105"/>
      <c r="Z55" s="1608">
        <v>55</v>
      </c>
    </row>
    <row r="56" spans="1:26" s="144" customFormat="1" ht="11.25" customHeight="1">
      <c r="D56" s="260"/>
      <c r="E56" s="246" t="s">
        <v>956</v>
      </c>
      <c r="F56" s="247"/>
      <c r="H56" s="3033"/>
      <c r="I56" s="3107"/>
      <c r="J56" s="3107"/>
      <c r="K56" s="3108"/>
      <c r="L56" s="3107"/>
      <c r="M56" s="3107"/>
      <c r="N56" s="3109"/>
      <c r="O56" s="259" t="s">
        <v>1621</v>
      </c>
      <c r="P56" s="261"/>
      <c r="Q56" s="3110"/>
      <c r="R56" s="3111"/>
      <c r="S56" s="3112"/>
      <c r="Z56" s="1608">
        <v>56</v>
      </c>
    </row>
    <row r="57" spans="1:26" s="144" customFormat="1" ht="11.25" customHeight="1">
      <c r="D57" s="260"/>
      <c r="E57" s="246" t="s">
        <v>574</v>
      </c>
      <c r="H57" s="3033"/>
      <c r="I57" s="3108"/>
      <c r="J57" s="3113"/>
      <c r="K57" s="262" t="s">
        <v>2450</v>
      </c>
      <c r="L57" s="3033"/>
      <c r="M57" s="3107"/>
      <c r="N57" s="3113"/>
      <c r="O57" s="259" t="s">
        <v>1598</v>
      </c>
      <c r="P57" s="261"/>
      <c r="Q57" s="3025"/>
      <c r="R57" s="3026"/>
      <c r="S57" s="3027"/>
      <c r="Z57" s="1608">
        <v>57</v>
      </c>
    </row>
    <row r="58" spans="1:26" s="144" customFormat="1" ht="11.25" customHeight="1">
      <c r="E58" s="246" t="s">
        <v>1666</v>
      </c>
      <c r="H58" s="976"/>
      <c r="I58" s="261"/>
      <c r="J58" s="261"/>
      <c r="K58" s="661" t="s">
        <v>2055</v>
      </c>
      <c r="L58" s="3114"/>
      <c r="M58" s="3115"/>
      <c r="N58" s="261"/>
      <c r="O58" s="259" t="s">
        <v>1832</v>
      </c>
      <c r="P58" s="261"/>
      <c r="Q58" s="3025"/>
      <c r="R58" s="3026"/>
      <c r="S58" s="3027"/>
      <c r="Z58" s="1608">
        <v>58</v>
      </c>
    </row>
    <row r="59" spans="1:26" s="144" customFormat="1" ht="11.25" customHeight="1">
      <c r="D59" s="260"/>
      <c r="E59" s="246" t="s">
        <v>3370</v>
      </c>
      <c r="H59" s="3100"/>
      <c r="I59" s="3106"/>
      <c r="J59" s="255"/>
      <c r="K59" s="262" t="s">
        <v>1836</v>
      </c>
      <c r="L59" s="3054"/>
      <c r="M59" s="3055"/>
      <c r="N59" s="3031"/>
      <c r="O59" s="3031"/>
      <c r="P59" s="3031"/>
      <c r="Q59" s="3055"/>
      <c r="R59" s="3055"/>
      <c r="S59" s="3103"/>
      <c r="Z59" s="1608">
        <v>59</v>
      </c>
    </row>
    <row r="60" spans="1:26" s="144" customFormat="1" ht="6.6" customHeight="1">
      <c r="D60" s="260"/>
      <c r="G60" s="246"/>
      <c r="H60" s="270"/>
      <c r="I60" s="270"/>
      <c r="J60" s="270"/>
      <c r="K60" s="262"/>
      <c r="L60" s="270"/>
      <c r="M60" s="270"/>
      <c r="N60" s="268"/>
      <c r="O60" s="269"/>
      <c r="P60" s="269"/>
      <c r="Q60" s="262"/>
      <c r="R60" s="269"/>
      <c r="S60" s="269"/>
      <c r="Z60" s="1608">
        <v>60</v>
      </c>
    </row>
    <row r="61" spans="1:26" s="144" customFormat="1" ht="11.25" customHeight="1">
      <c r="B61" s="243" t="s">
        <v>1837</v>
      </c>
      <c r="C61" s="243" t="s">
        <v>271</v>
      </c>
      <c r="H61" s="3060"/>
      <c r="I61" s="3104"/>
      <c r="J61" s="3104"/>
      <c r="K61" s="3104"/>
      <c r="L61" s="3104"/>
      <c r="M61" s="3104"/>
      <c r="N61" s="3105"/>
      <c r="O61" s="259" t="s">
        <v>1841</v>
      </c>
      <c r="P61" s="259"/>
      <c r="Q61" s="3060"/>
      <c r="R61" s="3104"/>
      <c r="S61" s="3105"/>
      <c r="Z61" s="1608">
        <v>61</v>
      </c>
    </row>
    <row r="62" spans="1:26" s="144" customFormat="1" ht="11.25" customHeight="1">
      <c r="D62" s="260"/>
      <c r="E62" s="246" t="s">
        <v>956</v>
      </c>
      <c r="F62" s="247"/>
      <c r="H62" s="3033"/>
      <c r="I62" s="3107"/>
      <c r="J62" s="3107"/>
      <c r="K62" s="3108"/>
      <c r="L62" s="3107"/>
      <c r="M62" s="3107"/>
      <c r="N62" s="3109"/>
      <c r="O62" s="259" t="s">
        <v>1621</v>
      </c>
      <c r="P62" s="261"/>
      <c r="Q62" s="3110"/>
      <c r="R62" s="3111"/>
      <c r="S62" s="3112"/>
      <c r="Z62" s="1608">
        <v>62</v>
      </c>
    </row>
    <row r="63" spans="1:26" s="144" customFormat="1" ht="11.25" customHeight="1">
      <c r="D63" s="260"/>
      <c r="E63" s="246" t="s">
        <v>574</v>
      </c>
      <c r="H63" s="3033"/>
      <c r="I63" s="3108"/>
      <c r="J63" s="3113"/>
      <c r="K63" s="262" t="s">
        <v>2450</v>
      </c>
      <c r="L63" s="3033"/>
      <c r="M63" s="3107"/>
      <c r="N63" s="3113"/>
      <c r="O63" s="259" t="s">
        <v>1598</v>
      </c>
      <c r="P63" s="261"/>
      <c r="Q63" s="3025"/>
      <c r="R63" s="3026"/>
      <c r="S63" s="3027"/>
      <c r="Z63" s="1608">
        <v>63</v>
      </c>
    </row>
    <row r="64" spans="1:26" s="144" customFormat="1" ht="11.25" customHeight="1">
      <c r="E64" s="246" t="s">
        <v>1666</v>
      </c>
      <c r="H64" s="976"/>
      <c r="I64" s="261"/>
      <c r="J64" s="261"/>
      <c r="K64" s="661" t="s">
        <v>2055</v>
      </c>
      <c r="L64" s="3114"/>
      <c r="M64" s="3115"/>
      <c r="N64" s="261"/>
      <c r="O64" s="259" t="s">
        <v>1832</v>
      </c>
      <c r="P64" s="261"/>
      <c r="Q64" s="3025"/>
      <c r="R64" s="3026"/>
      <c r="S64" s="3027"/>
      <c r="Z64" s="1608">
        <v>64</v>
      </c>
    </row>
    <row r="65" spans="1:26" s="144" customFormat="1" ht="11.25" customHeight="1">
      <c r="D65" s="260"/>
      <c r="E65" s="246" t="s">
        <v>3370</v>
      </c>
      <c r="H65" s="3100"/>
      <c r="I65" s="3106"/>
      <c r="J65" s="255"/>
      <c r="K65" s="262" t="s">
        <v>1836</v>
      </c>
      <c r="L65" s="3054"/>
      <c r="M65" s="3055"/>
      <c r="N65" s="3031"/>
      <c r="O65" s="3031"/>
      <c r="P65" s="3031"/>
      <c r="Q65" s="3055"/>
      <c r="R65" s="3055"/>
      <c r="S65" s="3103"/>
      <c r="Z65" s="1608">
        <v>65</v>
      </c>
    </row>
    <row r="66" spans="1:26" s="144" customFormat="1" ht="6.6" customHeight="1">
      <c r="D66" s="260"/>
      <c r="G66" s="246"/>
      <c r="H66" s="270"/>
      <c r="I66" s="270"/>
      <c r="J66" s="270"/>
      <c r="K66" s="262"/>
      <c r="L66" s="270"/>
      <c r="M66" s="270"/>
      <c r="N66" s="268"/>
      <c r="O66" s="269"/>
      <c r="P66" s="269"/>
      <c r="Q66" s="262"/>
      <c r="R66" s="269"/>
      <c r="S66" s="269"/>
      <c r="Z66" s="1608">
        <v>66</v>
      </c>
    </row>
    <row r="67" spans="1:26" s="144" customFormat="1" ht="11.25" customHeight="1">
      <c r="B67" s="243" t="s">
        <v>697</v>
      </c>
      <c r="C67" s="243" t="s">
        <v>1428</v>
      </c>
      <c r="H67" s="3060"/>
      <c r="I67" s="3104"/>
      <c r="J67" s="3104"/>
      <c r="K67" s="3104"/>
      <c r="L67" s="3104"/>
      <c r="M67" s="3104"/>
      <c r="N67" s="3105"/>
      <c r="O67" s="259" t="s">
        <v>1841</v>
      </c>
      <c r="P67" s="259"/>
      <c r="Q67" s="3060"/>
      <c r="R67" s="3104"/>
      <c r="S67" s="3105"/>
      <c r="Z67" s="1608">
        <v>67</v>
      </c>
    </row>
    <row r="68" spans="1:26" s="144" customFormat="1" ht="11.25" customHeight="1">
      <c r="D68" s="260"/>
      <c r="E68" s="246" t="s">
        <v>956</v>
      </c>
      <c r="F68" s="247"/>
      <c r="H68" s="3033"/>
      <c r="I68" s="3107"/>
      <c r="J68" s="3107"/>
      <c r="K68" s="3108"/>
      <c r="L68" s="3107"/>
      <c r="M68" s="3107"/>
      <c r="N68" s="3109"/>
      <c r="O68" s="259" t="s">
        <v>1621</v>
      </c>
      <c r="P68" s="261"/>
      <c r="Q68" s="3110"/>
      <c r="R68" s="3111"/>
      <c r="S68" s="3112"/>
      <c r="Z68" s="1608">
        <v>68</v>
      </c>
    </row>
    <row r="69" spans="1:26" s="144" customFormat="1" ht="11.25" customHeight="1">
      <c r="D69" s="260"/>
      <c r="E69" s="246" t="s">
        <v>574</v>
      </c>
      <c r="H69" s="3033"/>
      <c r="I69" s="3108"/>
      <c r="J69" s="3113"/>
      <c r="K69" s="262" t="s">
        <v>2450</v>
      </c>
      <c r="L69" s="3033"/>
      <c r="M69" s="3107"/>
      <c r="N69" s="3113"/>
      <c r="O69" s="259" t="s">
        <v>1598</v>
      </c>
      <c r="P69" s="261"/>
      <c r="Q69" s="3025"/>
      <c r="R69" s="3026"/>
      <c r="S69" s="3027"/>
      <c r="Z69" s="1608">
        <v>69</v>
      </c>
    </row>
    <row r="70" spans="1:26" s="144" customFormat="1" ht="11.25" customHeight="1">
      <c r="E70" s="246" t="s">
        <v>1666</v>
      </c>
      <c r="H70" s="976"/>
      <c r="I70" s="261"/>
      <c r="J70" s="261"/>
      <c r="K70" s="661" t="s">
        <v>2055</v>
      </c>
      <c r="L70" s="3114"/>
      <c r="M70" s="3115"/>
      <c r="N70" s="261"/>
      <c r="O70" s="259" t="s">
        <v>1832</v>
      </c>
      <c r="P70" s="261"/>
      <c r="Q70" s="3025"/>
      <c r="R70" s="3026"/>
      <c r="S70" s="3027"/>
      <c r="Z70" s="1608">
        <v>70</v>
      </c>
    </row>
    <row r="71" spans="1:26" s="144" customFormat="1" ht="11.25" customHeight="1">
      <c r="D71" s="260"/>
      <c r="E71" s="246" t="s">
        <v>3370</v>
      </c>
      <c r="H71" s="3100"/>
      <c r="I71" s="3106"/>
      <c r="J71" s="255"/>
      <c r="K71" s="262" t="s">
        <v>1836</v>
      </c>
      <c r="L71" s="3054"/>
      <c r="M71" s="3055"/>
      <c r="N71" s="3031"/>
      <c r="O71" s="3031"/>
      <c r="P71" s="3031"/>
      <c r="Q71" s="3055"/>
      <c r="R71" s="3055"/>
      <c r="S71" s="3103"/>
      <c r="Z71" s="1608">
        <v>71</v>
      </c>
    </row>
    <row r="72" spans="1:26" ht="6.6" customHeight="1">
      <c r="H72" s="270"/>
      <c r="I72" s="270"/>
      <c r="J72" s="270"/>
      <c r="K72" s="262"/>
      <c r="L72" s="270"/>
      <c r="M72" s="270"/>
      <c r="N72" s="268"/>
      <c r="O72" s="269"/>
      <c r="P72" s="269"/>
      <c r="Q72" s="262"/>
      <c r="R72" s="269"/>
      <c r="S72" s="269"/>
      <c r="Z72" s="1608">
        <v>72</v>
      </c>
    </row>
    <row r="73" spans="1:26" s="144" customFormat="1" ht="11.25" customHeight="1">
      <c r="B73" s="243" t="s">
        <v>1956</v>
      </c>
      <c r="C73" s="243" t="s">
        <v>272</v>
      </c>
      <c r="H73" s="3060"/>
      <c r="I73" s="3104"/>
      <c r="J73" s="3104"/>
      <c r="K73" s="3104"/>
      <c r="L73" s="3104"/>
      <c r="M73" s="3104"/>
      <c r="N73" s="3105"/>
      <c r="O73" s="259" t="s">
        <v>1841</v>
      </c>
      <c r="P73" s="259"/>
      <c r="Q73" s="3060"/>
      <c r="R73" s="3104"/>
      <c r="S73" s="3105"/>
      <c r="Z73" s="1608">
        <v>73</v>
      </c>
    </row>
    <row r="74" spans="1:26" s="144" customFormat="1" ht="11.25" customHeight="1">
      <c r="D74" s="260"/>
      <c r="E74" s="246" t="s">
        <v>956</v>
      </c>
      <c r="F74" s="247"/>
      <c r="H74" s="3033"/>
      <c r="I74" s="3107"/>
      <c r="J74" s="3107"/>
      <c r="K74" s="3108"/>
      <c r="L74" s="3107"/>
      <c r="M74" s="3107"/>
      <c r="N74" s="3109"/>
      <c r="O74" s="259" t="s">
        <v>1621</v>
      </c>
      <c r="P74" s="261"/>
      <c r="Q74" s="3110"/>
      <c r="R74" s="3111"/>
      <c r="S74" s="3112"/>
      <c r="Z74" s="1608">
        <v>74</v>
      </c>
    </row>
    <row r="75" spans="1:26" s="144" customFormat="1" ht="11.25" customHeight="1">
      <c r="D75" s="260"/>
      <c r="E75" s="246" t="s">
        <v>574</v>
      </c>
      <c r="H75" s="3033"/>
      <c r="I75" s="3108"/>
      <c r="J75" s="3113"/>
      <c r="K75" s="262" t="s">
        <v>2450</v>
      </c>
      <c r="L75" s="3033"/>
      <c r="M75" s="3107"/>
      <c r="N75" s="3113"/>
      <c r="O75" s="259" t="s">
        <v>1598</v>
      </c>
      <c r="P75" s="261"/>
      <c r="Q75" s="3025"/>
      <c r="R75" s="3026"/>
      <c r="S75" s="3027"/>
      <c r="Z75" s="1608">
        <v>75</v>
      </c>
    </row>
    <row r="76" spans="1:26" s="144" customFormat="1" ht="11.25" customHeight="1">
      <c r="E76" s="246" t="s">
        <v>1666</v>
      </c>
      <c r="H76" s="976"/>
      <c r="I76" s="261"/>
      <c r="J76" s="261"/>
      <c r="K76" s="661" t="s">
        <v>2055</v>
      </c>
      <c r="L76" s="3114"/>
      <c r="M76" s="3115"/>
      <c r="N76" s="261"/>
      <c r="O76" s="259" t="s">
        <v>1832</v>
      </c>
      <c r="P76" s="261"/>
      <c r="Q76" s="3025"/>
      <c r="R76" s="3026"/>
      <c r="S76" s="3027"/>
      <c r="Z76" s="1608">
        <v>76</v>
      </c>
    </row>
    <row r="77" spans="1:26" s="144" customFormat="1" ht="11.25" customHeight="1">
      <c r="D77" s="260"/>
      <c r="E77" s="246" t="s">
        <v>3370</v>
      </c>
      <c r="H77" s="3100"/>
      <c r="I77" s="3106"/>
      <c r="J77" s="255"/>
      <c r="K77" s="262" t="s">
        <v>1836</v>
      </c>
      <c r="L77" s="3054"/>
      <c r="M77" s="3055"/>
      <c r="N77" s="3031"/>
      <c r="O77" s="3031"/>
      <c r="P77" s="3031"/>
      <c r="Q77" s="3055"/>
      <c r="R77" s="3055"/>
      <c r="S77" s="3103"/>
      <c r="Z77" s="1608">
        <v>77</v>
      </c>
    </row>
    <row r="78" spans="1:26" ht="6.75" customHeight="1">
      <c r="H78" s="271"/>
      <c r="I78" s="271"/>
      <c r="J78" s="271"/>
      <c r="K78" s="271"/>
      <c r="L78" s="271"/>
      <c r="M78" s="271"/>
      <c r="N78" s="271"/>
      <c r="O78" s="271"/>
      <c r="P78" s="271"/>
      <c r="Q78" s="271"/>
      <c r="R78" s="271"/>
      <c r="S78" s="271"/>
      <c r="Z78" s="1608">
        <v>78</v>
      </c>
    </row>
    <row r="79" spans="1:26" s="246" customFormat="1" ht="13.35" customHeight="1">
      <c r="A79" s="222" t="s">
        <v>690</v>
      </c>
      <c r="B79" s="222" t="s">
        <v>273</v>
      </c>
      <c r="D79" s="222"/>
      <c r="F79" s="222"/>
      <c r="G79" s="222"/>
      <c r="H79" s="264"/>
      <c r="I79" s="264"/>
      <c r="J79" s="264"/>
      <c r="K79" s="1217" t="s">
        <v>3369</v>
      </c>
      <c r="L79" s="264"/>
      <c r="M79" s="264"/>
      <c r="N79" s="259"/>
      <c r="O79" s="259"/>
      <c r="P79" s="259"/>
      <c r="Q79" s="259"/>
      <c r="R79" s="259"/>
      <c r="S79" s="259"/>
      <c r="Z79" s="16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08">
        <v>80</v>
      </c>
    </row>
    <row r="81" spans="2:26" s="144" customFormat="1" ht="11.25" customHeight="1">
      <c r="B81" s="243" t="s">
        <v>1835</v>
      </c>
      <c r="C81" s="243" t="s">
        <v>274</v>
      </c>
      <c r="H81" s="3060"/>
      <c r="I81" s="3104"/>
      <c r="J81" s="3104"/>
      <c r="K81" s="3104"/>
      <c r="L81" s="3104"/>
      <c r="M81" s="3104"/>
      <c r="N81" s="3105"/>
      <c r="O81" s="259" t="s">
        <v>1841</v>
      </c>
      <c r="P81" s="259"/>
      <c r="Q81" s="3060"/>
      <c r="R81" s="3104"/>
      <c r="S81" s="3105"/>
      <c r="Z81" s="1608">
        <v>81</v>
      </c>
    </row>
    <row r="82" spans="2:26" s="144" customFormat="1" ht="11.25" customHeight="1">
      <c r="D82" s="260"/>
      <c r="E82" s="246" t="s">
        <v>956</v>
      </c>
      <c r="F82" s="247"/>
      <c r="H82" s="3033"/>
      <c r="I82" s="3107"/>
      <c r="J82" s="3107"/>
      <c r="K82" s="3108"/>
      <c r="L82" s="3107"/>
      <c r="M82" s="3107"/>
      <c r="N82" s="3109"/>
      <c r="O82" s="259" t="s">
        <v>1621</v>
      </c>
      <c r="P82" s="261"/>
      <c r="Q82" s="3110"/>
      <c r="R82" s="3111"/>
      <c r="S82" s="3112"/>
      <c r="Z82" s="1608">
        <v>82</v>
      </c>
    </row>
    <row r="83" spans="2:26" s="144" customFormat="1" ht="11.25" customHeight="1">
      <c r="D83" s="260"/>
      <c r="E83" s="246" t="s">
        <v>574</v>
      </c>
      <c r="H83" s="3033"/>
      <c r="I83" s="3108"/>
      <c r="J83" s="3113"/>
      <c r="K83" s="262" t="s">
        <v>2450</v>
      </c>
      <c r="L83" s="3033"/>
      <c r="M83" s="3107"/>
      <c r="N83" s="3113"/>
      <c r="O83" s="259" t="s">
        <v>1598</v>
      </c>
      <c r="P83" s="261"/>
      <c r="Q83" s="3025"/>
      <c r="R83" s="3026"/>
      <c r="S83" s="3027"/>
      <c r="Z83" s="1608">
        <v>83</v>
      </c>
    </row>
    <row r="84" spans="2:26" s="144" customFormat="1" ht="11.25" customHeight="1">
      <c r="E84" s="246" t="s">
        <v>1666</v>
      </c>
      <c r="H84" s="976"/>
      <c r="I84" s="261"/>
      <c r="J84" s="261"/>
      <c r="K84" s="661" t="s">
        <v>2055</v>
      </c>
      <c r="L84" s="3114"/>
      <c r="M84" s="3115"/>
      <c r="N84" s="261"/>
      <c r="O84" s="259" t="s">
        <v>1832</v>
      </c>
      <c r="P84" s="261"/>
      <c r="Q84" s="3025"/>
      <c r="R84" s="3026"/>
      <c r="S84" s="3027"/>
      <c r="Z84" s="1608">
        <v>84</v>
      </c>
    </row>
    <row r="85" spans="2:26" s="144" customFormat="1" ht="11.25" customHeight="1">
      <c r="D85" s="260"/>
      <c r="E85" s="246" t="s">
        <v>3370</v>
      </c>
      <c r="H85" s="3100"/>
      <c r="I85" s="3106"/>
      <c r="J85" s="255"/>
      <c r="K85" s="262" t="s">
        <v>1836</v>
      </c>
      <c r="L85" s="3054"/>
      <c r="M85" s="3055"/>
      <c r="N85" s="3031"/>
      <c r="O85" s="3031"/>
      <c r="P85" s="3031"/>
      <c r="Q85" s="3055"/>
      <c r="R85" s="3055"/>
      <c r="S85" s="3103"/>
      <c r="Z85" s="1608">
        <v>85</v>
      </c>
    </row>
    <row r="86" spans="2:26" ht="6.6" customHeight="1">
      <c r="H86" s="270"/>
      <c r="I86" s="270"/>
      <c r="J86" s="270"/>
      <c r="K86" s="262"/>
      <c r="L86" s="270"/>
      <c r="M86" s="270"/>
      <c r="N86" s="268"/>
      <c r="O86" s="269"/>
      <c r="P86" s="269"/>
      <c r="Q86" s="262"/>
      <c r="R86" s="269"/>
      <c r="S86" s="269"/>
      <c r="Z86" s="1608">
        <v>86</v>
      </c>
    </row>
    <row r="87" spans="2:26" s="144" customFormat="1" ht="11.25" customHeight="1">
      <c r="B87" s="243" t="s">
        <v>1837</v>
      </c>
      <c r="C87" s="243" t="s">
        <v>275</v>
      </c>
      <c r="H87" s="3060"/>
      <c r="I87" s="3104"/>
      <c r="J87" s="3104"/>
      <c r="K87" s="3104"/>
      <c r="L87" s="3104"/>
      <c r="M87" s="3104"/>
      <c r="N87" s="3105"/>
      <c r="O87" s="259" t="s">
        <v>1841</v>
      </c>
      <c r="P87" s="259"/>
      <c r="Q87" s="3060"/>
      <c r="R87" s="3104"/>
      <c r="S87" s="3105"/>
      <c r="Z87" s="1608">
        <v>87</v>
      </c>
    </row>
    <row r="88" spans="2:26" s="144" customFormat="1" ht="11.25" customHeight="1">
      <c r="D88" s="260"/>
      <c r="E88" s="246" t="s">
        <v>956</v>
      </c>
      <c r="F88" s="247"/>
      <c r="H88" s="3033"/>
      <c r="I88" s="3107"/>
      <c r="J88" s="3107"/>
      <c r="K88" s="3108"/>
      <c r="L88" s="3107"/>
      <c r="M88" s="3107"/>
      <c r="N88" s="3109"/>
      <c r="O88" s="259" t="s">
        <v>1621</v>
      </c>
      <c r="P88" s="261"/>
      <c r="Q88" s="3110"/>
      <c r="R88" s="3111"/>
      <c r="S88" s="3112"/>
      <c r="Z88" s="1608">
        <v>88</v>
      </c>
    </row>
    <row r="89" spans="2:26" s="144" customFormat="1" ht="11.25" customHeight="1">
      <c r="D89" s="260"/>
      <c r="E89" s="246" t="s">
        <v>574</v>
      </c>
      <c r="H89" s="3033"/>
      <c r="I89" s="3108"/>
      <c r="J89" s="3113"/>
      <c r="K89" s="262" t="s">
        <v>2450</v>
      </c>
      <c r="L89" s="3033"/>
      <c r="M89" s="3107"/>
      <c r="N89" s="3113"/>
      <c r="O89" s="259" t="s">
        <v>1598</v>
      </c>
      <c r="P89" s="261"/>
      <c r="Q89" s="3025"/>
      <c r="R89" s="3026"/>
      <c r="S89" s="3027"/>
      <c r="Z89" s="1608">
        <v>89</v>
      </c>
    </row>
    <row r="90" spans="2:26" s="144" customFormat="1" ht="11.25" customHeight="1">
      <c r="E90" s="246" t="s">
        <v>1666</v>
      </c>
      <c r="H90" s="976"/>
      <c r="I90" s="261"/>
      <c r="J90" s="261"/>
      <c r="K90" s="661" t="s">
        <v>2055</v>
      </c>
      <c r="L90" s="3114"/>
      <c r="M90" s="3115"/>
      <c r="N90" s="261"/>
      <c r="O90" s="259" t="s">
        <v>1832</v>
      </c>
      <c r="P90" s="261"/>
      <c r="Q90" s="3025"/>
      <c r="R90" s="3026"/>
      <c r="S90" s="3027"/>
      <c r="Z90" s="1608">
        <v>90</v>
      </c>
    </row>
    <row r="91" spans="2:26" s="144" customFormat="1" ht="11.25" customHeight="1">
      <c r="D91" s="260"/>
      <c r="E91" s="246" t="s">
        <v>3370</v>
      </c>
      <c r="H91" s="3100"/>
      <c r="I91" s="3106"/>
      <c r="J91" s="255"/>
      <c r="K91" s="262" t="s">
        <v>1836</v>
      </c>
      <c r="L91" s="3054"/>
      <c r="M91" s="3055"/>
      <c r="N91" s="3031"/>
      <c r="O91" s="3031"/>
      <c r="P91" s="3031"/>
      <c r="Q91" s="3055"/>
      <c r="R91" s="3055"/>
      <c r="S91" s="3103"/>
      <c r="Z91" s="1608">
        <v>91</v>
      </c>
    </row>
    <row r="92" spans="2:26" ht="6.6" customHeight="1">
      <c r="H92" s="270"/>
      <c r="I92" s="270"/>
      <c r="J92" s="270"/>
      <c r="K92" s="262"/>
      <c r="L92" s="270"/>
      <c r="M92" s="270"/>
      <c r="N92" s="268"/>
      <c r="O92" s="269"/>
      <c r="P92" s="269"/>
      <c r="Q92" s="262"/>
      <c r="R92" s="269"/>
      <c r="S92" s="269"/>
      <c r="Z92" s="1608">
        <v>92</v>
      </c>
    </row>
    <row r="93" spans="2:26" s="144" customFormat="1" ht="11.25" customHeight="1">
      <c r="B93" s="243" t="s">
        <v>697</v>
      </c>
      <c r="C93" s="243" t="s">
        <v>276</v>
      </c>
      <c r="F93" s="145"/>
      <c r="H93" s="3060"/>
      <c r="I93" s="3104"/>
      <c r="J93" s="3104"/>
      <c r="K93" s="3104"/>
      <c r="L93" s="3104"/>
      <c r="M93" s="3104"/>
      <c r="N93" s="3105"/>
      <c r="O93" s="259" t="s">
        <v>1841</v>
      </c>
      <c r="P93" s="259"/>
      <c r="Q93" s="3060"/>
      <c r="R93" s="3104"/>
      <c r="S93" s="3105"/>
      <c r="Z93" s="1608">
        <v>93</v>
      </c>
    </row>
    <row r="94" spans="2:26" s="144" customFormat="1" ht="11.25" customHeight="1">
      <c r="D94" s="260"/>
      <c r="E94" s="246" t="s">
        <v>956</v>
      </c>
      <c r="F94" s="247"/>
      <c r="H94" s="3033"/>
      <c r="I94" s="3107"/>
      <c r="J94" s="3107"/>
      <c r="K94" s="3108"/>
      <c r="L94" s="3107"/>
      <c r="M94" s="3107"/>
      <c r="N94" s="3109"/>
      <c r="O94" s="259" t="s">
        <v>1621</v>
      </c>
      <c r="P94" s="261"/>
      <c r="Q94" s="3110"/>
      <c r="R94" s="3111"/>
      <c r="S94" s="3112"/>
      <c r="Z94" s="1608">
        <v>94</v>
      </c>
    </row>
    <row r="95" spans="2:26" s="144" customFormat="1" ht="11.25" customHeight="1">
      <c r="D95" s="260"/>
      <c r="E95" s="246" t="s">
        <v>574</v>
      </c>
      <c r="H95" s="3033"/>
      <c r="I95" s="3108"/>
      <c r="J95" s="3113"/>
      <c r="K95" s="262" t="s">
        <v>2450</v>
      </c>
      <c r="L95" s="3033"/>
      <c r="M95" s="3107"/>
      <c r="N95" s="3113"/>
      <c r="O95" s="259" t="s">
        <v>1598</v>
      </c>
      <c r="P95" s="261"/>
      <c r="Q95" s="3025"/>
      <c r="R95" s="3026"/>
      <c r="S95" s="3027"/>
      <c r="Z95" s="1608">
        <v>95</v>
      </c>
    </row>
    <row r="96" spans="2:26" s="144" customFormat="1" ht="11.25" customHeight="1">
      <c r="D96" s="260"/>
      <c r="E96" s="246" t="s">
        <v>1666</v>
      </c>
      <c r="H96" s="976"/>
      <c r="I96" s="261"/>
      <c r="J96" s="261"/>
      <c r="K96" s="661" t="s">
        <v>2055</v>
      </c>
      <c r="L96" s="3114"/>
      <c r="M96" s="3115"/>
      <c r="N96" s="261"/>
      <c r="O96" s="259" t="s">
        <v>1832</v>
      </c>
      <c r="P96" s="261"/>
      <c r="Q96" s="3025"/>
      <c r="R96" s="3026"/>
      <c r="S96" s="3027"/>
      <c r="Z96" s="1608">
        <v>96</v>
      </c>
    </row>
    <row r="97" spans="2:26" s="144" customFormat="1" ht="11.25" customHeight="1">
      <c r="D97" s="260"/>
      <c r="E97" s="246" t="s">
        <v>3370</v>
      </c>
      <c r="H97" s="3100"/>
      <c r="I97" s="3106"/>
      <c r="J97" s="255"/>
      <c r="K97" s="262" t="s">
        <v>1836</v>
      </c>
      <c r="L97" s="3054"/>
      <c r="M97" s="3055"/>
      <c r="N97" s="3031"/>
      <c r="O97" s="3031"/>
      <c r="P97" s="3031"/>
      <c r="Q97" s="3055"/>
      <c r="R97" s="3055"/>
      <c r="S97" s="3103"/>
      <c r="Z97" s="1608">
        <v>97</v>
      </c>
    </row>
    <row r="98" spans="2:26" ht="6.6" customHeight="1">
      <c r="H98" s="270"/>
      <c r="I98" s="270"/>
      <c r="J98" s="270"/>
      <c r="K98" s="262"/>
      <c r="L98" s="270"/>
      <c r="M98" s="270"/>
      <c r="N98" s="268"/>
      <c r="O98" s="269"/>
      <c r="P98" s="269"/>
      <c r="Q98" s="262"/>
      <c r="R98" s="269"/>
      <c r="S98" s="269"/>
      <c r="Z98" s="1608">
        <v>98</v>
      </c>
    </row>
    <row r="99" spans="2:26" s="144" customFormat="1" ht="11.25" customHeight="1">
      <c r="B99" s="243" t="s">
        <v>1956</v>
      </c>
      <c r="C99" s="243" t="s">
        <v>277</v>
      </c>
      <c r="H99" s="3060"/>
      <c r="I99" s="3104"/>
      <c r="J99" s="3104"/>
      <c r="K99" s="3104"/>
      <c r="L99" s="3104"/>
      <c r="M99" s="3104"/>
      <c r="N99" s="3105"/>
      <c r="O99" s="259" t="s">
        <v>1841</v>
      </c>
      <c r="P99" s="259"/>
      <c r="Q99" s="3060"/>
      <c r="R99" s="3104"/>
      <c r="S99" s="3105"/>
      <c r="Z99" s="1608">
        <v>99</v>
      </c>
    </row>
    <row r="100" spans="2:26" s="144" customFormat="1" ht="11.25" customHeight="1">
      <c r="D100" s="260"/>
      <c r="E100" s="246" t="s">
        <v>956</v>
      </c>
      <c r="F100" s="247"/>
      <c r="H100" s="3033"/>
      <c r="I100" s="3107"/>
      <c r="J100" s="3107"/>
      <c r="K100" s="3108"/>
      <c r="L100" s="3107"/>
      <c r="M100" s="3107"/>
      <c r="N100" s="3109"/>
      <c r="O100" s="259" t="s">
        <v>1621</v>
      </c>
      <c r="P100" s="261"/>
      <c r="Q100" s="3110"/>
      <c r="R100" s="3111"/>
      <c r="S100" s="3112"/>
      <c r="Z100" s="1608">
        <v>100</v>
      </c>
    </row>
    <row r="101" spans="2:26" s="144" customFormat="1" ht="11.25" customHeight="1">
      <c r="D101" s="260"/>
      <c r="E101" s="246" t="s">
        <v>574</v>
      </c>
      <c r="H101" s="3033"/>
      <c r="I101" s="3108"/>
      <c r="J101" s="3113"/>
      <c r="K101" s="262" t="s">
        <v>2450</v>
      </c>
      <c r="L101" s="3033"/>
      <c r="M101" s="3107"/>
      <c r="N101" s="3113"/>
      <c r="O101" s="259" t="s">
        <v>1598</v>
      </c>
      <c r="P101" s="261"/>
      <c r="Q101" s="3025"/>
      <c r="R101" s="3026"/>
      <c r="S101" s="3027"/>
      <c r="Z101" s="1608">
        <v>101</v>
      </c>
    </row>
    <row r="102" spans="2:26" s="144" customFormat="1" ht="11.25" customHeight="1">
      <c r="D102" s="260"/>
      <c r="E102" s="246" t="s">
        <v>1666</v>
      </c>
      <c r="H102" s="976"/>
      <c r="I102" s="261"/>
      <c r="J102" s="261"/>
      <c r="K102" s="661" t="s">
        <v>2055</v>
      </c>
      <c r="L102" s="3114"/>
      <c r="M102" s="3115"/>
      <c r="N102" s="261"/>
      <c r="O102" s="259" t="s">
        <v>1832</v>
      </c>
      <c r="P102" s="261"/>
      <c r="Q102" s="3025"/>
      <c r="R102" s="3026"/>
      <c r="S102" s="3027"/>
      <c r="Z102" s="1608">
        <v>102</v>
      </c>
    </row>
    <row r="103" spans="2:26" ht="11.25" customHeight="1">
      <c r="E103" s="246" t="s">
        <v>3370</v>
      </c>
      <c r="F103" s="144"/>
      <c r="G103" s="144"/>
      <c r="H103" s="3100"/>
      <c r="I103" s="3106"/>
      <c r="J103" s="255"/>
      <c r="K103" s="262" t="s">
        <v>1836</v>
      </c>
      <c r="L103" s="3054"/>
      <c r="M103" s="3055"/>
      <c r="N103" s="3031"/>
      <c r="O103" s="3031"/>
      <c r="P103" s="3031"/>
      <c r="Q103" s="3055"/>
      <c r="R103" s="3055"/>
      <c r="S103" s="3103"/>
      <c r="Z103" s="1608">
        <v>103</v>
      </c>
    </row>
    <row r="104" spans="2:26" ht="6" customHeight="1">
      <c r="E104" s="246"/>
      <c r="F104" s="144"/>
      <c r="G104" s="144"/>
      <c r="H104" s="270"/>
      <c r="I104" s="270"/>
      <c r="J104" s="270"/>
      <c r="K104" s="262"/>
      <c r="L104" s="270"/>
      <c r="M104" s="270"/>
      <c r="N104" s="268"/>
      <c r="O104" s="269"/>
      <c r="P104" s="269"/>
      <c r="Q104" s="262"/>
      <c r="R104" s="269"/>
      <c r="S104" s="269"/>
      <c r="Z104" s="1608">
        <v>104</v>
      </c>
    </row>
    <row r="105" spans="2:26" s="144" customFormat="1" ht="11.25" customHeight="1">
      <c r="B105" s="243" t="s">
        <v>1609</v>
      </c>
      <c r="C105" s="243" t="s">
        <v>278</v>
      </c>
      <c r="H105" s="3060"/>
      <c r="I105" s="3104"/>
      <c r="J105" s="3104"/>
      <c r="K105" s="3104"/>
      <c r="L105" s="3104"/>
      <c r="M105" s="3104"/>
      <c r="N105" s="3105"/>
      <c r="O105" s="259" t="s">
        <v>1841</v>
      </c>
      <c r="P105" s="259"/>
      <c r="Q105" s="3060"/>
      <c r="R105" s="3104"/>
      <c r="S105" s="3105"/>
      <c r="Z105" s="1608">
        <v>105</v>
      </c>
    </row>
    <row r="106" spans="2:26" s="144" customFormat="1" ht="11.25" customHeight="1">
      <c r="D106" s="260"/>
      <c r="E106" s="246" t="s">
        <v>956</v>
      </c>
      <c r="F106" s="247"/>
      <c r="H106" s="3033"/>
      <c r="I106" s="3107"/>
      <c r="J106" s="3107"/>
      <c r="K106" s="3108"/>
      <c r="L106" s="3107"/>
      <c r="M106" s="3107"/>
      <c r="N106" s="3109"/>
      <c r="O106" s="259" t="s">
        <v>1621</v>
      </c>
      <c r="P106" s="261"/>
      <c r="Q106" s="3110"/>
      <c r="R106" s="3111"/>
      <c r="S106" s="3112"/>
      <c r="Z106" s="1608">
        <v>106</v>
      </c>
    </row>
    <row r="107" spans="2:26" s="144" customFormat="1" ht="11.25" customHeight="1">
      <c r="D107" s="260"/>
      <c r="E107" s="246" t="s">
        <v>574</v>
      </c>
      <c r="H107" s="3033"/>
      <c r="I107" s="3108"/>
      <c r="J107" s="3113"/>
      <c r="K107" s="262" t="s">
        <v>2450</v>
      </c>
      <c r="L107" s="3033"/>
      <c r="M107" s="3107"/>
      <c r="N107" s="3113"/>
      <c r="O107" s="259" t="s">
        <v>1598</v>
      </c>
      <c r="P107" s="261"/>
      <c r="Q107" s="3025"/>
      <c r="R107" s="3026"/>
      <c r="S107" s="3027"/>
      <c r="Z107" s="1608">
        <v>107</v>
      </c>
    </row>
    <row r="108" spans="2:26" s="144" customFormat="1" ht="11.25" customHeight="1">
      <c r="D108" s="260"/>
      <c r="E108" s="246" t="s">
        <v>1666</v>
      </c>
      <c r="H108" s="976"/>
      <c r="I108" s="261"/>
      <c r="J108" s="261"/>
      <c r="K108" s="661" t="s">
        <v>2055</v>
      </c>
      <c r="L108" s="3114"/>
      <c r="M108" s="3115"/>
      <c r="N108" s="261"/>
      <c r="O108" s="259" t="s">
        <v>1832</v>
      </c>
      <c r="P108" s="261"/>
      <c r="Q108" s="3025"/>
      <c r="R108" s="3026"/>
      <c r="S108" s="3027"/>
      <c r="Z108" s="1608">
        <v>108</v>
      </c>
    </row>
    <row r="109" spans="2:26" ht="11.25" customHeight="1">
      <c r="E109" s="246" t="s">
        <v>3370</v>
      </c>
      <c r="F109" s="144"/>
      <c r="G109" s="144"/>
      <c r="H109" s="3100"/>
      <c r="I109" s="3106"/>
      <c r="J109" s="255"/>
      <c r="K109" s="262" t="s">
        <v>1836</v>
      </c>
      <c r="L109" s="3054"/>
      <c r="M109" s="3055"/>
      <c r="N109" s="3031"/>
      <c r="O109" s="3031"/>
      <c r="P109" s="3031"/>
      <c r="Q109" s="3055"/>
      <c r="R109" s="3055"/>
      <c r="S109" s="3103"/>
      <c r="Z109" s="1608">
        <v>109</v>
      </c>
    </row>
    <row r="110" spans="2:26" ht="6.6" customHeight="1">
      <c r="E110" s="246"/>
      <c r="F110" s="144"/>
      <c r="G110" s="144"/>
      <c r="H110" s="270"/>
      <c r="I110" s="270"/>
      <c r="J110" s="270"/>
      <c r="K110" s="262"/>
      <c r="L110" s="270"/>
      <c r="M110" s="270"/>
      <c r="N110" s="268"/>
      <c r="O110" s="269"/>
      <c r="P110" s="269"/>
      <c r="Q110" s="262"/>
      <c r="R110" s="269"/>
      <c r="S110" s="269"/>
      <c r="Z110" s="1608">
        <v>110</v>
      </c>
    </row>
    <row r="111" spans="2:26" s="144" customFormat="1" ht="11.25" customHeight="1">
      <c r="B111" s="243" t="s">
        <v>1610</v>
      </c>
      <c r="C111" s="243" t="s">
        <v>279</v>
      </c>
      <c r="H111" s="3060"/>
      <c r="I111" s="3104"/>
      <c r="J111" s="3104"/>
      <c r="K111" s="3104"/>
      <c r="L111" s="3104"/>
      <c r="M111" s="3104"/>
      <c r="N111" s="3105"/>
      <c r="O111" s="259" t="s">
        <v>1841</v>
      </c>
      <c r="P111" s="259"/>
      <c r="Q111" s="3060"/>
      <c r="R111" s="3104"/>
      <c r="S111" s="3105"/>
      <c r="Z111" s="1608">
        <v>111</v>
      </c>
    </row>
    <row r="112" spans="2:26" s="144" customFormat="1" ht="11.25" customHeight="1">
      <c r="D112" s="260"/>
      <c r="E112" s="246" t="s">
        <v>956</v>
      </c>
      <c r="F112" s="247"/>
      <c r="H112" s="3033"/>
      <c r="I112" s="3107"/>
      <c r="J112" s="3107"/>
      <c r="K112" s="3108"/>
      <c r="L112" s="3107"/>
      <c r="M112" s="3107"/>
      <c r="N112" s="3109"/>
      <c r="O112" s="259" t="s">
        <v>1621</v>
      </c>
      <c r="P112" s="261"/>
      <c r="Q112" s="3110"/>
      <c r="R112" s="3111"/>
      <c r="S112" s="3112"/>
      <c r="Z112" s="1608">
        <v>112</v>
      </c>
    </row>
    <row r="113" spans="1:26" s="144" customFormat="1" ht="11.25" customHeight="1">
      <c r="D113" s="260"/>
      <c r="E113" s="246" t="s">
        <v>574</v>
      </c>
      <c r="H113" s="3033"/>
      <c r="I113" s="3108"/>
      <c r="J113" s="3113"/>
      <c r="K113" s="262" t="s">
        <v>2450</v>
      </c>
      <c r="L113" s="3033"/>
      <c r="M113" s="3107"/>
      <c r="N113" s="3113"/>
      <c r="O113" s="259" t="s">
        <v>1598</v>
      </c>
      <c r="P113" s="261"/>
      <c r="Q113" s="3025"/>
      <c r="R113" s="3026"/>
      <c r="S113" s="3027"/>
      <c r="Z113" s="1608">
        <v>113</v>
      </c>
    </row>
    <row r="114" spans="1:26" s="144" customFormat="1" ht="11.25" customHeight="1">
      <c r="D114" s="260"/>
      <c r="E114" s="246" t="s">
        <v>1666</v>
      </c>
      <c r="H114" s="976"/>
      <c r="I114" s="261"/>
      <c r="J114" s="261"/>
      <c r="K114" s="661" t="s">
        <v>2055</v>
      </c>
      <c r="L114" s="3114"/>
      <c r="M114" s="3115"/>
      <c r="N114" s="261"/>
      <c r="O114" s="259" t="s">
        <v>1832</v>
      </c>
      <c r="P114" s="261"/>
      <c r="Q114" s="3025"/>
      <c r="R114" s="3026"/>
      <c r="S114" s="3027"/>
      <c r="Z114" s="1608">
        <v>114</v>
      </c>
    </row>
    <row r="115" spans="1:26" s="144" customFormat="1" ht="11.25" customHeight="1">
      <c r="D115" s="260"/>
      <c r="E115" s="246" t="s">
        <v>3370</v>
      </c>
      <c r="H115" s="3100"/>
      <c r="I115" s="3106"/>
      <c r="J115" s="255"/>
      <c r="K115" s="262" t="s">
        <v>1836</v>
      </c>
      <c r="L115" s="3054"/>
      <c r="M115" s="3055"/>
      <c r="N115" s="3031"/>
      <c r="O115" s="3031"/>
      <c r="P115" s="3031"/>
      <c r="Q115" s="3055"/>
      <c r="R115" s="3055"/>
      <c r="S115" s="3103"/>
      <c r="Z115" s="1608">
        <v>115</v>
      </c>
    </row>
    <row r="116" spans="1:26" ht="3" customHeight="1">
      <c r="H116" s="271"/>
      <c r="I116" s="271"/>
      <c r="J116" s="271"/>
      <c r="K116" s="271"/>
      <c r="L116" s="271"/>
      <c r="M116" s="271"/>
      <c r="N116" s="271"/>
      <c r="O116" s="271"/>
      <c r="P116" s="271"/>
      <c r="Q116" s="271"/>
      <c r="R116" s="271"/>
      <c r="S116" s="271"/>
      <c r="Z116" s="1608">
        <v>116</v>
      </c>
    </row>
    <row r="117" spans="1:26" s="144" customFormat="1" ht="12" customHeight="1">
      <c r="A117" s="243" t="s">
        <v>1661</v>
      </c>
      <c r="B117" s="243" t="s">
        <v>2389</v>
      </c>
      <c r="F117" s="243"/>
      <c r="G117" s="248"/>
      <c r="H117" s="262"/>
      <c r="I117" s="262"/>
      <c r="J117" s="262"/>
      <c r="K117" s="262"/>
      <c r="L117" s="262"/>
      <c r="M117" s="262"/>
      <c r="N117" s="262"/>
      <c r="O117" s="262"/>
      <c r="P117" s="262"/>
      <c r="Q117" s="262"/>
      <c r="R117" s="261"/>
      <c r="S117" s="261"/>
      <c r="Z117" s="1608">
        <v>117</v>
      </c>
    </row>
    <row r="118" spans="1:26" s="144" customFormat="1" ht="12" customHeight="1">
      <c r="A118" s="243"/>
      <c r="B118" s="243" t="s">
        <v>1835</v>
      </c>
      <c r="C118" s="243" t="s">
        <v>4113</v>
      </c>
      <c r="F118" s="243"/>
      <c r="G118" s="248"/>
      <c r="H118" s="262"/>
      <c r="I118" s="262"/>
      <c r="J118" s="262"/>
      <c r="K118" s="262"/>
      <c r="L118" s="262"/>
      <c r="M118" s="262"/>
      <c r="N118" s="262"/>
      <c r="O118" s="262"/>
      <c r="P118" s="262"/>
      <c r="Q118" s="262"/>
      <c r="R118" s="261"/>
      <c r="S118" s="261"/>
      <c r="Z118" s="1608">
        <v>118</v>
      </c>
    </row>
    <row r="119" spans="1:26" ht="2.25" customHeight="1">
      <c r="H119" s="271"/>
      <c r="I119" s="271"/>
      <c r="J119" s="271"/>
      <c r="K119" s="271"/>
      <c r="L119" s="271"/>
      <c r="M119" s="271"/>
      <c r="N119" s="271"/>
      <c r="O119" s="271"/>
      <c r="P119" s="271"/>
      <c r="Q119" s="271"/>
      <c r="R119" s="271"/>
      <c r="S119" s="271"/>
      <c r="Z119" s="1608">
        <v>119</v>
      </c>
    </row>
    <row r="120" spans="1:26" s="144" customFormat="1" ht="11.25" customHeight="1">
      <c r="C120" s="1581" t="s">
        <v>1838</v>
      </c>
      <c r="D120" s="243" t="s">
        <v>4360</v>
      </c>
      <c r="H120" s="3060"/>
      <c r="I120" s="3061"/>
      <c r="J120" s="3062"/>
      <c r="K120" s="262" t="s">
        <v>1665</v>
      </c>
      <c r="L120" s="3060"/>
      <c r="M120" s="3104"/>
      <c r="N120" s="3105"/>
      <c r="O120" s="259" t="s">
        <v>3054</v>
      </c>
      <c r="P120" s="261"/>
      <c r="Q120" s="3123"/>
      <c r="R120" s="3124"/>
      <c r="S120" s="3125"/>
      <c r="Z120" s="1608">
        <v>120</v>
      </c>
    </row>
    <row r="121" spans="1:26" s="144" customFormat="1" ht="11.25" customHeight="1">
      <c r="C121" s="243"/>
      <c r="D121" s="260"/>
      <c r="E121" s="246" t="s">
        <v>4114</v>
      </c>
      <c r="F121" s="247"/>
      <c r="H121" s="3126"/>
      <c r="I121" s="3127"/>
      <c r="J121" s="3128"/>
      <c r="K121" s="3129"/>
      <c r="L121" s="3127"/>
      <c r="M121" s="3127"/>
      <c r="N121" s="3130"/>
      <c r="O121" s="259" t="s">
        <v>574</v>
      </c>
      <c r="P121" s="261"/>
      <c r="Q121" s="3131"/>
      <c r="R121" s="3132"/>
      <c r="S121" s="3133"/>
      <c r="Z121" s="1608">
        <v>121</v>
      </c>
    </row>
    <row r="122" spans="1:26" s="144" customFormat="1" ht="11.25" customHeight="1">
      <c r="C122" s="243"/>
      <c r="D122" s="260"/>
      <c r="E122" s="246" t="s">
        <v>1666</v>
      </c>
      <c r="H122" s="1190"/>
      <c r="I122" s="661" t="s">
        <v>2055</v>
      </c>
      <c r="J122" s="3134"/>
      <c r="K122" s="3113"/>
      <c r="L122" s="262" t="s">
        <v>1836</v>
      </c>
      <c r="M122" s="3102"/>
      <c r="N122" s="3031"/>
      <c r="O122" s="3031"/>
      <c r="P122" s="3031"/>
      <c r="Q122" s="3055"/>
      <c r="R122" s="3055"/>
      <c r="S122" s="3103"/>
      <c r="Z122" s="1608">
        <v>122</v>
      </c>
    </row>
    <row r="123" spans="1:26" ht="2.25" customHeight="1">
      <c r="C123" s="253"/>
      <c r="H123" s="271"/>
      <c r="I123" s="271"/>
      <c r="J123" s="271"/>
      <c r="K123" s="271"/>
      <c r="L123" s="271"/>
      <c r="M123" s="271"/>
      <c r="N123" s="271"/>
      <c r="O123" s="271"/>
      <c r="P123" s="271"/>
      <c r="Q123" s="271"/>
      <c r="R123" s="271"/>
      <c r="S123" s="271"/>
      <c r="Z123" s="1608">
        <v>123</v>
      </c>
    </row>
    <row r="124" spans="1:26" s="144" customFormat="1" ht="11.25" hidden="1" customHeight="1">
      <c r="C124" s="1581"/>
      <c r="D124" s="144" t="s">
        <v>4361</v>
      </c>
      <c r="H124" s="3060"/>
      <c r="I124" s="3061"/>
      <c r="J124" s="3062"/>
      <c r="K124" s="262" t="s">
        <v>1665</v>
      </c>
      <c r="L124" s="3060"/>
      <c r="M124" s="3104"/>
      <c r="N124" s="3105"/>
      <c r="O124" s="259" t="s">
        <v>3054</v>
      </c>
      <c r="P124" s="261"/>
      <c r="Q124" s="3123"/>
      <c r="R124" s="3124"/>
      <c r="S124" s="3125"/>
      <c r="Z124" s="1608">
        <v>124</v>
      </c>
    </row>
    <row r="125" spans="1:26" s="144" customFormat="1" ht="11.25" hidden="1" customHeight="1">
      <c r="C125" s="243"/>
      <c r="D125" s="260"/>
      <c r="E125" s="246" t="s">
        <v>4114</v>
      </c>
      <c r="F125" s="247"/>
      <c r="H125" s="3126"/>
      <c r="I125" s="3127"/>
      <c r="J125" s="3128"/>
      <c r="K125" s="3129"/>
      <c r="L125" s="3127"/>
      <c r="M125" s="3127"/>
      <c r="N125" s="3130"/>
      <c r="O125" s="259" t="s">
        <v>574</v>
      </c>
      <c r="P125" s="261"/>
      <c r="Q125" s="3131"/>
      <c r="R125" s="3132"/>
      <c r="S125" s="3133"/>
      <c r="Z125" s="1608">
        <v>125</v>
      </c>
    </row>
    <row r="126" spans="1:26" s="144" customFormat="1" ht="11.25" hidden="1" customHeight="1">
      <c r="C126" s="243"/>
      <c r="D126" s="260"/>
      <c r="E126" s="246" t="s">
        <v>1666</v>
      </c>
      <c r="H126" s="1190"/>
      <c r="I126" s="661" t="s">
        <v>2055</v>
      </c>
      <c r="J126" s="3134"/>
      <c r="K126" s="3113"/>
      <c r="L126" s="262" t="s">
        <v>1836</v>
      </c>
      <c r="M126" s="3102"/>
      <c r="N126" s="3031"/>
      <c r="O126" s="3031"/>
      <c r="P126" s="3031"/>
      <c r="Q126" s="3055"/>
      <c r="R126" s="3055"/>
      <c r="S126" s="3103"/>
      <c r="Z126" s="1608">
        <v>126</v>
      </c>
    </row>
    <row r="127" spans="1:26" ht="2.25" hidden="1" customHeight="1">
      <c r="C127" s="253"/>
      <c r="H127" s="271"/>
      <c r="I127" s="271"/>
      <c r="J127" s="271"/>
      <c r="K127" s="271"/>
      <c r="L127" s="271"/>
      <c r="M127" s="271"/>
      <c r="N127" s="271"/>
      <c r="O127" s="271"/>
      <c r="P127" s="271"/>
      <c r="Q127" s="271"/>
      <c r="R127" s="271"/>
      <c r="S127" s="271"/>
      <c r="Z127" s="1608">
        <v>127</v>
      </c>
    </row>
    <row r="128" spans="1:26" s="144" customFormat="1" ht="11.25" hidden="1" customHeight="1">
      <c r="C128" s="1581"/>
      <c r="D128" s="144" t="s">
        <v>4194</v>
      </c>
      <c r="H128" s="3060"/>
      <c r="I128" s="3061"/>
      <c r="J128" s="3062"/>
      <c r="K128" s="262" t="s">
        <v>1665</v>
      </c>
      <c r="L128" s="3060"/>
      <c r="M128" s="3104"/>
      <c r="N128" s="3105"/>
      <c r="O128" s="259" t="s">
        <v>3054</v>
      </c>
      <c r="P128" s="261"/>
      <c r="Q128" s="3123"/>
      <c r="R128" s="3124"/>
      <c r="S128" s="3125"/>
      <c r="Z128" s="1608">
        <v>128</v>
      </c>
    </row>
    <row r="129" spans="3:26" s="144" customFormat="1" ht="11.25" hidden="1" customHeight="1">
      <c r="C129" s="243"/>
      <c r="D129" s="260"/>
      <c r="E129" s="246" t="s">
        <v>4114</v>
      </c>
      <c r="F129" s="247"/>
      <c r="H129" s="3126"/>
      <c r="I129" s="3127"/>
      <c r="J129" s="3128"/>
      <c r="K129" s="3129"/>
      <c r="L129" s="3127"/>
      <c r="M129" s="3127"/>
      <c r="N129" s="3130"/>
      <c r="O129" s="259" t="s">
        <v>574</v>
      </c>
      <c r="P129" s="261"/>
      <c r="Q129" s="3131"/>
      <c r="R129" s="3132"/>
      <c r="S129" s="3133"/>
      <c r="Z129" s="1608">
        <v>129</v>
      </c>
    </row>
    <row r="130" spans="3:26" s="144" customFormat="1" ht="11.25" hidden="1" customHeight="1">
      <c r="C130" s="243"/>
      <c r="D130" s="260"/>
      <c r="E130" s="246" t="s">
        <v>1666</v>
      </c>
      <c r="H130" s="1190"/>
      <c r="I130" s="661" t="s">
        <v>2055</v>
      </c>
      <c r="J130" s="3134"/>
      <c r="K130" s="3113"/>
      <c r="L130" s="262" t="s">
        <v>1836</v>
      </c>
      <c r="M130" s="3102"/>
      <c r="N130" s="3031"/>
      <c r="O130" s="3031"/>
      <c r="P130" s="3031"/>
      <c r="Q130" s="3055"/>
      <c r="R130" s="3055"/>
      <c r="S130" s="3103"/>
      <c r="Z130" s="1608">
        <v>130</v>
      </c>
    </row>
    <row r="131" spans="3:26" ht="2.25" hidden="1" customHeight="1">
      <c r="C131" s="253"/>
      <c r="H131" s="271"/>
      <c r="I131" s="271"/>
      <c r="J131" s="271"/>
      <c r="K131" s="271"/>
      <c r="L131" s="271"/>
      <c r="M131" s="271"/>
      <c r="N131" s="271"/>
      <c r="O131" s="271"/>
      <c r="P131" s="271"/>
      <c r="Q131" s="271"/>
      <c r="R131" s="271"/>
      <c r="S131" s="271"/>
      <c r="Z131" s="1608">
        <v>131</v>
      </c>
    </row>
    <row r="132" spans="3:26" s="144" customFormat="1" ht="11.25" hidden="1" customHeight="1">
      <c r="C132" s="1581"/>
      <c r="D132" s="144" t="s">
        <v>4362</v>
      </c>
      <c r="H132" s="3060"/>
      <c r="I132" s="3061"/>
      <c r="J132" s="3062"/>
      <c r="K132" s="262" t="s">
        <v>1665</v>
      </c>
      <c r="L132" s="3060"/>
      <c r="M132" s="3104"/>
      <c r="N132" s="3105"/>
      <c r="O132" s="259" t="s">
        <v>3054</v>
      </c>
      <c r="P132" s="261"/>
      <c r="Q132" s="3123"/>
      <c r="R132" s="3124"/>
      <c r="S132" s="3125"/>
      <c r="Z132" s="1608">
        <v>132</v>
      </c>
    </row>
    <row r="133" spans="3:26" s="144" customFormat="1" ht="11.25" hidden="1" customHeight="1">
      <c r="C133" s="243"/>
      <c r="D133" s="260"/>
      <c r="E133" s="246" t="s">
        <v>4114</v>
      </c>
      <c r="F133" s="247"/>
      <c r="H133" s="3126"/>
      <c r="I133" s="3127"/>
      <c r="J133" s="3128"/>
      <c r="K133" s="3129"/>
      <c r="L133" s="3127"/>
      <c r="M133" s="3127"/>
      <c r="N133" s="3130"/>
      <c r="O133" s="259" t="s">
        <v>574</v>
      </c>
      <c r="P133" s="261"/>
      <c r="Q133" s="3131"/>
      <c r="R133" s="3132"/>
      <c r="S133" s="3133"/>
      <c r="Z133" s="1608">
        <v>133</v>
      </c>
    </row>
    <row r="134" spans="3:26" s="144" customFormat="1" ht="11.25" hidden="1" customHeight="1">
      <c r="C134" s="243"/>
      <c r="D134" s="260"/>
      <c r="E134" s="246" t="s">
        <v>1666</v>
      </c>
      <c r="H134" s="1190"/>
      <c r="I134" s="661" t="s">
        <v>2055</v>
      </c>
      <c r="J134" s="3134"/>
      <c r="K134" s="3113"/>
      <c r="L134" s="262" t="s">
        <v>1836</v>
      </c>
      <c r="M134" s="3102"/>
      <c r="N134" s="3031"/>
      <c r="O134" s="3031"/>
      <c r="P134" s="3031"/>
      <c r="Q134" s="3055"/>
      <c r="R134" s="3055"/>
      <c r="S134" s="3103"/>
      <c r="Z134" s="1608">
        <v>134</v>
      </c>
    </row>
    <row r="135" spans="3:26" ht="2.25" hidden="1" customHeight="1">
      <c r="C135" s="253"/>
      <c r="H135" s="271"/>
      <c r="I135" s="271"/>
      <c r="J135" s="271"/>
      <c r="K135" s="271"/>
      <c r="L135" s="271"/>
      <c r="M135" s="271"/>
      <c r="N135" s="271"/>
      <c r="O135" s="271"/>
      <c r="P135" s="271"/>
      <c r="Q135" s="271"/>
      <c r="R135" s="271"/>
      <c r="S135" s="271"/>
      <c r="Z135" s="1608">
        <v>135</v>
      </c>
    </row>
    <row r="136" spans="3:26" s="144" customFormat="1" ht="11.25" hidden="1" customHeight="1">
      <c r="C136" s="1581"/>
      <c r="D136" s="144" t="s">
        <v>4363</v>
      </c>
      <c r="H136" s="3060"/>
      <c r="I136" s="3061"/>
      <c r="J136" s="3062"/>
      <c r="K136" s="262" t="s">
        <v>1665</v>
      </c>
      <c r="L136" s="3060"/>
      <c r="M136" s="3104"/>
      <c r="N136" s="3105"/>
      <c r="O136" s="259" t="s">
        <v>3054</v>
      </c>
      <c r="P136" s="261"/>
      <c r="Q136" s="3123"/>
      <c r="R136" s="3124"/>
      <c r="S136" s="3125"/>
      <c r="Z136" s="1608">
        <v>136</v>
      </c>
    </row>
    <row r="137" spans="3:26" s="144" customFormat="1" ht="11.25" hidden="1" customHeight="1">
      <c r="C137" s="243"/>
      <c r="D137" s="260"/>
      <c r="E137" s="246" t="s">
        <v>4114</v>
      </c>
      <c r="F137" s="247"/>
      <c r="H137" s="3126"/>
      <c r="I137" s="3127"/>
      <c r="J137" s="3128"/>
      <c r="K137" s="3129"/>
      <c r="L137" s="3127"/>
      <c r="M137" s="3127"/>
      <c r="N137" s="3130"/>
      <c r="O137" s="259" t="s">
        <v>574</v>
      </c>
      <c r="P137" s="261"/>
      <c r="Q137" s="3131"/>
      <c r="R137" s="3132"/>
      <c r="S137" s="3133"/>
      <c r="Z137" s="1608">
        <v>137</v>
      </c>
    </row>
    <row r="138" spans="3:26" s="144" customFormat="1" ht="11.25" hidden="1" customHeight="1">
      <c r="C138" s="243"/>
      <c r="D138" s="260"/>
      <c r="E138" s="246" t="s">
        <v>1666</v>
      </c>
      <c r="H138" s="1190"/>
      <c r="I138" s="661" t="s">
        <v>2055</v>
      </c>
      <c r="J138" s="3134"/>
      <c r="K138" s="3113"/>
      <c r="L138" s="262" t="s">
        <v>1836</v>
      </c>
      <c r="M138" s="3102"/>
      <c r="N138" s="3031"/>
      <c r="O138" s="3031"/>
      <c r="P138" s="3031"/>
      <c r="Q138" s="3055"/>
      <c r="R138" s="3055"/>
      <c r="S138" s="3103"/>
      <c r="Z138" s="1608">
        <v>138</v>
      </c>
    </row>
    <row r="139" spans="3:26" ht="2.25" hidden="1" customHeight="1">
      <c r="C139" s="253"/>
      <c r="H139" s="271"/>
      <c r="I139" s="271"/>
      <c r="J139" s="271"/>
      <c r="K139" s="271"/>
      <c r="L139" s="271"/>
      <c r="M139" s="271"/>
      <c r="N139" s="271"/>
      <c r="O139" s="271"/>
      <c r="P139" s="271"/>
      <c r="Q139" s="271"/>
      <c r="R139" s="271"/>
      <c r="S139" s="271"/>
      <c r="Z139" s="1608">
        <v>139</v>
      </c>
    </row>
    <row r="140" spans="3:26" s="144" customFormat="1" ht="11.25" hidden="1" customHeight="1">
      <c r="C140" s="1581"/>
      <c r="D140" s="144" t="s">
        <v>4364</v>
      </c>
      <c r="H140" s="3060"/>
      <c r="I140" s="3061"/>
      <c r="J140" s="3062"/>
      <c r="K140" s="262" t="s">
        <v>1665</v>
      </c>
      <c r="L140" s="3060"/>
      <c r="M140" s="3104"/>
      <c r="N140" s="3105"/>
      <c r="O140" s="259" t="s">
        <v>3054</v>
      </c>
      <c r="P140" s="261"/>
      <c r="Q140" s="3123"/>
      <c r="R140" s="3124"/>
      <c r="S140" s="3125"/>
      <c r="Z140" s="1608">
        <v>140</v>
      </c>
    </row>
    <row r="141" spans="3:26" s="144" customFormat="1" ht="11.25" hidden="1" customHeight="1">
      <c r="C141" s="243"/>
      <c r="D141" s="260"/>
      <c r="E141" s="246" t="s">
        <v>4114</v>
      </c>
      <c r="F141" s="247"/>
      <c r="H141" s="3126"/>
      <c r="I141" s="3127"/>
      <c r="J141" s="3128"/>
      <c r="K141" s="3129"/>
      <c r="L141" s="3127"/>
      <c r="M141" s="3127"/>
      <c r="N141" s="3130"/>
      <c r="O141" s="259" t="s">
        <v>574</v>
      </c>
      <c r="P141" s="261"/>
      <c r="Q141" s="3131"/>
      <c r="R141" s="3132"/>
      <c r="S141" s="3133"/>
      <c r="Z141" s="1608">
        <v>141</v>
      </c>
    </row>
    <row r="142" spans="3:26" s="144" customFormat="1" ht="11.25" hidden="1" customHeight="1">
      <c r="C142" s="243"/>
      <c r="D142" s="260"/>
      <c r="E142" s="246" t="s">
        <v>1666</v>
      </c>
      <c r="H142" s="1190"/>
      <c r="I142" s="661" t="s">
        <v>2055</v>
      </c>
      <c r="J142" s="3134"/>
      <c r="K142" s="3113"/>
      <c r="L142" s="262" t="s">
        <v>1836</v>
      </c>
      <c r="M142" s="3102"/>
      <c r="N142" s="3031"/>
      <c r="O142" s="3031"/>
      <c r="P142" s="3031"/>
      <c r="Q142" s="3055"/>
      <c r="R142" s="3055"/>
      <c r="S142" s="3103"/>
      <c r="Z142" s="1608">
        <v>142</v>
      </c>
    </row>
    <row r="143" spans="3:26" ht="2.25" hidden="1" customHeight="1">
      <c r="C143" s="253"/>
      <c r="H143" s="271"/>
      <c r="I143" s="271"/>
      <c r="J143" s="271"/>
      <c r="K143" s="271"/>
      <c r="L143" s="271"/>
      <c r="M143" s="271"/>
      <c r="N143" s="271"/>
      <c r="O143" s="271"/>
      <c r="P143" s="271"/>
      <c r="Q143" s="271"/>
      <c r="R143" s="271"/>
      <c r="S143" s="271"/>
      <c r="Z143" s="1608">
        <v>143</v>
      </c>
    </row>
    <row r="144" spans="3:26" s="144" customFormat="1" ht="11.25" customHeight="1">
      <c r="C144" s="1581" t="s">
        <v>1840</v>
      </c>
      <c r="D144" s="144" t="s">
        <v>4358</v>
      </c>
      <c r="H144" s="3060"/>
      <c r="I144" s="3061"/>
      <c r="J144" s="3062"/>
      <c r="K144" s="262" t="s">
        <v>1665</v>
      </c>
      <c r="L144" s="3060"/>
      <c r="M144" s="3104"/>
      <c r="N144" s="3105"/>
      <c r="O144" s="259" t="s">
        <v>3054</v>
      </c>
      <c r="P144" s="261"/>
      <c r="Q144" s="3123"/>
      <c r="R144" s="3124"/>
      <c r="S144" s="3125"/>
      <c r="Z144" s="1608">
        <v>144</v>
      </c>
    </row>
    <row r="145" spans="1:26" s="144" customFormat="1" ht="11.25" customHeight="1">
      <c r="C145" s="243"/>
      <c r="D145" s="260"/>
      <c r="E145" s="246" t="s">
        <v>4114</v>
      </c>
      <c r="F145" s="247"/>
      <c r="H145" s="3126"/>
      <c r="I145" s="3127"/>
      <c r="J145" s="3128"/>
      <c r="K145" s="3129"/>
      <c r="L145" s="3127"/>
      <c r="M145" s="3127"/>
      <c r="N145" s="3130"/>
      <c r="O145" s="259" t="s">
        <v>574</v>
      </c>
      <c r="P145" s="261"/>
      <c r="Q145" s="3131"/>
      <c r="R145" s="3132"/>
      <c r="S145" s="3133"/>
      <c r="Z145" s="1608">
        <v>145</v>
      </c>
    </row>
    <row r="146" spans="1:26" s="144" customFormat="1" ht="11.25" customHeight="1">
      <c r="C146" s="243"/>
      <c r="D146" s="260"/>
      <c r="E146" s="246" t="s">
        <v>1666</v>
      </c>
      <c r="H146" s="1190"/>
      <c r="I146" s="661" t="s">
        <v>2055</v>
      </c>
      <c r="J146" s="3134"/>
      <c r="K146" s="3113"/>
      <c r="L146" s="262" t="s">
        <v>1836</v>
      </c>
      <c r="M146" s="3102"/>
      <c r="N146" s="3031"/>
      <c r="O146" s="3031"/>
      <c r="P146" s="3031"/>
      <c r="Q146" s="3055"/>
      <c r="R146" s="3055"/>
      <c r="S146" s="3103"/>
      <c r="Z146" s="1608">
        <v>146</v>
      </c>
    </row>
    <row r="147" spans="1:26" ht="2.25" customHeight="1">
      <c r="C147" s="253"/>
      <c r="H147" s="271"/>
      <c r="I147" s="271"/>
      <c r="J147" s="271"/>
      <c r="K147" s="271"/>
      <c r="L147" s="271"/>
      <c r="M147" s="271"/>
      <c r="N147" s="271"/>
      <c r="O147" s="271"/>
      <c r="P147" s="271"/>
      <c r="Q147" s="271"/>
      <c r="R147" s="271"/>
      <c r="S147" s="271"/>
      <c r="Z147" s="1608">
        <v>147</v>
      </c>
    </row>
    <row r="148" spans="1:26" s="144" customFormat="1" ht="11.25" customHeight="1">
      <c r="C148" s="1581" t="s">
        <v>2325</v>
      </c>
      <c r="D148" s="144" t="s">
        <v>4359</v>
      </c>
      <c r="H148" s="3060"/>
      <c r="I148" s="3061"/>
      <c r="J148" s="3062"/>
      <c r="K148" s="262" t="s">
        <v>1665</v>
      </c>
      <c r="L148" s="3060"/>
      <c r="M148" s="3104"/>
      <c r="N148" s="3105"/>
      <c r="O148" s="259" t="s">
        <v>3054</v>
      </c>
      <c r="P148" s="261"/>
      <c r="Q148" s="3123"/>
      <c r="R148" s="3124"/>
      <c r="S148" s="3125"/>
      <c r="Z148" s="1608">
        <v>148</v>
      </c>
    </row>
    <row r="149" spans="1:26" s="144" customFormat="1" ht="11.25" customHeight="1">
      <c r="D149" s="260"/>
      <c r="E149" s="246" t="s">
        <v>4114</v>
      </c>
      <c r="F149" s="247"/>
      <c r="H149" s="3126"/>
      <c r="I149" s="3127"/>
      <c r="J149" s="3128"/>
      <c r="K149" s="3129"/>
      <c r="L149" s="3127"/>
      <c r="M149" s="3127"/>
      <c r="N149" s="3130"/>
      <c r="O149" s="259" t="s">
        <v>574</v>
      </c>
      <c r="P149" s="261"/>
      <c r="Q149" s="3131"/>
      <c r="R149" s="3132"/>
      <c r="S149" s="3133"/>
      <c r="Z149" s="1608">
        <v>149</v>
      </c>
    </row>
    <row r="150" spans="1:26" s="144" customFormat="1" ht="11.25" customHeight="1">
      <c r="D150" s="260"/>
      <c r="E150" s="246" t="s">
        <v>1666</v>
      </c>
      <c r="H150" s="1190"/>
      <c r="I150" s="661" t="s">
        <v>2055</v>
      </c>
      <c r="J150" s="3134"/>
      <c r="K150" s="3113"/>
      <c r="L150" s="262" t="s">
        <v>1836</v>
      </c>
      <c r="M150" s="3102"/>
      <c r="N150" s="3031"/>
      <c r="O150" s="3031"/>
      <c r="P150" s="3031"/>
      <c r="Q150" s="3055"/>
      <c r="R150" s="3055"/>
      <c r="S150" s="3103"/>
      <c r="Z150" s="1608">
        <v>150</v>
      </c>
    </row>
    <row r="151" spans="1:26" ht="6" customHeight="1">
      <c r="H151" s="271"/>
      <c r="I151" s="271"/>
      <c r="J151" s="271"/>
      <c r="K151" s="271"/>
      <c r="L151" s="271"/>
      <c r="M151" s="271"/>
      <c r="N151" s="271"/>
      <c r="O151" s="271"/>
      <c r="P151" s="271"/>
      <c r="Q151" s="271"/>
      <c r="R151" s="271"/>
      <c r="S151" s="271"/>
      <c r="Z151" s="1608">
        <v>151</v>
      </c>
    </row>
    <row r="152" spans="1:26" ht="12" customHeight="1">
      <c r="B152" s="243" t="s">
        <v>1837</v>
      </c>
      <c r="C152" s="243" t="s">
        <v>3755</v>
      </c>
      <c r="H152" s="478"/>
      <c r="I152" s="478"/>
      <c r="J152" s="478"/>
      <c r="K152" s="478"/>
      <c r="L152" s="478"/>
      <c r="M152" s="478"/>
      <c r="N152" s="478"/>
      <c r="O152" s="478"/>
      <c r="P152" s="478"/>
      <c r="Q152" s="478"/>
      <c r="R152" s="478"/>
      <c r="S152" s="478"/>
      <c r="Z152" s="1608">
        <v>152</v>
      </c>
    </row>
    <row r="153" spans="1:26" ht="14.4" thickBot="1">
      <c r="A153" s="3194" t="s">
        <v>3210</v>
      </c>
      <c r="B153" s="3194"/>
      <c r="C153" s="3194"/>
      <c r="D153" s="3194"/>
      <c r="E153" s="3194"/>
      <c r="H153" s="1192" t="s">
        <v>2301</v>
      </c>
      <c r="I153" s="3188" t="s">
        <v>4405</v>
      </c>
      <c r="J153" s="3189"/>
      <c r="K153" s="3189"/>
      <c r="L153" s="3189"/>
      <c r="M153" s="3189"/>
      <c r="N153" s="3189"/>
      <c r="O153" s="3189"/>
      <c r="P153" s="3189"/>
      <c r="Q153" s="3189"/>
      <c r="R153" s="3189"/>
      <c r="S153" s="3190"/>
      <c r="Z153" s="1608">
        <v>153</v>
      </c>
    </row>
    <row r="154" spans="1:26" s="144" customFormat="1" ht="15" customHeight="1" thickBot="1">
      <c r="B154" s="474" t="s">
        <v>1838</v>
      </c>
      <c r="C154" s="256" t="s">
        <v>2512</v>
      </c>
      <c r="E154" s="256"/>
      <c r="H154" s="1151" t="s">
        <v>3713</v>
      </c>
      <c r="I154" s="3093"/>
      <c r="J154" s="3094"/>
      <c r="K154" s="3094"/>
      <c r="L154" s="3094"/>
      <c r="M154" s="3094"/>
      <c r="N154" s="3094"/>
      <c r="O154" s="3094"/>
      <c r="P154" s="3094"/>
      <c r="Q154" s="3094"/>
      <c r="R154" s="3094"/>
      <c r="S154" s="3095"/>
      <c r="U154" s="3024" t="s">
        <v>1877</v>
      </c>
      <c r="V154" s="3024"/>
      <c r="Z154" s="1608">
        <v>154</v>
      </c>
    </row>
    <row r="155" spans="1:26" s="144" customFormat="1" ht="15" customHeight="1" thickBot="1">
      <c r="B155" s="474" t="s">
        <v>1840</v>
      </c>
      <c r="C155" s="256" t="s">
        <v>4112</v>
      </c>
      <c r="E155" s="256"/>
      <c r="H155" s="1151" t="s">
        <v>3713</v>
      </c>
      <c r="I155" s="3090"/>
      <c r="J155" s="3091"/>
      <c r="K155" s="3091"/>
      <c r="L155" s="3091"/>
      <c r="M155" s="3091"/>
      <c r="N155" s="3091"/>
      <c r="O155" s="3091"/>
      <c r="P155" s="3091"/>
      <c r="Q155" s="3091"/>
      <c r="R155" s="3091"/>
      <c r="S155" s="3092"/>
      <c r="U155" s="3024"/>
      <c r="V155" s="3024"/>
      <c r="Z155" s="1608">
        <v>155</v>
      </c>
    </row>
    <row r="156" spans="1:26" s="144" customFormat="1" ht="15" customHeight="1" thickBot="1">
      <c r="B156" s="474" t="s">
        <v>2325</v>
      </c>
      <c r="C156" s="256" t="s">
        <v>2548</v>
      </c>
      <c r="E156" s="256"/>
      <c r="H156" s="1151" t="s">
        <v>3713</v>
      </c>
      <c r="I156" s="3090"/>
      <c r="J156" s="3091"/>
      <c r="K156" s="3091"/>
      <c r="L156" s="3091"/>
      <c r="M156" s="3091"/>
      <c r="N156" s="3091"/>
      <c r="O156" s="3091"/>
      <c r="P156" s="3091"/>
      <c r="Q156" s="3091"/>
      <c r="R156" s="3091"/>
      <c r="S156" s="3092"/>
      <c r="U156" s="3024"/>
      <c r="V156" s="3024"/>
      <c r="Z156" s="1608">
        <v>156</v>
      </c>
    </row>
    <row r="157" spans="1:26" s="144" customFormat="1" ht="15" customHeight="1" thickBot="1">
      <c r="B157" s="474" t="s">
        <v>1149</v>
      </c>
      <c r="C157" s="256" t="s">
        <v>2513</v>
      </c>
      <c r="E157" s="256"/>
      <c r="H157" s="1151" t="s">
        <v>3713</v>
      </c>
      <c r="I157" s="3090"/>
      <c r="J157" s="3091"/>
      <c r="K157" s="3091"/>
      <c r="L157" s="3091"/>
      <c r="M157" s="3091"/>
      <c r="N157" s="3091"/>
      <c r="O157" s="3091"/>
      <c r="P157" s="3091"/>
      <c r="Q157" s="3091"/>
      <c r="R157" s="3091"/>
      <c r="S157" s="3092"/>
      <c r="U157" s="3024"/>
      <c r="V157" s="3024"/>
      <c r="Z157" s="1608">
        <v>157</v>
      </c>
    </row>
    <row r="158" spans="1:26" s="144" customFormat="1" ht="15" customHeight="1" thickBot="1">
      <c r="B158" s="474" t="s">
        <v>1150</v>
      </c>
      <c r="C158" s="256" t="s">
        <v>2989</v>
      </c>
      <c r="E158" s="256"/>
      <c r="H158" s="1151" t="s">
        <v>3713</v>
      </c>
      <c r="I158" s="3090"/>
      <c r="J158" s="3091"/>
      <c r="K158" s="3091"/>
      <c r="L158" s="3091"/>
      <c r="M158" s="3091"/>
      <c r="N158" s="3091"/>
      <c r="O158" s="3091"/>
      <c r="P158" s="3091"/>
      <c r="Q158" s="3091"/>
      <c r="R158" s="3091"/>
      <c r="S158" s="3092"/>
      <c r="U158" s="3024"/>
      <c r="V158" s="3024"/>
      <c r="Z158" s="1608">
        <v>158</v>
      </c>
    </row>
    <row r="159" spans="1:26" s="144" customFormat="1" ht="15" customHeight="1" thickBot="1">
      <c r="B159" s="474" t="s">
        <v>1736</v>
      </c>
      <c r="C159" s="256" t="s">
        <v>2990</v>
      </c>
      <c r="E159" s="256"/>
      <c r="H159" s="1151" t="s">
        <v>3713</v>
      </c>
      <c r="I159" s="3090"/>
      <c r="J159" s="3091"/>
      <c r="K159" s="3091"/>
      <c r="L159" s="3091"/>
      <c r="M159" s="3091"/>
      <c r="N159" s="3091"/>
      <c r="O159" s="3091"/>
      <c r="P159" s="3091"/>
      <c r="Q159" s="3091"/>
      <c r="R159" s="3091"/>
      <c r="S159" s="3092"/>
      <c r="U159" s="3024"/>
      <c r="V159" s="3024"/>
      <c r="Z159" s="1608">
        <v>159</v>
      </c>
    </row>
    <row r="160" spans="1:26" s="144" customFormat="1" ht="15" customHeight="1" thickBot="1">
      <c r="B160" s="474" t="s">
        <v>472</v>
      </c>
      <c r="C160" s="256" t="s">
        <v>2514</v>
      </c>
      <c r="E160" s="256"/>
      <c r="H160" s="1151" t="s">
        <v>3713</v>
      </c>
      <c r="I160" s="3090"/>
      <c r="J160" s="3091"/>
      <c r="K160" s="3091"/>
      <c r="L160" s="3091"/>
      <c r="M160" s="3091"/>
      <c r="N160" s="3091"/>
      <c r="O160" s="3091"/>
      <c r="P160" s="3091"/>
      <c r="Q160" s="3091"/>
      <c r="R160" s="3091"/>
      <c r="S160" s="3092"/>
      <c r="Z160" s="1608">
        <v>160</v>
      </c>
    </row>
    <row r="161" spans="1:26" s="144" customFormat="1" ht="15" customHeight="1" thickBot="1">
      <c r="B161" s="474" t="s">
        <v>473</v>
      </c>
      <c r="C161" s="256" t="s">
        <v>3764</v>
      </c>
      <c r="E161" s="256"/>
      <c r="H161" s="1151" t="s">
        <v>3713</v>
      </c>
      <c r="I161" s="3090"/>
      <c r="J161" s="3091"/>
      <c r="K161" s="3091"/>
      <c r="L161" s="3091"/>
      <c r="M161" s="3091"/>
      <c r="N161" s="3091"/>
      <c r="O161" s="3091"/>
      <c r="P161" s="3091"/>
      <c r="Q161" s="3091"/>
      <c r="R161" s="3091"/>
      <c r="S161" s="3092"/>
      <c r="Z161" s="1608">
        <v>161</v>
      </c>
    </row>
    <row r="162" spans="1:26" s="144" customFormat="1" ht="15" customHeight="1" thickBot="1">
      <c r="B162" s="474" t="s">
        <v>3763</v>
      </c>
      <c r="C162" s="3191" t="s">
        <v>4365</v>
      </c>
      <c r="D162" s="3192"/>
      <c r="E162" s="3192"/>
      <c r="F162" s="3192"/>
      <c r="G162" s="3193"/>
      <c r="H162" s="1151" t="s">
        <v>3713</v>
      </c>
      <c r="I162" s="3087"/>
      <c r="J162" s="3088"/>
      <c r="K162" s="3088"/>
      <c r="L162" s="3088"/>
      <c r="M162" s="3088"/>
      <c r="N162" s="3088"/>
      <c r="O162" s="3088"/>
      <c r="P162" s="3088"/>
      <c r="Q162" s="3088"/>
      <c r="R162" s="3088"/>
      <c r="S162" s="3089"/>
      <c r="Z162" s="1608">
        <v>162</v>
      </c>
    </row>
    <row r="163" spans="1:26" s="144" customFormat="1" ht="13.35" customHeight="1">
      <c r="A163" s="243" t="s">
        <v>1661</v>
      </c>
      <c r="B163" s="243" t="s">
        <v>2517</v>
      </c>
      <c r="F163" s="243"/>
      <c r="G163" s="248"/>
      <c r="H163" s="248"/>
      <c r="I163" s="248"/>
      <c r="J163" s="248"/>
      <c r="K163" s="248"/>
      <c r="L163" s="248"/>
      <c r="M163" s="248"/>
      <c r="N163" s="248"/>
      <c r="O163" s="248"/>
      <c r="P163" s="248"/>
      <c r="Q163" s="248"/>
      <c r="Z163" s="1608">
        <v>163</v>
      </c>
    </row>
    <row r="164" spans="1:26" s="144" customFormat="1" ht="2.25" customHeight="1">
      <c r="A164" s="243"/>
      <c r="B164" s="243"/>
      <c r="F164" s="243"/>
      <c r="G164" s="248"/>
      <c r="H164" s="248"/>
      <c r="I164" s="248"/>
      <c r="J164" s="248"/>
      <c r="K164" s="248"/>
      <c r="L164" s="248"/>
      <c r="M164" s="248"/>
      <c r="N164" s="248"/>
      <c r="O164" s="248"/>
      <c r="P164" s="248"/>
      <c r="Q164" s="248"/>
      <c r="Z164" s="1608">
        <v>164</v>
      </c>
    </row>
    <row r="165" spans="1:26" ht="13.35" customHeight="1">
      <c r="B165" s="243" t="s">
        <v>697</v>
      </c>
      <c r="C165" s="243" t="s">
        <v>3756</v>
      </c>
      <c r="Z165" s="1608">
        <v>165</v>
      </c>
    </row>
    <row r="166" spans="1:26" s="144" customFormat="1" ht="12.75" customHeight="1">
      <c r="A166" s="3156" t="s">
        <v>593</v>
      </c>
      <c r="B166" s="3157"/>
      <c r="C166" s="3157"/>
      <c r="D166" s="3157"/>
      <c r="E166" s="3162" t="s">
        <v>2978</v>
      </c>
      <c r="F166" s="3163"/>
      <c r="G166" s="3163"/>
      <c r="H166" s="3163"/>
      <c r="I166" s="3164"/>
      <c r="J166" s="3168" t="s">
        <v>2979</v>
      </c>
      <c r="K166" s="3171" t="s">
        <v>2570</v>
      </c>
      <c r="L166" s="3171" t="s">
        <v>2571</v>
      </c>
      <c r="M166" s="3174" t="s">
        <v>4366</v>
      </c>
      <c r="N166" s="3175"/>
      <c r="O166" s="3175"/>
      <c r="P166" s="3175"/>
      <c r="Q166" s="3175"/>
      <c r="R166" s="3175"/>
      <c r="S166" s="3176"/>
      <c r="Z166" s="1608">
        <v>166</v>
      </c>
    </row>
    <row r="167" spans="1:26" s="144" customFormat="1" ht="12.75" customHeight="1">
      <c r="A167" s="3158"/>
      <c r="B167" s="3159"/>
      <c r="C167" s="3159"/>
      <c r="D167" s="3159"/>
      <c r="E167" s="3165"/>
      <c r="F167" s="3166"/>
      <c r="G167" s="3166"/>
      <c r="H167" s="3166"/>
      <c r="I167" s="3167"/>
      <c r="J167" s="3169"/>
      <c r="K167" s="3172"/>
      <c r="L167" s="3172"/>
      <c r="M167" s="3177"/>
      <c r="N167" s="3178"/>
      <c r="O167" s="3178"/>
      <c r="P167" s="3178"/>
      <c r="Q167" s="3178"/>
      <c r="R167" s="3178"/>
      <c r="S167" s="3179"/>
      <c r="Z167" s="1608">
        <v>167</v>
      </c>
    </row>
    <row r="168" spans="1:26" s="144" customFormat="1" ht="12.75" customHeight="1">
      <c r="A168" s="3158"/>
      <c r="B168" s="3159"/>
      <c r="C168" s="3159"/>
      <c r="D168" s="3159"/>
      <c r="E168" s="3165"/>
      <c r="F168" s="3166"/>
      <c r="G168" s="3166"/>
      <c r="H168" s="3166"/>
      <c r="I168" s="3167"/>
      <c r="J168" s="3169"/>
      <c r="K168" s="3172"/>
      <c r="L168" s="3172"/>
      <c r="M168" s="3177"/>
      <c r="N168" s="3178"/>
      <c r="O168" s="3178"/>
      <c r="P168" s="3178"/>
      <c r="Q168" s="3178"/>
      <c r="R168" s="3178"/>
      <c r="S168" s="3179"/>
      <c r="Z168" s="1608">
        <v>168</v>
      </c>
    </row>
    <row r="169" spans="1:26" s="144" customFormat="1" ht="12.75" customHeight="1">
      <c r="A169" s="3158"/>
      <c r="B169" s="3159"/>
      <c r="C169" s="3159"/>
      <c r="D169" s="3159"/>
      <c r="E169" s="3180" t="s">
        <v>3131</v>
      </c>
      <c r="F169" s="3181"/>
      <c r="G169" s="3181"/>
      <c r="H169" s="3182"/>
      <c r="I169" s="479"/>
      <c r="J169" s="3169"/>
      <c r="K169" s="3172"/>
      <c r="L169" s="3172"/>
      <c r="M169" s="3177"/>
      <c r="N169" s="3178"/>
      <c r="O169" s="3178"/>
      <c r="P169" s="3178"/>
      <c r="Q169" s="3178"/>
      <c r="R169" s="3178"/>
      <c r="S169" s="3179"/>
      <c r="Z169" s="1608">
        <v>169</v>
      </c>
    </row>
    <row r="170" spans="1:26" s="144" customFormat="1" ht="13.5" customHeight="1">
      <c r="A170" s="3160"/>
      <c r="B170" s="3161"/>
      <c r="C170" s="3161"/>
      <c r="D170" s="3161"/>
      <c r="E170" s="3183"/>
      <c r="F170" s="3184"/>
      <c r="G170" s="3184"/>
      <c r="H170" s="3185"/>
      <c r="I170" s="1152" t="s">
        <v>2301</v>
      </c>
      <c r="J170" s="3170"/>
      <c r="K170" s="3173"/>
      <c r="L170" s="3172"/>
      <c r="M170" s="1153" t="s">
        <v>2301</v>
      </c>
      <c r="N170" s="3186" t="s">
        <v>2569</v>
      </c>
      <c r="O170" s="3186"/>
      <c r="P170" s="3186"/>
      <c r="Q170" s="3186"/>
      <c r="R170" s="3186"/>
      <c r="S170" s="3187"/>
      <c r="Z170" s="1608">
        <v>170</v>
      </c>
    </row>
    <row r="171" spans="1:26" s="144" customFormat="1" ht="23.25" customHeight="1">
      <c r="A171" s="3151" t="s">
        <v>2973</v>
      </c>
      <c r="B171" s="3152"/>
      <c r="C171" s="3152"/>
      <c r="D171" s="3153"/>
      <c r="E171" s="3154"/>
      <c r="F171" s="3094"/>
      <c r="G171" s="3094"/>
      <c r="H171" s="3094"/>
      <c r="I171" s="632" t="s">
        <v>3713</v>
      </c>
      <c r="J171" s="475" t="s">
        <v>3713</v>
      </c>
      <c r="K171" s="475"/>
      <c r="L171" s="635"/>
      <c r="M171" s="480" t="s">
        <v>3713</v>
      </c>
      <c r="N171" s="3155"/>
      <c r="O171" s="3094"/>
      <c r="P171" s="3094"/>
      <c r="Q171" s="3094"/>
      <c r="R171" s="3094"/>
      <c r="S171" s="3095"/>
      <c r="Z171" s="1608">
        <v>171</v>
      </c>
    </row>
    <row r="172" spans="1:26" s="144" customFormat="1" ht="23.25" customHeight="1">
      <c r="A172" s="3146" t="s">
        <v>2974</v>
      </c>
      <c r="B172" s="3147"/>
      <c r="C172" s="3147"/>
      <c r="D172" s="3148"/>
      <c r="E172" s="3149"/>
      <c r="F172" s="3091"/>
      <c r="G172" s="3091"/>
      <c r="H172" s="3091"/>
      <c r="I172" s="633" t="s">
        <v>3713</v>
      </c>
      <c r="J172" s="476" t="s">
        <v>3713</v>
      </c>
      <c r="K172" s="476"/>
      <c r="L172" s="636"/>
      <c r="M172" s="481" t="s">
        <v>3713</v>
      </c>
      <c r="N172" s="3150"/>
      <c r="O172" s="3091"/>
      <c r="P172" s="3091"/>
      <c r="Q172" s="3091"/>
      <c r="R172" s="3091"/>
      <c r="S172" s="3092"/>
      <c r="U172" s="3024" t="s">
        <v>1877</v>
      </c>
      <c r="V172" s="3024"/>
      <c r="Z172" s="1608">
        <v>172</v>
      </c>
    </row>
    <row r="173" spans="1:26" s="144" customFormat="1" ht="23.25" customHeight="1">
      <c r="A173" s="3146" t="s">
        <v>2975</v>
      </c>
      <c r="B173" s="3147"/>
      <c r="C173" s="3147"/>
      <c r="D173" s="3148"/>
      <c r="E173" s="3149"/>
      <c r="F173" s="3091"/>
      <c r="G173" s="3091"/>
      <c r="H173" s="3091"/>
      <c r="I173" s="633" t="s">
        <v>3713</v>
      </c>
      <c r="J173" s="476" t="s">
        <v>3713</v>
      </c>
      <c r="K173" s="476"/>
      <c r="L173" s="636"/>
      <c r="M173" s="481" t="s">
        <v>3713</v>
      </c>
      <c r="N173" s="3150"/>
      <c r="O173" s="3091"/>
      <c r="P173" s="3091"/>
      <c r="Q173" s="3091"/>
      <c r="R173" s="3091"/>
      <c r="S173" s="3092"/>
      <c r="U173" s="3024"/>
      <c r="V173" s="3024"/>
      <c r="Z173" s="1608">
        <v>173</v>
      </c>
    </row>
    <row r="174" spans="1:26" s="144" customFormat="1" ht="23.25" customHeight="1">
      <c r="A174" s="3146" t="s">
        <v>2976</v>
      </c>
      <c r="B174" s="3147"/>
      <c r="C174" s="3147"/>
      <c r="D174" s="3148"/>
      <c r="E174" s="3149"/>
      <c r="F174" s="3091"/>
      <c r="G174" s="3091"/>
      <c r="H174" s="3091"/>
      <c r="I174" s="633" t="s">
        <v>3713</v>
      </c>
      <c r="J174" s="476" t="s">
        <v>3713</v>
      </c>
      <c r="K174" s="476"/>
      <c r="L174" s="636"/>
      <c r="M174" s="481" t="s">
        <v>3713</v>
      </c>
      <c r="N174" s="3150"/>
      <c r="O174" s="3091"/>
      <c r="P174" s="3091"/>
      <c r="Q174" s="3091"/>
      <c r="R174" s="3091"/>
      <c r="S174" s="3092"/>
      <c r="U174" s="3024"/>
      <c r="V174" s="3024"/>
      <c r="Z174" s="1608">
        <v>174</v>
      </c>
    </row>
    <row r="175" spans="1:26" s="144" customFormat="1" ht="23.25" customHeight="1">
      <c r="A175" s="3146" t="s">
        <v>2977</v>
      </c>
      <c r="B175" s="3147"/>
      <c r="C175" s="3147"/>
      <c r="D175" s="3148"/>
      <c r="E175" s="3149"/>
      <c r="F175" s="3091"/>
      <c r="G175" s="3091"/>
      <c r="H175" s="3091"/>
      <c r="I175" s="633" t="s">
        <v>3713</v>
      </c>
      <c r="J175" s="476" t="s">
        <v>3713</v>
      </c>
      <c r="K175" s="476"/>
      <c r="L175" s="636"/>
      <c r="M175" s="481" t="s">
        <v>3713</v>
      </c>
      <c r="N175" s="3150"/>
      <c r="O175" s="3091"/>
      <c r="P175" s="3091"/>
      <c r="Q175" s="3091"/>
      <c r="R175" s="3091"/>
      <c r="S175" s="3092"/>
      <c r="U175" s="3024"/>
      <c r="V175" s="3024"/>
      <c r="Z175" s="1608">
        <v>175</v>
      </c>
    </row>
    <row r="176" spans="1:26" s="144" customFormat="1" ht="23.25" customHeight="1">
      <c r="A176" s="3146" t="s">
        <v>2560</v>
      </c>
      <c r="B176" s="3147"/>
      <c r="C176" s="3147"/>
      <c r="D176" s="3148"/>
      <c r="E176" s="3149"/>
      <c r="F176" s="3091"/>
      <c r="G176" s="3091"/>
      <c r="H176" s="3091"/>
      <c r="I176" s="633" t="s">
        <v>3713</v>
      </c>
      <c r="J176" s="476" t="s">
        <v>3713</v>
      </c>
      <c r="K176" s="476"/>
      <c r="L176" s="636"/>
      <c r="M176" s="481" t="s">
        <v>3713</v>
      </c>
      <c r="N176" s="3150"/>
      <c r="O176" s="3091"/>
      <c r="P176" s="3091"/>
      <c r="Q176" s="3091"/>
      <c r="R176" s="3091"/>
      <c r="S176" s="3092"/>
      <c r="U176" s="3024"/>
      <c r="V176" s="3024"/>
      <c r="Z176" s="1608">
        <v>176</v>
      </c>
    </row>
    <row r="177" spans="1:26" s="144" customFormat="1" ht="23.25" customHeight="1">
      <c r="A177" s="3146" t="s">
        <v>606</v>
      </c>
      <c r="B177" s="3147"/>
      <c r="C177" s="3147"/>
      <c r="D177" s="3148"/>
      <c r="E177" s="3149"/>
      <c r="F177" s="3091"/>
      <c r="G177" s="3091"/>
      <c r="H177" s="3091"/>
      <c r="I177" s="633" t="s">
        <v>3713</v>
      </c>
      <c r="J177" s="476" t="s">
        <v>3713</v>
      </c>
      <c r="K177" s="476"/>
      <c r="L177" s="636"/>
      <c r="M177" s="481" t="s">
        <v>3713</v>
      </c>
      <c r="N177" s="3150"/>
      <c r="O177" s="3091"/>
      <c r="P177" s="3091"/>
      <c r="Q177" s="3091"/>
      <c r="R177" s="3091"/>
      <c r="S177" s="3092"/>
      <c r="U177" s="3024"/>
      <c r="V177" s="3024"/>
      <c r="Z177" s="1608">
        <v>177</v>
      </c>
    </row>
    <row r="178" spans="1:26" s="144" customFormat="1" ht="23.25" customHeight="1">
      <c r="A178" s="3146" t="s">
        <v>2561</v>
      </c>
      <c r="B178" s="3147"/>
      <c r="C178" s="3147"/>
      <c r="D178" s="3148"/>
      <c r="E178" s="3149"/>
      <c r="F178" s="3091"/>
      <c r="G178" s="3091"/>
      <c r="H178" s="3091"/>
      <c r="I178" s="633" t="s">
        <v>3713</v>
      </c>
      <c r="J178" s="476" t="s">
        <v>3713</v>
      </c>
      <c r="K178" s="476"/>
      <c r="L178" s="636"/>
      <c r="M178" s="481" t="s">
        <v>3713</v>
      </c>
      <c r="N178" s="3150"/>
      <c r="O178" s="3091"/>
      <c r="P178" s="3091"/>
      <c r="Q178" s="3091"/>
      <c r="R178" s="3091"/>
      <c r="S178" s="3092"/>
      <c r="Z178" s="1608">
        <v>178</v>
      </c>
    </row>
    <row r="179" spans="1:26" s="144" customFormat="1" ht="23.25" customHeight="1">
      <c r="A179" s="3146" t="s">
        <v>2562</v>
      </c>
      <c r="B179" s="3147"/>
      <c r="C179" s="3147"/>
      <c r="D179" s="3148"/>
      <c r="E179" s="3149"/>
      <c r="F179" s="3091"/>
      <c r="G179" s="3091"/>
      <c r="H179" s="3091"/>
      <c r="I179" s="633" t="s">
        <v>3713</v>
      </c>
      <c r="J179" s="476" t="s">
        <v>3713</v>
      </c>
      <c r="K179" s="476"/>
      <c r="L179" s="636"/>
      <c r="M179" s="481" t="s">
        <v>3713</v>
      </c>
      <c r="N179" s="3150"/>
      <c r="O179" s="3091"/>
      <c r="P179" s="3091"/>
      <c r="Q179" s="3091"/>
      <c r="R179" s="3091"/>
      <c r="S179" s="3092"/>
      <c r="Z179" s="1608">
        <v>179</v>
      </c>
    </row>
    <row r="180" spans="1:26" s="144" customFormat="1" ht="23.25" customHeight="1">
      <c r="A180" s="3146" t="s">
        <v>2564</v>
      </c>
      <c r="B180" s="3147"/>
      <c r="C180" s="3147"/>
      <c r="D180" s="3148"/>
      <c r="E180" s="3149"/>
      <c r="F180" s="3091"/>
      <c r="G180" s="3091"/>
      <c r="H180" s="3091"/>
      <c r="I180" s="633" t="s">
        <v>3713</v>
      </c>
      <c r="J180" s="476" t="s">
        <v>3713</v>
      </c>
      <c r="K180" s="476"/>
      <c r="L180" s="636"/>
      <c r="M180" s="481" t="s">
        <v>3713</v>
      </c>
      <c r="N180" s="3150"/>
      <c r="O180" s="3091"/>
      <c r="P180" s="3091"/>
      <c r="Q180" s="3091"/>
      <c r="R180" s="3091"/>
      <c r="S180" s="3092"/>
      <c r="Z180" s="1608">
        <v>180</v>
      </c>
    </row>
    <row r="181" spans="1:26" s="144" customFormat="1" ht="23.25" customHeight="1">
      <c r="A181" s="3146" t="s">
        <v>2563</v>
      </c>
      <c r="B181" s="3147"/>
      <c r="C181" s="3147"/>
      <c r="D181" s="3148"/>
      <c r="E181" s="3149"/>
      <c r="F181" s="3091"/>
      <c r="G181" s="3091"/>
      <c r="H181" s="3091"/>
      <c r="I181" s="633" t="s">
        <v>3713</v>
      </c>
      <c r="J181" s="476" t="s">
        <v>3713</v>
      </c>
      <c r="K181" s="476"/>
      <c r="L181" s="636"/>
      <c r="M181" s="481" t="s">
        <v>3713</v>
      </c>
      <c r="N181" s="3150"/>
      <c r="O181" s="3091"/>
      <c r="P181" s="3091"/>
      <c r="Q181" s="3091"/>
      <c r="R181" s="3091"/>
      <c r="S181" s="3092"/>
      <c r="Z181" s="1608">
        <v>181</v>
      </c>
    </row>
    <row r="182" spans="1:26" s="144" customFormat="1" ht="23.25" customHeight="1">
      <c r="A182" s="3146" t="s">
        <v>1429</v>
      </c>
      <c r="B182" s="3147"/>
      <c r="C182" s="3147"/>
      <c r="D182" s="3148"/>
      <c r="E182" s="3149"/>
      <c r="F182" s="3091"/>
      <c r="G182" s="3091"/>
      <c r="H182" s="3091"/>
      <c r="I182" s="633" t="s">
        <v>3713</v>
      </c>
      <c r="J182" s="476" t="s">
        <v>3713</v>
      </c>
      <c r="K182" s="476"/>
      <c r="L182" s="636"/>
      <c r="M182" s="481" t="s">
        <v>3713</v>
      </c>
      <c r="N182" s="3150"/>
      <c r="O182" s="3091"/>
      <c r="P182" s="3091"/>
      <c r="Q182" s="3091"/>
      <c r="R182" s="3091"/>
      <c r="S182" s="3092"/>
      <c r="Z182" s="1608">
        <v>182</v>
      </c>
    </row>
    <row r="183" spans="1:26" s="144" customFormat="1" ht="23.25" customHeight="1">
      <c r="A183" s="3135" t="s">
        <v>2565</v>
      </c>
      <c r="B183" s="3136"/>
      <c r="C183" s="3136"/>
      <c r="D183" s="3137"/>
      <c r="E183" s="3138"/>
      <c r="F183" s="3088"/>
      <c r="G183" s="3088"/>
      <c r="H183" s="3088"/>
      <c r="I183" s="634" t="s">
        <v>3713</v>
      </c>
      <c r="J183" s="477" t="s">
        <v>3713</v>
      </c>
      <c r="K183" s="477"/>
      <c r="L183" s="637"/>
      <c r="M183" s="482" t="s">
        <v>3713</v>
      </c>
      <c r="N183" s="3139"/>
      <c r="O183" s="3088"/>
      <c r="P183" s="3088"/>
      <c r="Q183" s="3088"/>
      <c r="R183" s="3088"/>
      <c r="S183" s="3089"/>
      <c r="Z183" s="1608">
        <v>183</v>
      </c>
    </row>
    <row r="184" spans="1:26" s="144" customFormat="1" ht="12" customHeight="1">
      <c r="G184" s="243"/>
      <c r="H184" s="243"/>
      <c r="I184" s="243"/>
      <c r="J184" s="248"/>
      <c r="K184" s="254" t="s">
        <v>503</v>
      </c>
      <c r="L184" s="428">
        <f>SUM(L171:L183)</f>
        <v>0</v>
      </c>
      <c r="M184" s="248"/>
      <c r="P184" s="145"/>
      <c r="Z184" s="1608">
        <v>184</v>
      </c>
    </row>
    <row r="185" spans="1:26" ht="11.25" customHeight="1">
      <c r="A185" s="253" t="s">
        <v>495</v>
      </c>
      <c r="B185" s="253"/>
      <c r="C185" s="253" t="s">
        <v>529</v>
      </c>
      <c r="N185" s="253" t="s">
        <v>495</v>
      </c>
      <c r="O185" s="253" t="s">
        <v>74</v>
      </c>
      <c r="Z185" s="1608">
        <v>185</v>
      </c>
    </row>
    <row r="186" spans="1:26" ht="105.75" customHeight="1">
      <c r="A186" s="3140"/>
      <c r="B186" s="3141"/>
      <c r="C186" s="3141"/>
      <c r="D186" s="3141"/>
      <c r="E186" s="3141"/>
      <c r="F186" s="3141"/>
      <c r="G186" s="3141"/>
      <c r="H186" s="3141"/>
      <c r="I186" s="3141"/>
      <c r="J186" s="3141"/>
      <c r="K186" s="3141"/>
      <c r="L186" s="3141"/>
      <c r="M186" s="3142"/>
      <c r="N186" s="3143"/>
      <c r="O186" s="3144"/>
      <c r="P186" s="3144"/>
      <c r="Q186" s="3144"/>
      <c r="R186" s="3144"/>
      <c r="S186" s="3145"/>
      <c r="T186" s="3024" t="s">
        <v>2444</v>
      </c>
      <c r="U186" s="3024"/>
      <c r="V186" s="3024"/>
      <c r="W186" s="3024"/>
      <c r="X186" s="3024"/>
      <c r="Z186" s="1608">
        <v>186</v>
      </c>
    </row>
    <row r="187" spans="1:26" s="144" customFormat="1" ht="12" customHeight="1">
      <c r="A187" s="222"/>
      <c r="B187" s="145"/>
      <c r="C187" s="145"/>
      <c r="D187" s="145"/>
      <c r="E187" s="145"/>
      <c r="F187" s="145"/>
      <c r="G187" s="145"/>
      <c r="H187" s="145"/>
      <c r="I187" s="145"/>
      <c r="J187" s="145"/>
      <c r="K187" s="145"/>
      <c r="L187" s="145"/>
      <c r="M187" s="145"/>
      <c r="N187" s="145"/>
      <c r="O187" s="145"/>
      <c r="T187" s="3024"/>
      <c r="U187" s="3024"/>
      <c r="V187" s="3024"/>
      <c r="W187" s="3024"/>
      <c r="X187" s="3024"/>
      <c r="Z187" s="1608"/>
    </row>
    <row r="188" spans="1:26" s="144" customFormat="1" ht="12" customHeight="1">
      <c r="A188" s="374"/>
      <c r="B188" s="145"/>
      <c r="C188" s="145"/>
      <c r="D188" s="145"/>
      <c r="E188" s="145"/>
      <c r="F188" s="145"/>
      <c r="G188" s="145"/>
      <c r="H188" s="145"/>
      <c r="I188" s="145"/>
      <c r="J188" s="145"/>
      <c r="K188" s="145"/>
      <c r="L188" s="145"/>
      <c r="M188" s="145"/>
      <c r="N188" s="145"/>
      <c r="O188" s="145"/>
      <c r="Z188" s="1608"/>
    </row>
    <row r="189" spans="1:26" s="144" customFormat="1" ht="12" customHeight="1">
      <c r="A189" s="222"/>
      <c r="B189" s="145"/>
      <c r="C189" s="145"/>
      <c r="D189" s="145"/>
      <c r="E189" s="145"/>
      <c r="F189" s="145"/>
      <c r="G189" s="145"/>
      <c r="H189" s="145"/>
      <c r="I189" s="145"/>
      <c r="J189" s="145"/>
      <c r="K189" s="145"/>
      <c r="L189" s="145"/>
      <c r="M189" s="145"/>
      <c r="N189" s="145"/>
      <c r="O189" s="145"/>
      <c r="Z189" s="1608"/>
    </row>
    <row r="190" spans="1:26" s="144" customFormat="1" ht="12" customHeight="1">
      <c r="A190" s="222"/>
      <c r="B190" s="145"/>
      <c r="C190" s="145"/>
      <c r="D190" s="145"/>
      <c r="E190" s="145"/>
      <c r="F190" s="145"/>
      <c r="G190" s="145"/>
      <c r="H190" s="145"/>
      <c r="I190" s="145"/>
      <c r="J190" s="145"/>
      <c r="K190" s="145"/>
      <c r="L190" s="145"/>
      <c r="M190" s="145"/>
      <c r="N190" s="145"/>
      <c r="O190" s="145"/>
      <c r="Z190" s="160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0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0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0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0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08"/>
    </row>
    <row r="196" spans="1:26" s="144" customFormat="1" ht="12" customHeight="1">
      <c r="B196" s="145"/>
      <c r="C196" s="145"/>
      <c r="D196" s="145"/>
      <c r="E196" s="145"/>
      <c r="F196" s="145"/>
      <c r="G196" s="145"/>
      <c r="H196" s="145"/>
      <c r="I196" s="145"/>
      <c r="J196" s="145"/>
      <c r="K196" s="145"/>
      <c r="L196" s="145"/>
      <c r="M196" s="145"/>
      <c r="N196" s="145"/>
      <c r="O196" s="145"/>
      <c r="P196" s="275" t="s">
        <v>784</v>
      </c>
      <c r="Z196" s="1608"/>
    </row>
    <row r="197" spans="1:26" s="144" customFormat="1" ht="12" customHeight="1">
      <c r="B197" s="145"/>
      <c r="C197" s="145"/>
      <c r="D197" s="145"/>
      <c r="E197" s="145"/>
      <c r="F197" s="145"/>
      <c r="G197" s="145"/>
      <c r="H197" s="145"/>
      <c r="I197" s="145"/>
      <c r="J197" s="145"/>
      <c r="K197" s="145"/>
      <c r="L197" s="145"/>
      <c r="M197" s="145"/>
      <c r="N197" s="145"/>
      <c r="O197" s="145"/>
      <c r="P197" s="275" t="s">
        <v>785</v>
      </c>
      <c r="Z197" s="1608"/>
    </row>
    <row r="198" spans="1:26" s="144" customFormat="1" ht="12" customHeight="1">
      <c r="B198" s="145"/>
      <c r="C198" s="145"/>
      <c r="D198" s="145"/>
      <c r="E198" s="145"/>
      <c r="F198" s="145"/>
      <c r="G198" s="145"/>
      <c r="H198" s="145"/>
      <c r="I198" s="145"/>
      <c r="J198" s="145"/>
      <c r="K198" s="145"/>
      <c r="L198" s="145"/>
      <c r="M198" s="145"/>
      <c r="N198" s="145"/>
      <c r="O198" s="145"/>
      <c r="P198" s="275" t="s">
        <v>786</v>
      </c>
      <c r="Z198" s="1608"/>
    </row>
    <row r="199" spans="1:26" s="144" customFormat="1" ht="12" customHeight="1">
      <c r="B199" s="145"/>
      <c r="C199" s="145"/>
      <c r="D199" s="145"/>
      <c r="E199" s="145"/>
      <c r="F199" s="145"/>
      <c r="G199" s="145"/>
      <c r="H199" s="145"/>
      <c r="I199" s="145"/>
      <c r="J199" s="145"/>
      <c r="K199" s="145"/>
      <c r="L199" s="145"/>
      <c r="M199" s="145"/>
      <c r="N199" s="145"/>
      <c r="O199" s="145"/>
      <c r="P199" s="275" t="s">
        <v>787</v>
      </c>
      <c r="Z199" s="160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6" t="s">
        <v>673</v>
      </c>
      <c r="B2" s="4957"/>
      <c r="C2" s="4957"/>
      <c r="D2" s="4957"/>
      <c r="E2" s="4957"/>
      <c r="F2" s="4957"/>
      <c r="G2" s="4957"/>
      <c r="H2" s="4957"/>
      <c r="I2" s="4957"/>
      <c r="J2" s="4957"/>
      <c r="K2" s="4957"/>
      <c r="L2" s="4957"/>
      <c r="M2" s="4957"/>
      <c r="N2" s="4957"/>
      <c r="O2" s="4957"/>
      <c r="P2" s="4957"/>
      <c r="Q2" s="4957"/>
      <c r="R2" s="495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2694</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4748</v>
      </c>
      <c r="B7" s="225"/>
      <c r="C7" s="147"/>
      <c r="D7" s="147"/>
      <c r="E7" s="144"/>
      <c r="F7" s="147" t="s">
        <v>4749</v>
      </c>
      <c r="G7" s="147"/>
      <c r="H7" s="144"/>
      <c r="I7" s="144"/>
      <c r="J7" s="147" t="s">
        <v>4750</v>
      </c>
      <c r="K7" s="147"/>
      <c r="L7" s="147" t="s">
        <v>4751</v>
      </c>
      <c r="M7" s="147"/>
      <c r="N7" s="147"/>
      <c r="O7" s="147"/>
      <c r="P7" s="144"/>
      <c r="Q7" s="235">
        <v>0</v>
      </c>
      <c r="R7" s="203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4747</v>
      </c>
      <c r="B9" s="147"/>
      <c r="C9" s="147"/>
      <c r="D9" s="144"/>
      <c r="E9" s="144"/>
      <c r="F9" s="147" t="s">
        <v>4749</v>
      </c>
      <c r="G9" s="147"/>
      <c r="H9" s="144"/>
      <c r="I9" s="144"/>
      <c r="J9" s="147" t="s">
        <v>4752</v>
      </c>
      <c r="K9" s="147"/>
      <c r="L9" s="147" t="s">
        <v>4760</v>
      </c>
      <c r="M9" s="147"/>
      <c r="N9" s="147"/>
      <c r="O9" s="147"/>
      <c r="P9" s="144"/>
      <c r="Q9" s="235">
        <v>0</v>
      </c>
      <c r="R9" s="2039">
        <v>2</v>
      </c>
      <c r="S9" s="144"/>
      <c r="U9" s="144"/>
      <c r="V9" s="699"/>
      <c r="W9" s="699"/>
      <c r="X9" s="148"/>
      <c r="AA9" s="68"/>
      <c r="AB9" s="68"/>
    </row>
    <row r="10" spans="1:28" s="145" customFormat="1" ht="11.7" customHeight="1">
      <c r="A10" s="229"/>
      <c r="B10" s="147"/>
      <c r="C10" s="147"/>
      <c r="D10" s="144"/>
      <c r="E10" s="144"/>
      <c r="F10" s="147"/>
      <c r="G10" s="147"/>
      <c r="H10" s="144"/>
      <c r="I10" s="144"/>
      <c r="J10" s="147" t="s">
        <v>4753</v>
      </c>
      <c r="K10" s="147"/>
      <c r="L10" s="147" t="s">
        <v>4760</v>
      </c>
      <c r="M10" s="147"/>
      <c r="N10" s="147"/>
      <c r="O10" s="147"/>
      <c r="P10" s="144"/>
      <c r="Q10" s="235">
        <v>0</v>
      </c>
      <c r="R10" s="2039">
        <v>1</v>
      </c>
      <c r="S10" s="144"/>
      <c r="U10" s="144"/>
      <c r="V10" s="699"/>
      <c r="W10" s="699"/>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699"/>
      <c r="W11" s="699"/>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53" t="s">
        <v>4759</v>
      </c>
      <c r="R12" s="2053" t="s">
        <v>4758</v>
      </c>
      <c r="S12" s="147"/>
      <c r="U12" s="144"/>
      <c r="V12" s="699"/>
      <c r="W12" s="699"/>
      <c r="X12" s="148"/>
      <c r="AA12" s="68"/>
      <c r="AB12" s="68"/>
    </row>
    <row r="13" spans="1:28" s="145" customFormat="1" ht="11.7" customHeight="1">
      <c r="A13" s="229"/>
      <c r="B13" s="147"/>
      <c r="C13" s="147"/>
      <c r="D13" s="144"/>
      <c r="E13" s="144"/>
      <c r="F13" s="147" t="s">
        <v>477</v>
      </c>
      <c r="G13" s="147"/>
      <c r="H13" s="144"/>
      <c r="I13" s="144"/>
      <c r="J13" s="147" t="s">
        <v>4138</v>
      </c>
      <c r="K13" s="147"/>
      <c r="L13" s="147" t="s">
        <v>4746</v>
      </c>
      <c r="M13" s="147"/>
      <c r="N13" s="147" t="s">
        <v>4754</v>
      </c>
      <c r="O13" s="147"/>
      <c r="P13" s="144"/>
      <c r="Q13" s="2039">
        <v>1300000</v>
      </c>
      <c r="R13" s="2039">
        <v>1350000</v>
      </c>
      <c r="S13" s="144"/>
      <c r="U13" s="144"/>
      <c r="V13" s="699"/>
      <c r="W13" s="699"/>
      <c r="X13" s="148"/>
      <c r="AA13" s="68"/>
      <c r="AB13" s="68"/>
    </row>
    <row r="14" spans="1:28" s="145" customFormat="1" ht="11.7" customHeight="1">
      <c r="A14" s="229"/>
      <c r="B14" s="147"/>
      <c r="C14" s="147"/>
      <c r="D14" s="144"/>
      <c r="E14" s="144"/>
      <c r="F14" s="147"/>
      <c r="G14" s="147"/>
      <c r="H14" s="144"/>
      <c r="I14" s="144"/>
      <c r="J14" s="147"/>
      <c r="K14" s="147"/>
      <c r="L14" s="147"/>
      <c r="M14" s="147"/>
      <c r="N14" s="147" t="s">
        <v>4755</v>
      </c>
      <c r="O14" s="147"/>
      <c r="P14" s="144"/>
      <c r="Q14" s="2029">
        <v>1170000</v>
      </c>
      <c r="R14" s="2029">
        <v>1215000</v>
      </c>
      <c r="S14" s="144"/>
      <c r="U14" s="144"/>
      <c r="V14" s="699"/>
      <c r="W14" s="699"/>
      <c r="X14" s="148"/>
      <c r="AA14" s="68"/>
      <c r="AB14" s="68"/>
    </row>
    <row r="15" spans="1:28" s="145" customFormat="1" ht="11.7" customHeight="1">
      <c r="A15" s="229"/>
      <c r="B15" s="147"/>
      <c r="C15" s="147"/>
      <c r="D15" s="144"/>
      <c r="E15" s="144"/>
      <c r="F15" s="147"/>
      <c r="G15" s="147"/>
      <c r="H15" s="144"/>
      <c r="I15" s="144"/>
      <c r="J15" s="147"/>
      <c r="K15" s="147"/>
      <c r="L15" s="147" t="s">
        <v>4756</v>
      </c>
      <c r="M15" s="147"/>
      <c r="N15" s="147"/>
      <c r="O15" s="147"/>
      <c r="P15" s="144"/>
      <c r="Q15" s="2029">
        <v>1225000</v>
      </c>
      <c r="R15" s="2029">
        <v>1270000</v>
      </c>
      <c r="S15" s="144"/>
      <c r="U15" s="144"/>
      <c r="V15" s="699"/>
      <c r="W15" s="699"/>
      <c r="X15" s="148"/>
      <c r="AA15" s="68"/>
      <c r="AB15" s="68"/>
    </row>
    <row r="16" spans="1:28" s="145" customFormat="1" ht="11.7" customHeight="1">
      <c r="A16" s="229"/>
      <c r="B16" s="147"/>
      <c r="C16" s="147"/>
      <c r="D16" s="144"/>
      <c r="E16" s="144"/>
      <c r="F16" s="147"/>
      <c r="G16" s="147"/>
      <c r="H16" s="144"/>
      <c r="I16" s="144"/>
      <c r="J16" s="147"/>
      <c r="K16" s="147"/>
      <c r="L16" s="147" t="s">
        <v>4757</v>
      </c>
      <c r="M16" s="147"/>
      <c r="N16" s="147"/>
      <c r="O16" s="147"/>
      <c r="P16" s="147"/>
      <c r="Q16" s="2029">
        <v>1105000</v>
      </c>
      <c r="R16" s="2029">
        <v>1145000</v>
      </c>
      <c r="S16" s="147"/>
      <c r="U16" s="144"/>
      <c r="V16" s="699"/>
      <c r="W16" s="699"/>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2694</v>
      </c>
      <c r="R17" s="148" t="s">
        <v>1606</v>
      </c>
      <c r="S17" s="147"/>
      <c r="U17" s="144"/>
      <c r="V17" s="699"/>
      <c r="W17" s="699"/>
      <c r="X17" s="148"/>
      <c r="AA17" s="68"/>
      <c r="AB17" s="68"/>
    </row>
    <row r="18" spans="1:28" s="145" customFormat="1" ht="11.7" customHeight="1">
      <c r="A18" s="229"/>
      <c r="B18" s="147"/>
      <c r="C18" s="147"/>
      <c r="D18" s="144"/>
      <c r="E18" s="144"/>
      <c r="F18" s="147"/>
      <c r="G18" s="147"/>
      <c r="H18" s="144"/>
      <c r="I18" s="144"/>
      <c r="J18" s="147" t="s">
        <v>4761</v>
      </c>
      <c r="K18" s="147"/>
      <c r="L18" s="147" t="s">
        <v>4763</v>
      </c>
      <c r="M18" s="147"/>
      <c r="N18" s="147"/>
      <c r="O18" s="147"/>
      <c r="P18" s="147"/>
      <c r="Q18" s="2029" t="s">
        <v>4762</v>
      </c>
      <c r="R18" s="2029">
        <v>40000000</v>
      </c>
      <c r="S18" s="144"/>
      <c r="U18" s="144"/>
      <c r="V18" s="699"/>
      <c r="W18" s="699"/>
      <c r="X18" s="148"/>
      <c r="AA18" s="68"/>
      <c r="AB18" s="68"/>
    </row>
    <row r="19" spans="1:28" s="145" customFormat="1" ht="11.7" customHeight="1">
      <c r="A19" s="229"/>
      <c r="B19" s="147"/>
      <c r="C19" s="147"/>
      <c r="D19" s="144"/>
      <c r="E19" s="144"/>
      <c r="F19" s="147"/>
      <c r="G19" s="147"/>
      <c r="H19" s="144"/>
      <c r="I19" s="144"/>
      <c r="J19" s="147"/>
      <c r="K19" s="147"/>
      <c r="L19" s="902" t="s">
        <v>4768</v>
      </c>
      <c r="M19" s="147"/>
      <c r="N19" s="147"/>
      <c r="O19" s="147"/>
      <c r="P19" s="147"/>
      <c r="Q19" s="147"/>
      <c r="R19" s="147"/>
      <c r="S19" s="144"/>
      <c r="U19" s="144"/>
      <c r="V19" s="699"/>
      <c r="W19" s="699"/>
      <c r="X19" s="148"/>
      <c r="AA19" s="68"/>
      <c r="AB19" s="68"/>
    </row>
    <row r="20" spans="1:28" s="145" customFormat="1" ht="11.7" customHeight="1">
      <c r="A20" s="147"/>
      <c r="B20" s="147"/>
      <c r="C20" s="147"/>
      <c r="D20" s="144"/>
      <c r="E20" s="144"/>
      <c r="L20" s="236" t="s">
        <v>4769</v>
      </c>
      <c r="O20" s="147"/>
      <c r="Q20" s="819" t="s">
        <v>905</v>
      </c>
      <c r="R20" s="204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699"/>
      <c r="W21" s="699"/>
      <c r="X21" s="148"/>
      <c r="AA21" s="68"/>
      <c r="AB21" s="68"/>
    </row>
    <row r="22" spans="1:28" s="145" customFormat="1" ht="11.4" hidden="1" customHeight="1">
      <c r="F22" s="147" t="s">
        <v>2211</v>
      </c>
      <c r="G22" s="147"/>
      <c r="H22" s="144"/>
      <c r="I22" s="144"/>
      <c r="J22" s="147" t="s">
        <v>1635</v>
      </c>
      <c r="K22" s="147"/>
      <c r="L22" s="147"/>
      <c r="M22" s="147"/>
      <c r="N22" s="147"/>
      <c r="O22" s="147"/>
      <c r="P22" s="144"/>
      <c r="Q22" s="1892">
        <v>1000000</v>
      </c>
      <c r="R22" s="1892">
        <v>2000000</v>
      </c>
      <c r="S22" s="230"/>
      <c r="T22" s="230"/>
      <c r="U22" s="144"/>
      <c r="V22" s="321"/>
      <c r="W22" s="321"/>
      <c r="X22" s="321"/>
      <c r="AA22" s="68"/>
      <c r="AB22" s="68"/>
    </row>
    <row r="23" spans="1:28" s="145" customFormat="1" ht="11.4" hidden="1" customHeight="1">
      <c r="F23" s="147"/>
      <c r="G23" s="147"/>
      <c r="H23" s="144"/>
      <c r="I23" s="144"/>
      <c r="J23" s="147" t="s">
        <v>2192</v>
      </c>
      <c r="K23" s="147"/>
      <c r="L23" s="147"/>
      <c r="M23" s="147"/>
      <c r="N23" s="147"/>
      <c r="O23" s="147"/>
      <c r="P23" s="144"/>
      <c r="Q23" s="820" t="s">
        <v>1607</v>
      </c>
      <c r="R23" s="1891">
        <v>0.25</v>
      </c>
      <c r="S23" s="144"/>
      <c r="T23" s="144"/>
      <c r="U23" s="144"/>
      <c r="V23" s="699"/>
      <c r="W23" s="699"/>
      <c r="X23" s="148"/>
      <c r="AA23" s="68"/>
      <c r="AB23" s="68"/>
    </row>
    <row r="24" spans="1:28" s="145" customFormat="1" ht="11.25" hidden="1" customHeight="1">
      <c r="A24" s="147"/>
      <c r="B24" s="147"/>
      <c r="C24" s="147"/>
      <c r="D24" s="144"/>
      <c r="E24" s="144"/>
      <c r="F24" s="147" t="s">
        <v>3072</v>
      </c>
      <c r="G24" s="147"/>
      <c r="H24" s="144"/>
      <c r="I24" s="144"/>
      <c r="J24" s="441" t="s">
        <v>3073</v>
      </c>
      <c r="K24" s="234"/>
      <c r="M24" s="234"/>
      <c r="N24" s="234"/>
      <c r="O24" s="147"/>
      <c r="Q24" s="4959" t="s">
        <v>4506</v>
      </c>
      <c r="R24" s="4960"/>
      <c r="S24" s="241"/>
      <c r="T24" s="144"/>
      <c r="U24" s="144"/>
      <c r="V24" s="321"/>
      <c r="W24" s="321"/>
      <c r="X24" s="321"/>
      <c r="AA24" s="68"/>
      <c r="AB24" s="68"/>
    </row>
    <row r="25" spans="1:28" s="145" customFormat="1" ht="11.25" hidden="1" customHeight="1">
      <c r="A25" s="147"/>
      <c r="B25" s="147"/>
      <c r="C25" s="147"/>
      <c r="D25" s="144"/>
      <c r="E25" s="144"/>
      <c r="F25" s="147" t="s">
        <v>3788</v>
      </c>
      <c r="G25" s="147"/>
      <c r="H25" s="144"/>
      <c r="I25" s="144"/>
      <c r="J25" s="441" t="s">
        <v>3055</v>
      </c>
      <c r="K25" s="234"/>
      <c r="M25" s="234"/>
      <c r="N25" s="234"/>
      <c r="O25" s="147"/>
      <c r="Q25" s="4961">
        <v>0.1</v>
      </c>
      <c r="R25" s="4962"/>
      <c r="S25" s="241"/>
      <c r="T25" s="144"/>
      <c r="U25" s="144"/>
      <c r="V25" s="321"/>
      <c r="W25" s="321"/>
      <c r="X25" s="321"/>
      <c r="AA25" s="68"/>
      <c r="AB25" s="68"/>
    </row>
    <row r="26" spans="1:28" s="145" customFormat="1" ht="12.75" hidden="1" customHeight="1">
      <c r="A26" s="147"/>
      <c r="B26" s="147"/>
      <c r="C26" s="147"/>
      <c r="J26" s="1755" t="s">
        <v>2456</v>
      </c>
      <c r="K26" s="236"/>
      <c r="L26" s="236"/>
      <c r="N26" s="234"/>
      <c r="O26" s="147"/>
      <c r="Q26" s="4963" t="s">
        <v>3779</v>
      </c>
      <c r="R26" s="4963"/>
      <c r="S26" s="144"/>
      <c r="T26" s="144"/>
      <c r="U26" s="144"/>
      <c r="AA26" s="68"/>
      <c r="AB26" s="68"/>
    </row>
    <row r="27" spans="1:28" s="145" customFormat="1" ht="12.75" hidden="1" customHeight="1">
      <c r="A27" s="147"/>
      <c r="B27" s="147"/>
      <c r="C27" s="147"/>
      <c r="K27" s="236" t="s">
        <v>3780</v>
      </c>
      <c r="L27" s="236"/>
      <c r="N27" s="234"/>
      <c r="O27" s="147"/>
      <c r="P27" s="144"/>
      <c r="Q27" s="4964">
        <v>0.2</v>
      </c>
      <c r="R27" s="4965"/>
      <c r="S27" s="144"/>
      <c r="T27" s="144"/>
      <c r="U27" s="144"/>
      <c r="AA27" s="68"/>
      <c r="AB27" s="68"/>
    </row>
    <row r="28" spans="1:28" s="145" customFormat="1" ht="12.75" hidden="1" customHeight="1">
      <c r="A28" s="147"/>
      <c r="B28" s="147"/>
      <c r="C28" s="147"/>
      <c r="K28" s="236" t="s">
        <v>3781</v>
      </c>
      <c r="L28" s="236"/>
      <c r="N28" s="234"/>
      <c r="O28" s="147"/>
      <c r="P28" s="144"/>
      <c r="Q28" s="4948">
        <v>0.15</v>
      </c>
      <c r="R28" s="4949"/>
      <c r="S28" s="144"/>
      <c r="T28" s="144"/>
      <c r="U28" s="144"/>
      <c r="AA28" s="68"/>
      <c r="AB28" s="68"/>
    </row>
    <row r="29" spans="1:28" s="145" customFormat="1" ht="12.75" hidden="1" customHeight="1">
      <c r="A29" s="147"/>
      <c r="B29" s="147"/>
      <c r="C29" s="147"/>
      <c r="K29" s="236" t="s">
        <v>3782</v>
      </c>
      <c r="L29" s="236"/>
      <c r="N29" s="234"/>
      <c r="O29" s="147"/>
      <c r="P29" s="144"/>
      <c r="Q29" s="4948">
        <v>0.15</v>
      </c>
      <c r="R29" s="4949"/>
      <c r="S29" s="144"/>
      <c r="T29" s="144"/>
      <c r="U29" s="144"/>
      <c r="AA29" s="68"/>
      <c r="AB29" s="68"/>
    </row>
    <row r="30" spans="1:28" s="145" customFormat="1" ht="12.75" hidden="1" customHeight="1">
      <c r="A30" s="147"/>
      <c r="B30" s="147"/>
      <c r="C30" s="147"/>
      <c r="K30" s="236" t="s">
        <v>3783</v>
      </c>
      <c r="L30" s="236"/>
      <c r="N30" s="234"/>
      <c r="O30" s="147"/>
      <c r="P30" s="144"/>
      <c r="Q30" s="4948">
        <v>0.1</v>
      </c>
      <c r="R30" s="4949"/>
      <c r="S30" s="144"/>
      <c r="T30" s="144"/>
      <c r="U30" s="144"/>
      <c r="AA30" s="68"/>
      <c r="AB30" s="68"/>
    </row>
    <row r="31" spans="1:28" s="145" customFormat="1" ht="12.75" hidden="1" customHeight="1">
      <c r="A31" s="147"/>
      <c r="B31" s="147"/>
      <c r="C31" s="147"/>
      <c r="K31" s="236" t="s">
        <v>3784</v>
      </c>
      <c r="L31" s="236"/>
      <c r="N31" s="234"/>
      <c r="O31" s="147"/>
      <c r="P31" s="144"/>
      <c r="Q31" s="4950">
        <v>0.1</v>
      </c>
      <c r="R31" s="4951"/>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2694</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3095</v>
      </c>
      <c r="H36" s="144"/>
      <c r="I36" s="144"/>
      <c r="J36" s="147" t="s">
        <v>1430</v>
      </c>
      <c r="K36" s="147"/>
      <c r="L36" s="147"/>
      <c r="M36" s="147"/>
      <c r="N36" s="147"/>
      <c r="O36" s="147"/>
      <c r="P36" s="144"/>
      <c r="Q36" s="2045">
        <v>5000</v>
      </c>
      <c r="R36" s="2043" t="s">
        <v>1607</v>
      </c>
      <c r="S36" s="236"/>
      <c r="AA36" s="68"/>
      <c r="AB36" s="68"/>
    </row>
    <row r="37" spans="1:28" s="145" customFormat="1" ht="11.7" customHeight="1">
      <c r="A37" s="144"/>
      <c r="B37" s="147"/>
      <c r="C37" s="147"/>
      <c r="D37" s="144"/>
      <c r="E37" s="144"/>
      <c r="F37" s="147"/>
      <c r="G37" s="147" t="s">
        <v>3094</v>
      </c>
      <c r="H37" s="144"/>
      <c r="I37" s="144"/>
      <c r="J37" s="147" t="s">
        <v>1430</v>
      </c>
      <c r="K37" s="147"/>
      <c r="L37" s="147"/>
      <c r="M37" s="147"/>
      <c r="N37" s="147"/>
      <c r="O37" s="147"/>
      <c r="P37" s="144"/>
      <c r="Q37" s="2046">
        <v>4500</v>
      </c>
      <c r="R37" s="2044" t="s">
        <v>1607</v>
      </c>
      <c r="S37" s="236"/>
      <c r="AA37" s="68"/>
      <c r="AB37" s="68"/>
    </row>
    <row r="38" spans="1:28" s="145" customFormat="1" ht="11.7" customHeight="1">
      <c r="A38" s="144"/>
      <c r="B38" s="147"/>
      <c r="C38" s="147"/>
      <c r="D38" s="144"/>
      <c r="E38" s="144"/>
      <c r="F38" s="147" t="s">
        <v>2385</v>
      </c>
      <c r="G38" s="147" t="s">
        <v>2394</v>
      </c>
      <c r="H38" s="144"/>
      <c r="I38" s="144"/>
      <c r="J38" s="147" t="s">
        <v>1430</v>
      </c>
      <c r="K38" s="147"/>
      <c r="L38" s="147"/>
      <c r="M38" s="147"/>
      <c r="N38" s="147"/>
      <c r="O38" s="147"/>
      <c r="P38" s="144"/>
      <c r="Q38" s="2045">
        <v>3750</v>
      </c>
      <c r="R38" s="2043" t="s">
        <v>1607</v>
      </c>
      <c r="S38" s="236"/>
      <c r="AA38" s="68"/>
      <c r="AB38" s="68"/>
    </row>
    <row r="39" spans="1:28" s="145" customFormat="1" ht="11.7" customHeight="1">
      <c r="A39" s="147"/>
      <c r="B39" s="147"/>
      <c r="C39" s="147"/>
      <c r="D39" s="144"/>
      <c r="E39" s="144"/>
      <c r="G39" s="147" t="s">
        <v>2393</v>
      </c>
      <c r="H39" s="144"/>
      <c r="I39" s="144"/>
      <c r="J39" s="147" t="s">
        <v>1430</v>
      </c>
      <c r="K39" s="147"/>
      <c r="L39" s="147"/>
      <c r="M39" s="147"/>
      <c r="N39" s="147"/>
      <c r="O39" s="147"/>
      <c r="P39" s="144"/>
      <c r="Q39" s="2047">
        <v>3250</v>
      </c>
      <c r="R39" s="2048" t="s">
        <v>1607</v>
      </c>
      <c r="S39" s="236"/>
      <c r="AA39" s="68"/>
      <c r="AB39" s="68"/>
    </row>
    <row r="40" spans="1:28" s="145" customFormat="1" ht="11.7" customHeight="1">
      <c r="A40" s="147"/>
      <c r="B40" s="147"/>
      <c r="C40" s="147"/>
      <c r="D40" s="144"/>
      <c r="E40" s="144"/>
      <c r="G40" s="147" t="s">
        <v>3227</v>
      </c>
      <c r="H40" s="144"/>
      <c r="I40" s="144"/>
      <c r="J40" s="147" t="s">
        <v>1430</v>
      </c>
      <c r="K40" s="147"/>
      <c r="L40" s="147"/>
      <c r="M40" s="147"/>
      <c r="N40" s="147"/>
      <c r="O40" s="147"/>
      <c r="P40" s="144"/>
      <c r="Q40" s="2046" t="s">
        <v>2842</v>
      </c>
      <c r="R40" s="204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45">
        <v>400</v>
      </c>
      <c r="R41" s="204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47">
        <v>300</v>
      </c>
      <c r="R42" s="2048" t="s">
        <v>1607</v>
      </c>
      <c r="S42" s="236"/>
      <c r="T42" s="236"/>
      <c r="U42" s="236"/>
      <c r="AA42" s="68"/>
      <c r="AB42" s="68"/>
    </row>
    <row r="43" spans="1:28" s="145" customFormat="1" ht="11.7" customHeight="1">
      <c r="A43" s="147"/>
      <c r="B43" s="147"/>
      <c r="C43" s="147"/>
      <c r="D43" s="147"/>
      <c r="E43" s="144"/>
      <c r="F43" s="147" t="s">
        <v>2969</v>
      </c>
      <c r="G43" s="147"/>
      <c r="H43" s="144"/>
      <c r="I43" s="144"/>
      <c r="J43" s="147" t="s">
        <v>1430</v>
      </c>
      <c r="K43" s="147"/>
      <c r="L43" s="147"/>
      <c r="M43" s="147"/>
      <c r="N43" s="147"/>
      <c r="O43" s="147"/>
      <c r="P43" s="144"/>
      <c r="Q43" s="2047">
        <v>470</v>
      </c>
      <c r="R43" s="204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46">
        <v>420</v>
      </c>
      <c r="R44" s="204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3202</v>
      </c>
      <c r="K47" s="147"/>
      <c r="L47" s="147"/>
      <c r="M47" s="147"/>
      <c r="N47" s="147"/>
      <c r="O47" s="147"/>
      <c r="P47" s="144"/>
      <c r="Q47" s="2039">
        <v>35000</v>
      </c>
      <c r="R47" s="235" t="s">
        <v>476</v>
      </c>
      <c r="S47" s="236"/>
      <c r="T47" s="236"/>
      <c r="U47" s="236"/>
      <c r="AA47" s="68"/>
      <c r="AB47" s="68"/>
    </row>
    <row r="48" spans="1:28" s="145" customFormat="1" ht="11.7" customHeight="1">
      <c r="A48" s="147"/>
      <c r="B48" s="147"/>
      <c r="C48" s="147"/>
      <c r="D48" s="144"/>
      <c r="E48" s="144"/>
      <c r="F48" s="147" t="s">
        <v>3998</v>
      </c>
      <c r="G48" s="147"/>
      <c r="H48" s="144"/>
      <c r="I48" s="144"/>
      <c r="J48" s="147" t="s">
        <v>3999</v>
      </c>
      <c r="K48" s="147"/>
      <c r="L48" s="147"/>
      <c r="M48" s="147"/>
      <c r="N48" s="147"/>
      <c r="O48" s="147"/>
      <c r="P48" s="144"/>
      <c r="Q48" s="819" t="s">
        <v>1607</v>
      </c>
      <c r="R48" s="2039">
        <v>1250000</v>
      </c>
      <c r="S48" s="236"/>
      <c r="T48" s="236"/>
      <c r="U48" s="236"/>
      <c r="AA48" s="68"/>
      <c r="AB48" s="68"/>
    </row>
    <row r="49" spans="1:28" s="145" customFormat="1" ht="11.7" customHeight="1">
      <c r="A49" s="147"/>
      <c r="B49" s="147" t="s">
        <v>1815</v>
      </c>
      <c r="C49" s="147"/>
      <c r="D49" s="144"/>
      <c r="E49" s="144"/>
      <c r="F49" s="147" t="s">
        <v>1123</v>
      </c>
      <c r="G49" s="147"/>
      <c r="H49" s="144"/>
      <c r="I49" s="144"/>
      <c r="J49" s="147" t="s">
        <v>3228</v>
      </c>
      <c r="K49" s="147"/>
      <c r="L49" s="147"/>
      <c r="M49" s="147"/>
      <c r="N49" s="147"/>
      <c r="O49" s="147"/>
      <c r="P49" s="144"/>
      <c r="Q49" s="2034" t="s">
        <v>1607</v>
      </c>
      <c r="R49" s="2035">
        <v>0.05</v>
      </c>
      <c r="S49" s="236"/>
      <c r="T49" s="236"/>
      <c r="U49" s="236"/>
      <c r="AA49" s="68"/>
      <c r="AB49" s="68"/>
    </row>
    <row r="50" spans="1:28" s="145" customFormat="1" ht="11.7" customHeight="1">
      <c r="A50" s="147"/>
      <c r="B50" s="147"/>
      <c r="C50" s="147"/>
      <c r="D50" s="144"/>
      <c r="E50" s="144"/>
      <c r="F50" s="147" t="s">
        <v>264</v>
      </c>
      <c r="G50" s="147"/>
      <c r="H50" s="144"/>
      <c r="I50" s="144"/>
      <c r="J50" s="147" t="s">
        <v>3228</v>
      </c>
      <c r="K50" s="147"/>
      <c r="L50" s="147"/>
      <c r="M50" s="147"/>
      <c r="N50" s="147"/>
      <c r="O50" s="147"/>
      <c r="P50" s="144"/>
      <c r="Q50" s="2032" t="s">
        <v>1607</v>
      </c>
      <c r="R50" s="2036">
        <v>0.1</v>
      </c>
      <c r="S50" s="236"/>
      <c r="T50" s="236"/>
      <c r="U50" s="236"/>
      <c r="AA50" s="68"/>
      <c r="AB50" s="68"/>
    </row>
    <row r="51" spans="1:28" s="145" customFormat="1" ht="11.7" customHeight="1">
      <c r="A51" s="147"/>
      <c r="B51" s="147"/>
      <c r="C51" s="147"/>
      <c r="D51" s="144"/>
      <c r="E51" s="144"/>
      <c r="F51" s="147" t="s">
        <v>4764</v>
      </c>
      <c r="G51" s="147"/>
      <c r="H51" s="144"/>
      <c r="I51" s="144"/>
      <c r="J51" s="147" t="s">
        <v>3228</v>
      </c>
      <c r="K51" s="147"/>
      <c r="L51" s="147"/>
      <c r="M51" s="147"/>
      <c r="N51" s="147"/>
      <c r="O51" s="147"/>
      <c r="P51" s="144"/>
      <c r="Q51" s="2033">
        <v>0.03</v>
      </c>
      <c r="R51" s="2033" t="s">
        <v>1607</v>
      </c>
      <c r="S51" s="236"/>
      <c r="T51" s="236"/>
      <c r="U51" s="236"/>
      <c r="AA51" s="68"/>
      <c r="AB51" s="68"/>
    </row>
    <row r="52" spans="1:28" s="145" customFormat="1" ht="11.7" customHeight="1">
      <c r="A52" s="147"/>
      <c r="B52" s="147" t="s">
        <v>1883</v>
      </c>
      <c r="C52" s="147"/>
      <c r="D52" s="144"/>
      <c r="E52" s="144"/>
      <c r="F52" s="147" t="s">
        <v>1607</v>
      </c>
      <c r="G52" s="147"/>
      <c r="H52" s="144"/>
      <c r="I52" s="144"/>
      <c r="J52" s="147" t="s">
        <v>3229</v>
      </c>
      <c r="K52" s="147"/>
      <c r="L52" s="147"/>
      <c r="M52" s="147"/>
      <c r="N52" s="147"/>
      <c r="O52" s="147"/>
      <c r="P52" s="144"/>
      <c r="Q52" s="235" t="s">
        <v>1607</v>
      </c>
      <c r="R52" s="2040">
        <v>0.06</v>
      </c>
      <c r="S52" s="236"/>
      <c r="T52" s="236"/>
      <c r="U52" s="236"/>
      <c r="AA52" s="68"/>
      <c r="AB52" s="68"/>
    </row>
    <row r="53" spans="1:28" s="145" customFormat="1" ht="11.7" customHeight="1">
      <c r="A53" s="147"/>
      <c r="B53" s="147" t="s">
        <v>1884</v>
      </c>
      <c r="C53" s="147"/>
      <c r="D53" s="144"/>
      <c r="E53" s="144"/>
      <c r="F53" s="147" t="s">
        <v>1607</v>
      </c>
      <c r="G53" s="147"/>
      <c r="H53" s="144"/>
      <c r="I53" s="144"/>
      <c r="J53" s="147" t="s">
        <v>3229</v>
      </c>
      <c r="K53" s="147"/>
      <c r="L53" s="147"/>
      <c r="M53" s="147"/>
      <c r="N53" s="147"/>
      <c r="O53" s="147"/>
      <c r="P53" s="144"/>
      <c r="Q53" s="235" t="s">
        <v>1607</v>
      </c>
      <c r="R53" s="2040">
        <v>0.02</v>
      </c>
      <c r="S53" s="236"/>
      <c r="T53" s="236"/>
      <c r="U53" s="236"/>
      <c r="AA53" s="68"/>
      <c r="AB53" s="68"/>
    </row>
    <row r="54" spans="1:28" s="145" customFormat="1" ht="11.7" customHeight="1">
      <c r="A54" s="147"/>
      <c r="B54" s="147" t="s">
        <v>2501</v>
      </c>
      <c r="C54" s="147"/>
      <c r="D54" s="144"/>
      <c r="E54" s="144"/>
      <c r="F54" s="147" t="s">
        <v>1607</v>
      </c>
      <c r="G54" s="147"/>
      <c r="H54" s="144"/>
      <c r="I54" s="144"/>
      <c r="J54" s="147" t="s">
        <v>3229</v>
      </c>
      <c r="K54" s="147"/>
      <c r="L54" s="147"/>
      <c r="M54" s="147"/>
      <c r="N54" s="147"/>
      <c r="O54" s="147"/>
      <c r="P54" s="144"/>
      <c r="Q54" s="235" t="s">
        <v>1607</v>
      </c>
      <c r="R54" s="204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893" t="s">
        <v>1607</v>
      </c>
      <c r="R55" s="1892"/>
      <c r="S55" s="236"/>
      <c r="T55" s="236"/>
      <c r="U55" s="236"/>
      <c r="AA55" s="68"/>
      <c r="AB55" s="68"/>
    </row>
    <row r="56" spans="1:28" s="145" customFormat="1" ht="11.7" customHeight="1">
      <c r="A56" s="144"/>
      <c r="B56" s="236" t="s">
        <v>3196</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4844</v>
      </c>
      <c r="D57" s="147"/>
      <c r="E57" s="144"/>
      <c r="F57" s="236" t="s">
        <v>4848</v>
      </c>
      <c r="G57" s="147"/>
      <c r="H57" s="144"/>
      <c r="I57" s="144"/>
      <c r="K57" s="147"/>
      <c r="L57" s="147"/>
      <c r="M57" s="147"/>
      <c r="N57" s="147"/>
      <c r="O57" s="147"/>
      <c r="P57" s="144"/>
      <c r="Q57" s="4952">
        <v>2000</v>
      </c>
      <c r="R57" s="4953"/>
      <c r="S57" s="236"/>
      <c r="T57" s="236"/>
      <c r="U57" s="236"/>
      <c r="AA57" s="68"/>
      <c r="AB57" s="68"/>
    </row>
    <row r="58" spans="1:28" s="145" customFormat="1" ht="11.7" customHeight="1">
      <c r="A58" s="147"/>
      <c r="B58" s="147"/>
      <c r="C58" s="236" t="s">
        <v>4845</v>
      </c>
      <c r="D58" s="147"/>
      <c r="E58" s="144"/>
      <c r="F58" s="147" t="s">
        <v>4846</v>
      </c>
      <c r="G58" s="147"/>
      <c r="H58" s="144"/>
      <c r="I58" s="144"/>
      <c r="J58" s="147" t="s">
        <v>4849</v>
      </c>
      <c r="K58" s="147"/>
      <c r="L58" s="147"/>
      <c r="M58" s="147" t="s">
        <v>1125</v>
      </c>
      <c r="N58" s="147"/>
      <c r="O58" s="147"/>
      <c r="P58" s="144"/>
      <c r="Q58" s="4954">
        <v>10000</v>
      </c>
      <c r="R58" s="4955"/>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946">
        <v>8000</v>
      </c>
      <c r="R59" s="4947"/>
      <c r="S59" s="236"/>
      <c r="T59" s="236"/>
      <c r="U59" s="236"/>
      <c r="AA59" s="68"/>
      <c r="AB59" s="68"/>
    </row>
    <row r="60" spans="1:28" s="145" customFormat="1" ht="11.7" customHeight="1">
      <c r="A60" s="147"/>
      <c r="B60" s="147"/>
      <c r="C60" s="147"/>
      <c r="D60" s="147"/>
      <c r="E60" s="144"/>
      <c r="G60" s="147"/>
      <c r="H60" s="144"/>
      <c r="I60" s="144"/>
      <c r="J60" s="236" t="s">
        <v>4847</v>
      </c>
      <c r="K60" s="147"/>
      <c r="L60" s="147"/>
      <c r="M60" s="147" t="s">
        <v>1125</v>
      </c>
      <c r="N60" s="147"/>
      <c r="O60" s="147"/>
      <c r="P60" s="144"/>
      <c r="Q60" s="4946">
        <v>10000</v>
      </c>
      <c r="R60" s="4947"/>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929">
        <v>8000</v>
      </c>
      <c r="R61" s="4930"/>
      <c r="S61" s="236"/>
      <c r="T61" s="236"/>
      <c r="U61" s="236"/>
      <c r="AA61" s="68"/>
      <c r="AB61" s="68"/>
    </row>
    <row r="62" spans="1:28" s="145" customFormat="1" ht="11.7" customHeight="1">
      <c r="A62" s="147"/>
      <c r="B62" s="147"/>
      <c r="C62" s="147" t="s">
        <v>4850</v>
      </c>
      <c r="D62" s="147"/>
      <c r="E62" s="144"/>
      <c r="F62" s="147" t="s">
        <v>3232</v>
      </c>
      <c r="G62" s="147"/>
      <c r="H62" s="144"/>
      <c r="I62" s="144"/>
      <c r="K62" s="147"/>
      <c r="L62" s="147"/>
      <c r="M62" s="147"/>
      <c r="N62" s="147"/>
      <c r="O62" s="147"/>
      <c r="P62" s="144"/>
      <c r="Q62" s="4954">
        <v>2500</v>
      </c>
      <c r="R62" s="4955"/>
      <c r="S62" s="236"/>
      <c r="T62" s="236"/>
      <c r="U62" s="236"/>
      <c r="AA62" s="68"/>
      <c r="AB62" s="68"/>
    </row>
    <row r="63" spans="1:28" s="145" customFormat="1" ht="11.7" customHeight="1">
      <c r="A63" s="147"/>
      <c r="B63" s="147"/>
      <c r="C63" s="147"/>
      <c r="D63" s="147"/>
      <c r="E63" s="144"/>
      <c r="F63" s="147" t="s">
        <v>3231</v>
      </c>
      <c r="G63" s="147"/>
      <c r="H63" s="144"/>
      <c r="I63" s="144"/>
      <c r="K63" s="147"/>
      <c r="L63" s="147"/>
      <c r="M63" s="147"/>
      <c r="N63" s="147"/>
      <c r="O63" s="147"/>
      <c r="P63" s="144"/>
      <c r="Q63" s="4946">
        <v>2500</v>
      </c>
      <c r="R63" s="4947"/>
      <c r="S63" s="236"/>
      <c r="T63" s="236"/>
      <c r="U63" s="236"/>
      <c r="AA63" s="68"/>
      <c r="AB63" s="68"/>
    </row>
    <row r="64" spans="1:28" s="145" customFormat="1" ht="11.7" customHeight="1">
      <c r="A64" s="147"/>
      <c r="B64" s="147"/>
      <c r="C64" s="147"/>
      <c r="D64" s="147"/>
      <c r="E64" s="144"/>
      <c r="F64" s="236" t="s">
        <v>4851</v>
      </c>
      <c r="G64" s="147"/>
      <c r="H64" s="144"/>
      <c r="I64" s="144"/>
      <c r="Q64" s="4946">
        <v>1500</v>
      </c>
      <c r="R64" s="4947"/>
      <c r="S64" s="236"/>
      <c r="T64" s="236"/>
      <c r="U64" s="236"/>
      <c r="AA64" s="68"/>
      <c r="AB64" s="68"/>
    </row>
    <row r="65" spans="1:28" s="145" customFormat="1" ht="11.7" customHeight="1">
      <c r="A65" s="144"/>
      <c r="B65" s="236"/>
      <c r="C65" s="147"/>
      <c r="D65" s="147"/>
      <c r="E65" s="144"/>
      <c r="F65" s="147" t="s">
        <v>4852</v>
      </c>
      <c r="G65" s="147"/>
      <c r="H65" s="144"/>
      <c r="I65" s="144"/>
      <c r="J65" s="147" t="s">
        <v>4853</v>
      </c>
      <c r="K65" s="147"/>
      <c r="L65" s="147"/>
      <c r="M65" s="147"/>
      <c r="N65" s="147"/>
      <c r="O65" s="147"/>
      <c r="P65" s="144"/>
      <c r="Q65" s="4946">
        <v>15000</v>
      </c>
      <c r="R65" s="4947"/>
      <c r="S65" s="236"/>
      <c r="T65" s="236"/>
      <c r="U65" s="236"/>
      <c r="AA65" s="68"/>
      <c r="AB65" s="68"/>
    </row>
    <row r="66" spans="1:28" s="145" customFormat="1" ht="11.7" customHeight="1">
      <c r="A66" s="147"/>
      <c r="B66" s="147"/>
      <c r="C66" s="147"/>
      <c r="D66" s="147"/>
      <c r="E66" s="144"/>
      <c r="F66" s="147" t="s">
        <v>3233</v>
      </c>
      <c r="G66" s="147"/>
      <c r="H66" s="144"/>
      <c r="I66" s="144"/>
      <c r="K66" s="147"/>
      <c r="L66" s="147"/>
      <c r="M66" s="147"/>
      <c r="N66" s="147"/>
      <c r="O66" s="147"/>
      <c r="P66" s="144"/>
      <c r="Q66" s="4938">
        <v>1500</v>
      </c>
      <c r="R66" s="4939"/>
      <c r="S66" s="236"/>
      <c r="T66" s="236"/>
      <c r="U66" s="236"/>
      <c r="AA66" s="68"/>
      <c r="AB66" s="68"/>
    </row>
    <row r="67" spans="1:28" s="145" customFormat="1" ht="11.7" customHeight="1">
      <c r="A67" s="144"/>
      <c r="B67" s="236"/>
      <c r="C67" s="147"/>
      <c r="D67" s="147"/>
      <c r="E67" s="144"/>
      <c r="F67" s="147" t="s">
        <v>4854</v>
      </c>
      <c r="G67" s="147"/>
      <c r="H67" s="144"/>
      <c r="I67" s="144"/>
      <c r="J67" s="147"/>
      <c r="K67" s="147"/>
      <c r="L67" s="147"/>
      <c r="M67" s="147"/>
      <c r="N67" s="147"/>
      <c r="O67" s="147"/>
      <c r="P67" s="144"/>
      <c r="Q67" s="4940" t="s">
        <v>4856</v>
      </c>
      <c r="R67" s="4941"/>
      <c r="S67" s="236"/>
      <c r="T67" s="236"/>
      <c r="U67" s="236"/>
      <c r="AA67" s="68"/>
      <c r="AB67" s="68"/>
    </row>
    <row r="68" spans="1:28" s="145" customFormat="1" ht="11.7" customHeight="1">
      <c r="A68" s="144"/>
      <c r="B68" s="236"/>
      <c r="C68" s="147"/>
      <c r="D68" s="147"/>
      <c r="E68" s="144"/>
      <c r="F68" s="147" t="s">
        <v>4855</v>
      </c>
      <c r="G68" s="147"/>
      <c r="H68" s="144"/>
      <c r="I68" s="144"/>
      <c r="J68" s="147"/>
      <c r="K68" s="147"/>
      <c r="L68" s="147"/>
      <c r="M68" s="147"/>
      <c r="N68" s="147"/>
      <c r="O68" s="147"/>
      <c r="P68" s="144"/>
      <c r="Q68" s="4942" t="s">
        <v>4856</v>
      </c>
      <c r="R68" s="4943"/>
      <c r="S68" s="236"/>
      <c r="T68" s="236"/>
      <c r="U68" s="236"/>
      <c r="AA68" s="68"/>
      <c r="AB68" s="68"/>
    </row>
    <row r="69" spans="1:28" s="145" customFormat="1" ht="11.7" customHeight="1">
      <c r="A69" s="147"/>
      <c r="B69" s="147"/>
      <c r="D69" s="147"/>
      <c r="E69" s="144"/>
      <c r="F69" s="147" t="s">
        <v>3230</v>
      </c>
      <c r="G69" s="147"/>
      <c r="H69" s="144"/>
      <c r="I69" s="144"/>
      <c r="J69" s="147"/>
      <c r="K69" s="147"/>
      <c r="L69" s="147"/>
      <c r="M69" s="147"/>
      <c r="N69" s="147"/>
      <c r="O69" s="147"/>
      <c r="P69" s="144"/>
      <c r="Q69" s="4944">
        <v>1500</v>
      </c>
      <c r="R69" s="4945"/>
      <c r="S69" s="236"/>
      <c r="T69" s="236"/>
      <c r="U69" s="236"/>
      <c r="AA69" s="68"/>
      <c r="AB69" s="68"/>
    </row>
    <row r="70" spans="1:28" s="145" customFormat="1" ht="11.7" customHeight="1">
      <c r="A70" s="147"/>
      <c r="C70" s="147" t="s">
        <v>4857</v>
      </c>
      <c r="D70" s="144"/>
      <c r="E70" s="144"/>
      <c r="F70" s="147" t="s">
        <v>4636</v>
      </c>
      <c r="H70" s="147"/>
      <c r="I70" s="144"/>
      <c r="J70" s="147" t="s">
        <v>888</v>
      </c>
      <c r="K70" s="147"/>
      <c r="L70" s="147"/>
      <c r="M70" s="147"/>
      <c r="N70" s="147"/>
      <c r="O70" s="147"/>
      <c r="P70" s="144"/>
      <c r="Q70" s="4914">
        <v>0.08</v>
      </c>
      <c r="R70" s="4914"/>
      <c r="S70" s="236"/>
      <c r="T70" s="236"/>
      <c r="U70" s="236"/>
      <c r="AA70" s="68"/>
      <c r="AB70" s="68"/>
    </row>
    <row r="71" spans="1:28" s="145" customFormat="1" ht="11.7" customHeight="1">
      <c r="A71" s="147"/>
      <c r="C71" s="147"/>
      <c r="D71" s="144"/>
      <c r="E71" s="144"/>
      <c r="F71" s="147" t="s">
        <v>3997</v>
      </c>
      <c r="H71" s="147"/>
      <c r="I71" s="144"/>
      <c r="J71" s="147" t="s">
        <v>888</v>
      </c>
      <c r="K71" s="147"/>
      <c r="L71" s="147"/>
      <c r="M71" s="147"/>
      <c r="N71" s="147"/>
      <c r="O71" s="147"/>
      <c r="P71" s="144"/>
      <c r="Q71" s="4908">
        <v>0.08</v>
      </c>
      <c r="R71" s="4908"/>
      <c r="S71" s="236"/>
      <c r="T71" s="236"/>
      <c r="U71" s="236"/>
      <c r="AA71" s="68"/>
      <c r="AB71" s="68"/>
    </row>
    <row r="72" spans="1:28" s="145" customFormat="1" ht="11.7" customHeight="1">
      <c r="A72" s="147"/>
      <c r="C72" s="147"/>
      <c r="D72" s="144"/>
      <c r="E72" s="144"/>
      <c r="F72" s="147" t="s">
        <v>4858</v>
      </c>
      <c r="H72" s="147"/>
      <c r="I72" s="144"/>
      <c r="J72" s="147"/>
      <c r="K72" s="147"/>
      <c r="L72" s="147"/>
      <c r="M72" s="147"/>
      <c r="N72" s="147"/>
      <c r="O72" s="147"/>
      <c r="P72" s="144"/>
      <c r="Q72" s="4946">
        <v>2500</v>
      </c>
      <c r="R72" s="4947"/>
      <c r="S72" s="236"/>
      <c r="T72" s="236"/>
      <c r="U72" s="236"/>
      <c r="AA72" s="68"/>
      <c r="AB72" s="68"/>
    </row>
    <row r="73" spans="1:28" s="145" customFormat="1" ht="11.7" customHeight="1">
      <c r="A73" s="147"/>
      <c r="B73" s="147"/>
      <c r="C73" s="147"/>
      <c r="D73" s="144"/>
      <c r="E73" s="144"/>
      <c r="F73" s="147" t="s">
        <v>4637</v>
      </c>
      <c r="I73" s="144"/>
      <c r="J73" s="147" t="s">
        <v>1635</v>
      </c>
      <c r="K73" s="147"/>
      <c r="L73" s="147"/>
      <c r="M73" s="147"/>
      <c r="N73" s="147"/>
      <c r="O73" s="147"/>
      <c r="P73" s="144"/>
      <c r="Q73" s="4946">
        <v>8000</v>
      </c>
      <c r="R73" s="4947"/>
      <c r="S73" s="236"/>
      <c r="T73" s="236"/>
      <c r="U73" s="236"/>
      <c r="AA73" s="68"/>
      <c r="AB73" s="68"/>
    </row>
    <row r="74" spans="1:28" s="145" customFormat="1" ht="11.7" customHeight="1">
      <c r="A74" s="147"/>
      <c r="C74" s="147" t="s">
        <v>4638</v>
      </c>
      <c r="D74" s="144"/>
      <c r="E74" s="144"/>
      <c r="F74" s="147" t="s">
        <v>889</v>
      </c>
      <c r="H74" s="147" t="s">
        <v>1502</v>
      </c>
      <c r="I74" s="144"/>
      <c r="J74" s="147" t="s">
        <v>1430</v>
      </c>
      <c r="K74" s="147"/>
      <c r="L74" s="147"/>
      <c r="M74" s="147"/>
      <c r="N74" s="147"/>
      <c r="O74" s="147"/>
      <c r="P74" s="144"/>
      <c r="Q74" s="4946">
        <v>800</v>
      </c>
      <c r="R74" s="4947"/>
      <c r="S74" s="236"/>
      <c r="T74" s="236"/>
      <c r="U74" s="236"/>
      <c r="AA74" s="68"/>
      <c r="AB74" s="68"/>
    </row>
    <row r="75" spans="1:28" s="145" customFormat="1" ht="11.7" customHeight="1">
      <c r="A75" s="147"/>
      <c r="C75" s="147"/>
      <c r="D75" s="144"/>
      <c r="E75" s="144"/>
      <c r="F75" s="147"/>
      <c r="H75" s="147"/>
      <c r="I75" s="147" t="s">
        <v>3652</v>
      </c>
      <c r="J75" s="147" t="s">
        <v>1430</v>
      </c>
      <c r="K75" s="147"/>
      <c r="L75" s="147"/>
      <c r="M75" s="147"/>
      <c r="N75" s="147"/>
      <c r="O75" s="147"/>
      <c r="P75" s="144"/>
      <c r="Q75" s="4946">
        <v>1000</v>
      </c>
      <c r="R75" s="4947"/>
      <c r="S75" s="236"/>
      <c r="T75" s="236"/>
      <c r="U75" s="236"/>
      <c r="AA75" s="68"/>
      <c r="AB75" s="68"/>
    </row>
    <row r="76" spans="1:28" s="145" customFormat="1" ht="11.7" customHeight="1">
      <c r="A76" s="147"/>
      <c r="B76" s="147"/>
      <c r="C76" s="147"/>
      <c r="D76" s="144"/>
      <c r="E76" s="144"/>
      <c r="H76" s="147" t="s">
        <v>2439</v>
      </c>
      <c r="I76" s="144"/>
      <c r="J76" s="147" t="s">
        <v>1430</v>
      </c>
      <c r="K76" s="147" t="s">
        <v>3211</v>
      </c>
      <c r="L76" s="147"/>
      <c r="M76" s="147"/>
      <c r="N76" s="147"/>
      <c r="O76" s="147"/>
      <c r="P76" s="144"/>
      <c r="Q76" s="4936">
        <v>800</v>
      </c>
      <c r="R76" s="4937"/>
      <c r="S76" s="236"/>
      <c r="T76" s="236"/>
      <c r="U76" s="236"/>
      <c r="AA76" s="68"/>
      <c r="AB76" s="68"/>
    </row>
    <row r="77" spans="1:28" s="145" customFormat="1" ht="11.7" customHeight="1">
      <c r="A77" s="147"/>
      <c r="B77" s="147"/>
      <c r="C77" s="147"/>
      <c r="D77" s="144"/>
      <c r="E77" s="144"/>
      <c r="H77" s="147" t="s">
        <v>2504</v>
      </c>
      <c r="I77" s="144"/>
      <c r="J77" s="147" t="s">
        <v>2438</v>
      </c>
      <c r="K77" s="147"/>
      <c r="L77" s="147"/>
      <c r="M77" s="147"/>
      <c r="N77" s="147"/>
      <c r="O77" s="147"/>
      <c r="P77" s="144"/>
      <c r="Q77" s="4936">
        <v>1500</v>
      </c>
      <c r="R77" s="4937"/>
      <c r="S77" s="236"/>
      <c r="T77" s="236"/>
      <c r="U77" s="236"/>
      <c r="AA77" s="68"/>
      <c r="AB77" s="68"/>
    </row>
    <row r="78" spans="1:28" s="145" customFormat="1" ht="11.7" customHeight="1">
      <c r="A78" s="147"/>
      <c r="B78" s="147"/>
      <c r="C78" s="147"/>
      <c r="D78" s="147"/>
      <c r="E78" s="144"/>
      <c r="F78" s="147" t="s">
        <v>4859</v>
      </c>
      <c r="H78" s="144"/>
      <c r="I78" s="144"/>
      <c r="J78" s="147" t="s">
        <v>3651</v>
      </c>
      <c r="K78" s="147"/>
      <c r="L78" s="147"/>
      <c r="M78" s="147"/>
      <c r="N78" s="147"/>
      <c r="O78" s="147"/>
      <c r="P78" s="144"/>
      <c r="Q78" s="4929">
        <v>1500</v>
      </c>
      <c r="R78" s="4930"/>
      <c r="S78" s="236"/>
      <c r="T78" s="236"/>
      <c r="U78" s="236"/>
      <c r="AA78" s="68"/>
      <c r="AB78" s="68"/>
    </row>
    <row r="79" spans="1:28" s="145" customFormat="1" ht="11.7" customHeight="1">
      <c r="A79" s="147"/>
      <c r="B79" s="147"/>
      <c r="C79" s="147"/>
      <c r="D79" s="144"/>
      <c r="E79" s="144"/>
      <c r="F79" s="147" t="s">
        <v>3322</v>
      </c>
      <c r="I79" s="144"/>
      <c r="J79" s="147" t="s">
        <v>3653</v>
      </c>
      <c r="K79" s="147"/>
      <c r="L79" s="147"/>
      <c r="M79" s="147"/>
      <c r="N79" s="147"/>
      <c r="O79" s="147"/>
      <c r="P79" s="144"/>
      <c r="Q79" s="4931">
        <v>1500</v>
      </c>
      <c r="R79" s="4932"/>
      <c r="S79" s="236"/>
      <c r="T79" s="236"/>
      <c r="U79" s="236"/>
      <c r="AA79" s="68"/>
      <c r="AB79" s="68"/>
    </row>
    <row r="80" spans="1:28" s="145" customFormat="1" ht="11.7" customHeight="1">
      <c r="A80" s="147"/>
      <c r="B80" s="147"/>
      <c r="C80" s="147"/>
      <c r="D80" s="144"/>
      <c r="E80" s="144"/>
      <c r="F80" s="147" t="s">
        <v>2971</v>
      </c>
      <c r="I80" s="144"/>
      <c r="J80" s="147" t="s">
        <v>2972</v>
      </c>
      <c r="K80" s="147"/>
      <c r="L80" s="147" t="s">
        <v>2503</v>
      </c>
      <c r="M80" s="147"/>
      <c r="N80" s="147"/>
      <c r="O80" s="147"/>
      <c r="P80" s="144"/>
      <c r="Q80" s="4924">
        <v>75</v>
      </c>
      <c r="R80" s="4925"/>
      <c r="S80" s="236"/>
      <c r="T80" s="236"/>
      <c r="U80" s="236"/>
      <c r="AA80" s="68"/>
      <c r="AB80" s="68"/>
    </row>
    <row r="81" spans="1:28" ht="11.25" customHeight="1">
      <c r="B81" s="147" t="s">
        <v>1720</v>
      </c>
      <c r="F81" s="1222" t="s">
        <v>3785</v>
      </c>
      <c r="G81" s="236"/>
      <c r="H81" s="236"/>
      <c r="J81" s="147" t="s">
        <v>3791</v>
      </c>
      <c r="K81" s="147" t="s">
        <v>3792</v>
      </c>
      <c r="L81" s="44"/>
      <c r="M81" s="44"/>
      <c r="N81" s="44"/>
      <c r="O81" s="1226" t="s">
        <v>3786</v>
      </c>
      <c r="AA81"/>
      <c r="AB81"/>
    </row>
    <row r="82" spans="1:28" ht="11.25" customHeight="1">
      <c r="F82" s="115"/>
      <c r="H82" s="1223">
        <v>0.09</v>
      </c>
      <c r="J82" s="391">
        <v>1</v>
      </c>
      <c r="K82" s="391">
        <v>50</v>
      </c>
      <c r="Q82" s="4933">
        <v>27500</v>
      </c>
      <c r="R82" s="4933"/>
      <c r="AA82"/>
      <c r="AB82"/>
    </row>
    <row r="83" spans="1:28" ht="11.25" customHeight="1">
      <c r="F83" s="115"/>
      <c r="H83" s="683"/>
      <c r="J83" s="391">
        <v>51</v>
      </c>
      <c r="K83" s="391">
        <v>70</v>
      </c>
      <c r="Q83" s="4934">
        <v>22000</v>
      </c>
      <c r="R83" s="4934"/>
      <c r="AA83"/>
      <c r="AB83"/>
    </row>
    <row r="84" spans="1:28" ht="11.25" customHeight="1">
      <c r="F84" s="115"/>
      <c r="H84" s="1425"/>
      <c r="I84" s="165"/>
      <c r="J84" s="1426">
        <v>71</v>
      </c>
      <c r="K84" s="1427"/>
      <c r="L84" s="165"/>
      <c r="M84" s="165"/>
      <c r="N84" s="165"/>
      <c r="O84" s="165"/>
      <c r="P84" s="1428"/>
      <c r="Q84" s="4935">
        <v>16500</v>
      </c>
      <c r="R84" s="4935"/>
      <c r="AA84"/>
      <c r="AB84"/>
    </row>
    <row r="85" spans="1:28" ht="11.25" customHeight="1">
      <c r="H85" s="1429">
        <v>0.04</v>
      </c>
      <c r="I85" s="1430"/>
      <c r="J85" s="1431">
        <v>1</v>
      </c>
      <c r="K85" s="1431">
        <v>50</v>
      </c>
      <c r="L85" s="1430"/>
      <c r="M85" s="1430"/>
      <c r="N85" s="1430"/>
      <c r="O85" s="1430"/>
      <c r="P85" s="1432"/>
      <c r="Q85" s="4933">
        <v>27500</v>
      </c>
      <c r="R85" s="4933"/>
      <c r="AA85"/>
      <c r="AB85"/>
    </row>
    <row r="86" spans="1:28" ht="11.25" customHeight="1">
      <c r="H86" s="1224"/>
      <c r="J86" s="391">
        <v>51</v>
      </c>
      <c r="K86" s="391">
        <v>70</v>
      </c>
      <c r="Q86" s="4934">
        <v>22000</v>
      </c>
      <c r="R86" s="4934"/>
      <c r="AA86"/>
      <c r="AB86"/>
    </row>
    <row r="87" spans="1:28" ht="11.25" customHeight="1">
      <c r="H87" s="1224"/>
      <c r="J87" s="391">
        <v>71</v>
      </c>
      <c r="K87" s="1224"/>
      <c r="Q87" s="4935">
        <v>16500</v>
      </c>
      <c r="R87" s="4935"/>
      <c r="AA87"/>
      <c r="AB87"/>
    </row>
    <row r="88" spans="1:28" ht="11.25" customHeight="1">
      <c r="F88" s="236" t="s">
        <v>3787</v>
      </c>
      <c r="H88" s="369"/>
      <c r="I88" s="44"/>
      <c r="AA88"/>
      <c r="AB88"/>
    </row>
    <row r="89" spans="1:28" ht="11.25" customHeight="1">
      <c r="H89" s="1225">
        <v>0.09</v>
      </c>
      <c r="I89" s="236"/>
      <c r="Q89" s="4933">
        <v>2285000</v>
      </c>
      <c r="R89" s="4933"/>
      <c r="AA89"/>
      <c r="AB89"/>
    </row>
    <row r="90" spans="1:28" ht="11.25" customHeight="1">
      <c r="H90" s="1225">
        <v>0.04</v>
      </c>
      <c r="I90" s="236"/>
      <c r="Q90" s="4935">
        <v>4000000</v>
      </c>
      <c r="R90" s="4935"/>
      <c r="AA90"/>
      <c r="AB90"/>
    </row>
    <row r="91" spans="1:28">
      <c r="AA91"/>
      <c r="AB91"/>
    </row>
    <row r="92" spans="1:28" s="145" customFormat="1" ht="13.8">
      <c r="A92" s="147"/>
      <c r="B92" s="147"/>
      <c r="C92" s="147"/>
      <c r="D92" s="144"/>
      <c r="E92" s="144"/>
      <c r="F92" s="147"/>
      <c r="G92" s="147"/>
      <c r="H92" s="147"/>
      <c r="I92" s="144"/>
      <c r="J92" s="147" t="s">
        <v>2955</v>
      </c>
      <c r="K92" s="147"/>
      <c r="L92" s="147"/>
      <c r="M92" s="147"/>
      <c r="N92" s="147"/>
      <c r="O92" s="147"/>
      <c r="P92" s="144"/>
      <c r="Q92" s="4927">
        <v>3500000</v>
      </c>
      <c r="R92" s="4928"/>
      <c r="S92" s="236"/>
      <c r="T92" s="236"/>
      <c r="U92" s="236"/>
      <c r="AA92" s="68"/>
      <c r="AB92" s="68"/>
    </row>
    <row r="93" spans="1:28" s="145" customFormat="1" ht="13.8" hidden="1">
      <c r="A93" s="147"/>
      <c r="B93" s="147"/>
      <c r="C93" s="147"/>
      <c r="D93" s="144"/>
      <c r="E93" s="144"/>
      <c r="F93" s="147" t="s">
        <v>1592</v>
      </c>
      <c r="G93" s="147"/>
      <c r="H93" s="147" t="s">
        <v>2113</v>
      </c>
      <c r="I93" s="144"/>
      <c r="J93" s="147" t="s">
        <v>910</v>
      </c>
      <c r="K93" s="147"/>
      <c r="L93" s="147"/>
      <c r="M93" s="147"/>
      <c r="N93" s="147"/>
      <c r="O93" s="147"/>
      <c r="P93" s="144"/>
      <c r="Q93" s="4922">
        <v>0.15</v>
      </c>
      <c r="R93" s="4923"/>
      <c r="S93" s="236"/>
      <c r="T93" s="236"/>
      <c r="U93" s="236"/>
      <c r="AA93" s="68"/>
      <c r="AB93" s="68"/>
    </row>
    <row r="94" spans="1:28" s="145" customFormat="1" ht="13.8" hidden="1">
      <c r="A94" s="147"/>
      <c r="B94" s="314"/>
      <c r="C94" s="147"/>
      <c r="D94" s="144"/>
      <c r="E94" s="144"/>
      <c r="F94" s="147"/>
      <c r="G94" s="147"/>
      <c r="H94" s="147" t="s">
        <v>3076</v>
      </c>
      <c r="I94" s="147" t="s">
        <v>907</v>
      </c>
      <c r="J94" s="147" t="s">
        <v>909</v>
      </c>
      <c r="K94" s="147"/>
      <c r="L94" s="147"/>
      <c r="M94" s="147"/>
      <c r="N94" s="147"/>
      <c r="O94" s="147"/>
      <c r="P94" s="144"/>
      <c r="Q94" s="4922">
        <v>0.15</v>
      </c>
      <c r="R94" s="4923"/>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922">
        <v>0.15</v>
      </c>
      <c r="R95" s="4923"/>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922">
        <v>0.15</v>
      </c>
      <c r="R96" s="4923"/>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922">
        <v>0.15</v>
      </c>
      <c r="R97" s="4923"/>
      <c r="S97" s="236"/>
      <c r="T97" s="236"/>
      <c r="U97" s="236"/>
      <c r="AA97" s="68"/>
      <c r="AB97" s="68"/>
    </row>
    <row r="98" spans="1:28" s="145" customFormat="1" ht="13.8" hidden="1">
      <c r="A98" s="147"/>
      <c r="B98" s="314"/>
      <c r="C98" s="147"/>
      <c r="D98" s="144"/>
      <c r="E98" s="144"/>
      <c r="F98" s="147" t="s">
        <v>1631</v>
      </c>
      <c r="G98" s="147"/>
      <c r="H98" s="147"/>
      <c r="I98" s="144"/>
      <c r="J98" s="147" t="s">
        <v>2181</v>
      </c>
      <c r="K98" s="147"/>
      <c r="L98" s="147"/>
      <c r="M98" s="147"/>
      <c r="N98" s="147"/>
      <c r="O98" s="147"/>
      <c r="P98" s="144"/>
      <c r="Q98" s="4922">
        <v>0.15</v>
      </c>
      <c r="R98" s="4923"/>
      <c r="S98" s="236"/>
      <c r="T98" s="236"/>
      <c r="U98" s="236"/>
      <c r="AA98" s="68"/>
      <c r="AB98" s="68"/>
    </row>
    <row r="99" spans="1:28" s="145" customFormat="1" ht="13.8" hidden="1">
      <c r="A99" s="147"/>
      <c r="B99" s="314"/>
      <c r="C99" s="147"/>
      <c r="D99" s="144"/>
      <c r="E99" s="144"/>
      <c r="G99" s="147"/>
      <c r="H99" s="147"/>
      <c r="I99" s="144"/>
      <c r="J99" s="147" t="s">
        <v>2182</v>
      </c>
      <c r="K99" s="147"/>
      <c r="L99" s="147"/>
      <c r="M99" s="147"/>
      <c r="N99" s="147"/>
      <c r="O99" s="147"/>
      <c r="P99" s="144"/>
      <c r="Q99" s="4922" t="s">
        <v>2183</v>
      </c>
      <c r="R99" s="4923"/>
      <c r="S99" s="236"/>
      <c r="T99" s="236"/>
      <c r="U99" s="236"/>
      <c r="AA99" s="68"/>
      <c r="AB99" s="68"/>
    </row>
    <row r="100" spans="1:28" s="145" customFormat="1" ht="11.25" customHeight="1">
      <c r="A100" s="147"/>
      <c r="B100" s="314"/>
      <c r="C100" s="147"/>
      <c r="D100" s="144"/>
      <c r="E100" s="144"/>
      <c r="F100" s="147" t="s">
        <v>1879</v>
      </c>
      <c r="G100" s="147"/>
      <c r="H100" s="147"/>
      <c r="I100" s="144"/>
      <c r="J100" s="147"/>
      <c r="K100" s="147"/>
      <c r="L100" s="147"/>
      <c r="M100" s="147"/>
      <c r="N100" s="147"/>
      <c r="O100" s="147"/>
      <c r="P100" s="144"/>
      <c r="Q100" s="2037">
        <v>0</v>
      </c>
      <c r="R100" s="2037">
        <v>15</v>
      </c>
      <c r="S100" s="236"/>
      <c r="T100" s="236"/>
      <c r="U100" s="236"/>
      <c r="AA100" s="68"/>
      <c r="AB100" s="68"/>
    </row>
    <row r="101" spans="1:28" s="145" customFormat="1" ht="11.25" hidden="1" customHeight="1">
      <c r="A101" s="147"/>
      <c r="B101" s="314"/>
      <c r="C101" s="147"/>
      <c r="D101" s="144"/>
      <c r="E101" s="144"/>
      <c r="F101" s="147" t="s">
        <v>1878</v>
      </c>
      <c r="G101" s="147"/>
      <c r="I101" s="144"/>
      <c r="J101" s="147"/>
      <c r="K101" s="147"/>
      <c r="L101" s="147"/>
      <c r="M101" s="147"/>
      <c r="N101" s="147"/>
      <c r="O101" s="147"/>
      <c r="P101" s="144"/>
      <c r="Q101" s="1891">
        <v>0</v>
      </c>
      <c r="R101" s="1891">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43">
        <v>6</v>
      </c>
      <c r="R102" s="2043" t="s">
        <v>1607</v>
      </c>
      <c r="S102" s="236"/>
      <c r="T102" s="236"/>
      <c r="U102" s="236"/>
      <c r="AA102" s="68"/>
      <c r="AB102" s="68"/>
    </row>
    <row r="103" spans="1:28" s="145" customFormat="1" ht="11.25" customHeight="1">
      <c r="A103" s="147"/>
      <c r="C103" s="147"/>
      <c r="D103" s="147"/>
      <c r="E103" s="147"/>
      <c r="F103" s="147"/>
      <c r="G103" s="147"/>
      <c r="H103" s="144"/>
      <c r="I103" s="144"/>
      <c r="J103" s="147" t="s">
        <v>1634</v>
      </c>
      <c r="K103" s="147"/>
      <c r="L103" s="147"/>
      <c r="M103" s="147"/>
      <c r="N103" s="147"/>
      <c r="O103" s="147"/>
      <c r="P103" s="144"/>
      <c r="Q103" s="2048">
        <v>6</v>
      </c>
      <c r="R103" s="2048" t="s">
        <v>1607</v>
      </c>
      <c r="S103" s="236"/>
      <c r="T103" s="236"/>
      <c r="U103" s="236"/>
      <c r="AA103" s="68"/>
      <c r="AB103" s="68"/>
    </row>
    <row r="104" spans="1:28" s="145" customFormat="1" ht="11.25" customHeight="1">
      <c r="A104" s="147"/>
      <c r="B104" s="147" t="s">
        <v>5096</v>
      </c>
      <c r="C104" s="147"/>
      <c r="D104" s="147"/>
      <c r="E104" s="147"/>
      <c r="F104" s="147"/>
      <c r="G104" s="147"/>
      <c r="H104" s="144"/>
      <c r="I104" s="144"/>
      <c r="J104" s="147" t="s">
        <v>5100</v>
      </c>
      <c r="K104" s="147"/>
      <c r="L104" s="147"/>
      <c r="M104" s="147"/>
      <c r="N104" s="147"/>
      <c r="O104" s="147"/>
      <c r="P104" s="144"/>
      <c r="Q104" s="2048">
        <v>12</v>
      </c>
      <c r="R104" s="2048">
        <v>12</v>
      </c>
      <c r="S104" s="236"/>
      <c r="T104" s="236"/>
      <c r="U104" s="236"/>
      <c r="AA104" s="68"/>
      <c r="AB104" s="68"/>
    </row>
    <row r="105" spans="1:28" s="145" customFormat="1" ht="11.25" customHeight="1">
      <c r="A105" s="147"/>
      <c r="B105" s="315" t="s">
        <v>1880</v>
      </c>
      <c r="C105" s="147"/>
      <c r="D105" s="144"/>
      <c r="E105" s="144"/>
      <c r="F105" s="147"/>
      <c r="G105" s="147"/>
      <c r="I105" s="144"/>
      <c r="J105" s="147" t="s">
        <v>1881</v>
      </c>
      <c r="K105" s="147"/>
      <c r="L105" s="147"/>
      <c r="M105" s="147"/>
      <c r="N105" s="147"/>
      <c r="O105" s="147"/>
      <c r="P105" s="144"/>
      <c r="Q105" s="2044">
        <v>3</v>
      </c>
      <c r="R105" s="2044" t="s">
        <v>1607</v>
      </c>
      <c r="S105" s="236"/>
      <c r="T105" s="236"/>
      <c r="U105" s="236"/>
      <c r="AA105" s="68"/>
      <c r="AB105" s="68"/>
    </row>
    <row r="106" spans="1:28" s="145" customFormat="1" ht="11.7" customHeight="1">
      <c r="A106" s="147"/>
      <c r="B106" s="147" t="s">
        <v>2998</v>
      </c>
      <c r="C106" s="147"/>
      <c r="D106" s="144"/>
      <c r="E106" s="147"/>
      <c r="F106" s="147"/>
      <c r="G106" s="147"/>
      <c r="H106" s="144"/>
      <c r="I106" s="144"/>
      <c r="J106" s="147" t="s">
        <v>1635</v>
      </c>
      <c r="K106" s="147"/>
      <c r="L106" s="147"/>
      <c r="M106" s="147"/>
      <c r="N106" s="147"/>
      <c r="O106" s="147"/>
      <c r="P106" s="144"/>
      <c r="Q106" s="4924">
        <v>3000</v>
      </c>
      <c r="R106" s="4925"/>
      <c r="S106" s="236"/>
      <c r="T106" s="236"/>
      <c r="U106" s="236"/>
      <c r="AA106" s="68"/>
      <c r="AB106" s="68"/>
    </row>
    <row r="107" spans="1:28" s="145" customFormat="1" ht="11.7" customHeight="1">
      <c r="A107" s="147"/>
      <c r="B107" s="147"/>
      <c r="C107" s="147"/>
      <c r="D107" s="144"/>
      <c r="E107" s="144"/>
      <c r="O107" s="147"/>
      <c r="T107" s="230"/>
      <c r="U107" s="144"/>
      <c r="V107" s="321"/>
      <c r="W107" s="321"/>
      <c r="X107" s="321"/>
      <c r="AA107" s="68"/>
      <c r="AB107" s="68"/>
    </row>
    <row r="108" spans="1:28" s="145" customFormat="1" ht="11.7" customHeight="1">
      <c r="A108" s="225" t="s">
        <v>1603</v>
      </c>
      <c r="B108" s="225"/>
      <c r="C108" s="225"/>
      <c r="D108" s="144"/>
      <c r="E108" s="144"/>
      <c r="F108" s="225" t="s">
        <v>1604</v>
      </c>
      <c r="G108" s="225"/>
      <c r="H108" s="144"/>
      <c r="I108" s="144"/>
      <c r="J108" s="225" t="s">
        <v>1605</v>
      </c>
      <c r="K108" s="225"/>
      <c r="L108" s="225"/>
      <c r="M108" s="225"/>
      <c r="N108" s="225"/>
      <c r="O108" s="225"/>
      <c r="P108" s="144"/>
      <c r="Q108" s="148" t="s">
        <v>2694</v>
      </c>
      <c r="R108" s="148" t="s">
        <v>1606</v>
      </c>
      <c r="S108" s="241"/>
      <c r="T108" s="230"/>
      <c r="U108" s="144"/>
      <c r="V108" s="321"/>
      <c r="W108" s="321"/>
      <c r="X108" s="321"/>
      <c r="AA108" s="68"/>
      <c r="AB108" s="68"/>
    </row>
    <row r="109" spans="1:28" s="145" customFormat="1" ht="3" customHeight="1">
      <c r="A109" s="147"/>
      <c r="B109" s="147"/>
      <c r="C109" s="147"/>
      <c r="D109" s="147"/>
      <c r="E109" s="144"/>
      <c r="F109" s="147"/>
      <c r="G109" s="147"/>
      <c r="H109" s="233"/>
      <c r="I109" s="144"/>
      <c r="J109" s="147"/>
      <c r="K109" s="234"/>
      <c r="L109" s="234"/>
      <c r="M109" s="234"/>
      <c r="N109" s="234"/>
      <c r="O109" s="147"/>
      <c r="P109" s="144"/>
      <c r="Q109" s="232"/>
      <c r="R109" s="232"/>
      <c r="S109" s="144"/>
      <c r="T109" s="144"/>
      <c r="U109" s="144"/>
      <c r="AA109" s="68"/>
      <c r="AB109" s="68"/>
    </row>
    <row r="110" spans="1:28" s="145" customFormat="1" ht="3" customHeight="1">
      <c r="A110" s="144"/>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s="145" customFormat="1" ht="12" customHeight="1">
      <c r="A111" s="229" t="s">
        <v>1636</v>
      </c>
      <c r="B111" s="147"/>
      <c r="C111" s="147"/>
      <c r="D111" s="147"/>
      <c r="E111" s="147"/>
      <c r="F111" s="147"/>
      <c r="G111" s="147"/>
      <c r="H111" s="147"/>
      <c r="I111" s="144"/>
      <c r="J111" s="147"/>
      <c r="K111" s="147"/>
      <c r="L111" s="147"/>
      <c r="M111" s="147"/>
      <c r="N111" s="147"/>
      <c r="O111" s="147"/>
      <c r="P111" s="144"/>
      <c r="Q111" s="147"/>
      <c r="R111" s="147"/>
      <c r="S111" s="236"/>
      <c r="T111" s="236"/>
      <c r="U111" s="236"/>
      <c r="AA111" s="68"/>
      <c r="AB111" s="68"/>
    </row>
    <row r="112" spans="1:28" ht="11.7" customHeight="1">
      <c r="B112" s="237" t="s">
        <v>2213</v>
      </c>
      <c r="C112" s="118"/>
      <c r="D112" s="118"/>
      <c r="E112" s="118"/>
      <c r="F112" s="118"/>
      <c r="G112" s="118"/>
      <c r="J112" s="238">
        <v>1</v>
      </c>
      <c r="K112" s="238">
        <v>2</v>
      </c>
      <c r="L112" s="238">
        <v>3</v>
      </c>
      <c r="M112" s="238">
        <v>4</v>
      </c>
      <c r="N112" s="238">
        <v>5</v>
      </c>
      <c r="O112" s="238">
        <v>6</v>
      </c>
      <c r="P112" s="238">
        <v>7</v>
      </c>
      <c r="Q112" s="238">
        <v>8</v>
      </c>
    </row>
    <row r="113" spans="1:28" ht="11.1" customHeight="1">
      <c r="B113" s="118"/>
      <c r="C113" s="118"/>
      <c r="D113" s="118"/>
      <c r="E113" s="118"/>
      <c r="F113" s="118"/>
      <c r="G113" s="118"/>
      <c r="J113" s="1423">
        <v>0.7</v>
      </c>
      <c r="K113" s="1423">
        <v>0.8</v>
      </c>
      <c r="L113" s="1423">
        <v>0.9</v>
      </c>
      <c r="M113" s="1424" t="s">
        <v>131</v>
      </c>
      <c r="N113" s="1423">
        <v>1.08</v>
      </c>
      <c r="O113" s="1423">
        <v>1.1599999999999999</v>
      </c>
      <c r="P113" s="1423">
        <v>1.24</v>
      </c>
      <c r="Q113" s="1423">
        <v>1.32</v>
      </c>
    </row>
    <row r="114" spans="1:28" s="145" customFormat="1" ht="11.7" customHeight="1">
      <c r="A114" s="147"/>
      <c r="B114" s="147" t="s">
        <v>951</v>
      </c>
      <c r="C114" s="147"/>
      <c r="D114" s="144"/>
      <c r="E114" s="144"/>
      <c r="F114" s="144"/>
      <c r="G114" s="147"/>
      <c r="H114" s="144"/>
      <c r="I114" s="144"/>
      <c r="J114" s="147" t="s">
        <v>4635</v>
      </c>
      <c r="K114" s="147"/>
      <c r="L114" s="147"/>
      <c r="M114" s="147"/>
      <c r="N114" s="147"/>
      <c r="O114" s="147"/>
      <c r="P114" s="144"/>
      <c r="Q114" s="4926">
        <v>0.02</v>
      </c>
      <c r="R114" s="4926"/>
      <c r="S114" s="236"/>
      <c r="T114" s="236"/>
      <c r="U114" s="236"/>
      <c r="AA114" s="68"/>
      <c r="AB114" s="68"/>
    </row>
    <row r="115" spans="1:28" s="236" customFormat="1" ht="11.7" customHeight="1">
      <c r="A115" s="147"/>
      <c r="B115" s="147" t="s">
        <v>1637</v>
      </c>
      <c r="C115" s="147"/>
      <c r="D115" s="147"/>
      <c r="E115" s="147"/>
      <c r="F115" s="147"/>
      <c r="G115" s="147"/>
      <c r="H115" s="147"/>
      <c r="J115" s="147" t="s">
        <v>1638</v>
      </c>
      <c r="K115" s="147"/>
      <c r="L115" s="147"/>
      <c r="M115" s="147"/>
      <c r="N115" s="147"/>
      <c r="O115" s="147"/>
      <c r="Q115" s="4914">
        <v>0.02</v>
      </c>
      <c r="R115" s="4914"/>
      <c r="AA115" s="68"/>
      <c r="AB115" s="68"/>
    </row>
    <row r="116" spans="1:28" s="236" customFormat="1" ht="11.7" customHeight="1">
      <c r="A116" s="147"/>
      <c r="B116" s="147" t="s">
        <v>4767</v>
      </c>
      <c r="C116" s="147"/>
      <c r="D116" s="147"/>
      <c r="E116" s="147"/>
      <c r="F116" s="147" t="s">
        <v>4765</v>
      </c>
      <c r="G116" s="147"/>
      <c r="H116" s="147"/>
      <c r="J116" s="147" t="s">
        <v>1638</v>
      </c>
      <c r="K116" s="147"/>
      <c r="L116" s="147"/>
      <c r="M116" s="147"/>
      <c r="N116" s="147"/>
      <c r="O116" s="147"/>
      <c r="Q116" s="2041">
        <v>7.0000000000000007E-2</v>
      </c>
      <c r="R116" s="2042" t="s">
        <v>2842</v>
      </c>
      <c r="AA116" s="68"/>
      <c r="AB116" s="68"/>
    </row>
    <row r="117" spans="1:28" s="236" customFormat="1" ht="11.7" customHeight="1">
      <c r="A117" s="147"/>
      <c r="B117" s="147"/>
      <c r="C117" s="147"/>
      <c r="D117" s="147"/>
      <c r="E117" s="147"/>
      <c r="F117" s="147" t="s">
        <v>4766</v>
      </c>
      <c r="G117" s="147"/>
      <c r="H117" s="147"/>
      <c r="J117" s="147" t="s">
        <v>1638</v>
      </c>
      <c r="K117" s="147"/>
      <c r="L117" s="147"/>
      <c r="M117" s="147"/>
      <c r="N117" s="147"/>
      <c r="O117" s="147"/>
      <c r="Q117" s="2041">
        <v>7.0000000000000007E-2</v>
      </c>
      <c r="R117" s="2042" t="s">
        <v>2842</v>
      </c>
      <c r="AA117" s="68"/>
      <c r="AB117" s="68"/>
    </row>
    <row r="118" spans="1:28" s="145" customFormat="1" ht="11.7" customHeight="1">
      <c r="A118" s="147"/>
      <c r="B118" s="147" t="s">
        <v>128</v>
      </c>
      <c r="C118" s="147"/>
      <c r="D118" s="144"/>
      <c r="E118" s="144"/>
      <c r="F118" s="144"/>
      <c r="G118" s="147"/>
      <c r="H118" s="144"/>
      <c r="I118" s="144"/>
      <c r="J118" s="147" t="s">
        <v>1638</v>
      </c>
      <c r="K118" s="147"/>
      <c r="L118" s="147"/>
      <c r="M118" s="147"/>
      <c r="N118" s="147"/>
      <c r="O118" s="147"/>
      <c r="P118" s="144"/>
      <c r="Q118" s="4908">
        <v>0.03</v>
      </c>
      <c r="R118" s="4908"/>
      <c r="S118" s="236"/>
      <c r="T118" s="236"/>
      <c r="U118" s="236"/>
      <c r="AA118" s="68"/>
      <c r="AB118" s="68"/>
    </row>
    <row r="119" spans="1:28" s="145" customFormat="1" ht="11.7" customHeight="1">
      <c r="A119" s="147"/>
      <c r="B119" s="147" t="s">
        <v>129</v>
      </c>
      <c r="C119" s="147"/>
      <c r="D119" s="144"/>
      <c r="E119" s="144"/>
      <c r="F119" s="144"/>
      <c r="G119" s="147"/>
      <c r="H119" s="144"/>
      <c r="I119" s="144"/>
      <c r="J119" s="147" t="s">
        <v>1638</v>
      </c>
      <c r="K119" s="147"/>
      <c r="L119" s="147"/>
      <c r="M119" s="147"/>
      <c r="N119" s="147"/>
      <c r="O119" s="147"/>
      <c r="P119" s="144"/>
      <c r="Q119" s="4908">
        <v>0.03</v>
      </c>
      <c r="R119" s="4908"/>
      <c r="S119" s="236"/>
      <c r="T119" s="236"/>
      <c r="U119" s="236"/>
      <c r="AA119" s="68"/>
      <c r="AB119" s="68"/>
    </row>
    <row r="120" spans="1:28" s="145" customFormat="1" ht="11.7" customHeight="1">
      <c r="A120" s="147"/>
      <c r="B120" s="147" t="s">
        <v>130</v>
      </c>
      <c r="C120" s="147"/>
      <c r="D120" s="144"/>
      <c r="E120" s="144"/>
      <c r="F120" s="144"/>
      <c r="G120" s="147"/>
      <c r="H120" s="144"/>
      <c r="I120" s="144"/>
      <c r="J120" s="147" t="s">
        <v>1638</v>
      </c>
      <c r="K120" s="147"/>
      <c r="L120" s="147"/>
      <c r="M120" s="147"/>
      <c r="N120" s="147"/>
      <c r="O120" s="147"/>
      <c r="P120" s="144"/>
      <c r="Q120" s="4909">
        <v>0</v>
      </c>
      <c r="R120" s="4909"/>
      <c r="S120" s="236"/>
      <c r="T120" s="236"/>
      <c r="U120" s="236"/>
      <c r="AA120" s="68"/>
      <c r="AB120" s="68"/>
    </row>
    <row r="121" spans="1:28" s="145" customFormat="1" ht="11.4" customHeight="1">
      <c r="A121" s="144"/>
      <c r="B121" s="147" t="s">
        <v>4770</v>
      </c>
      <c r="C121" s="147"/>
      <c r="D121" s="147"/>
      <c r="E121" s="144"/>
      <c r="F121" s="147" t="s">
        <v>4771</v>
      </c>
      <c r="G121" s="147"/>
      <c r="H121" s="144"/>
      <c r="I121" s="144"/>
      <c r="J121" s="147" t="s">
        <v>2113</v>
      </c>
      <c r="K121" s="147"/>
      <c r="L121" s="147"/>
      <c r="M121" s="147"/>
      <c r="N121" s="147"/>
      <c r="O121" s="147"/>
      <c r="P121" s="144"/>
      <c r="Q121" s="2049">
        <v>1.2</v>
      </c>
      <c r="R121" s="2050"/>
      <c r="S121" s="236"/>
      <c r="T121" s="236"/>
      <c r="U121" s="236"/>
      <c r="AA121" s="68"/>
      <c r="AB121" s="68"/>
    </row>
    <row r="122" spans="1:28" s="145" customFormat="1" ht="11.4" customHeight="1">
      <c r="A122" s="144"/>
      <c r="B122" s="147"/>
      <c r="C122" s="147"/>
      <c r="D122" s="147"/>
      <c r="E122" s="144"/>
      <c r="F122" s="147"/>
      <c r="G122" s="147"/>
      <c r="H122" s="144"/>
      <c r="I122" s="144"/>
      <c r="J122" s="147" t="s">
        <v>264</v>
      </c>
      <c r="K122" s="147"/>
      <c r="L122" s="147"/>
      <c r="M122" s="147"/>
      <c r="N122" s="147"/>
      <c r="O122" s="147"/>
      <c r="P122" s="144"/>
      <c r="Q122" s="2051">
        <v>1.25</v>
      </c>
      <c r="R122" s="2052"/>
      <c r="S122" s="236"/>
      <c r="T122" s="236"/>
      <c r="U122" s="236"/>
      <c r="AA122" s="68"/>
      <c r="AB122" s="68"/>
    </row>
    <row r="123" spans="1:28" s="145" customFormat="1" ht="11.4" customHeight="1">
      <c r="A123" s="144"/>
      <c r="B123" s="147" t="s">
        <v>4772</v>
      </c>
      <c r="C123" s="147"/>
      <c r="D123" s="147"/>
      <c r="E123" s="144"/>
      <c r="F123" s="147"/>
      <c r="G123" s="147"/>
      <c r="H123" s="144"/>
      <c r="I123" s="144"/>
      <c r="J123" s="147" t="s">
        <v>2113</v>
      </c>
      <c r="K123" s="147"/>
      <c r="L123" s="147"/>
      <c r="M123" s="147"/>
      <c r="N123" s="147"/>
      <c r="O123" s="147"/>
      <c r="P123" s="144"/>
      <c r="Q123" s="2049">
        <v>1.1000000000000001</v>
      </c>
      <c r="R123" s="2050"/>
      <c r="S123" s="236"/>
      <c r="T123" s="236"/>
      <c r="U123" s="236"/>
      <c r="AA123" s="68"/>
      <c r="AB123" s="68"/>
    </row>
    <row r="124" spans="1:28" s="145" customFormat="1" ht="11.4" customHeight="1">
      <c r="A124" s="144"/>
      <c r="B124" s="147"/>
      <c r="C124" s="147"/>
      <c r="D124" s="147"/>
      <c r="E124" s="144"/>
      <c r="F124" s="147"/>
      <c r="G124" s="147"/>
      <c r="H124" s="144"/>
      <c r="I124" s="144"/>
      <c r="J124" s="147" t="s">
        <v>264</v>
      </c>
      <c r="K124" s="147"/>
      <c r="L124" s="147"/>
      <c r="M124" s="147"/>
      <c r="N124" s="147"/>
      <c r="O124" s="147"/>
      <c r="P124" s="144"/>
      <c r="Q124" s="2051">
        <v>1.1499999999999999</v>
      </c>
      <c r="R124" s="2052"/>
      <c r="S124" s="236"/>
      <c r="T124" s="236"/>
      <c r="U124" s="236"/>
      <c r="AA124" s="68"/>
      <c r="AB124" s="68"/>
    </row>
    <row r="125" spans="1:28" s="145" customFormat="1" ht="4.3499999999999996" customHeight="1">
      <c r="A125" s="225"/>
      <c r="B125" s="225"/>
      <c r="C125" s="225"/>
      <c r="D125" s="225"/>
      <c r="E125" s="144"/>
      <c r="F125" s="225"/>
      <c r="G125" s="225"/>
      <c r="H125" s="144"/>
      <c r="I125" s="144"/>
      <c r="J125" s="225"/>
      <c r="K125" s="225"/>
      <c r="L125" s="225"/>
      <c r="M125" s="225"/>
      <c r="N125" s="225"/>
      <c r="O125" s="225"/>
      <c r="P125" s="144"/>
      <c r="Q125" s="226"/>
      <c r="R125" s="227"/>
      <c r="S125" s="144"/>
      <c r="T125" s="144"/>
      <c r="U125" s="144"/>
      <c r="W125" s="228"/>
      <c r="X125" s="228"/>
      <c r="Y125" s="228"/>
      <c r="Z125" s="228"/>
      <c r="AA125" s="68"/>
      <c r="AB125" s="68"/>
    </row>
    <row r="126" spans="1:28" s="145" customFormat="1" ht="11.7" customHeight="1">
      <c r="A126" s="229" t="s">
        <v>2435</v>
      </c>
      <c r="B126" s="147"/>
      <c r="C126" s="147"/>
      <c r="D126" s="147" t="s">
        <v>4741</v>
      </c>
      <c r="G126" s="147" t="s">
        <v>3220</v>
      </c>
      <c r="I126" s="144"/>
      <c r="J126" s="241" t="s">
        <v>4810</v>
      </c>
      <c r="K126" s="147"/>
      <c r="L126" s="147"/>
      <c r="M126" s="147"/>
      <c r="N126" s="147"/>
      <c r="P126" s="144"/>
      <c r="Q126" s="4910"/>
      <c r="R126" s="4910"/>
      <c r="S126" s="4910"/>
      <c r="T126" s="4910"/>
      <c r="U126" s="144"/>
      <c r="V126" s="699"/>
      <c r="W126" s="699"/>
      <c r="X126" s="148"/>
      <c r="AA126" s="68"/>
      <c r="AB126" s="68"/>
    </row>
    <row r="127" spans="1:28" s="145" customFormat="1" ht="11.7" customHeight="1">
      <c r="A127" s="229"/>
      <c r="B127" s="147"/>
      <c r="C127" s="147"/>
      <c r="D127" s="144"/>
      <c r="F127" s="147"/>
      <c r="G127" s="147" t="s">
        <v>3650</v>
      </c>
      <c r="I127" s="144"/>
      <c r="J127" s="241" t="s">
        <v>4811</v>
      </c>
      <c r="K127" s="147"/>
      <c r="L127" s="147"/>
      <c r="M127" s="147"/>
      <c r="P127" s="144"/>
      <c r="Q127" s="4910"/>
      <c r="R127" s="4910"/>
      <c r="S127" s="4910"/>
      <c r="T127" s="4910"/>
      <c r="U127" s="144"/>
      <c r="V127" s="699"/>
      <c r="W127" s="699"/>
      <c r="X127" s="148"/>
      <c r="AA127" s="68"/>
      <c r="AB127" s="68"/>
    </row>
    <row r="128" spans="1:28" s="145" customFormat="1" ht="11.25" customHeight="1">
      <c r="A128" s="229"/>
      <c r="B128" s="147"/>
      <c r="C128" s="147"/>
      <c r="D128" s="144"/>
      <c r="E128" s="144"/>
      <c r="G128" s="147"/>
      <c r="I128" s="144"/>
      <c r="S128" s="144"/>
      <c r="T128" s="144"/>
      <c r="U128" s="144"/>
      <c r="V128" s="699"/>
      <c r="W128" s="699"/>
      <c r="X128" s="148"/>
      <c r="AA128" s="68"/>
      <c r="AB128" s="68"/>
    </row>
    <row r="129" spans="1:28" s="145" customFormat="1" ht="11.7" customHeight="1">
      <c r="A129" s="229"/>
      <c r="B129" s="147"/>
      <c r="C129" s="147"/>
      <c r="D129" s="147" t="s">
        <v>4740</v>
      </c>
      <c r="F129" s="147" t="s">
        <v>477</v>
      </c>
      <c r="G129" s="147" t="s">
        <v>2386</v>
      </c>
      <c r="I129" s="144"/>
      <c r="J129" s="147" t="s">
        <v>2437</v>
      </c>
      <c r="K129" s="147"/>
      <c r="L129" s="147"/>
      <c r="M129" s="147"/>
      <c r="N129" s="147"/>
      <c r="O129" s="147"/>
      <c r="P129" s="144"/>
      <c r="Q129" s="4920">
        <v>0.15</v>
      </c>
      <c r="R129" s="4920"/>
      <c r="S129" s="144"/>
      <c r="T129" s="144"/>
      <c r="U129" s="144"/>
      <c r="V129" s="699"/>
      <c r="W129" s="699"/>
      <c r="X129" s="148"/>
      <c r="AA129" s="68"/>
      <c r="AB129" s="68"/>
    </row>
    <row r="130" spans="1:28" s="145" customFormat="1" ht="11.7" customHeight="1">
      <c r="A130" s="147"/>
      <c r="B130" s="147"/>
      <c r="C130" s="147"/>
      <c r="D130" s="144"/>
      <c r="E130" s="144"/>
      <c r="F130" s="147"/>
      <c r="G130" s="147" t="s">
        <v>4396</v>
      </c>
      <c r="H130" s="147" t="s">
        <v>4735</v>
      </c>
      <c r="J130" s="147" t="s">
        <v>4403</v>
      </c>
      <c r="K130" s="147"/>
      <c r="L130" s="147"/>
      <c r="M130" s="147"/>
      <c r="O130" s="231" t="s">
        <v>4812</v>
      </c>
      <c r="P130" s="144"/>
      <c r="Q130" s="4921">
        <v>1105000</v>
      </c>
      <c r="R130" s="4921"/>
      <c r="S130" s="230"/>
      <c r="T130" s="230"/>
      <c r="U130" s="144"/>
      <c r="V130" s="321"/>
      <c r="W130" s="321"/>
      <c r="X130" s="321"/>
      <c r="AA130" s="68"/>
      <c r="AB130" s="68"/>
    </row>
    <row r="131" spans="1:28" s="145" customFormat="1" ht="11.7" customHeight="1">
      <c r="A131" s="147"/>
      <c r="B131" s="147"/>
      <c r="C131" s="147"/>
      <c r="D131" s="144"/>
      <c r="E131" s="144"/>
      <c r="F131" s="147"/>
      <c r="G131" s="147"/>
      <c r="H131" s="147" t="s">
        <v>3995</v>
      </c>
      <c r="J131" s="147" t="s">
        <v>4403</v>
      </c>
      <c r="K131" s="147"/>
      <c r="L131" s="147"/>
      <c r="M131" s="147"/>
      <c r="O131" s="231" t="s">
        <v>4813</v>
      </c>
      <c r="P131" s="144"/>
      <c r="Q131" s="4911">
        <v>1225000</v>
      </c>
      <c r="R131" s="4911"/>
      <c r="S131" s="230"/>
      <c r="T131" s="230"/>
      <c r="U131" s="144"/>
      <c r="V131" s="321"/>
      <c r="W131" s="321"/>
      <c r="X131" s="321"/>
      <c r="AA131" s="68"/>
      <c r="AB131" s="68"/>
    </row>
    <row r="132" spans="1:28" s="145" customFormat="1" ht="11.7" customHeight="1">
      <c r="A132" s="147"/>
      <c r="B132" s="147"/>
      <c r="C132" s="147"/>
      <c r="D132" s="144"/>
      <c r="E132" s="144"/>
      <c r="F132" s="147"/>
      <c r="G132" s="147"/>
      <c r="H132" s="147" t="s">
        <v>4398</v>
      </c>
      <c r="I132" s="144"/>
      <c r="J132" s="147" t="s">
        <v>4403</v>
      </c>
      <c r="K132" s="147"/>
      <c r="O132" s="231" t="s">
        <v>4814</v>
      </c>
      <c r="Q132" s="4911">
        <v>1105000</v>
      </c>
      <c r="R132" s="4911"/>
      <c r="S132" s="230"/>
      <c r="T132" s="230"/>
      <c r="U132" s="144"/>
      <c r="V132" s="321"/>
      <c r="W132" s="321"/>
      <c r="X132" s="321"/>
      <c r="AA132" s="68"/>
      <c r="AB132" s="68"/>
    </row>
    <row r="133" spans="1:28" s="145" customFormat="1" ht="11.7" customHeight="1">
      <c r="A133" s="147"/>
      <c r="B133" s="147"/>
      <c r="C133" s="147"/>
      <c r="D133" s="144"/>
      <c r="E133" s="144"/>
      <c r="F133" s="147"/>
      <c r="G133" s="147"/>
      <c r="H133" s="147" t="s">
        <v>4397</v>
      </c>
      <c r="I133" s="144"/>
      <c r="J133" s="147" t="s">
        <v>4403</v>
      </c>
      <c r="K133" s="147"/>
      <c r="O133" s="231" t="s">
        <v>4813</v>
      </c>
      <c r="Q133" s="4912">
        <v>1105000</v>
      </c>
      <c r="R133" s="4913"/>
      <c r="S133" s="230"/>
      <c r="T133" s="230"/>
      <c r="U133" s="144"/>
      <c r="V133" s="321"/>
      <c r="W133" s="321"/>
      <c r="X133" s="321"/>
      <c r="AA133" s="68"/>
      <c r="AB133" s="68"/>
    </row>
    <row r="134" spans="1:28" s="145" customFormat="1" ht="11.7" customHeight="1">
      <c r="A134" s="147"/>
      <c r="B134" s="147"/>
      <c r="C134" s="147"/>
      <c r="D134" s="144"/>
      <c r="E134" s="144"/>
      <c r="F134" s="147"/>
      <c r="G134" s="147" t="s">
        <v>4746</v>
      </c>
      <c r="H134" s="225" t="s">
        <v>2502</v>
      </c>
      <c r="I134" s="144"/>
      <c r="J134" s="225" t="s">
        <v>2437</v>
      </c>
      <c r="K134" s="147"/>
      <c r="L134" s="147"/>
      <c r="M134" s="147"/>
      <c r="O134" s="147"/>
      <c r="P134" s="147"/>
      <c r="Q134" s="147"/>
      <c r="R134" s="147"/>
      <c r="S134" s="230"/>
      <c r="T134" s="230"/>
      <c r="U134" s="144"/>
      <c r="V134" s="321"/>
      <c r="W134" s="321"/>
      <c r="X134" s="321"/>
      <c r="AA134" s="68"/>
      <c r="AB134" s="68"/>
    </row>
    <row r="135" spans="1:28" ht="12.75" customHeight="1">
      <c r="G135" s="1894"/>
      <c r="H135" s="147" t="s">
        <v>2385</v>
      </c>
      <c r="J135" s="4914">
        <v>0.35</v>
      </c>
      <c r="K135" s="4914"/>
      <c r="L135" s="147"/>
      <c r="M135" s="147"/>
      <c r="N135" s="147"/>
      <c r="O135" s="147"/>
      <c r="P135" s="147"/>
      <c r="Q135" s="147"/>
      <c r="R135" s="147"/>
    </row>
    <row r="136" spans="1:28" ht="11.25" customHeight="1">
      <c r="G136" s="147"/>
      <c r="H136" s="147" t="s">
        <v>3996</v>
      </c>
      <c r="I136" s="144"/>
      <c r="J136" s="4908">
        <v>0.35</v>
      </c>
      <c r="K136" s="4908"/>
      <c r="L136" s="147"/>
      <c r="M136" s="147"/>
      <c r="N136" s="147"/>
      <c r="O136" s="147"/>
      <c r="P136" s="147"/>
      <c r="Q136" s="147"/>
      <c r="R136" s="147"/>
    </row>
    <row r="137" spans="1:28" ht="11.25" customHeight="1">
      <c r="A137" s="229"/>
      <c r="G137" s="147"/>
      <c r="H137" s="147" t="s">
        <v>2937</v>
      </c>
      <c r="I137" s="144"/>
      <c r="J137" s="4905">
        <v>0.3</v>
      </c>
      <c r="K137" s="4905"/>
      <c r="L137" s="147"/>
      <c r="M137" s="147"/>
      <c r="N137" s="147"/>
      <c r="O137" s="147"/>
      <c r="P137" s="147"/>
      <c r="Q137" s="147"/>
      <c r="R137" s="147"/>
    </row>
    <row r="138" spans="1:28" s="145" customFormat="1" ht="11.25" customHeight="1">
      <c r="A138" s="229"/>
      <c r="B138" s="147"/>
      <c r="C138" s="147"/>
      <c r="D138" s="144"/>
      <c r="E138" s="144"/>
      <c r="G138" s="147"/>
      <c r="I138" s="144"/>
      <c r="S138" s="144"/>
      <c r="T138" s="144"/>
      <c r="U138" s="144"/>
      <c r="V138" s="699"/>
      <c r="W138" s="699"/>
      <c r="X138" s="148"/>
      <c r="AA138" s="68"/>
      <c r="AB138" s="68"/>
    </row>
    <row r="139" spans="1:28" s="145" customFormat="1" ht="11.25" customHeight="1">
      <c r="A139" s="229"/>
      <c r="B139" s="147"/>
      <c r="C139" s="147"/>
      <c r="D139" s="147" t="s">
        <v>4742</v>
      </c>
      <c r="E139" s="144"/>
      <c r="G139" s="147" t="s">
        <v>4736</v>
      </c>
      <c r="I139" s="144"/>
      <c r="J139" s="147" t="s">
        <v>4737</v>
      </c>
      <c r="Q139" s="2038"/>
      <c r="R139" s="2038"/>
      <c r="S139" s="144"/>
      <c r="T139" s="144"/>
      <c r="U139" s="144"/>
      <c r="V139" s="699"/>
      <c r="W139" s="699"/>
      <c r="X139" s="148"/>
      <c r="AA139" s="68"/>
      <c r="AB139" s="68"/>
    </row>
    <row r="140" spans="1:28" s="145" customFormat="1" ht="11.25" customHeight="1">
      <c r="A140" s="229"/>
      <c r="B140" s="147"/>
      <c r="C140" s="147"/>
      <c r="D140" s="144"/>
      <c r="E140" s="144"/>
      <c r="G140" s="147" t="s">
        <v>4739</v>
      </c>
      <c r="I140" s="144"/>
      <c r="J140" s="147" t="s">
        <v>4738</v>
      </c>
      <c r="P140" s="644" t="s">
        <v>4815</v>
      </c>
      <c r="Q140" s="4915">
        <v>30000000</v>
      </c>
      <c r="R140" s="4915"/>
      <c r="S140" s="144"/>
      <c r="T140" s="144"/>
      <c r="U140" s="144"/>
      <c r="V140" s="699"/>
      <c r="W140" s="699"/>
      <c r="X140" s="148"/>
      <c r="AA140" s="68"/>
      <c r="AB140" s="68"/>
    </row>
    <row r="141" spans="1:28" s="145" customFormat="1" ht="11.25" customHeight="1">
      <c r="A141" s="229"/>
      <c r="B141" s="147"/>
      <c r="C141" s="147"/>
      <c r="D141" s="144"/>
      <c r="E141" s="144"/>
      <c r="G141" s="147" t="s">
        <v>4743</v>
      </c>
      <c r="I141" s="144"/>
      <c r="J141" s="147" t="s">
        <v>4744</v>
      </c>
      <c r="S141" s="144"/>
      <c r="T141" s="144"/>
      <c r="U141" s="144"/>
      <c r="V141" s="699"/>
      <c r="W141" s="699"/>
      <c r="X141" s="148"/>
      <c r="AA141" s="68"/>
      <c r="AB141" s="68"/>
    </row>
    <row r="142" spans="1:28" s="145" customFormat="1" ht="11.25" customHeight="1">
      <c r="A142" s="229"/>
      <c r="B142" s="147"/>
      <c r="C142" s="147"/>
      <c r="D142" s="144"/>
      <c r="E142" s="144"/>
      <c r="G142" s="147"/>
      <c r="I142" s="144"/>
      <c r="J142" s="902" t="s">
        <v>4745</v>
      </c>
      <c r="S142" s="144"/>
      <c r="T142" s="144"/>
      <c r="U142" s="144"/>
      <c r="V142" s="699"/>
      <c r="W142" s="699"/>
      <c r="X142" s="148"/>
      <c r="AA142" s="68"/>
      <c r="AB142" s="68"/>
    </row>
    <row r="143" spans="1:28" s="145" customFormat="1" ht="11.25" customHeight="1">
      <c r="A143" s="229"/>
      <c r="B143" s="147"/>
      <c r="C143" s="147"/>
      <c r="D143" s="144"/>
      <c r="E143" s="144"/>
      <c r="G143" s="147"/>
      <c r="I143" s="144"/>
      <c r="S143" s="144"/>
      <c r="T143" s="144"/>
      <c r="U143" s="144"/>
      <c r="V143" s="699"/>
      <c r="W143" s="699"/>
      <c r="X143" s="148"/>
      <c r="AA143" s="68"/>
      <c r="AB143" s="68"/>
    </row>
    <row r="144" spans="1:28" s="145" customFormat="1" ht="11.7" customHeight="1">
      <c r="A144" s="147"/>
      <c r="B144" s="147"/>
      <c r="C144" s="147"/>
      <c r="D144" s="144"/>
      <c r="E144" s="144"/>
      <c r="G144" s="147" t="s">
        <v>4402</v>
      </c>
      <c r="H144" s="147"/>
      <c r="I144" s="144"/>
      <c r="J144" s="147" t="s">
        <v>4404</v>
      </c>
      <c r="K144" s="147"/>
      <c r="L144" s="147"/>
      <c r="M144" s="147"/>
      <c r="N144" s="147"/>
      <c r="O144" s="147"/>
      <c r="P144" s="144"/>
      <c r="Q144" s="4916"/>
      <c r="R144" s="4917"/>
      <c r="S144" s="230"/>
      <c r="T144" s="230"/>
      <c r="U144" s="144"/>
      <c r="V144" s="321"/>
      <c r="W144" s="321"/>
      <c r="X144" s="321"/>
      <c r="AA144" s="68"/>
      <c r="AB144" s="68"/>
    </row>
    <row r="145" spans="1:28" s="145" customFormat="1" ht="11.7" customHeight="1">
      <c r="A145" s="147"/>
      <c r="B145" s="147"/>
      <c r="C145" s="147"/>
      <c r="D145" s="144"/>
      <c r="E145" s="144"/>
      <c r="F145" s="147" t="s">
        <v>2211</v>
      </c>
      <c r="G145" s="147" t="s">
        <v>2436</v>
      </c>
      <c r="I145" s="144"/>
      <c r="J145" s="147" t="s">
        <v>3226</v>
      </c>
      <c r="K145" s="147"/>
      <c r="L145" s="147"/>
      <c r="M145" s="147"/>
      <c r="N145" s="147"/>
      <c r="O145" s="147"/>
      <c r="P145" s="144"/>
      <c r="Q145" s="4918">
        <v>4000000</v>
      </c>
      <c r="R145" s="4918"/>
      <c r="S145" s="230"/>
      <c r="T145" s="230"/>
      <c r="U145" s="144"/>
      <c r="V145" s="321"/>
      <c r="W145" s="321"/>
      <c r="X145" s="321"/>
      <c r="AA145" s="68"/>
      <c r="AB145" s="68"/>
    </row>
    <row r="146" spans="1:28" s="145" customFormat="1" ht="11.7" customHeight="1">
      <c r="A146" s="147"/>
      <c r="B146" s="147"/>
      <c r="C146" s="147"/>
      <c r="D146" s="144"/>
      <c r="E146" s="144"/>
      <c r="F146" s="147"/>
      <c r="G146" s="147" t="s">
        <v>4401</v>
      </c>
      <c r="H146" s="144"/>
      <c r="I146" s="144"/>
      <c r="J146" s="147" t="s">
        <v>4403</v>
      </c>
      <c r="K146" s="147"/>
      <c r="O146" s="147" t="s">
        <v>4399</v>
      </c>
      <c r="Q146" s="4912">
        <v>1035000</v>
      </c>
      <c r="R146" s="4913"/>
      <c r="S146" s="230"/>
      <c r="T146" s="230"/>
      <c r="U146" s="144"/>
      <c r="V146" s="321"/>
      <c r="W146" s="321"/>
      <c r="X146" s="321"/>
      <c r="AA146" s="68"/>
      <c r="AB146" s="68"/>
    </row>
    <row r="147" spans="1:28" s="145" customFormat="1" ht="12.75" customHeight="1">
      <c r="A147" s="229"/>
      <c r="B147" s="147"/>
      <c r="C147" s="147"/>
      <c r="D147" s="144"/>
      <c r="E147" s="144"/>
      <c r="F147" s="147"/>
      <c r="G147" s="147"/>
      <c r="H147" s="144"/>
      <c r="I147" s="144"/>
      <c r="J147" s="147"/>
      <c r="K147" s="147"/>
      <c r="L147" s="147"/>
      <c r="M147" s="147"/>
      <c r="N147" s="147"/>
      <c r="O147" s="147"/>
      <c r="P147" s="144"/>
      <c r="Q147" s="314"/>
      <c r="R147" s="314"/>
      <c r="S147" s="144"/>
      <c r="T147" s="144"/>
      <c r="U147" s="144"/>
      <c r="V147" s="699"/>
      <c r="W147" s="699"/>
      <c r="X147" s="148"/>
      <c r="AA147" s="68"/>
      <c r="AB147" s="68"/>
    </row>
    <row r="148" spans="1:28" s="145" customFormat="1" ht="12.75" customHeight="1">
      <c r="A148" s="229" t="s">
        <v>3109</v>
      </c>
      <c r="B148" s="147"/>
      <c r="C148" s="147"/>
      <c r="D148" s="144"/>
      <c r="E148" s="144"/>
      <c r="F148" s="147" t="s">
        <v>3112</v>
      </c>
      <c r="G148" s="147"/>
      <c r="H148" s="144"/>
      <c r="I148" s="144"/>
      <c r="J148" s="147" t="s">
        <v>3113</v>
      </c>
      <c r="K148" s="147"/>
      <c r="L148" s="147"/>
      <c r="M148" s="147"/>
      <c r="N148" s="147"/>
      <c r="O148" s="147"/>
      <c r="P148" s="144"/>
      <c r="Q148" s="4919">
        <v>0.05</v>
      </c>
      <c r="R148" s="4919"/>
      <c r="S148" s="144"/>
      <c r="T148" s="144"/>
      <c r="U148" s="144"/>
      <c r="V148" s="699"/>
      <c r="W148" s="699"/>
      <c r="X148" s="148"/>
      <c r="AA148" s="68"/>
      <c r="AB148" s="68"/>
    </row>
    <row r="149" spans="1:28" s="145" customFormat="1" ht="12.75" customHeight="1">
      <c r="A149" s="229"/>
      <c r="B149" s="147"/>
      <c r="C149" s="147"/>
      <c r="D149" s="144"/>
      <c r="E149" s="144"/>
      <c r="F149" s="147"/>
      <c r="G149" s="147" t="s">
        <v>3110</v>
      </c>
      <c r="H149" s="144"/>
      <c r="I149" s="144"/>
      <c r="J149" s="147" t="s">
        <v>3114</v>
      </c>
      <c r="K149" s="147"/>
      <c r="L149" s="147"/>
      <c r="M149" s="147"/>
      <c r="N149" s="147"/>
      <c r="O149" s="147"/>
      <c r="P149" s="144"/>
      <c r="Q149" s="4906">
        <v>0.4</v>
      </c>
      <c r="R149" s="4906"/>
      <c r="S149" s="144"/>
      <c r="T149" s="144"/>
      <c r="U149" s="144"/>
      <c r="V149" s="699"/>
      <c r="W149" s="699"/>
      <c r="X149" s="148"/>
      <c r="AA149" s="68"/>
      <c r="AB149" s="68"/>
    </row>
    <row r="150" spans="1:28" s="145" customFormat="1" ht="12.75" customHeight="1">
      <c r="A150" s="229"/>
      <c r="B150" s="147"/>
      <c r="C150" s="147"/>
      <c r="E150" s="144"/>
      <c r="F150" s="147" t="s">
        <v>3111</v>
      </c>
      <c r="G150" s="147"/>
      <c r="H150" s="144"/>
      <c r="I150" s="144"/>
      <c r="J150" s="147" t="s">
        <v>3113</v>
      </c>
      <c r="K150" s="147"/>
      <c r="L150" s="147"/>
      <c r="M150" s="147"/>
      <c r="N150" s="147"/>
      <c r="O150" s="147"/>
      <c r="P150" s="144"/>
      <c r="Q150" s="4907">
        <v>0.02</v>
      </c>
      <c r="R150" s="4907"/>
      <c r="S150" s="144"/>
      <c r="T150" s="144"/>
      <c r="U150" s="144"/>
      <c r="V150" s="699"/>
      <c r="W150" s="699"/>
      <c r="X150" s="148"/>
      <c r="AA150" s="68"/>
      <c r="AB150" s="68"/>
    </row>
    <row r="151" spans="1:28" s="145" customFormat="1" ht="12.75" customHeight="1">
      <c r="A151" s="229"/>
      <c r="B151" s="147"/>
      <c r="C151" s="147"/>
      <c r="E151" s="144"/>
      <c r="F151" s="147"/>
      <c r="G151" s="147"/>
      <c r="H151" s="144"/>
      <c r="I151" s="144"/>
      <c r="J151" s="147"/>
      <c r="K151" s="147"/>
      <c r="L151" s="147"/>
      <c r="M151" s="147"/>
      <c r="N151" s="147"/>
      <c r="O151" s="147"/>
      <c r="P151" s="144"/>
      <c r="Q151" s="314"/>
      <c r="R151" s="314"/>
      <c r="S151" s="144"/>
      <c r="T151" s="144"/>
      <c r="U151" s="144"/>
      <c r="V151" s="699"/>
      <c r="W151" s="699"/>
      <c r="X151" s="148"/>
      <c r="AA151" s="68"/>
      <c r="AB151" s="68"/>
    </row>
    <row r="152" spans="1:28" s="145" customFormat="1" ht="12.75" customHeight="1">
      <c r="A152" s="4900" t="s">
        <v>4633</v>
      </c>
      <c r="B152" s="4900"/>
      <c r="C152" s="2476">
        <v>2024</v>
      </c>
      <c r="D152" s="4901" t="s">
        <v>4632</v>
      </c>
      <c r="E152" s="2477" t="s">
        <v>5088</v>
      </c>
      <c r="F152" s="147"/>
      <c r="G152" s="147"/>
      <c r="H152" s="144"/>
      <c r="I152" s="144"/>
      <c r="J152" s="147"/>
      <c r="K152" s="147"/>
      <c r="L152" s="147"/>
      <c r="M152" s="147"/>
      <c r="N152" s="147"/>
      <c r="O152" s="147"/>
      <c r="P152" s="144"/>
      <c r="Q152" s="314"/>
      <c r="R152" s="314"/>
      <c r="S152" s="144"/>
      <c r="T152" s="144"/>
      <c r="U152" s="144"/>
      <c r="V152" s="699"/>
      <c r="W152" s="699"/>
      <c r="X152" s="148"/>
      <c r="AA152" s="68"/>
      <c r="AB152" s="68"/>
    </row>
    <row r="153" spans="1:28" ht="13.35" customHeight="1">
      <c r="A153" s="4900"/>
      <c r="B153" s="4900"/>
      <c r="D153" s="4902"/>
      <c r="E153" s="2478" t="s">
        <v>5089</v>
      </c>
      <c r="F153" s="239"/>
      <c r="G153" s="239"/>
      <c r="H153" s="239"/>
      <c r="I153" s="239"/>
    </row>
    <row r="154" spans="1:28" ht="13.8">
      <c r="A154" s="4900"/>
      <c r="B154" s="4900"/>
      <c r="C154" s="147"/>
      <c r="D154" s="4902"/>
      <c r="H154" s="4903" t="s">
        <v>4631</v>
      </c>
      <c r="J154" s="142" t="s">
        <v>747</v>
      </c>
      <c r="K154" s="142"/>
      <c r="L154" s="223"/>
    </row>
    <row r="155" spans="1:28" ht="13.8">
      <c r="A155" s="4900"/>
      <c r="B155" s="4900"/>
      <c r="C155" s="699" t="s">
        <v>750</v>
      </c>
      <c r="D155" s="1232" t="s">
        <v>2922</v>
      </c>
      <c r="F155" s="699" t="s">
        <v>4629</v>
      </c>
      <c r="H155" s="4904"/>
      <c r="J155" s="312" t="s">
        <v>750</v>
      </c>
      <c r="K155" s="312" t="s">
        <v>748</v>
      </c>
      <c r="L155" s="313" t="s">
        <v>749</v>
      </c>
    </row>
    <row r="156" spans="1:28" ht="10.5" customHeight="1">
      <c r="C156" s="321">
        <v>0</v>
      </c>
      <c r="D156" s="648">
        <v>75620</v>
      </c>
      <c r="E156" s="1234" t="s">
        <v>4630</v>
      </c>
      <c r="F156" s="1888">
        <v>2.4</v>
      </c>
      <c r="G156" s="874" t="s">
        <v>1210</v>
      </c>
      <c r="H156" s="1889">
        <f>D156*F156</f>
        <v>181488</v>
      </c>
      <c r="J156" s="321">
        <v>0</v>
      </c>
      <c r="K156" s="321">
        <v>0.7</v>
      </c>
      <c r="L156" s="321">
        <v>1</v>
      </c>
    </row>
    <row r="157" spans="1:28" ht="10.5" customHeight="1">
      <c r="C157" s="321">
        <v>1</v>
      </c>
      <c r="D157" s="648">
        <v>86687</v>
      </c>
      <c r="E157" s="1234" t="s">
        <v>4630</v>
      </c>
      <c r="F157" s="1888">
        <v>2.4</v>
      </c>
      <c r="G157" s="874" t="s">
        <v>1210</v>
      </c>
      <c r="H157" s="1889">
        <f t="shared" ref="H157:H160" si="0">D157*F157</f>
        <v>208048.8</v>
      </c>
      <c r="J157" s="321">
        <v>1</v>
      </c>
      <c r="K157" s="321">
        <v>0.75</v>
      </c>
      <c r="L157" s="321">
        <v>1.5</v>
      </c>
    </row>
    <row r="158" spans="1:28" ht="10.5" customHeight="1">
      <c r="C158" s="321">
        <v>2</v>
      </c>
      <c r="D158" s="648">
        <v>105414</v>
      </c>
      <c r="E158" s="1234" t="s">
        <v>4630</v>
      </c>
      <c r="F158" s="1888">
        <v>2.4</v>
      </c>
      <c r="G158" s="874" t="s">
        <v>1210</v>
      </c>
      <c r="H158" s="1889">
        <f t="shared" si="0"/>
        <v>252993.59999999998</v>
      </c>
      <c r="J158" s="321">
        <v>2</v>
      </c>
      <c r="K158" s="321">
        <v>0.9</v>
      </c>
      <c r="L158" s="321">
        <v>3</v>
      </c>
    </row>
    <row r="159" spans="1:28" ht="10.5" customHeight="1">
      <c r="C159" s="321">
        <v>3</v>
      </c>
      <c r="D159" s="648">
        <v>136372</v>
      </c>
      <c r="E159" s="1234" t="s">
        <v>4630</v>
      </c>
      <c r="F159" s="1888">
        <v>2.4</v>
      </c>
      <c r="G159" s="874" t="s">
        <v>1210</v>
      </c>
      <c r="H159" s="1889">
        <f t="shared" si="0"/>
        <v>327292.79999999999</v>
      </c>
      <c r="J159" s="321">
        <v>3</v>
      </c>
      <c r="K159" s="321">
        <v>1.04</v>
      </c>
      <c r="L159" s="321">
        <v>4.5</v>
      </c>
    </row>
    <row r="160" spans="1:28" ht="10.5" customHeight="1">
      <c r="C160" s="321" t="s">
        <v>2923</v>
      </c>
      <c r="D160" s="648">
        <v>149693</v>
      </c>
      <c r="E160" s="1234" t="s">
        <v>4630</v>
      </c>
      <c r="F160" s="1888">
        <v>2.4</v>
      </c>
      <c r="G160" s="874" t="s">
        <v>1210</v>
      </c>
      <c r="H160" s="1890">
        <f t="shared" si="0"/>
        <v>359263.2</v>
      </c>
      <c r="J160" s="321">
        <v>4</v>
      </c>
      <c r="K160" s="321">
        <v>1.1599999999999999</v>
      </c>
      <c r="L160" s="321">
        <v>6</v>
      </c>
    </row>
    <row r="161" spans="2:37" ht="10.5" customHeight="1">
      <c r="E161" s="321"/>
      <c r="F161" s="648"/>
      <c r="J161" s="321">
        <v>5</v>
      </c>
      <c r="K161" s="321">
        <v>1.28</v>
      </c>
      <c r="L161" s="321">
        <v>7.5</v>
      </c>
    </row>
    <row r="162" spans="2:37" ht="10.5" customHeight="1">
      <c r="E162" s="236"/>
      <c r="F162" s="236"/>
      <c r="J162" s="321"/>
      <c r="K162" s="321"/>
      <c r="L162" s="321"/>
    </row>
    <row r="163" spans="2:37" ht="10.5" customHeight="1">
      <c r="C163" s="3469" t="s">
        <v>3311</v>
      </c>
      <c r="E163" s="236"/>
      <c r="F163" s="236"/>
    </row>
    <row r="164" spans="2:37" ht="10.5" customHeight="1">
      <c r="C164" s="3469"/>
      <c r="E164" s="236"/>
      <c r="F164" s="236"/>
    </row>
    <row r="165" spans="2:37" ht="10.5" customHeight="1">
      <c r="C165" s="3469"/>
      <c r="D165" s="926"/>
      <c r="E165" s="473"/>
      <c r="F165" s="236"/>
    </row>
    <row r="166" spans="2:37" ht="27.75" customHeight="1">
      <c r="C166" s="380" t="s">
        <v>1201</v>
      </c>
      <c r="D166" s="311"/>
      <c r="E166" s="236"/>
      <c r="F166" s="432" t="s">
        <v>1666</v>
      </c>
      <c r="G166" s="432" t="s">
        <v>1132</v>
      </c>
      <c r="H166" s="432" t="s">
        <v>1133</v>
      </c>
      <c r="I166" s="432" t="s">
        <v>1134</v>
      </c>
      <c r="J166" s="432" t="s">
        <v>1081</v>
      </c>
      <c r="K166" s="432" t="s">
        <v>399</v>
      </c>
      <c r="L166" s="433" t="s">
        <v>1088</v>
      </c>
      <c r="M166" s="1849" t="s">
        <v>2482</v>
      </c>
      <c r="N166" s="433" t="s">
        <v>3216</v>
      </c>
      <c r="O166" s="433" t="s">
        <v>3375</v>
      </c>
      <c r="P166" s="432" t="s">
        <v>2206</v>
      </c>
      <c r="Q166" s="432"/>
      <c r="R166" s="147"/>
      <c r="S166" s="236"/>
      <c r="T166" s="1107" t="s">
        <v>574</v>
      </c>
      <c r="U166" s="434" t="s">
        <v>575</v>
      </c>
      <c r="W166" s="454"/>
      <c r="Z166" s="44"/>
      <c r="AA166" s="44"/>
      <c r="AB166" s="115"/>
      <c r="AC166" s="68"/>
      <c r="AD166" s="68"/>
      <c r="AE166" s="115"/>
      <c r="AF166" s="115"/>
      <c r="AG166" s="115"/>
      <c r="AH166" s="115"/>
      <c r="AI166" s="115"/>
      <c r="AJ166" s="115"/>
      <c r="AK166" s="115"/>
    </row>
    <row r="167" spans="2:37" ht="10.5" customHeight="1">
      <c r="B167" s="236"/>
      <c r="C167" s="309" t="s">
        <v>1652</v>
      </c>
      <c r="D167" s="352"/>
      <c r="E167" s="236"/>
      <c r="F167" s="236" t="s">
        <v>781</v>
      </c>
      <c r="G167" s="769" t="s">
        <v>1135</v>
      </c>
      <c r="H167" s="769" t="s">
        <v>1136</v>
      </c>
      <c r="I167" s="770" t="s">
        <v>1137</v>
      </c>
      <c r="J167" s="770" t="s">
        <v>2393</v>
      </c>
      <c r="K167" s="771" t="s">
        <v>1089</v>
      </c>
      <c r="L167" s="772" t="s">
        <v>397</v>
      </c>
      <c r="M167" s="1850" t="s">
        <v>2385</v>
      </c>
      <c r="N167" s="772" t="s">
        <v>1246</v>
      </c>
      <c r="O167" s="977" t="s">
        <v>3376</v>
      </c>
      <c r="P167" s="241" t="s">
        <v>1423</v>
      </c>
      <c r="Q167" s="241"/>
      <c r="R167" s="147"/>
      <c r="S167" s="236"/>
      <c r="T167" s="391" t="s">
        <v>2481</v>
      </c>
      <c r="U167" s="391" t="s">
        <v>1501</v>
      </c>
      <c r="W167" s="44"/>
      <c r="X167" s="44"/>
      <c r="Z167" s="44"/>
      <c r="AA167" s="115"/>
      <c r="AB167" s="115"/>
      <c r="AC167" s="379"/>
      <c r="AD167" s="68"/>
      <c r="AE167" s="115"/>
      <c r="AF167" s="115"/>
      <c r="AG167" s="115"/>
      <c r="AH167" s="115"/>
      <c r="AI167" s="115"/>
      <c r="AJ167" s="115"/>
      <c r="AK167" s="115"/>
    </row>
    <row r="168" spans="2:37" ht="10.5" customHeight="1">
      <c r="B168" s="236"/>
      <c r="C168" s="309" t="s">
        <v>1137</v>
      </c>
      <c r="D168" s="352"/>
      <c r="E168" s="236"/>
      <c r="F168" s="236" t="s">
        <v>780</v>
      </c>
      <c r="G168" s="769" t="s">
        <v>1647</v>
      </c>
      <c r="H168" s="769" t="s">
        <v>1136</v>
      </c>
      <c r="I168" s="770" t="s">
        <v>1648</v>
      </c>
      <c r="J168" s="770" t="s">
        <v>2393</v>
      </c>
      <c r="K168" s="771" t="s">
        <v>1090</v>
      </c>
      <c r="L168" s="772" t="s">
        <v>397</v>
      </c>
      <c r="M168" s="1850" t="s">
        <v>2385</v>
      </c>
      <c r="N168" s="772" t="s">
        <v>1575</v>
      </c>
      <c r="O168" s="977" t="s">
        <v>3377</v>
      </c>
      <c r="P168" s="241" t="s">
        <v>1425</v>
      </c>
      <c r="Q168" s="241"/>
      <c r="R168" s="147"/>
      <c r="S168" s="236"/>
      <c r="T168" s="391" t="s">
        <v>2207</v>
      </c>
      <c r="U168" s="391" t="s">
        <v>1806</v>
      </c>
      <c r="W168" s="44"/>
      <c r="X168" s="44"/>
      <c r="Z168" s="44"/>
      <c r="AA168" s="115"/>
      <c r="AB168" s="115"/>
      <c r="AC168" s="379"/>
      <c r="AD168" s="68"/>
      <c r="AE168" s="115"/>
      <c r="AF168" s="115"/>
      <c r="AG168" s="115"/>
      <c r="AH168" s="115"/>
      <c r="AI168" s="115"/>
      <c r="AJ168" s="115"/>
      <c r="AK168" s="115"/>
    </row>
    <row r="169" spans="2:37" ht="10.5" customHeight="1">
      <c r="B169" s="236"/>
      <c r="C169" s="309" t="s">
        <v>970</v>
      </c>
      <c r="D169" s="352"/>
      <c r="E169" s="236"/>
      <c r="F169" s="236" t="s">
        <v>783</v>
      </c>
      <c r="G169" s="769" t="s">
        <v>1649</v>
      </c>
      <c r="H169" s="769" t="s">
        <v>1136</v>
      </c>
      <c r="I169" s="770" t="s">
        <v>1650</v>
      </c>
      <c r="J169" s="770" t="s">
        <v>2393</v>
      </c>
      <c r="K169" s="771" t="s">
        <v>1091</v>
      </c>
      <c r="L169" s="772" t="s">
        <v>397</v>
      </c>
      <c r="M169" s="1850" t="s">
        <v>2385</v>
      </c>
      <c r="N169" s="772" t="s">
        <v>1575</v>
      </c>
      <c r="O169" s="977" t="s">
        <v>3378</v>
      </c>
      <c r="P169" s="241" t="s">
        <v>434</v>
      </c>
      <c r="Q169" s="241"/>
      <c r="R169" s="147"/>
      <c r="S169" s="236"/>
      <c r="T169" s="391" t="s">
        <v>1424</v>
      </c>
      <c r="U169" s="391" t="s">
        <v>2283</v>
      </c>
      <c r="W169" s="44"/>
      <c r="X169" s="44"/>
      <c r="Z169" s="44"/>
      <c r="AA169" s="115"/>
      <c r="AB169" s="115"/>
      <c r="AC169" s="379"/>
      <c r="AD169" s="68"/>
      <c r="AE169" s="115"/>
      <c r="AF169" s="115"/>
      <c r="AG169" s="115"/>
      <c r="AH169" s="115"/>
      <c r="AI169" s="115"/>
      <c r="AJ169" s="115"/>
      <c r="AK169" s="115"/>
    </row>
    <row r="170" spans="2:37" ht="10.5" customHeight="1">
      <c r="B170" s="236"/>
      <c r="C170" s="309" t="s">
        <v>1648</v>
      </c>
      <c r="D170" s="352"/>
      <c r="E170" s="236"/>
      <c r="F170" s="236" t="s">
        <v>782</v>
      </c>
      <c r="G170" s="769" t="s">
        <v>1651</v>
      </c>
      <c r="H170" s="769" t="s">
        <v>1136</v>
      </c>
      <c r="I170" s="773" t="s">
        <v>4606</v>
      </c>
      <c r="J170" s="773" t="s">
        <v>2393</v>
      </c>
      <c r="K170" s="771" t="s">
        <v>4607</v>
      </c>
      <c r="L170" s="772" t="s">
        <v>398</v>
      </c>
      <c r="M170" s="1850" t="s">
        <v>1121</v>
      </c>
      <c r="N170" s="772" t="s">
        <v>1652</v>
      </c>
      <c r="O170" s="977" t="s">
        <v>3379</v>
      </c>
      <c r="P170" s="241" t="s">
        <v>1923</v>
      </c>
      <c r="Q170" s="241"/>
      <c r="R170" s="147"/>
      <c r="S170" s="236"/>
      <c r="T170" s="391" t="s">
        <v>885</v>
      </c>
      <c r="U170" s="391" t="s">
        <v>1234</v>
      </c>
      <c r="W170" s="44"/>
      <c r="X170" s="44"/>
      <c r="Z170" s="44"/>
      <c r="AA170" s="115"/>
      <c r="AB170" s="115"/>
      <c r="AC170" s="379"/>
      <c r="AD170" s="68"/>
      <c r="AE170" s="115"/>
      <c r="AF170" s="115"/>
      <c r="AG170" s="115"/>
      <c r="AH170" s="115"/>
      <c r="AI170" s="115"/>
      <c r="AJ170" s="115"/>
      <c r="AK170" s="115"/>
    </row>
    <row r="171" spans="2:37" ht="10.5" customHeight="1">
      <c r="B171" s="236"/>
      <c r="C171" s="309" t="s">
        <v>711</v>
      </c>
      <c r="D171" s="352"/>
      <c r="E171" s="236"/>
      <c r="F171" s="236" t="s">
        <v>784</v>
      </c>
      <c r="G171" s="769" t="s">
        <v>1653</v>
      </c>
      <c r="H171" s="769" t="s">
        <v>1136</v>
      </c>
      <c r="I171" s="773" t="s">
        <v>149</v>
      </c>
      <c r="J171" s="773" t="s">
        <v>2393</v>
      </c>
      <c r="K171" s="771" t="s">
        <v>1093</v>
      </c>
      <c r="L171" s="772" t="s">
        <v>397</v>
      </c>
      <c r="M171" s="1850" t="s">
        <v>2385</v>
      </c>
      <c r="N171" s="772" t="s">
        <v>1240</v>
      </c>
      <c r="O171" s="977" t="s">
        <v>3380</v>
      </c>
      <c r="P171" s="241" t="s">
        <v>1925</v>
      </c>
      <c r="Q171" s="241"/>
      <c r="R171" s="147"/>
      <c r="S171" s="236"/>
      <c r="T171" s="391" t="s">
        <v>435</v>
      </c>
      <c r="U171" s="391" t="s">
        <v>2320</v>
      </c>
      <c r="W171" s="44"/>
      <c r="X171" s="44"/>
      <c r="Z171" s="44"/>
      <c r="AA171" s="115"/>
      <c r="AB171" s="115"/>
      <c r="AC171" s="379"/>
      <c r="AD171" s="68"/>
      <c r="AE171" s="115"/>
      <c r="AF171" s="115"/>
      <c r="AG171" s="115"/>
      <c r="AH171" s="115"/>
      <c r="AI171" s="115"/>
      <c r="AJ171" s="115"/>
      <c r="AK171" s="115"/>
    </row>
    <row r="172" spans="2:37" ht="10.5" customHeight="1">
      <c r="B172" s="236"/>
      <c r="C172" s="309" t="s">
        <v>712</v>
      </c>
      <c r="D172" s="352"/>
      <c r="E172" s="236"/>
      <c r="F172" s="236" t="s">
        <v>785</v>
      </c>
      <c r="G172" s="769" t="s">
        <v>1230</v>
      </c>
      <c r="H172" s="769" t="s">
        <v>1231</v>
      </c>
      <c r="I172" s="770" t="s">
        <v>1232</v>
      </c>
      <c r="J172" s="770" t="s">
        <v>2393</v>
      </c>
      <c r="K172" s="771" t="s">
        <v>1684</v>
      </c>
      <c r="L172" s="772" t="s">
        <v>397</v>
      </c>
      <c r="M172" s="1850" t="s">
        <v>2385</v>
      </c>
      <c r="N172" s="772" t="s">
        <v>159</v>
      </c>
      <c r="O172" s="977" t="s">
        <v>3381</v>
      </c>
      <c r="P172" s="241" t="s">
        <v>1927</v>
      </c>
      <c r="Q172" s="241"/>
      <c r="R172" s="147"/>
      <c r="S172" s="236"/>
      <c r="T172" s="391" t="s">
        <v>1924</v>
      </c>
      <c r="U172" s="391" t="s">
        <v>319</v>
      </c>
      <c r="W172" s="44"/>
      <c r="X172" s="44"/>
      <c r="Z172" s="44"/>
      <c r="AA172" s="115"/>
      <c r="AB172" s="115"/>
      <c r="AC172" s="379"/>
      <c r="AD172" s="68"/>
      <c r="AE172" s="115"/>
      <c r="AF172" s="115"/>
      <c r="AG172" s="115"/>
      <c r="AH172" s="115"/>
      <c r="AI172" s="115"/>
      <c r="AJ172" s="115"/>
      <c r="AK172" s="115"/>
    </row>
    <row r="173" spans="2:37" ht="10.5" customHeight="1">
      <c r="B173" s="236"/>
      <c r="C173" s="309" t="s">
        <v>1650</v>
      </c>
      <c r="D173" s="352"/>
      <c r="E173" s="236"/>
      <c r="F173" s="236" t="s">
        <v>786</v>
      </c>
      <c r="G173" s="769" t="s">
        <v>1233</v>
      </c>
      <c r="H173" s="769" t="s">
        <v>1231</v>
      </c>
      <c r="I173" s="773" t="s">
        <v>711</v>
      </c>
      <c r="J173" s="773" t="s">
        <v>2394</v>
      </c>
      <c r="K173" s="771" t="s">
        <v>4608</v>
      </c>
      <c r="L173" s="772" t="s">
        <v>398</v>
      </c>
      <c r="M173" s="1850" t="s">
        <v>1121</v>
      </c>
      <c r="N173" s="772" t="s">
        <v>1130</v>
      </c>
      <c r="O173" s="977" t="s">
        <v>3382</v>
      </c>
      <c r="P173" s="241" t="s">
        <v>1929</v>
      </c>
      <c r="Q173" s="241"/>
      <c r="R173" s="147"/>
      <c r="S173" s="236"/>
      <c r="T173" s="391" t="s">
        <v>1926</v>
      </c>
      <c r="U173" s="391" t="s">
        <v>177</v>
      </c>
      <c r="W173" s="44"/>
      <c r="X173" s="44"/>
      <c r="Z173" s="44"/>
      <c r="AA173" s="115"/>
      <c r="AB173" s="115"/>
      <c r="AC173" s="379"/>
      <c r="AD173" s="68"/>
      <c r="AE173" s="115"/>
      <c r="AF173" s="115"/>
      <c r="AG173" s="115"/>
      <c r="AH173" s="115"/>
      <c r="AI173" s="115"/>
      <c r="AJ173" s="115"/>
      <c r="AK173" s="115"/>
    </row>
    <row r="174" spans="2:37" ht="10.5" customHeight="1">
      <c r="B174" s="236"/>
      <c r="C174" s="309" t="s">
        <v>149</v>
      </c>
      <c r="D174" s="352"/>
      <c r="E174" s="236"/>
      <c r="F174" s="236" t="s">
        <v>788</v>
      </c>
      <c r="G174" s="769" t="s">
        <v>1234</v>
      </c>
      <c r="H174" s="769" t="s">
        <v>1231</v>
      </c>
      <c r="I174" s="773" t="s">
        <v>711</v>
      </c>
      <c r="J174" s="773" t="s">
        <v>2394</v>
      </c>
      <c r="K174" s="771" t="s">
        <v>4608</v>
      </c>
      <c r="L174" s="772" t="s">
        <v>398</v>
      </c>
      <c r="M174" s="1850" t="s">
        <v>1121</v>
      </c>
      <c r="N174" s="772" t="s">
        <v>1130</v>
      </c>
      <c r="O174" s="977" t="s">
        <v>3383</v>
      </c>
      <c r="P174" s="241" t="s">
        <v>1931</v>
      </c>
      <c r="Q174" s="241"/>
      <c r="R174" s="147"/>
      <c r="S174" s="236"/>
      <c r="T174" s="391" t="s">
        <v>1928</v>
      </c>
      <c r="U174" s="391" t="s">
        <v>106</v>
      </c>
      <c r="W174" s="44"/>
      <c r="X174" s="44"/>
      <c r="Z174" s="44"/>
      <c r="AA174" s="115"/>
      <c r="AB174" s="115"/>
      <c r="AC174" s="379"/>
      <c r="AD174" s="68"/>
      <c r="AE174" s="115"/>
      <c r="AF174" s="115"/>
      <c r="AG174" s="115"/>
      <c r="AH174" s="115"/>
      <c r="AI174" s="115"/>
      <c r="AJ174" s="115"/>
      <c r="AK174" s="115"/>
    </row>
    <row r="175" spans="2:37" ht="10.5" customHeight="1">
      <c r="B175" s="236"/>
      <c r="C175" s="309" t="s">
        <v>1232</v>
      </c>
      <c r="D175" s="352"/>
      <c r="E175" s="236"/>
      <c r="F175" s="236" t="s">
        <v>787</v>
      </c>
      <c r="G175" s="769" t="s">
        <v>1235</v>
      </c>
      <c r="H175" s="769" t="s">
        <v>1136</v>
      </c>
      <c r="I175" s="770" t="s">
        <v>1236</v>
      </c>
      <c r="J175" s="770" t="s">
        <v>2393</v>
      </c>
      <c r="K175" s="771" t="s">
        <v>2366</v>
      </c>
      <c r="L175" s="772" t="s">
        <v>397</v>
      </c>
      <c r="M175" s="1850" t="s">
        <v>2385</v>
      </c>
      <c r="N175" s="772" t="s">
        <v>1652</v>
      </c>
      <c r="O175" s="977" t="s">
        <v>3384</v>
      </c>
      <c r="P175" s="241" t="s">
        <v>1816</v>
      </c>
      <c r="Q175" s="391"/>
      <c r="R175" s="147"/>
      <c r="S175" s="236"/>
      <c r="T175" s="391" t="s">
        <v>1930</v>
      </c>
      <c r="U175" s="391" t="s">
        <v>1237</v>
      </c>
      <c r="W175" s="44"/>
      <c r="X175" s="44"/>
      <c r="Z175" s="44"/>
      <c r="AA175" s="115"/>
      <c r="AB175" s="115"/>
      <c r="AC175" s="379"/>
      <c r="AD175" s="68"/>
      <c r="AE175" s="115"/>
      <c r="AF175" s="115"/>
      <c r="AG175" s="115"/>
      <c r="AH175" s="115"/>
      <c r="AI175" s="115"/>
      <c r="AJ175" s="115"/>
      <c r="AK175" s="115"/>
    </row>
    <row r="176" spans="2:37" ht="10.5" customHeight="1">
      <c r="B176" s="236"/>
      <c r="C176" s="310" t="s">
        <v>973</v>
      </c>
      <c r="D176" s="352"/>
      <c r="E176" s="236"/>
      <c r="F176" s="236" t="s">
        <v>789</v>
      </c>
      <c r="G176" s="769" t="s">
        <v>1237</v>
      </c>
      <c r="H176" s="769" t="s">
        <v>1136</v>
      </c>
      <c r="I176" s="770" t="s">
        <v>1238</v>
      </c>
      <c r="J176" s="770" t="s">
        <v>2393</v>
      </c>
      <c r="K176" s="771" t="s">
        <v>2367</v>
      </c>
      <c r="L176" s="772" t="s">
        <v>397</v>
      </c>
      <c r="M176" s="1850" t="s">
        <v>2385</v>
      </c>
      <c r="N176" s="772" t="s">
        <v>1575</v>
      </c>
      <c r="O176" s="977" t="s">
        <v>3385</v>
      </c>
      <c r="P176" s="241" t="s">
        <v>173</v>
      </c>
      <c r="Q176" s="391"/>
      <c r="R176" s="236"/>
      <c r="S176" s="236"/>
      <c r="T176" s="391" t="s">
        <v>1652</v>
      </c>
      <c r="U176" s="391" t="s">
        <v>893</v>
      </c>
      <c r="W176" s="44"/>
      <c r="X176" s="44"/>
      <c r="Z176" s="44"/>
      <c r="AA176" s="115"/>
      <c r="AB176" s="115"/>
      <c r="AC176" s="379"/>
      <c r="AD176" s="68"/>
      <c r="AE176" s="115"/>
      <c r="AF176" s="115"/>
      <c r="AG176" s="115"/>
      <c r="AH176" s="115"/>
      <c r="AI176" s="115"/>
      <c r="AJ176" s="115"/>
      <c r="AK176" s="115"/>
    </row>
    <row r="177" spans="2:37" ht="10.5" customHeight="1">
      <c r="B177" s="236"/>
      <c r="C177" s="310" t="s">
        <v>1238</v>
      </c>
      <c r="D177" s="352"/>
      <c r="E177" s="236"/>
      <c r="F177" s="236" t="s">
        <v>790</v>
      </c>
      <c r="G177" s="769" t="s">
        <v>1239</v>
      </c>
      <c r="H177" s="769" t="s">
        <v>1664</v>
      </c>
      <c r="I177" s="773" t="s">
        <v>1240</v>
      </c>
      <c r="J177" s="773" t="s">
        <v>2394</v>
      </c>
      <c r="K177" s="771" t="s">
        <v>4609</v>
      </c>
      <c r="L177" s="772" t="s">
        <v>398</v>
      </c>
      <c r="M177" s="1850" t="s">
        <v>1121</v>
      </c>
      <c r="N177" s="772" t="s">
        <v>1240</v>
      </c>
      <c r="O177" s="977" t="s">
        <v>3386</v>
      </c>
      <c r="P177" s="241" t="s">
        <v>175</v>
      </c>
      <c r="Q177" s="391"/>
      <c r="R177" s="147"/>
      <c r="S177" s="236"/>
      <c r="T177" s="391" t="s">
        <v>1817</v>
      </c>
      <c r="U177" s="391" t="s">
        <v>403</v>
      </c>
      <c r="W177" s="44"/>
      <c r="X177" s="44"/>
      <c r="Z177" s="44"/>
      <c r="AA177" s="115"/>
      <c r="AB177" s="115"/>
      <c r="AC177" s="379"/>
      <c r="AD177" s="68"/>
      <c r="AE177" s="115"/>
      <c r="AF177" s="115"/>
      <c r="AG177" s="115"/>
      <c r="AH177" s="115"/>
      <c r="AI177" s="115"/>
      <c r="AJ177" s="115"/>
      <c r="AK177" s="115"/>
    </row>
    <row r="178" spans="2:37" ht="10.5" customHeight="1">
      <c r="B178" s="236"/>
      <c r="C178" s="310" t="s">
        <v>1242</v>
      </c>
      <c r="D178" s="352"/>
      <c r="E178" s="236"/>
      <c r="F178" s="236" t="s">
        <v>791</v>
      </c>
      <c r="G178" s="769" t="s">
        <v>1241</v>
      </c>
      <c r="H178" s="769" t="s">
        <v>1136</v>
      </c>
      <c r="I178" s="773" t="s">
        <v>1242</v>
      </c>
      <c r="J178" s="773" t="s">
        <v>2393</v>
      </c>
      <c r="K178" s="771" t="s">
        <v>2368</v>
      </c>
      <c r="L178" s="772" t="s">
        <v>397</v>
      </c>
      <c r="M178" s="1850" t="s">
        <v>2385</v>
      </c>
      <c r="N178" s="772" t="s">
        <v>1240</v>
      </c>
      <c r="O178" s="977" t="s">
        <v>3387</v>
      </c>
      <c r="P178" s="241" t="s">
        <v>416</v>
      </c>
      <c r="Q178" s="241"/>
      <c r="R178" s="147"/>
      <c r="S178" s="236"/>
      <c r="T178" s="391" t="s">
        <v>174</v>
      </c>
      <c r="U178" s="391" t="s">
        <v>1364</v>
      </c>
      <c r="W178" s="44"/>
      <c r="X178" s="44"/>
      <c r="Z178" s="44"/>
      <c r="AA178" s="115"/>
      <c r="AB178" s="115"/>
      <c r="AC178" s="379"/>
      <c r="AD178" s="68"/>
      <c r="AE178" s="115"/>
      <c r="AF178" s="115"/>
      <c r="AG178" s="115"/>
      <c r="AH178" s="115"/>
      <c r="AI178" s="115"/>
      <c r="AJ178" s="115"/>
      <c r="AK178" s="115"/>
    </row>
    <row r="179" spans="2:37" ht="10.5" customHeight="1">
      <c r="B179" s="236"/>
      <c r="C179" s="309" t="s">
        <v>8</v>
      </c>
      <c r="D179" s="352"/>
      <c r="E179" s="236"/>
      <c r="F179" s="236" t="s">
        <v>795</v>
      </c>
      <c r="G179" s="769" t="s">
        <v>1243</v>
      </c>
      <c r="H179" s="769" t="s">
        <v>1136</v>
      </c>
      <c r="I179" s="770" t="s">
        <v>8</v>
      </c>
      <c r="J179" s="770" t="s">
        <v>2394</v>
      </c>
      <c r="K179" s="771" t="s">
        <v>2369</v>
      </c>
      <c r="L179" s="772" t="s">
        <v>398</v>
      </c>
      <c r="M179" s="1850" t="s">
        <v>1121</v>
      </c>
      <c r="N179" s="772" t="s">
        <v>1575</v>
      </c>
      <c r="O179" s="977" t="s">
        <v>3388</v>
      </c>
      <c r="P179" s="241" t="s">
        <v>418</v>
      </c>
      <c r="Q179" s="241"/>
      <c r="R179" s="147"/>
      <c r="S179" s="236"/>
      <c r="T179" s="391" t="s">
        <v>176</v>
      </c>
      <c r="U179" s="391" t="s">
        <v>2203</v>
      </c>
      <c r="W179" s="44"/>
      <c r="X179" s="44"/>
      <c r="Z179" s="44"/>
      <c r="AA179" s="115"/>
      <c r="AB179" s="115"/>
      <c r="AC179" s="379"/>
      <c r="AD179" s="68"/>
      <c r="AE179" s="115"/>
      <c r="AF179" s="115"/>
      <c r="AG179" s="115"/>
      <c r="AH179" s="115"/>
      <c r="AI179" s="115"/>
      <c r="AJ179" s="115"/>
      <c r="AK179" s="115"/>
    </row>
    <row r="180" spans="2:37" ht="10.5" customHeight="1">
      <c r="B180" s="236"/>
      <c r="C180" s="310" t="s">
        <v>1248</v>
      </c>
      <c r="D180" s="352"/>
      <c r="E180" s="236"/>
      <c r="F180" s="236" t="s">
        <v>792</v>
      </c>
      <c r="G180" s="769" t="s">
        <v>1244</v>
      </c>
      <c r="H180" s="769" t="s">
        <v>1136</v>
      </c>
      <c r="I180" s="770" t="s">
        <v>1575</v>
      </c>
      <c r="J180" s="770" t="s">
        <v>2394</v>
      </c>
      <c r="K180" s="771" t="s">
        <v>2370</v>
      </c>
      <c r="L180" s="772" t="s">
        <v>398</v>
      </c>
      <c r="M180" s="1850" t="s">
        <v>1121</v>
      </c>
      <c r="N180" s="772" t="s">
        <v>1575</v>
      </c>
      <c r="O180" s="977" t="s">
        <v>3389</v>
      </c>
      <c r="P180" s="241" t="s">
        <v>420</v>
      </c>
      <c r="Q180" s="241"/>
      <c r="R180" s="147"/>
      <c r="S180" s="236"/>
      <c r="T180" s="391" t="s">
        <v>417</v>
      </c>
      <c r="U180" s="391" t="s">
        <v>1649</v>
      </c>
      <c r="W180" s="44"/>
      <c r="X180" s="44"/>
      <c r="Z180" s="44"/>
      <c r="AA180" s="115"/>
      <c r="AB180" s="115"/>
      <c r="AC180" s="379"/>
      <c r="AD180" s="68"/>
      <c r="AE180" s="115"/>
      <c r="AF180" s="115"/>
      <c r="AG180" s="115"/>
      <c r="AH180" s="115"/>
      <c r="AI180" s="115"/>
      <c r="AJ180" s="115"/>
      <c r="AK180" s="115"/>
    </row>
    <row r="181" spans="2:37" ht="10.5" customHeight="1">
      <c r="B181" s="236"/>
      <c r="C181" s="309" t="s">
        <v>971</v>
      </c>
      <c r="D181" s="352"/>
      <c r="E181" s="236"/>
      <c r="F181" s="236" t="s">
        <v>793</v>
      </c>
      <c r="G181" s="769" t="s">
        <v>1245</v>
      </c>
      <c r="H181" s="769" t="s">
        <v>1136</v>
      </c>
      <c r="I181" s="773" t="s">
        <v>1246</v>
      </c>
      <c r="J181" s="773" t="s">
        <v>2394</v>
      </c>
      <c r="K181" s="771" t="s">
        <v>1370</v>
      </c>
      <c r="L181" s="772" t="s">
        <v>398</v>
      </c>
      <c r="M181" s="1850" t="s">
        <v>1121</v>
      </c>
      <c r="N181" s="772" t="s">
        <v>1246</v>
      </c>
      <c r="O181" s="977" t="s">
        <v>3390</v>
      </c>
      <c r="P181" s="241" t="s">
        <v>422</v>
      </c>
      <c r="Q181" s="241"/>
      <c r="R181" s="147"/>
      <c r="S181" s="236"/>
      <c r="T181" s="391" t="s">
        <v>419</v>
      </c>
      <c r="U181" s="391" t="s">
        <v>1131</v>
      </c>
      <c r="W181" s="44"/>
      <c r="X181" s="44"/>
      <c r="Z181" s="44"/>
      <c r="AA181" s="115"/>
      <c r="AB181" s="115"/>
      <c r="AC181" s="379"/>
      <c r="AD181" s="68"/>
      <c r="AE181" s="115"/>
      <c r="AF181" s="115"/>
      <c r="AG181" s="115"/>
      <c r="AH181" s="115"/>
      <c r="AI181" s="115"/>
      <c r="AJ181" s="115"/>
      <c r="AK181" s="115"/>
    </row>
    <row r="182" spans="2:37" ht="10.5" customHeight="1">
      <c r="B182" s="236"/>
      <c r="C182" s="310" t="s">
        <v>1253</v>
      </c>
      <c r="D182" s="352"/>
      <c r="E182" s="236"/>
      <c r="F182" s="236" t="s">
        <v>794</v>
      </c>
      <c r="G182" s="769" t="s">
        <v>1247</v>
      </c>
      <c r="H182" s="769" t="s">
        <v>1136</v>
      </c>
      <c r="I182" s="773" t="s">
        <v>1248</v>
      </c>
      <c r="J182" s="773" t="s">
        <v>2393</v>
      </c>
      <c r="K182" s="771" t="s">
        <v>2384</v>
      </c>
      <c r="L182" s="772" t="s">
        <v>397</v>
      </c>
      <c r="M182" s="1850" t="s">
        <v>2385</v>
      </c>
      <c r="N182" s="772" t="s">
        <v>1246</v>
      </c>
      <c r="O182" s="977" t="s">
        <v>3391</v>
      </c>
      <c r="P182" s="241" t="s">
        <v>2084</v>
      </c>
      <c r="Q182" s="241"/>
      <c r="R182" s="147"/>
      <c r="S182" s="236"/>
      <c r="T182" s="391" t="s">
        <v>421</v>
      </c>
      <c r="U182" s="391" t="s">
        <v>177</v>
      </c>
      <c r="W182" s="44"/>
      <c r="X182" s="44"/>
      <c r="Z182" s="44"/>
      <c r="AA182" s="115"/>
      <c r="AB182" s="115"/>
      <c r="AC182" s="379"/>
      <c r="AD182" s="68"/>
      <c r="AE182" s="115"/>
      <c r="AF182" s="115"/>
      <c r="AG182" s="115"/>
      <c r="AH182" s="115"/>
      <c r="AI182" s="115"/>
      <c r="AJ182" s="115"/>
      <c r="AK182" s="115"/>
    </row>
    <row r="183" spans="2:37" ht="10.5" customHeight="1">
      <c r="B183" s="236"/>
      <c r="C183" s="310" t="s">
        <v>682</v>
      </c>
      <c r="D183" s="352"/>
      <c r="E183" s="236"/>
      <c r="F183" s="236" t="s">
        <v>796</v>
      </c>
      <c r="G183" s="769" t="s">
        <v>1249</v>
      </c>
      <c r="H183" s="769" t="s">
        <v>1136</v>
      </c>
      <c r="I183" s="773" t="s">
        <v>712</v>
      </c>
      <c r="J183" s="773" t="s">
        <v>2394</v>
      </c>
      <c r="K183" s="771" t="s">
        <v>4610</v>
      </c>
      <c r="L183" s="772" t="s">
        <v>398</v>
      </c>
      <c r="M183" s="1850" t="s">
        <v>2385</v>
      </c>
      <c r="N183" s="772" t="s">
        <v>1250</v>
      </c>
      <c r="O183" s="977" t="s">
        <v>3392</v>
      </c>
      <c r="P183" s="241" t="s">
        <v>2086</v>
      </c>
      <c r="Q183" s="241"/>
      <c r="R183" s="147"/>
      <c r="S183" s="236"/>
      <c r="T183" s="391" t="s">
        <v>423</v>
      </c>
      <c r="U183" s="391" t="s">
        <v>116</v>
      </c>
      <c r="W183" s="44"/>
      <c r="X183" s="44"/>
      <c r="Z183" s="44"/>
      <c r="AA183" s="115"/>
      <c r="AB183" s="115"/>
      <c r="AC183" s="379"/>
      <c r="AD183" s="68"/>
      <c r="AE183" s="115"/>
      <c r="AF183" s="115"/>
      <c r="AG183" s="115"/>
      <c r="AH183" s="115"/>
      <c r="AI183" s="115"/>
      <c r="AJ183" s="115"/>
      <c r="AK183" s="115"/>
    </row>
    <row r="184" spans="2:37" ht="10.5" customHeight="1">
      <c r="B184" s="236"/>
      <c r="C184" s="310" t="s">
        <v>684</v>
      </c>
      <c r="D184" s="352"/>
      <c r="E184" s="236"/>
      <c r="F184" s="236" t="s">
        <v>797</v>
      </c>
      <c r="G184" s="769" t="s">
        <v>1251</v>
      </c>
      <c r="H184" s="769" t="s">
        <v>1231</v>
      </c>
      <c r="I184" s="773" t="s">
        <v>971</v>
      </c>
      <c r="J184" s="773" t="s">
        <v>2394</v>
      </c>
      <c r="K184" s="771" t="s">
        <v>1181</v>
      </c>
      <c r="L184" s="772" t="s">
        <v>398</v>
      </c>
      <c r="M184" s="1850" t="s">
        <v>2385</v>
      </c>
      <c r="N184" s="772" t="s">
        <v>1130</v>
      </c>
      <c r="O184" s="977" t="s">
        <v>3393</v>
      </c>
      <c r="P184" s="241" t="s">
        <v>347</v>
      </c>
      <c r="Q184" s="241"/>
      <c r="R184" s="147"/>
      <c r="S184" s="236"/>
      <c r="T184" s="391" t="s">
        <v>2085</v>
      </c>
      <c r="U184" s="391" t="s">
        <v>2284</v>
      </c>
      <c r="W184" s="44"/>
      <c r="X184" s="44"/>
      <c r="Z184" s="44"/>
      <c r="AA184" s="115"/>
      <c r="AB184" s="115"/>
      <c r="AC184" s="379"/>
      <c r="AD184" s="68"/>
      <c r="AE184" s="115"/>
      <c r="AF184" s="115"/>
      <c r="AG184" s="115"/>
      <c r="AH184" s="115"/>
      <c r="AI184" s="115"/>
      <c r="AJ184" s="115"/>
      <c r="AK184" s="115"/>
    </row>
    <row r="185" spans="2:37" ht="10.5" customHeight="1">
      <c r="B185" s="236"/>
      <c r="C185" s="309" t="s">
        <v>151</v>
      </c>
      <c r="D185" s="352"/>
      <c r="E185" s="236"/>
      <c r="F185" s="236" t="s">
        <v>798</v>
      </c>
      <c r="G185" s="769" t="s">
        <v>1252</v>
      </c>
      <c r="H185" s="769" t="s">
        <v>1136</v>
      </c>
      <c r="I185" s="770" t="s">
        <v>1253</v>
      </c>
      <c r="J185" s="770" t="s">
        <v>2393</v>
      </c>
      <c r="K185" s="771" t="s">
        <v>1182</v>
      </c>
      <c r="L185" s="772" t="s">
        <v>397</v>
      </c>
      <c r="M185" s="1850" t="s">
        <v>2385</v>
      </c>
      <c r="N185" s="772" t="s">
        <v>1652</v>
      </c>
      <c r="O185" s="977" t="s">
        <v>3394</v>
      </c>
      <c r="P185" s="241" t="s">
        <v>349</v>
      </c>
      <c r="Q185" s="241"/>
      <c r="R185" s="147"/>
      <c r="S185" s="236"/>
      <c r="T185" s="391" t="s">
        <v>1706</v>
      </c>
      <c r="U185" s="391" t="s">
        <v>2014</v>
      </c>
      <c r="W185" s="44"/>
      <c r="X185" s="44"/>
      <c r="Z185" s="44"/>
      <c r="AA185" s="115"/>
      <c r="AB185" s="115"/>
      <c r="AC185" s="379"/>
      <c r="AD185" s="68"/>
      <c r="AE185" s="115"/>
      <c r="AF185" s="115"/>
      <c r="AG185" s="115"/>
      <c r="AH185" s="115"/>
      <c r="AI185" s="115"/>
      <c r="AJ185" s="115"/>
      <c r="AK185" s="115"/>
    </row>
    <row r="186" spans="2:37" ht="10.5" customHeight="1">
      <c r="B186" s="236"/>
      <c r="C186" s="309" t="s">
        <v>1422</v>
      </c>
      <c r="D186" s="352"/>
      <c r="E186" s="236"/>
      <c r="F186" s="236" t="s">
        <v>801</v>
      </c>
      <c r="G186" s="769" t="s">
        <v>1254</v>
      </c>
      <c r="H186" s="769" t="s">
        <v>1136</v>
      </c>
      <c r="I186" s="773" t="s">
        <v>682</v>
      </c>
      <c r="J186" s="773" t="s">
        <v>2393</v>
      </c>
      <c r="K186" s="771" t="s">
        <v>1183</v>
      </c>
      <c r="L186" s="772" t="s">
        <v>397</v>
      </c>
      <c r="M186" s="1850" t="s">
        <v>2385</v>
      </c>
      <c r="N186" s="772" t="s">
        <v>1575</v>
      </c>
      <c r="O186" s="977" t="s">
        <v>3395</v>
      </c>
      <c r="P186" s="241" t="s">
        <v>2335</v>
      </c>
      <c r="Q186" s="241"/>
      <c r="R186" s="147"/>
      <c r="S186" s="236"/>
      <c r="T186" s="391" t="s">
        <v>348</v>
      </c>
      <c r="U186" s="391" t="s">
        <v>2014</v>
      </c>
      <c r="W186" s="44"/>
      <c r="X186" s="44"/>
      <c r="Z186" s="44"/>
      <c r="AA186" s="115"/>
      <c r="AB186" s="115"/>
      <c r="AC186" s="379"/>
      <c r="AD186" s="68"/>
      <c r="AE186" s="115"/>
      <c r="AF186" s="115"/>
      <c r="AG186" s="115"/>
      <c r="AH186" s="115"/>
      <c r="AI186" s="115"/>
      <c r="AJ186" s="115"/>
      <c r="AK186" s="115"/>
    </row>
    <row r="187" spans="2:37" ht="10.5" customHeight="1">
      <c r="B187" s="236"/>
      <c r="C187" s="309" t="s">
        <v>156</v>
      </c>
      <c r="D187" s="352"/>
      <c r="E187" s="236"/>
      <c r="F187" s="236" t="s">
        <v>800</v>
      </c>
      <c r="G187" s="769" t="s">
        <v>683</v>
      </c>
      <c r="H187" s="769" t="s">
        <v>1136</v>
      </c>
      <c r="I187" s="770" t="s">
        <v>684</v>
      </c>
      <c r="J187" s="770" t="s">
        <v>2393</v>
      </c>
      <c r="K187" s="771" t="s">
        <v>1590</v>
      </c>
      <c r="L187" s="772" t="s">
        <v>397</v>
      </c>
      <c r="M187" s="1850" t="s">
        <v>2385</v>
      </c>
      <c r="N187" s="772" t="s">
        <v>1246</v>
      </c>
      <c r="O187" s="977" t="s">
        <v>3396</v>
      </c>
      <c r="P187" s="241" t="s">
        <v>2337</v>
      </c>
      <c r="Q187" s="241"/>
      <c r="R187" s="147"/>
      <c r="S187" s="236"/>
      <c r="T187" s="391" t="s">
        <v>1135</v>
      </c>
      <c r="U187" s="391" t="s">
        <v>2319</v>
      </c>
      <c r="W187" s="44"/>
      <c r="X187" s="44"/>
      <c r="Z187" s="44"/>
      <c r="AA187" s="115"/>
      <c r="AB187" s="115"/>
      <c r="AC187" s="379"/>
      <c r="AD187" s="68"/>
      <c r="AE187" s="115"/>
      <c r="AF187" s="115"/>
      <c r="AG187" s="115"/>
      <c r="AH187" s="115"/>
      <c r="AI187" s="115"/>
      <c r="AJ187" s="115"/>
      <c r="AK187" s="115"/>
    </row>
    <row r="188" spans="2:37" ht="10.5" customHeight="1">
      <c r="B188" s="236"/>
      <c r="C188" s="309" t="s">
        <v>2279</v>
      </c>
      <c r="D188" s="352"/>
      <c r="E188" s="236"/>
      <c r="F188" s="236" t="s">
        <v>799</v>
      </c>
      <c r="G188" s="769" t="s">
        <v>685</v>
      </c>
      <c r="H188" s="769" t="s">
        <v>1231</v>
      </c>
      <c r="I188" s="773" t="s">
        <v>711</v>
      </c>
      <c r="J188" s="773" t="s">
        <v>2394</v>
      </c>
      <c r="K188" s="771" t="s">
        <v>4608</v>
      </c>
      <c r="L188" s="772" t="s">
        <v>398</v>
      </c>
      <c r="M188" s="1850" t="s">
        <v>1121</v>
      </c>
      <c r="N188" s="772" t="s">
        <v>1130</v>
      </c>
      <c r="O188" s="977" t="s">
        <v>3397</v>
      </c>
      <c r="P188" s="241" t="s">
        <v>2339</v>
      </c>
      <c r="Q188" s="241"/>
      <c r="R188" s="147"/>
      <c r="S188" s="236"/>
      <c r="T188" s="391" t="s">
        <v>2336</v>
      </c>
      <c r="U188" s="391" t="s">
        <v>2324</v>
      </c>
      <c r="W188" s="44"/>
      <c r="X188" s="44"/>
      <c r="Z188" s="44"/>
      <c r="AA188" s="115"/>
      <c r="AB188" s="115"/>
      <c r="AC188" s="379"/>
      <c r="AD188" s="68"/>
      <c r="AE188" s="115"/>
      <c r="AF188" s="115"/>
      <c r="AG188" s="115"/>
      <c r="AH188" s="115"/>
      <c r="AI188" s="115"/>
      <c r="AJ188" s="115"/>
      <c r="AK188" s="115"/>
    </row>
    <row r="189" spans="2:37" ht="10.5" customHeight="1">
      <c r="B189" s="236"/>
      <c r="C189" s="310" t="s">
        <v>2282</v>
      </c>
      <c r="D189" s="352"/>
      <c r="E189" s="236"/>
      <c r="F189" s="236" t="s">
        <v>802</v>
      </c>
      <c r="G189" s="769" t="s">
        <v>1421</v>
      </c>
      <c r="H189" s="769" t="s">
        <v>1231</v>
      </c>
      <c r="I189" s="773" t="s">
        <v>1422</v>
      </c>
      <c r="J189" s="773" t="s">
        <v>2394</v>
      </c>
      <c r="K189" s="771" t="s">
        <v>1560</v>
      </c>
      <c r="L189" s="772" t="s">
        <v>398</v>
      </c>
      <c r="M189" s="1850" t="s">
        <v>2385</v>
      </c>
      <c r="N189" s="772" t="s">
        <v>1422</v>
      </c>
      <c r="O189" s="977" t="s">
        <v>3398</v>
      </c>
      <c r="P189" s="241" t="s">
        <v>2341</v>
      </c>
      <c r="Q189" s="241"/>
      <c r="R189" s="147"/>
      <c r="S189" s="236"/>
      <c r="T189" s="391" t="s">
        <v>2338</v>
      </c>
      <c r="U189" s="391" t="s">
        <v>1031</v>
      </c>
      <c r="W189" s="44"/>
      <c r="X189" s="44"/>
      <c r="Z189" s="44"/>
      <c r="AA189" s="115"/>
      <c r="AB189" s="115"/>
      <c r="AC189" s="379"/>
      <c r="AD189" s="68"/>
      <c r="AE189" s="115"/>
      <c r="AF189" s="115"/>
      <c r="AG189" s="115"/>
      <c r="AH189" s="115"/>
      <c r="AI189" s="115"/>
      <c r="AJ189" s="115"/>
      <c r="AK189" s="115"/>
    </row>
    <row r="190" spans="2:37" ht="10.5" customHeight="1">
      <c r="B190" s="236"/>
      <c r="C190" s="310" t="s">
        <v>2285</v>
      </c>
      <c r="D190" s="352"/>
      <c r="E190" s="236"/>
      <c r="F190" s="236" t="s">
        <v>803</v>
      </c>
      <c r="G190" s="769" t="s">
        <v>150</v>
      </c>
      <c r="H190" s="769" t="s">
        <v>1136</v>
      </c>
      <c r="I190" s="770" t="s">
        <v>151</v>
      </c>
      <c r="J190" s="770" t="s">
        <v>2393</v>
      </c>
      <c r="K190" s="771" t="s">
        <v>1561</v>
      </c>
      <c r="L190" s="772" t="s">
        <v>397</v>
      </c>
      <c r="M190" s="1850" t="s">
        <v>2385</v>
      </c>
      <c r="N190" s="772" t="s">
        <v>1575</v>
      </c>
      <c r="O190" s="977" t="s">
        <v>3399</v>
      </c>
      <c r="P190" s="241" t="s">
        <v>2343</v>
      </c>
      <c r="Q190" s="241"/>
      <c r="R190" s="147"/>
      <c r="S190" s="236"/>
      <c r="T190" s="391" t="s">
        <v>2340</v>
      </c>
      <c r="U190" s="391" t="s">
        <v>310</v>
      </c>
      <c r="W190" s="44"/>
      <c r="X190" s="44"/>
      <c r="Z190" s="44"/>
      <c r="AA190" s="115"/>
      <c r="AB190" s="115"/>
      <c r="AC190" s="379"/>
      <c r="AD190" s="68"/>
      <c r="AE190" s="115"/>
      <c r="AF190" s="115"/>
      <c r="AG190" s="115"/>
      <c r="AH190" s="115"/>
      <c r="AI190" s="115"/>
      <c r="AJ190" s="115"/>
      <c r="AK190" s="115"/>
    </row>
    <row r="191" spans="2:37" ht="10.5" customHeight="1">
      <c r="B191" s="236"/>
      <c r="C191" s="310" t="s">
        <v>2318</v>
      </c>
      <c r="D191" s="352"/>
      <c r="E191" s="236"/>
      <c r="F191" s="236" t="s">
        <v>1261</v>
      </c>
      <c r="G191" s="769" t="s">
        <v>152</v>
      </c>
      <c r="H191" s="769" t="s">
        <v>1664</v>
      </c>
      <c r="I191" s="773" t="s">
        <v>1246</v>
      </c>
      <c r="J191" s="773" t="s">
        <v>2394</v>
      </c>
      <c r="K191" s="771" t="s">
        <v>1370</v>
      </c>
      <c r="L191" s="772" t="s">
        <v>398</v>
      </c>
      <c r="M191" s="1850" t="s">
        <v>1121</v>
      </c>
      <c r="N191" s="772" t="s">
        <v>1246</v>
      </c>
      <c r="O191" s="977" t="s">
        <v>3400</v>
      </c>
      <c r="P191" s="241" t="s">
        <v>2345</v>
      </c>
      <c r="Q191" s="241"/>
      <c r="R191" s="147"/>
      <c r="S191" s="236"/>
      <c r="T191" s="391" t="s">
        <v>2342</v>
      </c>
      <c r="U191" s="391" t="s">
        <v>2281</v>
      </c>
      <c r="W191" s="44"/>
      <c r="X191" s="44"/>
      <c r="Z191" s="44"/>
      <c r="AA191" s="115"/>
      <c r="AB191" s="115"/>
      <c r="AC191" s="379"/>
      <c r="AD191" s="68"/>
      <c r="AE191" s="115"/>
      <c r="AF191" s="115"/>
      <c r="AG191" s="115"/>
      <c r="AH191" s="115"/>
      <c r="AI191" s="115"/>
      <c r="AJ191" s="115"/>
      <c r="AK191" s="115"/>
    </row>
    <row r="192" spans="2:37" ht="10.5" customHeight="1">
      <c r="B192" s="236"/>
      <c r="C192" s="309" t="s">
        <v>154</v>
      </c>
      <c r="D192" s="352"/>
      <c r="E192" s="236"/>
      <c r="F192" s="236" t="s">
        <v>804</v>
      </c>
      <c r="G192" s="769" t="s">
        <v>153</v>
      </c>
      <c r="H192" s="769" t="s">
        <v>1136</v>
      </c>
      <c r="I192" s="773" t="s">
        <v>154</v>
      </c>
      <c r="J192" s="773" t="s">
        <v>2394</v>
      </c>
      <c r="K192" s="771" t="s">
        <v>4611</v>
      </c>
      <c r="L192" s="772" t="s">
        <v>398</v>
      </c>
      <c r="M192" s="1850" t="s">
        <v>2385</v>
      </c>
      <c r="N192" s="772" t="s">
        <v>154</v>
      </c>
      <c r="O192" s="977" t="s">
        <v>3401</v>
      </c>
      <c r="P192" s="241" t="s">
        <v>2346</v>
      </c>
      <c r="Q192" s="241"/>
      <c r="R192" s="147"/>
      <c r="S192" s="236"/>
      <c r="T192" s="391" t="s">
        <v>2344</v>
      </c>
      <c r="U192" s="391" t="s">
        <v>1252</v>
      </c>
      <c r="W192" s="44"/>
      <c r="X192" s="44"/>
      <c r="Z192" s="44"/>
      <c r="AA192" s="115"/>
      <c r="AB192" s="115"/>
      <c r="AC192" s="379"/>
      <c r="AD192" s="68"/>
      <c r="AE192" s="115"/>
      <c r="AF192" s="115"/>
      <c r="AG192" s="115"/>
      <c r="AH192" s="115"/>
      <c r="AI192" s="115"/>
      <c r="AJ192" s="115"/>
      <c r="AK192" s="115"/>
    </row>
    <row r="193" spans="2:37" ht="10.5" customHeight="1">
      <c r="B193" s="236"/>
      <c r="C193" s="310" t="s">
        <v>2321</v>
      </c>
      <c r="D193" s="352"/>
      <c r="E193" s="236"/>
      <c r="F193" s="236" t="s">
        <v>1262</v>
      </c>
      <c r="G193" s="769" t="s">
        <v>155</v>
      </c>
      <c r="H193" s="769" t="s">
        <v>1231</v>
      </c>
      <c r="I193" s="770" t="s">
        <v>156</v>
      </c>
      <c r="J193" s="770" t="s">
        <v>2393</v>
      </c>
      <c r="K193" s="771" t="s">
        <v>1562</v>
      </c>
      <c r="L193" s="772" t="s">
        <v>397</v>
      </c>
      <c r="M193" s="1850" t="s">
        <v>2385</v>
      </c>
      <c r="N193" s="772" t="s">
        <v>1422</v>
      </c>
      <c r="O193" s="977" t="s">
        <v>3402</v>
      </c>
      <c r="P193" s="241" t="s">
        <v>2348</v>
      </c>
      <c r="Q193" s="241"/>
      <c r="R193" s="147"/>
      <c r="S193" s="236"/>
      <c r="T193" s="391" t="s">
        <v>2347</v>
      </c>
      <c r="U193" s="391" t="s">
        <v>2378</v>
      </c>
      <c r="W193" s="44"/>
      <c r="X193" s="44"/>
      <c r="Z193" s="44"/>
      <c r="AA193" s="115"/>
      <c r="AB193" s="115"/>
      <c r="AC193" s="379"/>
      <c r="AD193" s="68"/>
      <c r="AE193" s="115"/>
      <c r="AF193" s="115"/>
      <c r="AG193" s="115"/>
      <c r="AH193" s="115"/>
      <c r="AI193" s="115"/>
      <c r="AJ193" s="115"/>
      <c r="AK193" s="115"/>
    </row>
    <row r="194" spans="2:37" ht="10.5" customHeight="1">
      <c r="B194" s="236"/>
      <c r="C194" s="310" t="s">
        <v>186</v>
      </c>
      <c r="D194" s="352"/>
      <c r="E194" s="236"/>
      <c r="F194" s="236" t="s">
        <v>1269</v>
      </c>
      <c r="G194" s="769" t="s">
        <v>157</v>
      </c>
      <c r="H194" s="769" t="s">
        <v>1231</v>
      </c>
      <c r="I194" s="773" t="s">
        <v>711</v>
      </c>
      <c r="J194" s="773" t="s">
        <v>2394</v>
      </c>
      <c r="K194" s="771" t="s">
        <v>4608</v>
      </c>
      <c r="L194" s="772" t="s">
        <v>398</v>
      </c>
      <c r="M194" s="1850" t="s">
        <v>1121</v>
      </c>
      <c r="N194" s="772" t="s">
        <v>1130</v>
      </c>
      <c r="O194" s="977" t="s">
        <v>3403</v>
      </c>
      <c r="P194" s="241" t="s">
        <v>391</v>
      </c>
      <c r="Q194" s="241"/>
      <c r="R194" s="147"/>
      <c r="S194" s="236"/>
      <c r="T194" s="391" t="s">
        <v>2349</v>
      </c>
      <c r="U194" s="391" t="s">
        <v>1772</v>
      </c>
      <c r="W194" s="44"/>
      <c r="X194" s="44"/>
      <c r="Z194" s="44"/>
      <c r="AA194" s="115"/>
      <c r="AB194" s="115"/>
      <c r="AC194" s="379"/>
      <c r="AD194" s="68"/>
      <c r="AE194" s="115"/>
      <c r="AF194" s="115"/>
      <c r="AG194" s="115"/>
      <c r="AH194" s="115"/>
      <c r="AI194" s="115"/>
      <c r="AJ194" s="115"/>
      <c r="AK194" s="115"/>
    </row>
    <row r="195" spans="2:37" ht="10.5" customHeight="1">
      <c r="B195" s="236"/>
      <c r="C195" s="310" t="s">
        <v>322</v>
      </c>
      <c r="D195" s="352"/>
      <c r="E195" s="236"/>
      <c r="F195" s="236" t="s">
        <v>1270</v>
      </c>
      <c r="G195" s="769" t="s">
        <v>158</v>
      </c>
      <c r="H195" s="769" t="s">
        <v>1231</v>
      </c>
      <c r="I195" s="770" t="s">
        <v>1887</v>
      </c>
      <c r="J195" s="770" t="s">
        <v>2394</v>
      </c>
      <c r="K195" s="771" t="s">
        <v>576</v>
      </c>
      <c r="L195" s="772" t="s">
        <v>398</v>
      </c>
      <c r="M195" s="1850" t="s">
        <v>1121</v>
      </c>
      <c r="N195" s="772" t="s">
        <v>159</v>
      </c>
      <c r="O195" s="977" t="s">
        <v>3404</v>
      </c>
      <c r="P195" s="241" t="s">
        <v>392</v>
      </c>
      <c r="Q195" s="241"/>
      <c r="R195" s="236"/>
      <c r="S195" s="236"/>
      <c r="T195" s="391" t="s">
        <v>159</v>
      </c>
      <c r="U195" s="391" t="s">
        <v>158</v>
      </c>
      <c r="W195" s="44"/>
      <c r="X195" s="44"/>
      <c r="Z195" s="44"/>
      <c r="AA195" s="115"/>
      <c r="AB195" s="115"/>
      <c r="AC195" s="379"/>
      <c r="AD195" s="68"/>
      <c r="AE195" s="115"/>
      <c r="AF195" s="115"/>
      <c r="AG195" s="115"/>
      <c r="AH195" s="115"/>
      <c r="AI195" s="115"/>
      <c r="AJ195" s="115"/>
      <c r="AK195" s="115"/>
    </row>
    <row r="196" spans="2:37" ht="10.5" customHeight="1">
      <c r="B196" s="236"/>
      <c r="C196" s="309" t="s">
        <v>190</v>
      </c>
      <c r="D196" s="352"/>
      <c r="E196" s="236"/>
      <c r="F196" s="236" t="s">
        <v>1263</v>
      </c>
      <c r="G196" s="769" t="s">
        <v>2278</v>
      </c>
      <c r="H196" s="769" t="s">
        <v>1136</v>
      </c>
      <c r="I196" s="770" t="s">
        <v>2279</v>
      </c>
      <c r="J196" s="770" t="s">
        <v>2393</v>
      </c>
      <c r="K196" s="771" t="s">
        <v>577</v>
      </c>
      <c r="L196" s="772" t="s">
        <v>397</v>
      </c>
      <c r="M196" s="1850" t="s">
        <v>2385</v>
      </c>
      <c r="N196" s="772" t="s">
        <v>1652</v>
      </c>
      <c r="O196" s="977" t="s">
        <v>3405</v>
      </c>
      <c r="P196" s="241" t="s">
        <v>723</v>
      </c>
      <c r="Q196" s="391"/>
      <c r="R196" s="147"/>
      <c r="S196" s="236"/>
      <c r="T196" s="391" t="s">
        <v>1130</v>
      </c>
      <c r="U196" s="391" t="s">
        <v>1131</v>
      </c>
      <c r="W196" s="44"/>
      <c r="X196" s="44"/>
      <c r="Z196" s="44"/>
      <c r="AA196" s="115"/>
      <c r="AB196" s="115"/>
      <c r="AC196" s="379"/>
      <c r="AD196" s="68"/>
      <c r="AE196" s="115"/>
      <c r="AF196" s="115"/>
      <c r="AG196" s="115"/>
      <c r="AH196" s="115"/>
      <c r="AI196" s="115"/>
      <c r="AJ196" s="115"/>
      <c r="AK196" s="115"/>
    </row>
    <row r="197" spans="2:37" ht="10.5" customHeight="1">
      <c r="B197" s="236"/>
      <c r="C197" s="309" t="s">
        <v>890</v>
      </c>
      <c r="D197" s="352"/>
      <c r="E197" s="236"/>
      <c r="F197" s="236" t="s">
        <v>1265</v>
      </c>
      <c r="G197" s="769" t="s">
        <v>2280</v>
      </c>
      <c r="H197" s="769" t="s">
        <v>1664</v>
      </c>
      <c r="I197" s="773" t="s">
        <v>711</v>
      </c>
      <c r="J197" s="773" t="s">
        <v>2394</v>
      </c>
      <c r="K197" s="771" t="s">
        <v>4608</v>
      </c>
      <c r="L197" s="772" t="s">
        <v>398</v>
      </c>
      <c r="M197" s="1850" t="s">
        <v>1121</v>
      </c>
      <c r="N197" s="772" t="s">
        <v>1130</v>
      </c>
      <c r="O197" s="977" t="s">
        <v>3406</v>
      </c>
      <c r="P197" s="241" t="s">
        <v>725</v>
      </c>
      <c r="Q197" s="391"/>
      <c r="R197" s="147"/>
      <c r="S197" s="236"/>
      <c r="T197" s="391" t="s">
        <v>724</v>
      </c>
      <c r="U197" s="391" t="s">
        <v>189</v>
      </c>
      <c r="W197" s="44"/>
      <c r="X197" s="44"/>
      <c r="Z197" s="44"/>
      <c r="AA197" s="115"/>
      <c r="AB197" s="115"/>
      <c r="AC197" s="379"/>
      <c r="AD197" s="68"/>
      <c r="AE197" s="115"/>
      <c r="AF197" s="115"/>
      <c r="AG197" s="115"/>
      <c r="AH197" s="115"/>
      <c r="AI197" s="115"/>
      <c r="AJ197" s="115"/>
      <c r="AK197" s="115"/>
    </row>
    <row r="198" spans="2:37" ht="10.5" customHeight="1">
      <c r="B198" s="236"/>
      <c r="C198" s="310" t="s">
        <v>892</v>
      </c>
      <c r="D198" s="352"/>
      <c r="E198" s="236"/>
      <c r="F198" s="236" t="s">
        <v>1266</v>
      </c>
      <c r="G198" s="769" t="s">
        <v>2281</v>
      </c>
      <c r="H198" s="769" t="s">
        <v>1136</v>
      </c>
      <c r="I198" s="770" t="s">
        <v>2282</v>
      </c>
      <c r="J198" s="770" t="s">
        <v>2393</v>
      </c>
      <c r="K198" s="771" t="s">
        <v>578</v>
      </c>
      <c r="L198" s="772" t="s">
        <v>397</v>
      </c>
      <c r="M198" s="1850" t="s">
        <v>2385</v>
      </c>
      <c r="N198" s="772" t="s">
        <v>1575</v>
      </c>
      <c r="O198" s="977" t="s">
        <v>3407</v>
      </c>
      <c r="P198" s="241" t="s">
        <v>1915</v>
      </c>
      <c r="Q198" s="391"/>
      <c r="R198" s="147"/>
      <c r="S198" s="236"/>
      <c r="T198" s="391" t="s">
        <v>1914</v>
      </c>
      <c r="U198" s="391" t="s">
        <v>1233</v>
      </c>
      <c r="W198" s="44"/>
      <c r="X198" s="44"/>
      <c r="Z198" s="44"/>
      <c r="AA198" s="115"/>
      <c r="AB198" s="115"/>
      <c r="AC198" s="379"/>
      <c r="AD198" s="68"/>
      <c r="AE198" s="115"/>
      <c r="AF198" s="115"/>
      <c r="AG198" s="115"/>
      <c r="AH198" s="115"/>
      <c r="AI198" s="115"/>
      <c r="AJ198" s="115"/>
      <c r="AK198" s="115"/>
    </row>
    <row r="199" spans="2:37" ht="10.5" customHeight="1">
      <c r="B199" s="236"/>
      <c r="C199" s="309" t="s">
        <v>816</v>
      </c>
      <c r="D199" s="352"/>
      <c r="E199" s="236"/>
      <c r="F199" s="236" t="s">
        <v>1267</v>
      </c>
      <c r="G199" s="769" t="s">
        <v>2283</v>
      </c>
      <c r="H199" s="769" t="s">
        <v>1664</v>
      </c>
      <c r="I199" s="773" t="s">
        <v>711</v>
      </c>
      <c r="J199" s="773" t="s">
        <v>2394</v>
      </c>
      <c r="K199" s="771" t="s">
        <v>4608</v>
      </c>
      <c r="L199" s="772" t="s">
        <v>398</v>
      </c>
      <c r="M199" s="1850" t="s">
        <v>1121</v>
      </c>
      <c r="N199" s="772" t="s">
        <v>1130</v>
      </c>
      <c r="O199" s="977" t="s">
        <v>3408</v>
      </c>
      <c r="P199" s="241" t="s">
        <v>1916</v>
      </c>
      <c r="Q199" s="391"/>
      <c r="R199" s="147"/>
      <c r="S199" s="236"/>
      <c r="T199" s="391" t="s">
        <v>1250</v>
      </c>
      <c r="U199" s="391" t="s">
        <v>1043</v>
      </c>
      <c r="W199" s="44"/>
      <c r="X199" s="44"/>
      <c r="Z199" s="44"/>
      <c r="AA199" s="115"/>
      <c r="AB199" s="115"/>
      <c r="AC199" s="379"/>
      <c r="AD199" s="68"/>
      <c r="AE199" s="115"/>
      <c r="AF199" s="115"/>
      <c r="AG199" s="115"/>
      <c r="AH199" s="115"/>
      <c r="AI199" s="115"/>
      <c r="AJ199" s="115"/>
      <c r="AK199" s="115"/>
    </row>
    <row r="200" spans="2:37" ht="10.5" customHeight="1">
      <c r="B200" s="236"/>
      <c r="C200" s="310" t="s">
        <v>820</v>
      </c>
      <c r="D200" s="352"/>
      <c r="E200" s="236"/>
      <c r="F200" s="236" t="s">
        <v>1264</v>
      </c>
      <c r="G200" s="769" t="s">
        <v>2284</v>
      </c>
      <c r="H200" s="769" t="s">
        <v>1136</v>
      </c>
      <c r="I200" s="770" t="s">
        <v>2285</v>
      </c>
      <c r="J200" s="770" t="s">
        <v>2393</v>
      </c>
      <c r="K200" s="771" t="s">
        <v>579</v>
      </c>
      <c r="L200" s="772" t="s">
        <v>397</v>
      </c>
      <c r="M200" s="1850" t="s">
        <v>2385</v>
      </c>
      <c r="N200" s="772" t="s">
        <v>1575</v>
      </c>
      <c r="O200" s="977" t="s">
        <v>3409</v>
      </c>
      <c r="P200" s="241" t="s">
        <v>1918</v>
      </c>
      <c r="Q200" s="391"/>
      <c r="R200" s="147"/>
      <c r="S200" s="236"/>
      <c r="T200" s="391" t="s">
        <v>1917</v>
      </c>
      <c r="U200" s="391" t="s">
        <v>2283</v>
      </c>
      <c r="W200" s="44"/>
      <c r="X200" s="44"/>
      <c r="Z200" s="44"/>
      <c r="AA200" s="115"/>
      <c r="AB200" s="115"/>
      <c r="AC200" s="379"/>
      <c r="AD200" s="68"/>
      <c r="AE200" s="115"/>
      <c r="AF200" s="115"/>
      <c r="AG200" s="115"/>
      <c r="AH200" s="115"/>
      <c r="AI200" s="115"/>
      <c r="AJ200" s="115"/>
      <c r="AK200" s="115"/>
    </row>
    <row r="201" spans="2:37" ht="10.5" customHeight="1">
      <c r="B201" s="236"/>
      <c r="C201" s="310" t="s">
        <v>2068</v>
      </c>
      <c r="D201" s="352"/>
      <c r="E201" s="236"/>
      <c r="F201" s="236" t="s">
        <v>1268</v>
      </c>
      <c r="G201" s="769" t="s">
        <v>2286</v>
      </c>
      <c r="H201" s="769" t="s">
        <v>1136</v>
      </c>
      <c r="I201" s="770" t="s">
        <v>2318</v>
      </c>
      <c r="J201" s="770" t="s">
        <v>2393</v>
      </c>
      <c r="K201" s="771" t="s">
        <v>580</v>
      </c>
      <c r="L201" s="772" t="s">
        <v>397</v>
      </c>
      <c r="M201" s="1850" t="s">
        <v>2385</v>
      </c>
      <c r="N201" s="772" t="s">
        <v>1652</v>
      </c>
      <c r="O201" s="977" t="s">
        <v>3410</v>
      </c>
      <c r="P201" s="241" t="s">
        <v>1948</v>
      </c>
      <c r="Q201" s="391"/>
      <c r="R201" s="147"/>
      <c r="S201" s="236"/>
      <c r="T201" s="391" t="s">
        <v>1848</v>
      </c>
      <c r="U201" s="391" t="s">
        <v>2010</v>
      </c>
      <c r="W201" s="44"/>
      <c r="X201" s="44"/>
      <c r="Z201" s="44"/>
      <c r="AA201" s="115"/>
      <c r="AB201" s="115"/>
      <c r="AC201" s="379"/>
      <c r="AD201" s="68"/>
      <c r="AE201" s="115"/>
      <c r="AF201" s="115"/>
      <c r="AG201" s="115"/>
      <c r="AH201" s="115"/>
      <c r="AI201" s="115"/>
      <c r="AJ201" s="115"/>
      <c r="AK201" s="115"/>
    </row>
    <row r="202" spans="2:37" ht="10.5" customHeight="1">
      <c r="B202" s="236"/>
      <c r="C202" s="310" t="s">
        <v>607</v>
      </c>
      <c r="D202" s="352"/>
      <c r="E202" s="236"/>
      <c r="F202" s="236" t="s">
        <v>1271</v>
      </c>
      <c r="G202" s="769" t="s">
        <v>2319</v>
      </c>
      <c r="H202" s="769" t="s">
        <v>1231</v>
      </c>
      <c r="I202" s="773" t="s">
        <v>712</v>
      </c>
      <c r="J202" s="773" t="s">
        <v>2394</v>
      </c>
      <c r="K202" s="771" t="s">
        <v>4610</v>
      </c>
      <c r="L202" s="772" t="s">
        <v>398</v>
      </c>
      <c r="M202" s="1850" t="s">
        <v>2385</v>
      </c>
      <c r="N202" s="772" t="s">
        <v>1250</v>
      </c>
      <c r="O202" s="977" t="s">
        <v>3411</v>
      </c>
      <c r="P202" s="241" t="s">
        <v>1950</v>
      </c>
      <c r="Q202" s="391"/>
      <c r="R202" s="147"/>
      <c r="S202" s="236"/>
      <c r="T202" s="391" t="s">
        <v>1919</v>
      </c>
      <c r="U202" s="391" t="s">
        <v>315</v>
      </c>
      <c r="W202" s="44"/>
      <c r="X202" s="44"/>
      <c r="Z202" s="44"/>
      <c r="AA202" s="115"/>
      <c r="AB202" s="115"/>
      <c r="AC202" s="379"/>
      <c r="AD202" s="68"/>
      <c r="AE202" s="115"/>
      <c r="AF202" s="115"/>
      <c r="AG202" s="115"/>
      <c r="AH202" s="115"/>
      <c r="AI202" s="115"/>
      <c r="AJ202" s="115"/>
      <c r="AK202" s="115"/>
    </row>
    <row r="203" spans="2:37" ht="10.5" customHeight="1">
      <c r="B203" s="236"/>
      <c r="C203" s="310" t="s">
        <v>609</v>
      </c>
      <c r="D203" s="352"/>
      <c r="E203" s="236"/>
      <c r="F203" s="236" t="s">
        <v>1272</v>
      </c>
      <c r="G203" s="769" t="s">
        <v>2320</v>
      </c>
      <c r="H203" s="769" t="s">
        <v>1136</v>
      </c>
      <c r="I203" s="770" t="s">
        <v>2321</v>
      </c>
      <c r="J203" s="770" t="s">
        <v>2393</v>
      </c>
      <c r="K203" s="771" t="s">
        <v>581</v>
      </c>
      <c r="L203" s="772" t="s">
        <v>397</v>
      </c>
      <c r="M203" s="1850" t="s">
        <v>2385</v>
      </c>
      <c r="N203" s="772" t="s">
        <v>1575</v>
      </c>
      <c r="O203" s="977" t="s">
        <v>3412</v>
      </c>
      <c r="P203" s="241" t="s">
        <v>1952</v>
      </c>
      <c r="Q203" s="391"/>
      <c r="R203" s="147"/>
      <c r="S203" s="236"/>
      <c r="T203" s="391" t="s">
        <v>1949</v>
      </c>
      <c r="U203" s="391" t="s">
        <v>584</v>
      </c>
      <c r="W203" s="44"/>
      <c r="X203" s="44"/>
      <c r="Z203" s="44"/>
      <c r="AA203" s="115"/>
      <c r="AB203" s="115"/>
      <c r="AC203" s="379"/>
      <c r="AD203" s="68"/>
      <c r="AE203" s="115"/>
      <c r="AF203" s="115"/>
      <c r="AG203" s="115"/>
      <c r="AH203" s="115"/>
      <c r="AI203" s="115"/>
      <c r="AJ203" s="115"/>
      <c r="AK203" s="115"/>
    </row>
    <row r="204" spans="2:37" ht="10.5" customHeight="1">
      <c r="B204" s="236"/>
      <c r="C204" s="310" t="s">
        <v>614</v>
      </c>
      <c r="D204" s="352"/>
      <c r="E204" s="236"/>
      <c r="F204" s="236" t="s">
        <v>1273</v>
      </c>
      <c r="G204" s="769" t="s">
        <v>2322</v>
      </c>
      <c r="H204" s="769" t="s">
        <v>1136</v>
      </c>
      <c r="I204" s="773" t="s">
        <v>711</v>
      </c>
      <c r="J204" s="773" t="s">
        <v>2394</v>
      </c>
      <c r="K204" s="771" t="s">
        <v>4608</v>
      </c>
      <c r="L204" s="772" t="s">
        <v>398</v>
      </c>
      <c r="M204" s="1850" t="s">
        <v>1121</v>
      </c>
      <c r="N204" s="772" t="s">
        <v>1130</v>
      </c>
      <c r="O204" s="977" t="s">
        <v>3413</v>
      </c>
      <c r="P204" s="241" t="s">
        <v>1954</v>
      </c>
      <c r="Q204" s="391"/>
      <c r="R204" s="147"/>
      <c r="S204" s="236"/>
      <c r="T204" s="391" t="s">
        <v>1951</v>
      </c>
      <c r="U204" s="391" t="s">
        <v>1524</v>
      </c>
      <c r="W204" s="44"/>
      <c r="X204" s="44"/>
      <c r="Z204" s="44"/>
      <c r="AA204" s="115"/>
      <c r="AB204" s="115"/>
      <c r="AC204" s="379"/>
      <c r="AD204" s="68"/>
      <c r="AE204" s="115"/>
      <c r="AF204" s="115"/>
      <c r="AG204" s="115"/>
      <c r="AH204" s="115"/>
      <c r="AI204" s="115"/>
      <c r="AJ204" s="115"/>
      <c r="AK204" s="115"/>
    </row>
    <row r="205" spans="2:37" ht="10.5" customHeight="1">
      <c r="B205" s="236"/>
      <c r="C205" s="310" t="s">
        <v>1146</v>
      </c>
      <c r="D205" s="352"/>
      <c r="E205" s="236"/>
      <c r="F205" s="236" t="s">
        <v>1274</v>
      </c>
      <c r="G205" s="769" t="s">
        <v>2323</v>
      </c>
      <c r="H205" s="769" t="s">
        <v>1231</v>
      </c>
      <c r="I205" s="773" t="s">
        <v>1240</v>
      </c>
      <c r="J205" s="773" t="s">
        <v>2394</v>
      </c>
      <c r="K205" s="771" t="s">
        <v>4609</v>
      </c>
      <c r="L205" s="772" t="s">
        <v>398</v>
      </c>
      <c r="M205" s="1850" t="s">
        <v>2385</v>
      </c>
      <c r="N205" s="772" t="s">
        <v>1240</v>
      </c>
      <c r="O205" s="977" t="s">
        <v>3414</v>
      </c>
      <c r="P205" s="241" t="s">
        <v>2330</v>
      </c>
      <c r="Q205" s="391"/>
      <c r="R205" s="147"/>
      <c r="S205" s="236"/>
      <c r="T205" s="391" t="s">
        <v>1953</v>
      </c>
      <c r="U205" s="391" t="s">
        <v>189</v>
      </c>
      <c r="W205" s="44"/>
      <c r="X205" s="44"/>
      <c r="Z205" s="44"/>
      <c r="AA205" s="115"/>
      <c r="AB205" s="115"/>
      <c r="AC205" s="379"/>
      <c r="AD205" s="68"/>
      <c r="AE205" s="115"/>
      <c r="AF205" s="115"/>
      <c r="AG205" s="115"/>
      <c r="AH205" s="115"/>
      <c r="AI205" s="115"/>
      <c r="AJ205" s="115"/>
      <c r="AK205" s="115"/>
    </row>
    <row r="206" spans="2:37" ht="10.5" customHeight="1">
      <c r="B206" s="236"/>
      <c r="C206" s="310" t="s">
        <v>616</v>
      </c>
      <c r="D206" s="352"/>
      <c r="E206" s="236"/>
      <c r="F206" s="236" t="s">
        <v>1275</v>
      </c>
      <c r="G206" s="769" t="s">
        <v>2324</v>
      </c>
      <c r="H206" s="769" t="s">
        <v>1136</v>
      </c>
      <c r="I206" s="770" t="s">
        <v>186</v>
      </c>
      <c r="J206" s="770" t="s">
        <v>2393</v>
      </c>
      <c r="K206" s="771" t="s">
        <v>582</v>
      </c>
      <c r="L206" s="772" t="s">
        <v>397</v>
      </c>
      <c r="M206" s="1850" t="s">
        <v>2385</v>
      </c>
      <c r="N206" s="772" t="s">
        <v>1652</v>
      </c>
      <c r="O206" s="977" t="s">
        <v>3415</v>
      </c>
      <c r="P206" s="241" t="s">
        <v>941</v>
      </c>
      <c r="Q206" s="391"/>
      <c r="R206" s="147"/>
      <c r="S206" s="236"/>
      <c r="T206" s="391" t="s">
        <v>1653</v>
      </c>
      <c r="U206" s="391" t="s">
        <v>116</v>
      </c>
      <c r="W206" s="44"/>
      <c r="X206" s="44"/>
      <c r="Z206" s="44"/>
      <c r="AA206" s="115"/>
      <c r="AB206" s="115"/>
      <c r="AC206" s="379"/>
      <c r="AD206" s="68"/>
      <c r="AE206" s="115"/>
      <c r="AF206" s="115"/>
      <c r="AG206" s="115"/>
      <c r="AH206" s="115"/>
      <c r="AI206" s="115"/>
      <c r="AJ206" s="115"/>
      <c r="AK206" s="115"/>
    </row>
    <row r="207" spans="2:37" ht="10.5" customHeight="1">
      <c r="B207" s="236"/>
      <c r="C207" s="310" t="s">
        <v>618</v>
      </c>
      <c r="D207" s="352"/>
      <c r="E207" s="236"/>
      <c r="F207" s="236" t="s">
        <v>1276</v>
      </c>
      <c r="G207" s="769" t="s">
        <v>187</v>
      </c>
      <c r="H207" s="769" t="s">
        <v>1231</v>
      </c>
      <c r="I207" s="773" t="s">
        <v>1422</v>
      </c>
      <c r="J207" s="773" t="s">
        <v>2394</v>
      </c>
      <c r="K207" s="771" t="s">
        <v>1560</v>
      </c>
      <c r="L207" s="772" t="s">
        <v>398</v>
      </c>
      <c r="M207" s="1850" t="s">
        <v>2385</v>
      </c>
      <c r="N207" s="772" t="s">
        <v>1422</v>
      </c>
      <c r="O207" s="977" t="s">
        <v>3416</v>
      </c>
      <c r="P207" s="241" t="s">
        <v>1851</v>
      </c>
      <c r="Q207" s="391"/>
      <c r="R207" s="147"/>
      <c r="S207" s="236"/>
      <c r="T207" s="391" t="s">
        <v>2331</v>
      </c>
      <c r="U207" s="391" t="s">
        <v>157</v>
      </c>
      <c r="W207" s="44"/>
      <c r="X207" s="44"/>
      <c r="Z207" s="44"/>
      <c r="AA207" s="115"/>
      <c r="AB207" s="115"/>
      <c r="AC207" s="379"/>
      <c r="AD207" s="68"/>
      <c r="AE207" s="115"/>
      <c r="AF207" s="115"/>
      <c r="AG207" s="115"/>
      <c r="AH207" s="115"/>
      <c r="AI207" s="115"/>
      <c r="AJ207" s="115"/>
      <c r="AK207" s="115"/>
    </row>
    <row r="208" spans="2:37" ht="10.5" customHeight="1">
      <c r="B208" s="236"/>
      <c r="C208" s="310" t="s">
        <v>621</v>
      </c>
      <c r="D208" s="352"/>
      <c r="E208" s="236"/>
      <c r="F208" s="236" t="s">
        <v>1277</v>
      </c>
      <c r="G208" s="769" t="s">
        <v>188</v>
      </c>
      <c r="H208" s="769" t="s">
        <v>1231</v>
      </c>
      <c r="I208" s="773" t="s">
        <v>711</v>
      </c>
      <c r="J208" s="773" t="s">
        <v>2394</v>
      </c>
      <c r="K208" s="771" t="s">
        <v>4608</v>
      </c>
      <c r="L208" s="772" t="s">
        <v>398</v>
      </c>
      <c r="M208" s="1850" t="s">
        <v>1121</v>
      </c>
      <c r="N208" s="772" t="s">
        <v>1130</v>
      </c>
      <c r="O208" s="977" t="s">
        <v>3417</v>
      </c>
      <c r="P208" s="241" t="s">
        <v>12</v>
      </c>
      <c r="Q208" s="391"/>
      <c r="R208" s="147"/>
      <c r="S208" s="236"/>
      <c r="T208" s="391" t="s">
        <v>942</v>
      </c>
      <c r="U208" s="391" t="s">
        <v>403</v>
      </c>
      <c r="W208" s="44"/>
      <c r="X208" s="44"/>
      <c r="Z208" s="44"/>
      <c r="AA208" s="115"/>
      <c r="AB208" s="115"/>
      <c r="AC208" s="379"/>
      <c r="AD208" s="68"/>
      <c r="AE208" s="115"/>
      <c r="AF208" s="115"/>
      <c r="AG208" s="115"/>
      <c r="AH208" s="115"/>
      <c r="AI208" s="115"/>
      <c r="AJ208" s="115"/>
      <c r="AK208" s="115"/>
    </row>
    <row r="209" spans="2:37" ht="10.5" customHeight="1">
      <c r="B209" s="236"/>
      <c r="C209" s="310" t="s">
        <v>623</v>
      </c>
      <c r="D209" s="352"/>
      <c r="E209" s="236"/>
      <c r="F209" s="236" t="s">
        <v>1278</v>
      </c>
      <c r="G209" s="769" t="s">
        <v>189</v>
      </c>
      <c r="H209" s="769" t="s">
        <v>1136</v>
      </c>
      <c r="I209" s="770" t="s">
        <v>190</v>
      </c>
      <c r="J209" s="770" t="s">
        <v>2393</v>
      </c>
      <c r="K209" s="771" t="s">
        <v>583</v>
      </c>
      <c r="L209" s="772" t="s">
        <v>397</v>
      </c>
      <c r="M209" s="1850" t="s">
        <v>2385</v>
      </c>
      <c r="N209" s="772" t="s">
        <v>1652</v>
      </c>
      <c r="O209" s="977" t="s">
        <v>3418</v>
      </c>
      <c r="P209" s="241" t="s">
        <v>2060</v>
      </c>
      <c r="Q209" s="391"/>
      <c r="R209" s="147"/>
      <c r="S209" s="236"/>
      <c r="T209" s="391" t="s">
        <v>1234</v>
      </c>
      <c r="U209" s="391" t="s">
        <v>315</v>
      </c>
      <c r="W209" s="44"/>
      <c r="X209" s="44"/>
      <c r="Z209" s="44"/>
      <c r="AA209" s="115"/>
      <c r="AB209" s="115"/>
      <c r="AC209" s="379"/>
      <c r="AD209" s="68"/>
      <c r="AE209" s="115"/>
      <c r="AF209" s="115"/>
      <c r="AG209" s="115"/>
      <c r="AH209" s="115"/>
      <c r="AI209" s="115"/>
      <c r="AJ209" s="115"/>
      <c r="AK209" s="115"/>
    </row>
    <row r="210" spans="2:37" ht="10.5" customHeight="1">
      <c r="B210" s="236"/>
      <c r="C210" s="310" t="s">
        <v>625</v>
      </c>
      <c r="D210" s="352"/>
      <c r="E210" s="236"/>
      <c r="F210" s="236" t="s">
        <v>1279</v>
      </c>
      <c r="G210" s="769" t="s">
        <v>191</v>
      </c>
      <c r="H210" s="769" t="s">
        <v>1664</v>
      </c>
      <c r="I210" s="773" t="s">
        <v>711</v>
      </c>
      <c r="J210" s="773" t="s">
        <v>2394</v>
      </c>
      <c r="K210" s="771" t="s">
        <v>4608</v>
      </c>
      <c r="L210" s="772" t="s">
        <v>398</v>
      </c>
      <c r="M210" s="1850" t="s">
        <v>1121</v>
      </c>
      <c r="N210" s="772" t="s">
        <v>1130</v>
      </c>
      <c r="O210" s="977" t="s">
        <v>3419</v>
      </c>
      <c r="P210" s="241" t="s">
        <v>2062</v>
      </c>
      <c r="Q210" s="391"/>
      <c r="R210" s="147"/>
      <c r="S210" s="236"/>
      <c r="T210" s="391" t="s">
        <v>13</v>
      </c>
      <c r="U210" s="391" t="s">
        <v>1550</v>
      </c>
      <c r="W210" s="44"/>
      <c r="X210" s="44"/>
      <c r="Z210" s="44"/>
      <c r="AA210" s="115"/>
      <c r="AB210" s="115"/>
      <c r="AC210" s="379"/>
      <c r="AD210" s="68"/>
      <c r="AE210" s="115"/>
      <c r="AF210" s="115"/>
      <c r="AG210" s="115"/>
      <c r="AH210" s="115"/>
      <c r="AI210" s="115"/>
      <c r="AJ210" s="115"/>
      <c r="AK210" s="115"/>
    </row>
    <row r="211" spans="2:37" ht="10.5" customHeight="1">
      <c r="B211" s="236"/>
      <c r="C211" s="310" t="s">
        <v>117</v>
      </c>
      <c r="D211" s="352"/>
      <c r="E211" s="236"/>
      <c r="F211" s="236" t="s">
        <v>1280</v>
      </c>
      <c r="G211" s="769" t="s">
        <v>192</v>
      </c>
      <c r="H211" s="769" t="s">
        <v>1136</v>
      </c>
      <c r="I211" s="770" t="s">
        <v>890</v>
      </c>
      <c r="J211" s="770" t="s">
        <v>2393</v>
      </c>
      <c r="K211" s="771" t="s">
        <v>1812</v>
      </c>
      <c r="L211" s="772" t="s">
        <v>397</v>
      </c>
      <c r="M211" s="1850" t="s">
        <v>2385</v>
      </c>
      <c r="N211" s="772" t="s">
        <v>1240</v>
      </c>
      <c r="O211" s="977" t="s">
        <v>3420</v>
      </c>
      <c r="P211" s="241" t="s">
        <v>2064</v>
      </c>
      <c r="Q211" s="391"/>
      <c r="R211" s="147"/>
      <c r="S211" s="236"/>
      <c r="T211" s="236" t="s">
        <v>2061</v>
      </c>
      <c r="U211" s="236" t="s">
        <v>1135</v>
      </c>
      <c r="W211" s="44"/>
      <c r="X211" s="44"/>
      <c r="Z211" s="44"/>
      <c r="AA211" s="115"/>
      <c r="AB211" s="115"/>
      <c r="AC211" s="68"/>
      <c r="AD211" s="68"/>
      <c r="AE211" s="115"/>
      <c r="AF211" s="115"/>
      <c r="AG211" s="115"/>
      <c r="AH211" s="115"/>
      <c r="AI211" s="115"/>
      <c r="AJ211" s="115"/>
      <c r="AK211" s="115"/>
    </row>
    <row r="212" spans="2:37" ht="10.5" customHeight="1">
      <c r="B212" s="236"/>
      <c r="C212" s="310" t="s">
        <v>300</v>
      </c>
      <c r="D212" s="352"/>
      <c r="E212" s="236"/>
      <c r="F212" s="236" t="s">
        <v>1282</v>
      </c>
      <c r="G212" s="769" t="s">
        <v>891</v>
      </c>
      <c r="H212" s="769" t="s">
        <v>1136</v>
      </c>
      <c r="I212" s="770" t="s">
        <v>892</v>
      </c>
      <c r="J212" s="770" t="s">
        <v>2393</v>
      </c>
      <c r="K212" s="771" t="s">
        <v>1813</v>
      </c>
      <c r="L212" s="772" t="s">
        <v>397</v>
      </c>
      <c r="M212" s="1850" t="s">
        <v>2385</v>
      </c>
      <c r="N212" s="772" t="s">
        <v>1652</v>
      </c>
      <c r="O212" s="977" t="s">
        <v>3421</v>
      </c>
      <c r="P212" s="241" t="s">
        <v>2091</v>
      </c>
      <c r="Q212" s="391"/>
      <c r="R212" s="147"/>
      <c r="S212" s="236"/>
      <c r="T212" s="391" t="s">
        <v>2063</v>
      </c>
      <c r="U212" s="391" t="s">
        <v>2069</v>
      </c>
      <c r="W212" s="44"/>
      <c r="X212" s="44"/>
      <c r="Z212" s="44"/>
      <c r="AA212" s="115"/>
      <c r="AB212" s="115"/>
      <c r="AC212" s="379"/>
      <c r="AD212" s="68"/>
      <c r="AE212" s="115"/>
      <c r="AF212" s="115"/>
      <c r="AG212" s="115"/>
      <c r="AH212" s="115"/>
      <c r="AI212" s="115"/>
      <c r="AJ212" s="115"/>
      <c r="AK212" s="115"/>
    </row>
    <row r="213" spans="2:37" ht="10.5" customHeight="1">
      <c r="B213" s="236"/>
      <c r="C213" s="310" t="s">
        <v>713</v>
      </c>
      <c r="D213" s="352"/>
      <c r="E213" s="236"/>
      <c r="F213" s="236" t="s">
        <v>1281</v>
      </c>
      <c r="G213" s="769" t="s">
        <v>893</v>
      </c>
      <c r="H213" s="769" t="s">
        <v>1136</v>
      </c>
      <c r="I213" s="773" t="s">
        <v>1652</v>
      </c>
      <c r="J213" s="773" t="s">
        <v>2394</v>
      </c>
      <c r="K213" s="771" t="s">
        <v>1092</v>
      </c>
      <c r="L213" s="772" t="s">
        <v>398</v>
      </c>
      <c r="M213" s="1850" t="s">
        <v>1121</v>
      </c>
      <c r="N213" s="772" t="s">
        <v>1652</v>
      </c>
      <c r="O213" s="977" t="s">
        <v>3422</v>
      </c>
      <c r="P213" s="241" t="s">
        <v>1643</v>
      </c>
      <c r="Q213" s="391"/>
      <c r="R213" s="147"/>
      <c r="S213" s="236"/>
      <c r="T213" s="391" t="s">
        <v>2351</v>
      </c>
      <c r="U213" s="391" t="s">
        <v>584</v>
      </c>
      <c r="W213" s="44"/>
      <c r="X213" s="44"/>
      <c r="Z213" s="44"/>
      <c r="AA213" s="115"/>
      <c r="AB213" s="115"/>
      <c r="AC213" s="379"/>
      <c r="AD213" s="68"/>
      <c r="AE213" s="115"/>
      <c r="AF213" s="115"/>
      <c r="AG213" s="115"/>
      <c r="AH213" s="115"/>
      <c r="AI213" s="115"/>
      <c r="AJ213" s="115"/>
      <c r="AK213" s="115"/>
    </row>
    <row r="214" spans="2:37" ht="10.5" customHeight="1">
      <c r="B214" s="236"/>
      <c r="C214" s="310" t="s">
        <v>304</v>
      </c>
      <c r="D214" s="352"/>
      <c r="E214" s="236"/>
      <c r="F214" s="236" t="s">
        <v>1283</v>
      </c>
      <c r="G214" s="769" t="s">
        <v>814</v>
      </c>
      <c r="H214" s="769" t="s">
        <v>1231</v>
      </c>
      <c r="I214" s="773" t="s">
        <v>711</v>
      </c>
      <c r="J214" s="773" t="s">
        <v>2394</v>
      </c>
      <c r="K214" s="771" t="s">
        <v>4608</v>
      </c>
      <c r="L214" s="772" t="s">
        <v>398</v>
      </c>
      <c r="M214" s="1850" t="s">
        <v>1121</v>
      </c>
      <c r="N214" s="772" t="s">
        <v>1130</v>
      </c>
      <c r="O214" s="977" t="s">
        <v>3423</v>
      </c>
      <c r="P214" s="241" t="s">
        <v>1645</v>
      </c>
      <c r="Q214" s="391"/>
      <c r="R214" s="147"/>
      <c r="S214" s="236"/>
      <c r="T214" s="391" t="s">
        <v>2065</v>
      </c>
      <c r="U214" s="391" t="s">
        <v>115</v>
      </c>
      <c r="W214" s="44"/>
      <c r="X214" s="44"/>
      <c r="Z214" s="44"/>
      <c r="AA214" s="115"/>
      <c r="AB214" s="115"/>
      <c r="AC214" s="379"/>
      <c r="AD214" s="68"/>
      <c r="AE214" s="115"/>
      <c r="AF214" s="115"/>
      <c r="AG214" s="115"/>
      <c r="AH214" s="115"/>
      <c r="AI214" s="115"/>
      <c r="AJ214" s="115"/>
      <c r="AK214" s="115"/>
    </row>
    <row r="215" spans="2:37" ht="10.5" customHeight="1">
      <c r="B215" s="236"/>
      <c r="C215" s="310" t="s">
        <v>972</v>
      </c>
      <c r="D215" s="352"/>
      <c r="E215" s="236"/>
      <c r="F215" s="236" t="s">
        <v>1285</v>
      </c>
      <c r="G215" s="769" t="s">
        <v>815</v>
      </c>
      <c r="H215" s="769" t="s">
        <v>1136</v>
      </c>
      <c r="I215" s="770" t="s">
        <v>816</v>
      </c>
      <c r="J215" s="770" t="s">
        <v>2393</v>
      </c>
      <c r="K215" s="771" t="s">
        <v>1814</v>
      </c>
      <c r="L215" s="772" t="s">
        <v>397</v>
      </c>
      <c r="M215" s="1850" t="s">
        <v>2385</v>
      </c>
      <c r="N215" s="772" t="s">
        <v>1652</v>
      </c>
      <c r="O215" s="977" t="s">
        <v>3424</v>
      </c>
      <c r="P215" s="241" t="s">
        <v>1997</v>
      </c>
      <c r="Q215" s="391"/>
      <c r="R215" s="147"/>
      <c r="S215" s="236"/>
      <c r="T215" s="391" t="s">
        <v>1623</v>
      </c>
      <c r="U215" s="391" t="s">
        <v>2286</v>
      </c>
      <c r="W215" s="44"/>
      <c r="X215" s="44"/>
      <c r="Z215" s="44"/>
      <c r="AA215" s="115"/>
      <c r="AB215" s="115"/>
      <c r="AC215" s="379"/>
      <c r="AD215" s="68"/>
      <c r="AE215" s="115"/>
      <c r="AF215" s="115"/>
      <c r="AG215" s="115"/>
      <c r="AH215" s="115"/>
      <c r="AI215" s="115"/>
      <c r="AJ215" s="115"/>
      <c r="AK215" s="115"/>
    </row>
    <row r="216" spans="2:37" ht="10.5" customHeight="1">
      <c r="B216" s="236"/>
      <c r="C216" s="310" t="s">
        <v>309</v>
      </c>
      <c r="D216" s="352"/>
      <c r="E216" s="236"/>
      <c r="F216" s="236" t="s">
        <v>1284</v>
      </c>
      <c r="G216" s="769" t="s">
        <v>817</v>
      </c>
      <c r="H216" s="769" t="s">
        <v>1136</v>
      </c>
      <c r="I216" s="770" t="s">
        <v>1575</v>
      </c>
      <c r="J216" s="770" t="s">
        <v>2394</v>
      </c>
      <c r="K216" s="771" t="s">
        <v>2370</v>
      </c>
      <c r="L216" s="772" t="s">
        <v>398</v>
      </c>
      <c r="M216" s="1850" t="s">
        <v>2385</v>
      </c>
      <c r="N216" s="772" t="s">
        <v>1575</v>
      </c>
      <c r="O216" s="977" t="s">
        <v>3425</v>
      </c>
      <c r="P216" s="241" t="s">
        <v>1998</v>
      </c>
      <c r="Q216" s="391"/>
      <c r="R216" s="147"/>
      <c r="S216" s="236"/>
      <c r="T216" s="391" t="s">
        <v>1644</v>
      </c>
      <c r="U216" s="391" t="s">
        <v>1233</v>
      </c>
      <c r="W216" s="44"/>
      <c r="X216" s="44"/>
      <c r="Z216" s="44"/>
      <c r="AA216" s="115"/>
      <c r="AB216" s="115"/>
      <c r="AC216" s="379"/>
      <c r="AD216" s="68"/>
      <c r="AE216" s="115"/>
      <c r="AF216" s="115"/>
      <c r="AG216" s="115"/>
      <c r="AH216" s="115"/>
      <c r="AI216" s="115"/>
      <c r="AJ216" s="115"/>
      <c r="AK216" s="115"/>
    </row>
    <row r="217" spans="2:37" ht="10.5" customHeight="1">
      <c r="B217" s="236"/>
      <c r="C217" s="309" t="s">
        <v>311</v>
      </c>
      <c r="D217" s="352"/>
      <c r="E217" s="236"/>
      <c r="F217" s="236" t="s">
        <v>1286</v>
      </c>
      <c r="G217" s="769" t="s">
        <v>818</v>
      </c>
      <c r="H217" s="769" t="s">
        <v>1136</v>
      </c>
      <c r="I217" s="773" t="s">
        <v>1246</v>
      </c>
      <c r="J217" s="773" t="s">
        <v>2394</v>
      </c>
      <c r="K217" s="771" t="s">
        <v>1370</v>
      </c>
      <c r="L217" s="772" t="s">
        <v>398</v>
      </c>
      <c r="M217" s="1850" t="s">
        <v>2385</v>
      </c>
      <c r="N217" s="772" t="s">
        <v>1246</v>
      </c>
      <c r="O217" s="977" t="s">
        <v>3426</v>
      </c>
      <c r="P217" s="241" t="s">
        <v>2242</v>
      </c>
      <c r="Q217" s="241"/>
      <c r="R217" s="147"/>
      <c r="S217" s="236"/>
      <c r="T217" s="391" t="s">
        <v>1646</v>
      </c>
      <c r="U217" s="391" t="s">
        <v>1857</v>
      </c>
      <c r="W217" s="44"/>
      <c r="X217" s="44"/>
      <c r="Z217" s="44"/>
      <c r="AA217" s="115"/>
      <c r="AB217" s="115"/>
      <c r="AC217" s="379"/>
      <c r="AD217" s="379"/>
      <c r="AE217" s="115"/>
      <c r="AF217" s="115"/>
      <c r="AG217" s="115"/>
      <c r="AH217" s="115"/>
      <c r="AI217" s="115"/>
      <c r="AJ217" s="115"/>
      <c r="AK217" s="115"/>
    </row>
    <row r="218" spans="2:37" ht="10.5" customHeight="1">
      <c r="B218" s="236"/>
      <c r="C218" s="310" t="s">
        <v>314</v>
      </c>
      <c r="D218" s="352"/>
      <c r="E218" s="236"/>
      <c r="F218" s="408"/>
      <c r="G218" s="769" t="s">
        <v>819</v>
      </c>
      <c r="H218" s="769" t="s">
        <v>1231</v>
      </c>
      <c r="I218" s="770" t="s">
        <v>820</v>
      </c>
      <c r="J218" s="770" t="s">
        <v>2393</v>
      </c>
      <c r="K218" s="771" t="s">
        <v>1255</v>
      </c>
      <c r="L218" s="772" t="s">
        <v>397</v>
      </c>
      <c r="M218" s="1850" t="s">
        <v>2385</v>
      </c>
      <c r="N218" s="772" t="s">
        <v>159</v>
      </c>
      <c r="O218" s="977" t="s">
        <v>3427</v>
      </c>
      <c r="P218" s="241" t="s">
        <v>2244</v>
      </c>
      <c r="Q218" s="241"/>
      <c r="R218" s="147"/>
      <c r="S218" s="236"/>
      <c r="T218" s="391" t="s">
        <v>767</v>
      </c>
      <c r="U218" s="391" t="s">
        <v>2375</v>
      </c>
      <c r="W218" s="44"/>
      <c r="X218" s="44"/>
      <c r="Z218" s="44"/>
      <c r="AA218" s="115"/>
      <c r="AB218" s="115"/>
      <c r="AC218" s="379"/>
      <c r="AD218" s="68"/>
      <c r="AE218" s="115"/>
      <c r="AF218" s="115"/>
      <c r="AG218" s="115"/>
      <c r="AH218" s="115"/>
      <c r="AI218" s="115"/>
      <c r="AJ218" s="115"/>
      <c r="AK218" s="115"/>
    </row>
    <row r="219" spans="2:37" ht="10.5" customHeight="1">
      <c r="B219" s="236"/>
      <c r="C219" s="309" t="s">
        <v>316</v>
      </c>
      <c r="D219" s="352"/>
      <c r="E219" s="236"/>
      <c r="F219" s="408"/>
      <c r="G219" s="769" t="s">
        <v>2067</v>
      </c>
      <c r="H219" s="769" t="s">
        <v>1136</v>
      </c>
      <c r="I219" s="770" t="s">
        <v>2068</v>
      </c>
      <c r="J219" s="770" t="s">
        <v>2393</v>
      </c>
      <c r="K219" s="771" t="s">
        <v>1256</v>
      </c>
      <c r="L219" s="772" t="s">
        <v>397</v>
      </c>
      <c r="M219" s="1850" t="s">
        <v>2385</v>
      </c>
      <c r="N219" s="772" t="s">
        <v>1250</v>
      </c>
      <c r="O219" s="977" t="s">
        <v>3428</v>
      </c>
      <c r="P219" s="241" t="s">
        <v>2246</v>
      </c>
      <c r="Q219" s="241"/>
      <c r="R219" s="147"/>
      <c r="S219" s="236"/>
      <c r="T219" s="236" t="s">
        <v>1999</v>
      </c>
      <c r="U219" s="236" t="s">
        <v>2377</v>
      </c>
      <c r="W219" s="44"/>
      <c r="X219" s="44"/>
      <c r="Z219" s="44"/>
      <c r="AA219" s="115"/>
      <c r="AB219" s="115"/>
      <c r="AC219" s="68"/>
      <c r="AD219" s="68"/>
      <c r="AE219" s="115"/>
      <c r="AF219" s="115"/>
      <c r="AG219" s="115"/>
      <c r="AH219" s="115"/>
      <c r="AI219" s="115"/>
      <c r="AJ219" s="115"/>
      <c r="AK219" s="115"/>
    </row>
    <row r="220" spans="2:37" ht="10.5" customHeight="1">
      <c r="B220" s="236"/>
      <c r="C220" s="310" t="s">
        <v>318</v>
      </c>
      <c r="D220" s="352"/>
      <c r="E220" s="236"/>
      <c r="F220" s="408"/>
      <c r="G220" s="769" t="s">
        <v>2069</v>
      </c>
      <c r="H220" s="769" t="s">
        <v>1136</v>
      </c>
      <c r="I220" s="770" t="s">
        <v>607</v>
      </c>
      <c r="J220" s="770" t="s">
        <v>2393</v>
      </c>
      <c r="K220" s="771" t="s">
        <v>1257</v>
      </c>
      <c r="L220" s="772" t="s">
        <v>397</v>
      </c>
      <c r="M220" s="1850" t="s">
        <v>2385</v>
      </c>
      <c r="N220" s="772" t="s">
        <v>1246</v>
      </c>
      <c r="O220" s="977" t="s">
        <v>3429</v>
      </c>
      <c r="P220" s="241" t="s">
        <v>2248</v>
      </c>
      <c r="Q220" s="241"/>
      <c r="R220" s="147"/>
      <c r="S220" s="236"/>
      <c r="T220" s="391" t="s">
        <v>2243</v>
      </c>
      <c r="U220" s="391" t="s">
        <v>1028</v>
      </c>
      <c r="W220" s="44"/>
      <c r="X220" s="44"/>
      <c r="Z220" s="44"/>
      <c r="AA220" s="115"/>
      <c r="AB220" s="115"/>
      <c r="AC220" s="379"/>
      <c r="AD220" s="379"/>
      <c r="AE220" s="115"/>
      <c r="AF220" s="115"/>
      <c r="AG220" s="115"/>
      <c r="AH220" s="115"/>
      <c r="AI220" s="115"/>
      <c r="AJ220" s="115"/>
      <c r="AK220" s="115"/>
    </row>
    <row r="221" spans="2:37" ht="10.5" customHeight="1">
      <c r="B221" s="236"/>
      <c r="C221" s="310" t="s">
        <v>320</v>
      </c>
      <c r="D221" s="352"/>
      <c r="E221" s="236"/>
      <c r="F221" s="408"/>
      <c r="G221" s="769" t="s">
        <v>608</v>
      </c>
      <c r="H221" s="769" t="s">
        <v>1231</v>
      </c>
      <c r="I221" s="770" t="s">
        <v>609</v>
      </c>
      <c r="J221" s="770" t="s">
        <v>2393</v>
      </c>
      <c r="K221" s="771" t="s">
        <v>1258</v>
      </c>
      <c r="L221" s="772" t="s">
        <v>397</v>
      </c>
      <c r="M221" s="1850" t="s">
        <v>2385</v>
      </c>
      <c r="N221" s="772" t="s">
        <v>1130</v>
      </c>
      <c r="O221" s="977" t="s">
        <v>3430</v>
      </c>
      <c r="P221" s="241" t="s">
        <v>2249</v>
      </c>
      <c r="Q221" s="241"/>
      <c r="R221" s="147"/>
      <c r="S221" s="236"/>
      <c r="T221" s="391" t="s">
        <v>2352</v>
      </c>
      <c r="U221" s="391" t="s">
        <v>306</v>
      </c>
      <c r="W221" s="44"/>
      <c r="X221" s="44"/>
      <c r="Z221" s="44"/>
      <c r="AA221" s="115"/>
      <c r="AB221" s="115"/>
      <c r="AC221" s="379"/>
      <c r="AD221" s="68"/>
      <c r="AE221" s="115"/>
      <c r="AF221" s="115"/>
      <c r="AG221" s="115"/>
      <c r="AH221" s="115"/>
      <c r="AI221" s="115"/>
      <c r="AJ221" s="115"/>
      <c r="AK221" s="115"/>
    </row>
    <row r="222" spans="2:37" ht="10.5" customHeight="1">
      <c r="B222" s="236"/>
      <c r="C222" s="310" t="s">
        <v>714</v>
      </c>
      <c r="D222" s="352"/>
      <c r="E222" s="236"/>
      <c r="F222" s="408"/>
      <c r="G222" s="769" t="s">
        <v>610</v>
      </c>
      <c r="H222" s="769" t="s">
        <v>1231</v>
      </c>
      <c r="I222" s="773" t="s">
        <v>711</v>
      </c>
      <c r="J222" s="773" t="s">
        <v>2394</v>
      </c>
      <c r="K222" s="771" t="s">
        <v>4608</v>
      </c>
      <c r="L222" s="772" t="s">
        <v>398</v>
      </c>
      <c r="M222" s="1850" t="s">
        <v>1121</v>
      </c>
      <c r="N222" s="772" t="s">
        <v>1130</v>
      </c>
      <c r="O222" s="977" t="s">
        <v>3431</v>
      </c>
      <c r="P222" s="241" t="s">
        <v>2056</v>
      </c>
      <c r="Q222" s="241"/>
      <c r="R222" s="147"/>
      <c r="S222" s="236"/>
      <c r="T222" s="391" t="s">
        <v>2245</v>
      </c>
      <c r="U222" s="391" t="s">
        <v>1775</v>
      </c>
      <c r="W222" s="44"/>
      <c r="X222" s="44"/>
      <c r="Z222" s="44"/>
      <c r="AA222" s="115"/>
      <c r="AB222" s="115"/>
      <c r="AC222" s="379"/>
      <c r="AD222" s="68"/>
      <c r="AE222" s="115"/>
      <c r="AF222" s="115"/>
      <c r="AG222" s="115"/>
      <c r="AH222" s="115"/>
      <c r="AI222" s="115"/>
      <c r="AJ222" s="115"/>
      <c r="AK222" s="115"/>
    </row>
    <row r="223" spans="2:37" ht="10.5" customHeight="1">
      <c r="B223" s="236"/>
      <c r="C223" s="310" t="s">
        <v>1362</v>
      </c>
      <c r="D223" s="352"/>
      <c r="E223" s="236"/>
      <c r="F223" s="408"/>
      <c r="G223" s="769" t="s">
        <v>611</v>
      </c>
      <c r="H223" s="769" t="s">
        <v>1231</v>
      </c>
      <c r="I223" s="773" t="s">
        <v>2090</v>
      </c>
      <c r="J223" s="773" t="s">
        <v>2394</v>
      </c>
      <c r="K223" s="771" t="s">
        <v>1259</v>
      </c>
      <c r="L223" s="772" t="s">
        <v>398</v>
      </c>
      <c r="M223" s="1850" t="s">
        <v>1121</v>
      </c>
      <c r="N223" s="772" t="s">
        <v>1130</v>
      </c>
      <c r="O223" s="977" t="s">
        <v>3432</v>
      </c>
      <c r="P223" s="241" t="s">
        <v>661</v>
      </c>
      <c r="Q223" s="241"/>
      <c r="R223" s="147"/>
      <c r="S223" s="236"/>
      <c r="T223" s="391" t="s">
        <v>2247</v>
      </c>
      <c r="U223" s="391" t="s">
        <v>815</v>
      </c>
      <c r="W223" s="44"/>
      <c r="X223" s="44"/>
      <c r="Z223" s="44"/>
      <c r="AA223" s="115"/>
      <c r="AB223" s="115"/>
      <c r="AC223" s="379"/>
      <c r="AD223" s="68"/>
      <c r="AE223" s="115"/>
      <c r="AF223" s="115"/>
      <c r="AG223" s="115"/>
      <c r="AH223" s="115"/>
      <c r="AI223" s="115"/>
      <c r="AJ223" s="115"/>
      <c r="AK223" s="115"/>
    </row>
    <row r="224" spans="2:37" ht="10.5" customHeight="1">
      <c r="B224" s="236"/>
      <c r="C224" s="310" t="s">
        <v>1366</v>
      </c>
      <c r="D224" s="352"/>
      <c r="E224" s="236"/>
      <c r="F224" s="408"/>
      <c r="G224" s="769" t="s">
        <v>612</v>
      </c>
      <c r="H224" s="769" t="s">
        <v>1231</v>
      </c>
      <c r="I224" s="773" t="s">
        <v>711</v>
      </c>
      <c r="J224" s="773" t="s">
        <v>2394</v>
      </c>
      <c r="K224" s="771" t="s">
        <v>4608</v>
      </c>
      <c r="L224" s="772" t="s">
        <v>398</v>
      </c>
      <c r="M224" s="1850" t="s">
        <v>1121</v>
      </c>
      <c r="N224" s="772" t="s">
        <v>1130</v>
      </c>
      <c r="O224" s="977" t="s">
        <v>3433</v>
      </c>
      <c r="P224" s="241" t="s">
        <v>663</v>
      </c>
      <c r="Q224" s="241"/>
      <c r="R224" s="147"/>
      <c r="S224" s="236"/>
      <c r="T224" s="391" t="s">
        <v>2250</v>
      </c>
      <c r="U224" s="391" t="s">
        <v>152</v>
      </c>
      <c r="W224" s="44"/>
      <c r="X224" s="44"/>
      <c r="Z224" s="44"/>
      <c r="AA224" s="115"/>
      <c r="AB224" s="115"/>
      <c r="AC224" s="379"/>
      <c r="AD224" s="68"/>
      <c r="AE224" s="115"/>
      <c r="AF224" s="115"/>
      <c r="AG224" s="115"/>
      <c r="AH224" s="115"/>
      <c r="AI224" s="115"/>
      <c r="AJ224" s="115"/>
      <c r="AK224" s="115"/>
    </row>
    <row r="225" spans="2:37" ht="10.5" customHeight="1">
      <c r="B225" s="236"/>
      <c r="C225" s="310" t="s">
        <v>1368</v>
      </c>
      <c r="D225" s="352"/>
      <c r="E225" s="236"/>
      <c r="F225" s="408"/>
      <c r="G225" s="769" t="s">
        <v>613</v>
      </c>
      <c r="H225" s="769" t="s">
        <v>1231</v>
      </c>
      <c r="I225" s="773" t="s">
        <v>614</v>
      </c>
      <c r="J225" s="773" t="s">
        <v>2393</v>
      </c>
      <c r="K225" s="771" t="s">
        <v>1260</v>
      </c>
      <c r="L225" s="772" t="s">
        <v>397</v>
      </c>
      <c r="M225" s="1850" t="s">
        <v>2385</v>
      </c>
      <c r="N225" s="772" t="s">
        <v>159</v>
      </c>
      <c r="O225" s="977" t="s">
        <v>3434</v>
      </c>
      <c r="P225" s="241" t="s">
        <v>665</v>
      </c>
      <c r="Q225" s="241"/>
      <c r="R225" s="147"/>
      <c r="S225" s="236"/>
      <c r="T225" s="391" t="s">
        <v>2057</v>
      </c>
      <c r="U225" s="391" t="s">
        <v>608</v>
      </c>
      <c r="W225" s="44"/>
      <c r="X225" s="44"/>
      <c r="Z225" s="44"/>
      <c r="AA225" s="115"/>
      <c r="AB225" s="115"/>
      <c r="AC225" s="379"/>
      <c r="AD225" s="68"/>
      <c r="AE225" s="115"/>
      <c r="AF225" s="115"/>
      <c r="AG225" s="115"/>
      <c r="AH225" s="115"/>
      <c r="AI225" s="115"/>
      <c r="AJ225" s="115"/>
      <c r="AK225" s="115"/>
    </row>
    <row r="226" spans="2:37" ht="10.5" customHeight="1">
      <c r="B226" s="236"/>
      <c r="C226" s="310" t="s">
        <v>170</v>
      </c>
      <c r="D226" s="352"/>
      <c r="E226" s="236"/>
      <c r="F226" s="408"/>
      <c r="G226" s="769" t="s">
        <v>1131</v>
      </c>
      <c r="H226" s="769" t="s">
        <v>1664</v>
      </c>
      <c r="I226" s="773" t="s">
        <v>711</v>
      </c>
      <c r="J226" s="773" t="s">
        <v>2394</v>
      </c>
      <c r="K226" s="771" t="s">
        <v>4608</v>
      </c>
      <c r="L226" s="772" t="s">
        <v>398</v>
      </c>
      <c r="M226" s="1850" t="s">
        <v>1121</v>
      </c>
      <c r="N226" s="772" t="s">
        <v>1130</v>
      </c>
      <c r="O226" s="977" t="s">
        <v>3435</v>
      </c>
      <c r="P226" s="241" t="s">
        <v>667</v>
      </c>
      <c r="Q226" s="241"/>
      <c r="R226" s="147"/>
      <c r="S226" s="236"/>
      <c r="T226" s="391" t="s">
        <v>662</v>
      </c>
      <c r="U226" s="391" t="s">
        <v>2278</v>
      </c>
      <c r="W226" s="44"/>
      <c r="X226" s="44"/>
      <c r="Z226" s="44"/>
      <c r="AA226" s="115"/>
      <c r="AB226" s="115"/>
      <c r="AC226" s="379"/>
      <c r="AD226" s="68"/>
      <c r="AE226" s="115"/>
      <c r="AF226" s="115"/>
      <c r="AG226" s="115"/>
      <c r="AH226" s="115"/>
      <c r="AI226" s="115"/>
      <c r="AJ226" s="115"/>
      <c r="AK226" s="115"/>
    </row>
    <row r="227" spans="2:37" ht="10.5" customHeight="1">
      <c r="B227" s="236"/>
      <c r="C227" s="310" t="s">
        <v>1240</v>
      </c>
      <c r="D227" s="352"/>
      <c r="E227" s="236"/>
      <c r="F227" s="408"/>
      <c r="G227" s="769" t="s">
        <v>615</v>
      </c>
      <c r="H227" s="769" t="s">
        <v>1231</v>
      </c>
      <c r="I227" s="770" t="s">
        <v>616</v>
      </c>
      <c r="J227" s="770" t="s">
        <v>2393</v>
      </c>
      <c r="K227" s="771" t="s">
        <v>229</v>
      </c>
      <c r="L227" s="772" t="s">
        <v>397</v>
      </c>
      <c r="M227" s="1850" t="s">
        <v>2385</v>
      </c>
      <c r="N227" s="772" t="s">
        <v>1130</v>
      </c>
      <c r="O227" s="977" t="s">
        <v>3436</v>
      </c>
      <c r="P227" s="241" t="s">
        <v>2048</v>
      </c>
      <c r="Q227" s="241"/>
      <c r="R227" s="147"/>
      <c r="S227" s="236"/>
      <c r="T227" s="236" t="s">
        <v>664</v>
      </c>
      <c r="U227" s="236" t="s">
        <v>1043</v>
      </c>
      <c r="W227" s="44"/>
      <c r="X227" s="44"/>
      <c r="Z227" s="44"/>
      <c r="AA227" s="115"/>
      <c r="AB227" s="115"/>
      <c r="AC227" s="68"/>
      <c r="AD227" s="68"/>
      <c r="AE227" s="115"/>
      <c r="AF227" s="115"/>
      <c r="AG227" s="115"/>
      <c r="AH227" s="115"/>
      <c r="AI227" s="115"/>
      <c r="AJ227" s="115"/>
      <c r="AK227" s="115"/>
    </row>
    <row r="228" spans="2:37" ht="10.5" customHeight="1">
      <c r="B228" s="236"/>
      <c r="C228" s="310" t="s">
        <v>171</v>
      </c>
      <c r="D228" s="352"/>
      <c r="E228" s="236"/>
      <c r="F228" s="408"/>
      <c r="G228" s="769" t="s">
        <v>617</v>
      </c>
      <c r="H228" s="769" t="s">
        <v>1231</v>
      </c>
      <c r="I228" s="773" t="s">
        <v>618</v>
      </c>
      <c r="J228" s="773" t="s">
        <v>2393</v>
      </c>
      <c r="K228" s="771" t="s">
        <v>230</v>
      </c>
      <c r="L228" s="772" t="s">
        <v>397</v>
      </c>
      <c r="M228" s="1850" t="s">
        <v>2385</v>
      </c>
      <c r="N228" s="772" t="s">
        <v>1250</v>
      </c>
      <c r="O228" s="977" t="s">
        <v>3437</v>
      </c>
      <c r="P228" s="241" t="s">
        <v>2049</v>
      </c>
      <c r="Q228" s="241"/>
      <c r="R228" s="147"/>
      <c r="S228" s="236"/>
      <c r="T228" s="391" t="s">
        <v>666</v>
      </c>
      <c r="U228" s="391" t="s">
        <v>2377</v>
      </c>
      <c r="W228" s="44"/>
      <c r="X228" s="44"/>
      <c r="Z228" s="44"/>
      <c r="AA228" s="115"/>
      <c r="AB228" s="115"/>
      <c r="AC228" s="379"/>
      <c r="AD228" s="68"/>
      <c r="AE228" s="115"/>
      <c r="AF228" s="115"/>
      <c r="AG228" s="115"/>
      <c r="AH228" s="115"/>
      <c r="AI228" s="115"/>
      <c r="AJ228" s="115"/>
      <c r="AK228" s="115"/>
    </row>
    <row r="229" spans="2:37" ht="10.5" customHeight="1">
      <c r="B229" s="236"/>
      <c r="C229" s="310" t="s">
        <v>716</v>
      </c>
      <c r="D229" s="352"/>
      <c r="E229" s="236"/>
      <c r="F229" s="408"/>
      <c r="G229" s="769" t="s">
        <v>619</v>
      </c>
      <c r="H229" s="769" t="s">
        <v>1664</v>
      </c>
      <c r="I229" s="770" t="s">
        <v>8</v>
      </c>
      <c r="J229" s="770" t="s">
        <v>2394</v>
      </c>
      <c r="K229" s="771" t="s">
        <v>2369</v>
      </c>
      <c r="L229" s="772" t="s">
        <v>398</v>
      </c>
      <c r="M229" s="1850" t="s">
        <v>1121</v>
      </c>
      <c r="N229" s="772" t="s">
        <v>1246</v>
      </c>
      <c r="O229" s="977" t="s">
        <v>3438</v>
      </c>
      <c r="P229" s="241" t="s">
        <v>2051</v>
      </c>
      <c r="Q229" s="241"/>
      <c r="R229" s="147"/>
      <c r="S229" s="236"/>
      <c r="T229" s="391" t="s">
        <v>2353</v>
      </c>
      <c r="U229" s="391" t="s">
        <v>2280</v>
      </c>
      <c r="W229" s="44"/>
      <c r="X229" s="44"/>
      <c r="Z229" s="44"/>
      <c r="AA229" s="115"/>
      <c r="AB229" s="115"/>
      <c r="AC229" s="379"/>
      <c r="AD229" s="68"/>
      <c r="AE229" s="115"/>
      <c r="AF229" s="115"/>
      <c r="AG229" s="115"/>
      <c r="AH229" s="115"/>
      <c r="AI229" s="115"/>
      <c r="AJ229" s="115"/>
      <c r="AK229" s="115"/>
    </row>
    <row r="230" spans="2:37" ht="10.5" customHeight="1">
      <c r="B230" s="236"/>
      <c r="C230" s="310" t="s">
        <v>1523</v>
      </c>
      <c r="D230" s="352"/>
      <c r="E230" s="236"/>
      <c r="F230" s="408"/>
      <c r="G230" s="769" t="s">
        <v>620</v>
      </c>
      <c r="H230" s="769" t="s">
        <v>1231</v>
      </c>
      <c r="I230" s="770" t="s">
        <v>621</v>
      </c>
      <c r="J230" s="770" t="s">
        <v>2393</v>
      </c>
      <c r="K230" s="771" t="s">
        <v>231</v>
      </c>
      <c r="L230" s="772" t="s">
        <v>397</v>
      </c>
      <c r="M230" s="1850" t="s">
        <v>2385</v>
      </c>
      <c r="N230" s="772" t="s">
        <v>1130</v>
      </c>
      <c r="O230" s="977" t="s">
        <v>3439</v>
      </c>
      <c r="P230" s="241" t="s">
        <v>637</v>
      </c>
      <c r="Q230" s="241"/>
      <c r="R230" s="147"/>
      <c r="S230" s="236"/>
      <c r="T230" s="391" t="s">
        <v>2050</v>
      </c>
      <c r="U230" s="391" t="s">
        <v>1550</v>
      </c>
      <c r="W230" s="44"/>
      <c r="X230" s="44"/>
      <c r="Z230" s="44"/>
      <c r="AA230" s="115"/>
      <c r="AB230" s="115"/>
      <c r="AC230" s="379"/>
      <c r="AD230" s="68"/>
      <c r="AE230" s="115"/>
      <c r="AF230" s="115"/>
      <c r="AG230" s="115"/>
      <c r="AH230" s="115"/>
      <c r="AI230" s="115"/>
      <c r="AJ230" s="115"/>
      <c r="AK230" s="115"/>
    </row>
    <row r="231" spans="2:37" ht="10.5" customHeight="1">
      <c r="B231" s="236"/>
      <c r="C231" s="310" t="s">
        <v>1525</v>
      </c>
      <c r="D231" s="352"/>
      <c r="E231" s="236"/>
      <c r="F231" s="408"/>
      <c r="G231" s="769" t="s">
        <v>622</v>
      </c>
      <c r="H231" s="769" t="s">
        <v>1136</v>
      </c>
      <c r="I231" s="770" t="s">
        <v>623</v>
      </c>
      <c r="J231" s="770" t="s">
        <v>2393</v>
      </c>
      <c r="K231" s="771" t="s">
        <v>379</v>
      </c>
      <c r="L231" s="772" t="s">
        <v>397</v>
      </c>
      <c r="M231" s="1850" t="s">
        <v>2385</v>
      </c>
      <c r="N231" s="772" t="s">
        <v>1652</v>
      </c>
      <c r="O231" s="977" t="s">
        <v>3440</v>
      </c>
      <c r="P231" s="241" t="s">
        <v>734</v>
      </c>
      <c r="Q231" s="241"/>
      <c r="R231" s="147"/>
      <c r="S231" s="236"/>
      <c r="T231" s="391" t="s">
        <v>2052</v>
      </c>
      <c r="U231" s="391" t="s">
        <v>2371</v>
      </c>
      <c r="W231" s="44"/>
      <c r="X231" s="44"/>
      <c r="Z231" s="44"/>
      <c r="AA231" s="115"/>
      <c r="AB231" s="115"/>
      <c r="AC231" s="379"/>
      <c r="AD231" s="68"/>
      <c r="AE231" s="115"/>
      <c r="AF231" s="115"/>
      <c r="AG231" s="115"/>
      <c r="AH231" s="115"/>
      <c r="AI231" s="115"/>
      <c r="AJ231" s="115"/>
      <c r="AK231" s="115"/>
    </row>
    <row r="232" spans="2:37" ht="10.5" customHeight="1">
      <c r="B232" s="236"/>
      <c r="C232" s="310" t="s">
        <v>1886</v>
      </c>
      <c r="D232" s="352"/>
      <c r="E232" s="236"/>
      <c r="F232" s="408"/>
      <c r="G232" s="769" t="s">
        <v>624</v>
      </c>
      <c r="H232" s="769" t="s">
        <v>1231</v>
      </c>
      <c r="I232" s="770" t="s">
        <v>625</v>
      </c>
      <c r="J232" s="770" t="s">
        <v>2393</v>
      </c>
      <c r="K232" s="771" t="s">
        <v>380</v>
      </c>
      <c r="L232" s="772" t="s">
        <v>397</v>
      </c>
      <c r="M232" s="1850" t="s">
        <v>2385</v>
      </c>
      <c r="N232" s="772" t="s">
        <v>159</v>
      </c>
      <c r="O232" s="977" t="s">
        <v>3441</v>
      </c>
      <c r="P232" s="241" t="s">
        <v>2093</v>
      </c>
      <c r="Q232" s="241"/>
      <c r="R232" s="147"/>
      <c r="S232" s="236"/>
      <c r="T232" s="391" t="s">
        <v>638</v>
      </c>
      <c r="U232" s="391" t="s">
        <v>685</v>
      </c>
      <c r="W232" s="44"/>
      <c r="X232" s="44"/>
      <c r="Z232" s="44"/>
      <c r="AA232" s="115"/>
      <c r="AB232" s="115"/>
      <c r="AC232" s="379"/>
      <c r="AD232" s="68"/>
      <c r="AE232" s="115"/>
      <c r="AF232" s="115"/>
      <c r="AG232" s="115"/>
      <c r="AH232" s="115"/>
      <c r="AI232" s="115"/>
      <c r="AJ232" s="115"/>
      <c r="AK232" s="115"/>
    </row>
    <row r="233" spans="2:37" ht="10.5" customHeight="1">
      <c r="B233" s="236"/>
      <c r="C233" s="310" t="s">
        <v>178</v>
      </c>
      <c r="D233" s="352"/>
      <c r="E233" s="236"/>
      <c r="F233" s="408"/>
      <c r="G233" s="769" t="s">
        <v>115</v>
      </c>
      <c r="H233" s="769" t="s">
        <v>1231</v>
      </c>
      <c r="I233" s="773" t="s">
        <v>711</v>
      </c>
      <c r="J233" s="773" t="s">
        <v>2394</v>
      </c>
      <c r="K233" s="771" t="s">
        <v>4608</v>
      </c>
      <c r="L233" s="772" t="s">
        <v>398</v>
      </c>
      <c r="M233" s="1850" t="s">
        <v>1121</v>
      </c>
      <c r="N233" s="772" t="s">
        <v>1130</v>
      </c>
      <c r="O233" s="977" t="s">
        <v>3442</v>
      </c>
      <c r="P233" s="241" t="s">
        <v>2116</v>
      </c>
      <c r="Q233" s="241"/>
      <c r="R233" s="147"/>
      <c r="S233" s="236"/>
      <c r="T233" s="391" t="s">
        <v>2092</v>
      </c>
      <c r="U233" s="391" t="s">
        <v>303</v>
      </c>
      <c r="W233" s="44"/>
      <c r="X233" s="44"/>
      <c r="Z233" s="44"/>
      <c r="AA233" s="115"/>
      <c r="AB233" s="115"/>
      <c r="AC233" s="379"/>
      <c r="AD233" s="68"/>
      <c r="AE233" s="115"/>
      <c r="AF233" s="115"/>
      <c r="AG233" s="115"/>
      <c r="AH233" s="115"/>
      <c r="AI233" s="115"/>
      <c r="AJ233" s="115"/>
      <c r="AK233" s="115"/>
    </row>
    <row r="234" spans="2:37" ht="10.5" customHeight="1">
      <c r="B234" s="236"/>
      <c r="C234" s="309" t="s">
        <v>2372</v>
      </c>
      <c r="D234" s="352"/>
      <c r="E234" s="236"/>
      <c r="F234" s="408"/>
      <c r="G234" s="769" t="s">
        <v>116</v>
      </c>
      <c r="H234" s="769" t="s">
        <v>1231</v>
      </c>
      <c r="I234" s="770" t="s">
        <v>117</v>
      </c>
      <c r="J234" s="770" t="s">
        <v>2393</v>
      </c>
      <c r="K234" s="771" t="s">
        <v>381</v>
      </c>
      <c r="L234" s="772" t="s">
        <v>397</v>
      </c>
      <c r="M234" s="1850" t="s">
        <v>2385</v>
      </c>
      <c r="N234" s="772" t="s">
        <v>159</v>
      </c>
      <c r="O234" s="977" t="s">
        <v>3443</v>
      </c>
      <c r="P234" s="241" t="s">
        <v>40</v>
      </c>
      <c r="Q234" s="241"/>
      <c r="R234" s="147"/>
      <c r="S234" s="236"/>
      <c r="T234" s="391" t="s">
        <v>2144</v>
      </c>
      <c r="U234" s="391" t="s">
        <v>819</v>
      </c>
      <c r="W234" s="44"/>
      <c r="X234" s="44"/>
      <c r="Z234" s="44"/>
      <c r="AA234" s="115"/>
      <c r="AB234" s="115"/>
      <c r="AC234" s="68"/>
      <c r="AD234" s="68"/>
      <c r="AE234" s="115"/>
      <c r="AF234" s="115"/>
      <c r="AG234" s="115"/>
      <c r="AH234" s="115"/>
      <c r="AI234" s="115"/>
      <c r="AJ234" s="115"/>
      <c r="AK234" s="115"/>
    </row>
    <row r="235" spans="2:37" ht="10.5" customHeight="1">
      <c r="B235" s="236"/>
      <c r="C235" s="310" t="s">
        <v>2374</v>
      </c>
      <c r="D235" s="352"/>
      <c r="E235" s="236"/>
      <c r="F235" s="408"/>
      <c r="G235" s="769" t="s">
        <v>298</v>
      </c>
      <c r="H235" s="769" t="s">
        <v>1231</v>
      </c>
      <c r="I235" s="770" t="s">
        <v>1146</v>
      </c>
      <c r="J235" s="770" t="s">
        <v>2394</v>
      </c>
      <c r="K235" s="771" t="s">
        <v>382</v>
      </c>
      <c r="L235" s="772" t="s">
        <v>398</v>
      </c>
      <c r="M235" s="1850" t="s">
        <v>1121</v>
      </c>
      <c r="N235" s="772" t="s">
        <v>1130</v>
      </c>
      <c r="O235" s="977" t="s">
        <v>3444</v>
      </c>
      <c r="P235" s="241" t="s">
        <v>589</v>
      </c>
      <c r="Q235" s="241"/>
      <c r="R235" s="147"/>
      <c r="S235" s="236"/>
      <c r="T235" s="391" t="s">
        <v>41</v>
      </c>
      <c r="U235" s="391" t="s">
        <v>310</v>
      </c>
      <c r="W235" s="44"/>
      <c r="X235" s="44"/>
      <c r="Z235" s="44"/>
      <c r="AA235" s="115"/>
      <c r="AB235" s="115"/>
      <c r="AC235" s="379"/>
      <c r="AD235" s="68"/>
      <c r="AE235" s="115"/>
      <c r="AF235" s="115"/>
      <c r="AG235" s="115"/>
      <c r="AH235" s="115"/>
      <c r="AI235" s="115"/>
      <c r="AJ235" s="115"/>
      <c r="AK235" s="115"/>
    </row>
    <row r="236" spans="2:37" ht="10.5" customHeight="1">
      <c r="B236" s="236"/>
      <c r="C236" s="310" t="s">
        <v>1026</v>
      </c>
      <c r="D236" s="352"/>
      <c r="E236" s="236"/>
      <c r="F236" s="408"/>
      <c r="G236" s="774" t="s">
        <v>299</v>
      </c>
      <c r="H236" s="769" t="s">
        <v>1231</v>
      </c>
      <c r="I236" s="770" t="s">
        <v>300</v>
      </c>
      <c r="J236" s="770" t="s">
        <v>2393</v>
      </c>
      <c r="K236" s="771" t="s">
        <v>383</v>
      </c>
      <c r="L236" s="772" t="s">
        <v>397</v>
      </c>
      <c r="M236" s="1850" t="s">
        <v>2385</v>
      </c>
      <c r="N236" s="772" t="s">
        <v>1240</v>
      </c>
      <c r="O236" s="977" t="s">
        <v>3445</v>
      </c>
      <c r="P236" s="241" t="s">
        <v>291</v>
      </c>
      <c r="Q236" s="241"/>
      <c r="R236" s="147"/>
      <c r="S236" s="236"/>
      <c r="T236" s="391" t="s">
        <v>590</v>
      </c>
      <c r="U236" s="391" t="s">
        <v>2379</v>
      </c>
      <c r="W236" s="44"/>
      <c r="X236" s="44"/>
      <c r="Z236" s="44"/>
      <c r="AA236" s="115"/>
      <c r="AB236" s="115"/>
      <c r="AC236" s="379"/>
      <c r="AD236" s="68"/>
      <c r="AE236" s="115"/>
      <c r="AF236" s="115"/>
      <c r="AG236" s="115"/>
      <c r="AH236" s="115"/>
      <c r="AI236" s="115"/>
      <c r="AJ236" s="115"/>
      <c r="AK236" s="115"/>
    </row>
    <row r="237" spans="2:37" ht="10.5" customHeight="1">
      <c r="B237" s="236"/>
      <c r="C237" s="310" t="s">
        <v>1029</v>
      </c>
      <c r="D237" s="352"/>
      <c r="E237" s="236"/>
      <c r="F237" s="408"/>
      <c r="G237" s="769" t="s">
        <v>301</v>
      </c>
      <c r="H237" s="769" t="s">
        <v>1231</v>
      </c>
      <c r="I237" s="773" t="s">
        <v>713</v>
      </c>
      <c r="J237" s="773" t="s">
        <v>2394</v>
      </c>
      <c r="K237" s="771" t="s">
        <v>384</v>
      </c>
      <c r="L237" s="772" t="s">
        <v>398</v>
      </c>
      <c r="M237" s="1850" t="s">
        <v>2385</v>
      </c>
      <c r="N237" s="772" t="s">
        <v>1130</v>
      </c>
      <c r="O237" s="977" t="s">
        <v>3446</v>
      </c>
      <c r="P237" s="241" t="s">
        <v>2179</v>
      </c>
      <c r="Q237" s="241"/>
      <c r="R237" s="147"/>
      <c r="S237" s="236"/>
      <c r="T237" s="391" t="s">
        <v>292</v>
      </c>
      <c r="U237" s="391" t="s">
        <v>301</v>
      </c>
      <c r="W237" s="44"/>
      <c r="X237" s="44"/>
      <c r="Z237" s="44"/>
      <c r="AA237" s="115"/>
      <c r="AB237" s="115"/>
      <c r="AC237" s="379"/>
      <c r="AD237" s="68"/>
      <c r="AE237" s="115"/>
      <c r="AF237" s="115"/>
      <c r="AG237" s="115"/>
      <c r="AH237" s="115"/>
      <c r="AI237" s="115"/>
      <c r="AJ237" s="115"/>
      <c r="AK237" s="115"/>
    </row>
    <row r="238" spans="2:37" ht="10.5" customHeight="1">
      <c r="B238" s="236"/>
      <c r="C238" s="310" t="s">
        <v>1032</v>
      </c>
      <c r="D238" s="352"/>
      <c r="E238" s="236"/>
      <c r="F238" s="408"/>
      <c r="G238" s="769" t="s">
        <v>302</v>
      </c>
      <c r="H238" s="769" t="s">
        <v>1136</v>
      </c>
      <c r="I238" s="773" t="s">
        <v>154</v>
      </c>
      <c r="J238" s="773" t="s">
        <v>2394</v>
      </c>
      <c r="K238" s="771" t="s">
        <v>4611</v>
      </c>
      <c r="L238" s="772" t="s">
        <v>398</v>
      </c>
      <c r="M238" s="1850" t="s">
        <v>2385</v>
      </c>
      <c r="N238" s="772" t="s">
        <v>154</v>
      </c>
      <c r="O238" s="977" t="s">
        <v>3447</v>
      </c>
      <c r="P238" s="241" t="s">
        <v>2196</v>
      </c>
      <c r="Q238" s="241"/>
      <c r="R238" s="147"/>
      <c r="S238" s="236"/>
      <c r="T238" s="391" t="s">
        <v>2180</v>
      </c>
      <c r="U238" s="391" t="s">
        <v>189</v>
      </c>
      <c r="W238" s="44"/>
      <c r="X238" s="44"/>
      <c r="Z238" s="44"/>
      <c r="AA238" s="115"/>
      <c r="AB238" s="115"/>
      <c r="AC238" s="379"/>
      <c r="AD238" s="68"/>
      <c r="AE238" s="115"/>
      <c r="AF238" s="115"/>
      <c r="AG238" s="115"/>
      <c r="AH238" s="115"/>
      <c r="AI238" s="115"/>
      <c r="AJ238" s="115"/>
      <c r="AK238" s="115"/>
    </row>
    <row r="239" spans="2:37" ht="10.5" customHeight="1">
      <c r="B239" s="236"/>
      <c r="C239" s="309" t="s">
        <v>1034</v>
      </c>
      <c r="D239" s="352"/>
      <c r="E239" s="236"/>
      <c r="F239" s="408"/>
      <c r="G239" s="769" t="s">
        <v>303</v>
      </c>
      <c r="H239" s="769" t="s">
        <v>1231</v>
      </c>
      <c r="I239" s="770" t="s">
        <v>304</v>
      </c>
      <c r="J239" s="770" t="s">
        <v>2393</v>
      </c>
      <c r="K239" s="771" t="s">
        <v>385</v>
      </c>
      <c r="L239" s="772" t="s">
        <v>397</v>
      </c>
      <c r="M239" s="1850" t="s">
        <v>2385</v>
      </c>
      <c r="N239" s="772" t="s">
        <v>159</v>
      </c>
      <c r="O239" s="977" t="s">
        <v>3448</v>
      </c>
      <c r="P239" s="241" t="s">
        <v>2198</v>
      </c>
      <c r="Q239" s="241"/>
      <c r="R239" s="147"/>
      <c r="S239" s="236"/>
      <c r="T239" s="391" t="s">
        <v>2197</v>
      </c>
      <c r="U239" s="391" t="s">
        <v>1549</v>
      </c>
      <c r="W239" s="44"/>
      <c r="X239" s="44"/>
      <c r="Z239" s="44"/>
      <c r="AA239" s="115"/>
      <c r="AB239" s="115"/>
      <c r="AC239" s="379"/>
      <c r="AD239" s="68"/>
      <c r="AE239" s="115"/>
      <c r="AF239" s="115"/>
      <c r="AG239" s="115"/>
      <c r="AH239" s="115"/>
      <c r="AI239" s="115"/>
      <c r="AJ239" s="115"/>
      <c r="AK239" s="115"/>
    </row>
    <row r="240" spans="2:37" ht="10.5" customHeight="1">
      <c r="B240" s="236"/>
      <c r="C240" s="310" t="s">
        <v>1036</v>
      </c>
      <c r="D240" s="352"/>
      <c r="E240" s="236"/>
      <c r="F240" s="408"/>
      <c r="G240" s="769" t="s">
        <v>305</v>
      </c>
      <c r="H240" s="769" t="s">
        <v>1136</v>
      </c>
      <c r="I240" s="773" t="s">
        <v>711</v>
      </c>
      <c r="J240" s="773" t="s">
        <v>2394</v>
      </c>
      <c r="K240" s="771" t="s">
        <v>4608</v>
      </c>
      <c r="L240" s="772" t="s">
        <v>398</v>
      </c>
      <c r="M240" s="1850" t="s">
        <v>1121</v>
      </c>
      <c r="N240" s="772" t="s">
        <v>1130</v>
      </c>
      <c r="O240" s="977" t="s">
        <v>3449</v>
      </c>
      <c r="P240" s="241" t="s">
        <v>2199</v>
      </c>
      <c r="Q240" s="241"/>
      <c r="R240" s="147"/>
      <c r="S240" s="236"/>
      <c r="T240" s="391" t="s">
        <v>2518</v>
      </c>
      <c r="U240" s="391" t="s">
        <v>584</v>
      </c>
      <c r="W240" s="44"/>
      <c r="X240" s="44"/>
      <c r="Z240" s="44"/>
      <c r="AA240" s="115"/>
      <c r="AB240" s="115"/>
      <c r="AC240" s="379"/>
      <c r="AD240" s="68"/>
      <c r="AE240" s="115"/>
      <c r="AF240" s="115"/>
      <c r="AG240" s="115"/>
      <c r="AH240" s="115"/>
      <c r="AI240" s="115"/>
      <c r="AJ240" s="115"/>
      <c r="AK240" s="115"/>
    </row>
    <row r="241" spans="2:37" ht="10.5" customHeight="1">
      <c r="B241" s="236"/>
      <c r="C241" s="310" t="s">
        <v>1038</v>
      </c>
      <c r="D241" s="352"/>
      <c r="E241" s="236"/>
      <c r="F241" s="408"/>
      <c r="G241" s="769" t="s">
        <v>306</v>
      </c>
      <c r="H241" s="769" t="s">
        <v>1231</v>
      </c>
      <c r="I241" s="773" t="s">
        <v>711</v>
      </c>
      <c r="J241" s="773" t="s">
        <v>2394</v>
      </c>
      <c r="K241" s="771" t="s">
        <v>4608</v>
      </c>
      <c r="L241" s="772" t="s">
        <v>398</v>
      </c>
      <c r="M241" s="1850" t="s">
        <v>1121</v>
      </c>
      <c r="N241" s="772" t="s">
        <v>1130</v>
      </c>
      <c r="O241" s="977" t="s">
        <v>3450</v>
      </c>
      <c r="P241" s="241" t="s">
        <v>2172</v>
      </c>
      <c r="Q241" s="241"/>
      <c r="R241" s="147"/>
      <c r="S241" s="236"/>
      <c r="T241" s="391" t="s">
        <v>585</v>
      </c>
      <c r="U241" s="391" t="s">
        <v>1247</v>
      </c>
      <c r="W241" s="44"/>
      <c r="X241" s="44"/>
      <c r="Z241" s="44"/>
      <c r="AA241" s="115"/>
      <c r="AB241" s="115"/>
      <c r="AC241" s="379"/>
      <c r="AD241" s="68"/>
      <c r="AE241" s="115"/>
      <c r="AF241" s="115"/>
      <c r="AG241" s="115"/>
      <c r="AH241" s="115"/>
      <c r="AI241" s="115"/>
      <c r="AJ241" s="115"/>
      <c r="AK241" s="115"/>
    </row>
    <row r="242" spans="2:37" ht="10.5" customHeight="1">
      <c r="B242" s="236"/>
      <c r="C242" s="310" t="s">
        <v>1040</v>
      </c>
      <c r="D242" s="352"/>
      <c r="E242" s="236"/>
      <c r="F242" s="408"/>
      <c r="G242" s="769" t="s">
        <v>307</v>
      </c>
      <c r="H242" s="769" t="s">
        <v>1136</v>
      </c>
      <c r="I242" s="773" t="s">
        <v>1588</v>
      </c>
      <c r="J242" s="773" t="s">
        <v>2394</v>
      </c>
      <c r="K242" s="771" t="s">
        <v>4612</v>
      </c>
      <c r="L242" s="772" t="s">
        <v>398</v>
      </c>
      <c r="M242" s="1850" t="s">
        <v>1121</v>
      </c>
      <c r="N242" s="772" t="s">
        <v>1240</v>
      </c>
      <c r="O242" s="977" t="s">
        <v>3451</v>
      </c>
      <c r="P242" s="241" t="s">
        <v>7</v>
      </c>
      <c r="Q242" s="241"/>
      <c r="R242" s="147"/>
      <c r="S242" s="236"/>
      <c r="T242" s="391" t="s">
        <v>1244</v>
      </c>
      <c r="U242" s="391" t="s">
        <v>610</v>
      </c>
      <c r="W242" s="44"/>
      <c r="X242" s="44"/>
      <c r="Z242" s="44"/>
      <c r="AA242" s="115"/>
      <c r="AB242" s="115"/>
      <c r="AC242" s="379"/>
      <c r="AD242" s="68"/>
      <c r="AE242" s="115"/>
      <c r="AF242" s="115"/>
      <c r="AG242" s="115"/>
      <c r="AH242" s="115"/>
      <c r="AI242" s="115"/>
      <c r="AJ242" s="115"/>
      <c r="AK242" s="115"/>
    </row>
    <row r="243" spans="2:37" ht="10.5" customHeight="1">
      <c r="B243" s="236"/>
      <c r="C243" s="309" t="s">
        <v>1042</v>
      </c>
      <c r="D243" s="352"/>
      <c r="E243" s="236"/>
      <c r="F243" s="408"/>
      <c r="G243" s="769" t="s">
        <v>308</v>
      </c>
      <c r="H243" s="769" t="s">
        <v>1136</v>
      </c>
      <c r="I243" s="770" t="s">
        <v>309</v>
      </c>
      <c r="J243" s="770" t="s">
        <v>2393</v>
      </c>
      <c r="K243" s="771" t="s">
        <v>601</v>
      </c>
      <c r="L243" s="772" t="s">
        <v>397</v>
      </c>
      <c r="M243" s="1850" t="s">
        <v>2385</v>
      </c>
      <c r="N243" s="772" t="s">
        <v>1652</v>
      </c>
      <c r="O243" s="977" t="s">
        <v>3452</v>
      </c>
      <c r="P243" s="241" t="s">
        <v>9</v>
      </c>
      <c r="Q243" s="241"/>
      <c r="R243" s="147"/>
      <c r="S243" s="236"/>
      <c r="T243" s="391" t="s">
        <v>2173</v>
      </c>
      <c r="U243" s="391" t="s">
        <v>2284</v>
      </c>
      <c r="W243" s="44"/>
      <c r="X243" s="44"/>
      <c r="Z243" s="44"/>
      <c r="AA243" s="115"/>
      <c r="AB243" s="115"/>
      <c r="AC243" s="379"/>
      <c r="AD243" s="68"/>
      <c r="AE243" s="115"/>
      <c r="AF243" s="115"/>
      <c r="AG243" s="115"/>
      <c r="AH243" s="115"/>
      <c r="AI243" s="115"/>
      <c r="AJ243" s="115"/>
      <c r="AK243" s="115"/>
    </row>
    <row r="244" spans="2:37" ht="10.5" customHeight="1">
      <c r="B244" s="236"/>
      <c r="C244" s="309" t="s">
        <v>2090</v>
      </c>
      <c r="D244" s="352"/>
      <c r="E244" s="236"/>
      <c r="F244" s="408"/>
      <c r="G244" s="769" t="s">
        <v>310</v>
      </c>
      <c r="H244" s="769" t="s">
        <v>1231</v>
      </c>
      <c r="I244" s="770" t="s">
        <v>311</v>
      </c>
      <c r="J244" s="770" t="s">
        <v>2393</v>
      </c>
      <c r="K244" s="771" t="s">
        <v>602</v>
      </c>
      <c r="L244" s="772" t="s">
        <v>397</v>
      </c>
      <c r="M244" s="1850" t="s">
        <v>2385</v>
      </c>
      <c r="N244" s="772" t="s">
        <v>1130</v>
      </c>
      <c r="O244" s="977" t="s">
        <v>3453</v>
      </c>
      <c r="P244" s="241" t="s">
        <v>51</v>
      </c>
      <c r="Q244" s="241"/>
      <c r="R244" s="147"/>
      <c r="S244" s="236"/>
      <c r="T244" s="391" t="s">
        <v>8</v>
      </c>
      <c r="U244" s="391" t="s">
        <v>619</v>
      </c>
      <c r="W244" s="44"/>
      <c r="X244" s="44"/>
      <c r="Z244" s="44"/>
      <c r="AA244" s="115"/>
      <c r="AB244" s="115"/>
      <c r="AC244" s="379"/>
      <c r="AD244" s="68"/>
      <c r="AE244" s="115"/>
      <c r="AF244" s="115"/>
      <c r="AG244" s="115"/>
      <c r="AH244" s="115"/>
      <c r="AI244" s="115"/>
      <c r="AJ244" s="115"/>
      <c r="AK244" s="115"/>
    </row>
    <row r="245" spans="2:37" ht="10.5" customHeight="1">
      <c r="B245" s="236"/>
      <c r="C245" s="310" t="s">
        <v>1246</v>
      </c>
      <c r="D245" s="352"/>
      <c r="E245" s="236"/>
      <c r="F245" s="408"/>
      <c r="G245" s="769" t="s">
        <v>312</v>
      </c>
      <c r="H245" s="769" t="s">
        <v>1231</v>
      </c>
      <c r="I245" s="773" t="s">
        <v>711</v>
      </c>
      <c r="J245" s="773" t="s">
        <v>2394</v>
      </c>
      <c r="K245" s="771" t="s">
        <v>4608</v>
      </c>
      <c r="L245" s="772" t="s">
        <v>398</v>
      </c>
      <c r="M245" s="1850" t="s">
        <v>1121</v>
      </c>
      <c r="N245" s="772" t="s">
        <v>1130</v>
      </c>
      <c r="O245" s="977" t="s">
        <v>3454</v>
      </c>
      <c r="P245" s="241" t="s">
        <v>53</v>
      </c>
      <c r="Q245" s="241"/>
      <c r="R245" s="147"/>
      <c r="S245" s="236"/>
      <c r="T245" s="391" t="s">
        <v>10</v>
      </c>
      <c r="U245" s="391" t="s">
        <v>301</v>
      </c>
      <c r="W245" s="44"/>
      <c r="X245" s="44"/>
      <c r="Z245" s="44"/>
      <c r="AA245" s="115"/>
      <c r="AB245" s="115"/>
      <c r="AC245" s="379"/>
      <c r="AD245" s="68"/>
      <c r="AE245" s="115"/>
      <c r="AF245" s="115"/>
      <c r="AG245" s="115"/>
      <c r="AH245" s="115"/>
      <c r="AI245" s="115"/>
      <c r="AJ245" s="115"/>
      <c r="AK245" s="115"/>
    </row>
    <row r="246" spans="2:37" ht="10.5" customHeight="1">
      <c r="B246" s="236"/>
      <c r="C246" s="310" t="s">
        <v>2004</v>
      </c>
      <c r="D246" s="352"/>
      <c r="E246" s="236"/>
      <c r="F246" s="408"/>
      <c r="G246" s="769" t="s">
        <v>313</v>
      </c>
      <c r="H246" s="769" t="s">
        <v>1136</v>
      </c>
      <c r="I246" s="770" t="s">
        <v>314</v>
      </c>
      <c r="J246" s="770" t="s">
        <v>2393</v>
      </c>
      <c r="K246" s="771" t="s">
        <v>603</v>
      </c>
      <c r="L246" s="772" t="s">
        <v>397</v>
      </c>
      <c r="M246" s="1850" t="s">
        <v>2385</v>
      </c>
      <c r="N246" s="772" t="s">
        <v>1575</v>
      </c>
      <c r="O246" s="977" t="s">
        <v>3455</v>
      </c>
      <c r="P246" s="241" t="s">
        <v>55</v>
      </c>
      <c r="Q246" s="241"/>
      <c r="R246" s="147"/>
      <c r="S246" s="236"/>
      <c r="T246" s="391" t="s">
        <v>52</v>
      </c>
      <c r="U246" s="391" t="s">
        <v>2371</v>
      </c>
      <c r="W246" s="44"/>
      <c r="X246" s="44"/>
      <c r="Z246" s="44"/>
      <c r="AA246" s="115"/>
      <c r="AB246" s="115"/>
      <c r="AC246" s="379"/>
      <c r="AD246" s="68"/>
      <c r="AE246" s="115"/>
      <c r="AF246" s="115"/>
      <c r="AG246" s="115"/>
      <c r="AH246" s="115"/>
      <c r="AI246" s="115"/>
      <c r="AJ246" s="115"/>
      <c r="AK246" s="115"/>
    </row>
    <row r="247" spans="2:37" ht="10.5" customHeight="1">
      <c r="B247" s="236"/>
      <c r="C247" s="310" t="s">
        <v>2006</v>
      </c>
      <c r="D247" s="352"/>
      <c r="E247" s="236"/>
      <c r="F247" s="408"/>
      <c r="G247" s="769" t="s">
        <v>315</v>
      </c>
      <c r="H247" s="769" t="s">
        <v>1136</v>
      </c>
      <c r="I247" s="770" t="s">
        <v>316</v>
      </c>
      <c r="J247" s="770" t="s">
        <v>2393</v>
      </c>
      <c r="K247" s="771" t="s">
        <v>253</v>
      </c>
      <c r="L247" s="772" t="s">
        <v>397</v>
      </c>
      <c r="M247" s="1850" t="s">
        <v>2385</v>
      </c>
      <c r="N247" s="772" t="s">
        <v>1250</v>
      </c>
      <c r="O247" s="977" t="s">
        <v>3456</v>
      </c>
      <c r="P247" s="241" t="s">
        <v>335</v>
      </c>
      <c r="Q247" s="241"/>
      <c r="R247" s="147"/>
      <c r="S247" s="236"/>
      <c r="T247" s="391" t="s">
        <v>54</v>
      </c>
      <c r="U247" s="391" t="s">
        <v>341</v>
      </c>
      <c r="W247" s="44"/>
      <c r="X247" s="44"/>
      <c r="Z247" s="44"/>
      <c r="AA247" s="115"/>
      <c r="AB247" s="115"/>
      <c r="AC247" s="379"/>
      <c r="AD247" s="68"/>
      <c r="AE247" s="115"/>
      <c r="AF247" s="115"/>
      <c r="AG247" s="115"/>
      <c r="AH247" s="115"/>
      <c r="AI247" s="115"/>
      <c r="AJ247" s="115"/>
      <c r="AK247" s="115"/>
    </row>
    <row r="248" spans="2:37" ht="10.5" customHeight="1">
      <c r="B248" s="236"/>
      <c r="C248" s="310" t="s">
        <v>2008</v>
      </c>
      <c r="D248" s="352"/>
      <c r="E248" s="236"/>
      <c r="F248" s="408"/>
      <c r="G248" s="769" t="s">
        <v>317</v>
      </c>
      <c r="H248" s="769" t="s">
        <v>1136</v>
      </c>
      <c r="I248" s="770" t="s">
        <v>318</v>
      </c>
      <c r="J248" s="770" t="s">
        <v>2393</v>
      </c>
      <c r="K248" s="771" t="s">
        <v>254</v>
      </c>
      <c r="L248" s="772" t="s">
        <v>397</v>
      </c>
      <c r="M248" s="1850" t="s">
        <v>2385</v>
      </c>
      <c r="N248" s="772" t="s">
        <v>1250</v>
      </c>
      <c r="O248" s="977" t="s">
        <v>3457</v>
      </c>
      <c r="P248" s="241" t="s">
        <v>337</v>
      </c>
      <c r="Q248" s="241"/>
      <c r="R248" s="147"/>
      <c r="S248" s="236"/>
      <c r="T248" s="391" t="s">
        <v>56</v>
      </c>
      <c r="U248" s="391" t="s">
        <v>115</v>
      </c>
      <c r="W248" s="44"/>
      <c r="X248" s="44"/>
      <c r="Z248" s="44"/>
      <c r="AA248" s="115"/>
      <c r="AB248" s="115"/>
      <c r="AC248" s="379"/>
      <c r="AD248" s="68"/>
      <c r="AE248" s="115"/>
      <c r="AF248" s="115"/>
      <c r="AG248" s="115"/>
      <c r="AH248" s="115"/>
      <c r="AI248" s="115"/>
      <c r="AJ248" s="115"/>
      <c r="AK248" s="115"/>
    </row>
    <row r="249" spans="2:37" ht="10.5" customHeight="1">
      <c r="B249" s="236"/>
      <c r="C249" s="310" t="s">
        <v>2011</v>
      </c>
      <c r="D249" s="352"/>
      <c r="E249" s="236"/>
      <c r="F249" s="408"/>
      <c r="G249" s="769" t="s">
        <v>319</v>
      </c>
      <c r="H249" s="769" t="s">
        <v>1136</v>
      </c>
      <c r="I249" s="770" t="s">
        <v>320</v>
      </c>
      <c r="J249" s="770" t="s">
        <v>2393</v>
      </c>
      <c r="K249" s="771" t="s">
        <v>255</v>
      </c>
      <c r="L249" s="772" t="s">
        <v>397</v>
      </c>
      <c r="M249" s="1850" t="s">
        <v>2385</v>
      </c>
      <c r="N249" s="772" t="s">
        <v>1240</v>
      </c>
      <c r="O249" s="977" t="s">
        <v>3458</v>
      </c>
      <c r="P249" s="241" t="s">
        <v>339</v>
      </c>
      <c r="Q249" s="241"/>
      <c r="R249" s="147"/>
      <c r="S249" s="236"/>
      <c r="T249" s="391" t="s">
        <v>336</v>
      </c>
      <c r="U249" s="391" t="s">
        <v>2022</v>
      </c>
      <c r="W249" s="44"/>
      <c r="X249" s="44"/>
      <c r="Z249" s="44"/>
      <c r="AA249" s="115"/>
      <c r="AB249" s="115"/>
      <c r="AC249" s="379"/>
      <c r="AD249" s="68"/>
      <c r="AE249" s="115"/>
      <c r="AF249" s="115"/>
      <c r="AG249" s="115"/>
      <c r="AH249" s="115"/>
      <c r="AI249" s="115"/>
      <c r="AJ249" s="115"/>
      <c r="AK249" s="115"/>
    </row>
    <row r="250" spans="2:37" ht="10.5" customHeight="1">
      <c r="B250" s="236"/>
      <c r="C250" s="309" t="s">
        <v>2013</v>
      </c>
      <c r="D250" s="352"/>
      <c r="E250" s="236"/>
      <c r="F250" s="408"/>
      <c r="G250" s="769" t="s">
        <v>402</v>
      </c>
      <c r="H250" s="769" t="s">
        <v>1136</v>
      </c>
      <c r="I250" s="773" t="s">
        <v>1240</v>
      </c>
      <c r="J250" s="773" t="s">
        <v>2394</v>
      </c>
      <c r="K250" s="771" t="s">
        <v>4609</v>
      </c>
      <c r="L250" s="772" t="s">
        <v>398</v>
      </c>
      <c r="M250" s="1850" t="s">
        <v>2385</v>
      </c>
      <c r="N250" s="772" t="s">
        <v>1240</v>
      </c>
      <c r="O250" s="977" t="s">
        <v>3459</v>
      </c>
      <c r="P250" s="241" t="s">
        <v>2107</v>
      </c>
      <c r="Q250" s="241"/>
      <c r="R250" s="147"/>
      <c r="S250" s="236"/>
      <c r="T250" s="391" t="s">
        <v>338</v>
      </c>
      <c r="U250" s="391" t="s">
        <v>891</v>
      </c>
      <c r="W250" s="44"/>
      <c r="X250" s="44"/>
      <c r="Z250" s="44"/>
      <c r="AA250" s="115"/>
      <c r="AB250" s="115"/>
      <c r="AC250" s="379"/>
      <c r="AD250" s="68"/>
      <c r="AE250" s="115"/>
      <c r="AF250" s="115"/>
      <c r="AG250" s="115"/>
      <c r="AH250" s="115"/>
      <c r="AI250" s="115"/>
      <c r="AJ250" s="115"/>
      <c r="AK250" s="115"/>
    </row>
    <row r="251" spans="2:37" ht="10.5" customHeight="1">
      <c r="B251" s="236"/>
      <c r="C251" s="309" t="s">
        <v>2015</v>
      </c>
      <c r="D251" s="352"/>
      <c r="E251" s="236"/>
      <c r="F251" s="408"/>
      <c r="G251" s="769" t="s">
        <v>403</v>
      </c>
      <c r="H251" s="769" t="s">
        <v>1231</v>
      </c>
      <c r="I251" s="773" t="s">
        <v>714</v>
      </c>
      <c r="J251" s="773" t="s">
        <v>2394</v>
      </c>
      <c r="K251" s="771" t="s">
        <v>256</v>
      </c>
      <c r="L251" s="772" t="s">
        <v>398</v>
      </c>
      <c r="M251" s="1850" t="s">
        <v>2385</v>
      </c>
      <c r="N251" s="772" t="s">
        <v>1130</v>
      </c>
      <c r="O251" s="977" t="s">
        <v>3460</v>
      </c>
      <c r="P251" s="241" t="s">
        <v>2109</v>
      </c>
      <c r="Q251" s="241"/>
      <c r="R251" s="147"/>
      <c r="S251" s="236"/>
      <c r="T251" s="391" t="s">
        <v>340</v>
      </c>
      <c r="U251" s="391" t="s">
        <v>1025</v>
      </c>
      <c r="W251" s="44"/>
      <c r="X251" s="44"/>
      <c r="Z251" s="44"/>
      <c r="AA251" s="115"/>
      <c r="AB251" s="115"/>
      <c r="AC251" s="379"/>
      <c r="AD251" s="68"/>
      <c r="AE251" s="115"/>
      <c r="AF251" s="115"/>
      <c r="AG251" s="115"/>
      <c r="AH251" s="115"/>
      <c r="AI251" s="115"/>
      <c r="AJ251" s="115"/>
      <c r="AK251" s="115"/>
    </row>
    <row r="252" spans="2:37" ht="10.5" customHeight="1">
      <c r="B252" s="236"/>
      <c r="C252" s="310" t="s">
        <v>2017</v>
      </c>
      <c r="D252" s="352"/>
      <c r="E252" s="236"/>
      <c r="F252" s="408"/>
      <c r="G252" s="769" t="s">
        <v>1360</v>
      </c>
      <c r="H252" s="769" t="s">
        <v>1136</v>
      </c>
      <c r="I252" s="770" t="s">
        <v>1575</v>
      </c>
      <c r="J252" s="770" t="s">
        <v>2394</v>
      </c>
      <c r="K252" s="771" t="s">
        <v>2370</v>
      </c>
      <c r="L252" s="772" t="s">
        <v>398</v>
      </c>
      <c r="M252" s="1850" t="s">
        <v>2385</v>
      </c>
      <c r="N252" s="772" t="s">
        <v>1575</v>
      </c>
      <c r="O252" s="977" t="s">
        <v>3461</v>
      </c>
      <c r="P252" s="241" t="s">
        <v>2110</v>
      </c>
      <c r="Q252" s="241"/>
      <c r="R252" s="147"/>
      <c r="S252" s="236"/>
      <c r="T252" s="391" t="s">
        <v>586</v>
      </c>
      <c r="U252" s="391" t="s">
        <v>1361</v>
      </c>
      <c r="W252" s="44"/>
      <c r="X252" s="44"/>
      <c r="Z252" s="44"/>
      <c r="AA252" s="115"/>
      <c r="AB252" s="115"/>
      <c r="AC252" s="379"/>
      <c r="AD252" s="68"/>
      <c r="AE252" s="115"/>
      <c r="AF252" s="115"/>
      <c r="AG252" s="115"/>
      <c r="AH252" s="115"/>
      <c r="AI252" s="115"/>
      <c r="AJ252" s="115"/>
      <c r="AK252" s="115"/>
    </row>
    <row r="253" spans="2:37" ht="10.5" customHeight="1">
      <c r="B253" s="236"/>
      <c r="C253" s="310" t="s">
        <v>2019</v>
      </c>
      <c r="D253" s="352"/>
      <c r="E253" s="236"/>
      <c r="F253" s="408"/>
      <c r="G253" s="769" t="s">
        <v>1361</v>
      </c>
      <c r="H253" s="769" t="s">
        <v>1136</v>
      </c>
      <c r="I253" s="770" t="s">
        <v>1362</v>
      </c>
      <c r="J253" s="770" t="s">
        <v>2393</v>
      </c>
      <c r="K253" s="771" t="s">
        <v>257</v>
      </c>
      <c r="L253" s="772" t="s">
        <v>397</v>
      </c>
      <c r="M253" s="1850" t="s">
        <v>2385</v>
      </c>
      <c r="N253" s="772" t="s">
        <v>1240</v>
      </c>
      <c r="O253" s="977" t="s">
        <v>3462</v>
      </c>
      <c r="P253" s="241" t="s">
        <v>2111</v>
      </c>
      <c r="Q253" s="241"/>
      <c r="R253" s="147"/>
      <c r="S253" s="236"/>
      <c r="T253" s="391" t="s">
        <v>2108</v>
      </c>
      <c r="U253" s="391" t="s">
        <v>622</v>
      </c>
      <c r="W253" s="44"/>
      <c r="X253" s="44"/>
      <c r="Z253" s="44"/>
      <c r="AA253" s="115"/>
      <c r="AB253" s="115"/>
      <c r="AC253" s="379"/>
      <c r="AD253" s="68"/>
      <c r="AE253" s="115"/>
      <c r="AF253" s="115"/>
      <c r="AG253" s="115"/>
      <c r="AH253" s="115"/>
      <c r="AI253" s="115"/>
      <c r="AJ253" s="115"/>
      <c r="AK253" s="115"/>
    </row>
    <row r="254" spans="2:37" ht="10.5" customHeight="1">
      <c r="B254" s="236"/>
      <c r="C254" s="310" t="s">
        <v>2021</v>
      </c>
      <c r="D254" s="352"/>
      <c r="E254" s="236"/>
      <c r="F254" s="408"/>
      <c r="G254" s="769" t="s">
        <v>1363</v>
      </c>
      <c r="H254" s="769" t="s">
        <v>1136</v>
      </c>
      <c r="I254" s="773" t="s">
        <v>1652</v>
      </c>
      <c r="J254" s="773" t="s">
        <v>2394</v>
      </c>
      <c r="K254" s="771" t="s">
        <v>1092</v>
      </c>
      <c r="L254" s="772" t="s">
        <v>398</v>
      </c>
      <c r="M254" s="1850" t="s">
        <v>2385</v>
      </c>
      <c r="N254" s="772" t="s">
        <v>1652</v>
      </c>
      <c r="O254" s="977" t="s">
        <v>3463</v>
      </c>
      <c r="P254" s="241" t="s">
        <v>1454</v>
      </c>
      <c r="Q254" s="241"/>
      <c r="R254" s="147"/>
      <c r="S254" s="236"/>
      <c r="T254" s="391" t="s">
        <v>1252</v>
      </c>
      <c r="U254" s="391" t="s">
        <v>620</v>
      </c>
      <c r="W254" s="44"/>
      <c r="X254" s="44"/>
      <c r="Z254" s="44"/>
      <c r="AA254" s="115"/>
      <c r="AB254" s="115"/>
      <c r="AC254" s="379"/>
      <c r="AD254" s="68"/>
      <c r="AE254" s="115"/>
      <c r="AF254" s="115"/>
      <c r="AG254" s="115"/>
      <c r="AH254" s="115"/>
      <c r="AI254" s="115"/>
      <c r="AJ254" s="115"/>
      <c r="AK254" s="115"/>
    </row>
    <row r="255" spans="2:37" ht="10.5" customHeight="1">
      <c r="B255" s="236"/>
      <c r="C255" s="310" t="s">
        <v>811</v>
      </c>
      <c r="D255" s="352"/>
      <c r="E255" s="236"/>
      <c r="F255" s="408"/>
      <c r="G255" s="769" t="s">
        <v>1364</v>
      </c>
      <c r="H255" s="769" t="s">
        <v>1136</v>
      </c>
      <c r="I255" s="770" t="s">
        <v>715</v>
      </c>
      <c r="J255" s="770" t="s">
        <v>2394</v>
      </c>
      <c r="K255" s="771" t="s">
        <v>4613</v>
      </c>
      <c r="L255" s="772" t="s">
        <v>398</v>
      </c>
      <c r="M255" s="1850" t="s">
        <v>1121</v>
      </c>
      <c r="N255" s="772" t="s">
        <v>1246</v>
      </c>
      <c r="O255" s="977" t="s">
        <v>3464</v>
      </c>
      <c r="P255" s="241" t="s">
        <v>1456</v>
      </c>
      <c r="Q255" s="241"/>
      <c r="R255" s="147"/>
      <c r="S255" s="236"/>
      <c r="T255" s="391" t="s">
        <v>2519</v>
      </c>
      <c r="U255" s="391" t="s">
        <v>622</v>
      </c>
      <c r="W255" s="44"/>
      <c r="X255" s="44"/>
      <c r="Z255" s="44"/>
      <c r="AA255" s="115"/>
      <c r="AB255" s="115"/>
      <c r="AC255" s="379"/>
      <c r="AD255" s="68"/>
      <c r="AE255" s="115"/>
      <c r="AF255" s="115"/>
      <c r="AG255" s="115"/>
      <c r="AH255" s="115"/>
      <c r="AI255" s="115"/>
      <c r="AJ255" s="115"/>
      <c r="AK255" s="115"/>
    </row>
    <row r="256" spans="2:37" ht="10.5" customHeight="1">
      <c r="B256" s="236"/>
      <c r="C256" s="310" t="s">
        <v>813</v>
      </c>
      <c r="D256" s="352"/>
      <c r="E256" s="236"/>
      <c r="F256" s="408"/>
      <c r="G256" s="769" t="s">
        <v>1365</v>
      </c>
      <c r="H256" s="769" t="s">
        <v>1231</v>
      </c>
      <c r="I256" s="770" t="s">
        <v>1366</v>
      </c>
      <c r="J256" s="770" t="s">
        <v>2394</v>
      </c>
      <c r="K256" s="771" t="s">
        <v>3146</v>
      </c>
      <c r="L256" s="772" t="s">
        <v>398</v>
      </c>
      <c r="M256" s="1850" t="s">
        <v>2385</v>
      </c>
      <c r="N256" s="772" t="s">
        <v>1250</v>
      </c>
      <c r="O256" s="977" t="s">
        <v>3465</v>
      </c>
      <c r="P256" s="241" t="s">
        <v>1458</v>
      </c>
      <c r="Q256" s="241"/>
      <c r="R256" s="147"/>
      <c r="S256" s="236"/>
      <c r="T256" s="391" t="s">
        <v>2112</v>
      </c>
      <c r="U256" s="391" t="s">
        <v>98</v>
      </c>
      <c r="W256" s="44"/>
      <c r="X256" s="44"/>
      <c r="Z256" s="44"/>
      <c r="AA256" s="115"/>
      <c r="AB256" s="115"/>
      <c r="AC256" s="379"/>
      <c r="AD256" s="68"/>
      <c r="AE256" s="115"/>
      <c r="AF256" s="115"/>
      <c r="AG256" s="115"/>
      <c r="AH256" s="115"/>
      <c r="AI256" s="115"/>
      <c r="AJ256" s="115"/>
      <c r="AK256" s="115"/>
    </row>
    <row r="257" spans="2:37" ht="10.5" customHeight="1">
      <c r="B257" s="236"/>
      <c r="C257" s="310" t="s">
        <v>1551</v>
      </c>
      <c r="D257" s="352"/>
      <c r="E257" s="236"/>
      <c r="F257" s="408"/>
      <c r="G257" s="769" t="s">
        <v>1367</v>
      </c>
      <c r="H257" s="769" t="s">
        <v>1136</v>
      </c>
      <c r="I257" s="770" t="s">
        <v>1368</v>
      </c>
      <c r="J257" s="770" t="s">
        <v>2394</v>
      </c>
      <c r="K257" s="771" t="s">
        <v>646</v>
      </c>
      <c r="L257" s="772" t="s">
        <v>398</v>
      </c>
      <c r="M257" s="1850" t="s">
        <v>2385</v>
      </c>
      <c r="N257" s="772" t="s">
        <v>1246</v>
      </c>
      <c r="O257" s="977" t="s">
        <v>3466</v>
      </c>
      <c r="P257" s="241" t="s">
        <v>1460</v>
      </c>
      <c r="Q257" s="241"/>
      <c r="R257" s="147"/>
      <c r="S257" s="236"/>
      <c r="T257" s="391" t="s">
        <v>1455</v>
      </c>
      <c r="U257" s="391" t="s">
        <v>1524</v>
      </c>
      <c r="W257" s="44"/>
      <c r="X257" s="44"/>
      <c r="Z257" s="44"/>
      <c r="AA257" s="115"/>
      <c r="AB257" s="115"/>
      <c r="AC257" s="379"/>
      <c r="AD257" s="68"/>
      <c r="AE257" s="115"/>
      <c r="AF257" s="115"/>
      <c r="AG257" s="115"/>
      <c r="AH257" s="115"/>
      <c r="AI257" s="115"/>
      <c r="AJ257" s="115"/>
      <c r="AK257" s="115"/>
    </row>
    <row r="258" spans="2:37" ht="10.5" customHeight="1">
      <c r="B258" s="236"/>
      <c r="C258" s="310" t="s">
        <v>1763</v>
      </c>
      <c r="D258" s="352"/>
      <c r="E258" s="236"/>
      <c r="F258" s="408"/>
      <c r="G258" s="769" t="s">
        <v>168</v>
      </c>
      <c r="H258" s="769" t="s">
        <v>1136</v>
      </c>
      <c r="I258" s="770" t="s">
        <v>1575</v>
      </c>
      <c r="J258" s="770" t="s">
        <v>2394</v>
      </c>
      <c r="K258" s="771" t="s">
        <v>2370</v>
      </c>
      <c r="L258" s="772" t="s">
        <v>398</v>
      </c>
      <c r="M258" s="1850" t="s">
        <v>1121</v>
      </c>
      <c r="N258" s="772" t="s">
        <v>1575</v>
      </c>
      <c r="O258" s="977" t="s">
        <v>3467</v>
      </c>
      <c r="P258" s="241" t="s">
        <v>1462</v>
      </c>
      <c r="Q258" s="241"/>
      <c r="R258" s="147"/>
      <c r="S258" s="236"/>
      <c r="T258" s="391" t="s">
        <v>2354</v>
      </c>
      <c r="U258" s="391" t="s">
        <v>584</v>
      </c>
      <c r="W258" s="44"/>
      <c r="X258" s="44"/>
      <c r="Z258" s="44"/>
      <c r="AA258" s="115"/>
      <c r="AB258" s="115"/>
      <c r="AC258" s="379"/>
      <c r="AD258" s="68"/>
      <c r="AE258" s="115"/>
      <c r="AF258" s="115"/>
      <c r="AG258" s="115"/>
      <c r="AH258" s="115"/>
      <c r="AI258" s="115"/>
      <c r="AJ258" s="115"/>
      <c r="AK258" s="115"/>
    </row>
    <row r="259" spans="2:37" ht="10.5" customHeight="1">
      <c r="B259" s="236"/>
      <c r="C259" s="309" t="s">
        <v>1765</v>
      </c>
      <c r="D259" s="352"/>
      <c r="E259" s="236"/>
      <c r="F259" s="408"/>
      <c r="G259" s="769" t="s">
        <v>169</v>
      </c>
      <c r="H259" s="769" t="s">
        <v>1231</v>
      </c>
      <c r="I259" s="773" t="s">
        <v>170</v>
      </c>
      <c r="J259" s="773" t="s">
        <v>2393</v>
      </c>
      <c r="K259" s="771" t="s">
        <v>647</v>
      </c>
      <c r="L259" s="772" t="s">
        <v>397</v>
      </c>
      <c r="M259" s="1850" t="s">
        <v>2385</v>
      </c>
      <c r="N259" s="772" t="s">
        <v>1130</v>
      </c>
      <c r="O259" s="977" t="s">
        <v>3468</v>
      </c>
      <c r="P259" s="241" t="s">
        <v>1616</v>
      </c>
      <c r="Q259" s="241"/>
      <c r="R259" s="147"/>
      <c r="S259" s="236"/>
      <c r="T259" s="391" t="s">
        <v>1457</v>
      </c>
      <c r="U259" s="391" t="s">
        <v>613</v>
      </c>
      <c r="W259" s="44"/>
      <c r="X259" s="44"/>
      <c r="Z259" s="44"/>
      <c r="AA259" s="115"/>
      <c r="AB259" s="115"/>
      <c r="AC259" s="379"/>
      <c r="AD259" s="68"/>
      <c r="AE259" s="115"/>
      <c r="AF259" s="115"/>
      <c r="AG259" s="115"/>
      <c r="AH259" s="115"/>
      <c r="AI259" s="115"/>
      <c r="AJ259" s="115"/>
      <c r="AK259" s="115"/>
    </row>
    <row r="260" spans="2:37" ht="10.5" customHeight="1">
      <c r="B260" s="236"/>
      <c r="C260" s="309" t="s">
        <v>1767</v>
      </c>
      <c r="D260" s="352"/>
      <c r="E260" s="236"/>
      <c r="F260" s="408"/>
      <c r="G260" s="769" t="s">
        <v>1240</v>
      </c>
      <c r="H260" s="769" t="s">
        <v>1136</v>
      </c>
      <c r="I260" s="770" t="s">
        <v>171</v>
      </c>
      <c r="J260" s="770" t="s">
        <v>2393</v>
      </c>
      <c r="K260" s="771" t="s">
        <v>648</v>
      </c>
      <c r="L260" s="772" t="s">
        <v>397</v>
      </c>
      <c r="M260" s="1850" t="s">
        <v>2385</v>
      </c>
      <c r="N260" s="772" t="s">
        <v>1240</v>
      </c>
      <c r="O260" s="977" t="s">
        <v>3469</v>
      </c>
      <c r="P260" s="241" t="s">
        <v>1618</v>
      </c>
      <c r="Q260" s="241"/>
      <c r="R260" s="147"/>
      <c r="S260" s="236"/>
      <c r="T260" s="391" t="s">
        <v>2520</v>
      </c>
      <c r="U260" s="391" t="s">
        <v>2067</v>
      </c>
      <c r="W260" s="44"/>
      <c r="X260" s="44"/>
      <c r="Z260" s="44"/>
      <c r="AA260" s="115"/>
      <c r="AB260" s="115"/>
      <c r="AC260" s="379"/>
      <c r="AD260" s="68"/>
      <c r="AE260" s="115"/>
      <c r="AF260" s="115"/>
      <c r="AG260" s="115"/>
      <c r="AH260" s="115"/>
      <c r="AI260" s="115"/>
      <c r="AJ260" s="115"/>
      <c r="AK260" s="115"/>
    </row>
    <row r="261" spans="2:37" ht="10.5" customHeight="1">
      <c r="B261" s="236"/>
      <c r="C261" s="309" t="s">
        <v>1769</v>
      </c>
      <c r="D261" s="352"/>
      <c r="E261" s="236"/>
      <c r="F261" s="408"/>
      <c r="G261" s="769" t="s">
        <v>172</v>
      </c>
      <c r="H261" s="769" t="s">
        <v>1231</v>
      </c>
      <c r="I261" s="770" t="s">
        <v>1887</v>
      </c>
      <c r="J261" s="770" t="s">
        <v>2394</v>
      </c>
      <c r="K261" s="771" t="s">
        <v>576</v>
      </c>
      <c r="L261" s="772" t="s">
        <v>398</v>
      </c>
      <c r="M261" s="1850" t="s">
        <v>2385</v>
      </c>
      <c r="N261" s="772" t="s">
        <v>159</v>
      </c>
      <c r="O261" s="977" t="s">
        <v>3470</v>
      </c>
      <c r="P261" s="241" t="s">
        <v>1620</v>
      </c>
      <c r="Q261" s="241"/>
      <c r="R261" s="147"/>
      <c r="S261" s="236"/>
      <c r="T261" s="391" t="s">
        <v>1459</v>
      </c>
      <c r="U261" s="391" t="s">
        <v>157</v>
      </c>
      <c r="W261" s="44"/>
      <c r="X261" s="44"/>
      <c r="Z261" s="44"/>
      <c r="AA261" s="115"/>
      <c r="AB261" s="115"/>
      <c r="AC261" s="379"/>
      <c r="AD261" s="68"/>
      <c r="AE261" s="115"/>
      <c r="AF261" s="115"/>
      <c r="AG261" s="115"/>
      <c r="AH261" s="115"/>
      <c r="AI261" s="115"/>
      <c r="AJ261" s="115"/>
      <c r="AK261" s="115"/>
    </row>
    <row r="262" spans="2:37" ht="10.5" customHeight="1">
      <c r="B262" s="236"/>
      <c r="C262" s="309" t="s">
        <v>1771</v>
      </c>
      <c r="D262" s="352"/>
      <c r="E262" s="236"/>
      <c r="F262" s="408"/>
      <c r="G262" s="769" t="s">
        <v>341</v>
      </c>
      <c r="H262" s="769" t="s">
        <v>1136</v>
      </c>
      <c r="I262" s="773" t="s">
        <v>154</v>
      </c>
      <c r="J262" s="773" t="s">
        <v>2394</v>
      </c>
      <c r="K262" s="771" t="s">
        <v>4611</v>
      </c>
      <c r="L262" s="772" t="s">
        <v>398</v>
      </c>
      <c r="M262" s="1850" t="s">
        <v>2385</v>
      </c>
      <c r="N262" s="772" t="s">
        <v>154</v>
      </c>
      <c r="O262" s="977" t="s">
        <v>3471</v>
      </c>
      <c r="P262" s="241" t="s">
        <v>958</v>
      </c>
      <c r="Q262" s="241"/>
      <c r="R262" s="147"/>
      <c r="S262" s="236"/>
      <c r="T262" s="391" t="s">
        <v>1461</v>
      </c>
      <c r="U262" s="391" t="s">
        <v>1233</v>
      </c>
      <c r="W262" s="44"/>
      <c r="X262" s="44"/>
      <c r="Z262" s="44"/>
      <c r="AA262" s="115"/>
      <c r="AB262" s="115"/>
      <c r="AC262" s="379"/>
      <c r="AD262" s="68"/>
      <c r="AE262" s="115"/>
      <c r="AF262" s="115"/>
      <c r="AG262" s="115"/>
      <c r="AH262" s="115"/>
      <c r="AI262" s="115"/>
      <c r="AJ262" s="115"/>
      <c r="AK262" s="115"/>
    </row>
    <row r="263" spans="2:37" ht="10.5" customHeight="1">
      <c r="B263" s="236"/>
      <c r="C263" s="309" t="s">
        <v>1773</v>
      </c>
      <c r="D263" s="352"/>
      <c r="E263" s="236"/>
      <c r="F263" s="408"/>
      <c r="G263" s="769" t="s">
        <v>1732</v>
      </c>
      <c r="H263" s="769" t="s">
        <v>1231</v>
      </c>
      <c r="I263" s="773" t="s">
        <v>712</v>
      </c>
      <c r="J263" s="773" t="s">
        <v>2394</v>
      </c>
      <c r="K263" s="771" t="s">
        <v>4610</v>
      </c>
      <c r="L263" s="772" t="s">
        <v>398</v>
      </c>
      <c r="M263" s="1850" t="s">
        <v>2385</v>
      </c>
      <c r="N263" s="772" t="s">
        <v>1250</v>
      </c>
      <c r="O263" s="977" t="s">
        <v>3472</v>
      </c>
      <c r="P263" s="241" t="s">
        <v>959</v>
      </c>
      <c r="Q263" s="241"/>
      <c r="R263" s="147"/>
      <c r="S263" s="236"/>
      <c r="T263" s="391" t="s">
        <v>1463</v>
      </c>
      <c r="U263" s="391" t="s">
        <v>172</v>
      </c>
      <c r="W263" s="44"/>
      <c r="X263" s="44"/>
      <c r="Z263" s="44"/>
      <c r="AA263" s="115"/>
      <c r="AB263" s="115"/>
      <c r="AC263" s="379"/>
      <c r="AD263" s="68"/>
      <c r="AE263" s="115"/>
      <c r="AF263" s="115"/>
      <c r="AG263" s="115"/>
      <c r="AH263" s="115"/>
      <c r="AI263" s="115"/>
      <c r="AJ263" s="115"/>
      <c r="AK263" s="115"/>
    </row>
    <row r="264" spans="2:37" ht="10.5" customHeight="1">
      <c r="B264" s="236"/>
      <c r="C264" s="310" t="s">
        <v>1776</v>
      </c>
      <c r="D264" s="352"/>
      <c r="E264" s="236"/>
      <c r="F264" s="408"/>
      <c r="G264" s="769" t="s">
        <v>1733</v>
      </c>
      <c r="H264" s="769" t="s">
        <v>1136</v>
      </c>
      <c r="I264" s="770" t="s">
        <v>8</v>
      </c>
      <c r="J264" s="770" t="s">
        <v>2394</v>
      </c>
      <c r="K264" s="771" t="s">
        <v>2369</v>
      </c>
      <c r="L264" s="772" t="s">
        <v>398</v>
      </c>
      <c r="M264" s="1850" t="s">
        <v>2385</v>
      </c>
      <c r="N264" s="772" t="s">
        <v>1246</v>
      </c>
      <c r="O264" s="977" t="s">
        <v>3473</v>
      </c>
      <c r="P264" s="241" t="s">
        <v>226</v>
      </c>
      <c r="Q264" s="241"/>
      <c r="R264" s="147"/>
      <c r="S264" s="236"/>
      <c r="T264" s="391" t="s">
        <v>1617</v>
      </c>
      <c r="U264" s="391" t="s">
        <v>613</v>
      </c>
      <c r="W264" s="44"/>
      <c r="X264" s="44"/>
      <c r="Z264" s="44"/>
      <c r="AA264" s="115"/>
      <c r="AB264" s="115"/>
      <c r="AC264" s="379"/>
      <c r="AD264" s="68"/>
      <c r="AE264" s="115"/>
      <c r="AF264" s="115"/>
      <c r="AG264" s="115"/>
      <c r="AH264" s="115"/>
      <c r="AI264" s="115"/>
      <c r="AJ264" s="115"/>
      <c r="AK264" s="115"/>
    </row>
    <row r="265" spans="2:37" ht="10.5" customHeight="1">
      <c r="B265" s="236"/>
      <c r="C265" s="309" t="s">
        <v>1855</v>
      </c>
      <c r="D265" s="352"/>
      <c r="E265" s="236"/>
      <c r="F265" s="408"/>
      <c r="G265" s="769" t="s">
        <v>1734</v>
      </c>
      <c r="H265" s="769" t="s">
        <v>1136</v>
      </c>
      <c r="I265" s="773" t="s">
        <v>716</v>
      </c>
      <c r="J265" s="773" t="s">
        <v>2394</v>
      </c>
      <c r="K265" s="771" t="s">
        <v>649</v>
      </c>
      <c r="L265" s="772" t="s">
        <v>398</v>
      </c>
      <c r="M265" s="1850" t="s">
        <v>2385</v>
      </c>
      <c r="N265" s="772" t="s">
        <v>1130</v>
      </c>
      <c r="O265" s="977" t="s">
        <v>3474</v>
      </c>
      <c r="P265" s="241" t="s">
        <v>228</v>
      </c>
      <c r="Q265" s="241"/>
      <c r="R265" s="147"/>
      <c r="S265" s="236"/>
      <c r="T265" s="391" t="s">
        <v>1619</v>
      </c>
      <c r="U265" s="391" t="s">
        <v>685</v>
      </c>
      <c r="W265" s="44"/>
      <c r="X265" s="44"/>
      <c r="Z265" s="44"/>
      <c r="AA265" s="115"/>
      <c r="AB265" s="115"/>
      <c r="AC265" s="379"/>
      <c r="AD265" s="68"/>
      <c r="AE265" s="115"/>
      <c r="AF265" s="115"/>
      <c r="AG265" s="115"/>
      <c r="AH265" s="115"/>
      <c r="AI265" s="115"/>
      <c r="AJ265" s="115"/>
      <c r="AK265" s="115"/>
    </row>
    <row r="266" spans="2:37" ht="10.5" customHeight="1">
      <c r="B266" s="236"/>
      <c r="C266" s="309" t="s">
        <v>1575</v>
      </c>
      <c r="D266" s="352"/>
      <c r="E266" s="236"/>
      <c r="F266" s="408"/>
      <c r="G266" s="769" t="s">
        <v>1522</v>
      </c>
      <c r="H266" s="769" t="s">
        <v>1136</v>
      </c>
      <c r="I266" s="770" t="s">
        <v>1523</v>
      </c>
      <c r="J266" s="770" t="s">
        <v>2393</v>
      </c>
      <c r="K266" s="771" t="s">
        <v>650</v>
      </c>
      <c r="L266" s="772" t="s">
        <v>397</v>
      </c>
      <c r="M266" s="1850" t="s">
        <v>2385</v>
      </c>
      <c r="N266" s="772" t="s">
        <v>1652</v>
      </c>
      <c r="O266" s="977" t="s">
        <v>3475</v>
      </c>
      <c r="P266" s="241" t="s">
        <v>1185</v>
      </c>
      <c r="Q266" s="241"/>
      <c r="R266" s="147"/>
      <c r="S266" s="236"/>
      <c r="T266" s="391" t="s">
        <v>957</v>
      </c>
      <c r="U266" s="391" t="s">
        <v>1234</v>
      </c>
      <c r="W266" s="44"/>
      <c r="X266" s="44"/>
      <c r="Z266" s="44"/>
      <c r="AA266" s="115"/>
      <c r="AB266" s="115"/>
      <c r="AC266" s="379"/>
      <c r="AD266" s="68"/>
      <c r="AE266" s="115"/>
      <c r="AF266" s="115"/>
      <c r="AG266" s="115"/>
      <c r="AH266" s="115"/>
      <c r="AI266" s="115"/>
      <c r="AJ266" s="115"/>
      <c r="AK266" s="115"/>
    </row>
    <row r="267" spans="2:37" ht="10.5" customHeight="1">
      <c r="B267" s="236"/>
      <c r="C267" s="310" t="s">
        <v>97</v>
      </c>
      <c r="D267" s="352"/>
      <c r="E267" s="236"/>
      <c r="F267" s="408"/>
      <c r="G267" s="769" t="s">
        <v>1524</v>
      </c>
      <c r="H267" s="769" t="s">
        <v>1136</v>
      </c>
      <c r="I267" s="770" t="s">
        <v>1525</v>
      </c>
      <c r="J267" s="770" t="s">
        <v>2393</v>
      </c>
      <c r="K267" s="771" t="s">
        <v>651</v>
      </c>
      <c r="L267" s="772" t="s">
        <v>397</v>
      </c>
      <c r="M267" s="1850" t="s">
        <v>2385</v>
      </c>
      <c r="N267" s="772" t="s">
        <v>1652</v>
      </c>
      <c r="O267" s="977" t="s">
        <v>3476</v>
      </c>
      <c r="P267" s="241" t="s">
        <v>1902</v>
      </c>
      <c r="Q267" s="241"/>
      <c r="R267" s="147"/>
      <c r="S267" s="236"/>
      <c r="T267" s="391" t="s">
        <v>960</v>
      </c>
      <c r="U267" s="391" t="s">
        <v>611</v>
      </c>
      <c r="W267" s="44"/>
      <c r="X267" s="44"/>
      <c r="Z267" s="44"/>
      <c r="AA267" s="115"/>
      <c r="AB267" s="115"/>
      <c r="AC267" s="379"/>
      <c r="AD267" s="68"/>
      <c r="AE267" s="115"/>
      <c r="AF267" s="115"/>
      <c r="AG267" s="115"/>
      <c r="AH267" s="115"/>
      <c r="AI267" s="115"/>
      <c r="AJ267" s="115"/>
      <c r="AK267" s="115"/>
    </row>
    <row r="268" spans="2:37" ht="10.5" customHeight="1">
      <c r="B268" s="236"/>
      <c r="C268" s="309" t="s">
        <v>1588</v>
      </c>
      <c r="D268" s="352"/>
      <c r="E268" s="236"/>
      <c r="F268" s="408"/>
      <c r="G268" s="769" t="s">
        <v>1526</v>
      </c>
      <c r="H268" s="769" t="s">
        <v>1231</v>
      </c>
      <c r="I268" s="773" t="s">
        <v>1886</v>
      </c>
      <c r="J268" s="773" t="s">
        <v>2394</v>
      </c>
      <c r="K268" s="771" t="s">
        <v>652</v>
      </c>
      <c r="L268" s="772" t="s">
        <v>398</v>
      </c>
      <c r="M268" s="1850" t="s">
        <v>2385</v>
      </c>
      <c r="N268" s="772" t="s">
        <v>1130</v>
      </c>
      <c r="O268" s="977" t="s">
        <v>3477</v>
      </c>
      <c r="P268" s="241" t="s">
        <v>1904</v>
      </c>
      <c r="Q268" s="241"/>
      <c r="R268" s="147"/>
      <c r="S268" s="236"/>
      <c r="T268" s="391" t="s">
        <v>227</v>
      </c>
      <c r="U268" s="391" t="s">
        <v>2320</v>
      </c>
      <c r="W268" s="44"/>
      <c r="X268" s="44"/>
      <c r="Z268" s="44"/>
      <c r="AA268" s="115"/>
      <c r="AB268" s="115"/>
      <c r="AC268" s="379"/>
      <c r="AD268" s="68"/>
      <c r="AE268" s="115"/>
      <c r="AF268" s="115"/>
      <c r="AG268" s="115"/>
      <c r="AH268" s="115"/>
      <c r="AI268" s="115"/>
      <c r="AJ268" s="115"/>
      <c r="AK268" s="115"/>
    </row>
    <row r="269" spans="2:37" ht="10.5" customHeight="1">
      <c r="B269" s="236"/>
      <c r="C269" s="309" t="s">
        <v>99</v>
      </c>
      <c r="D269" s="352"/>
      <c r="F269" s="408"/>
      <c r="G269" s="769" t="s">
        <v>177</v>
      </c>
      <c r="H269" s="769" t="s">
        <v>1136</v>
      </c>
      <c r="I269" s="770" t="s">
        <v>178</v>
      </c>
      <c r="J269" s="770" t="s">
        <v>2393</v>
      </c>
      <c r="K269" s="771" t="s">
        <v>653</v>
      </c>
      <c r="L269" s="772" t="s">
        <v>397</v>
      </c>
      <c r="M269" s="1850" t="s">
        <v>2385</v>
      </c>
      <c r="N269" s="772" t="s">
        <v>1246</v>
      </c>
      <c r="O269" s="977" t="s">
        <v>3478</v>
      </c>
      <c r="P269" s="241" t="s">
        <v>1906</v>
      </c>
      <c r="Q269" s="241"/>
      <c r="R269" s="147"/>
      <c r="S269" s="236"/>
      <c r="T269" s="236" t="s">
        <v>2521</v>
      </c>
      <c r="U269" s="236" t="s">
        <v>815</v>
      </c>
      <c r="W269" s="44"/>
      <c r="X269" s="44"/>
      <c r="Z269" s="44"/>
      <c r="AA269" s="115"/>
      <c r="AB269" s="115"/>
      <c r="AC269" s="379"/>
      <c r="AD269" s="68"/>
      <c r="AE269" s="115"/>
      <c r="AF269" s="115"/>
      <c r="AG269" s="115"/>
      <c r="AH269" s="115"/>
      <c r="AI269" s="115"/>
      <c r="AJ269" s="115"/>
      <c r="AK269" s="115"/>
    </row>
    <row r="270" spans="2:37" ht="10.5" customHeight="1">
      <c r="B270" s="236"/>
      <c r="C270" s="309" t="s">
        <v>101</v>
      </c>
      <c r="D270" s="352"/>
      <c r="F270" s="408"/>
      <c r="G270" s="769" t="s">
        <v>2371</v>
      </c>
      <c r="H270" s="769" t="s">
        <v>1231</v>
      </c>
      <c r="I270" s="773" t="s">
        <v>2372</v>
      </c>
      <c r="J270" s="770" t="s">
        <v>2394</v>
      </c>
      <c r="K270" s="771" t="s">
        <v>3145</v>
      </c>
      <c r="L270" s="772" t="s">
        <v>398</v>
      </c>
      <c r="M270" s="1850" t="s">
        <v>2385</v>
      </c>
      <c r="N270" s="772" t="s">
        <v>1130</v>
      </c>
      <c r="O270" s="977" t="s">
        <v>3479</v>
      </c>
      <c r="P270" s="241" t="s">
        <v>1908</v>
      </c>
      <c r="Q270" s="241"/>
      <c r="R270" s="147"/>
      <c r="S270" s="236"/>
      <c r="T270" s="391" t="s">
        <v>1630</v>
      </c>
      <c r="U270" s="391" t="s">
        <v>1031</v>
      </c>
      <c r="W270" s="44"/>
      <c r="X270" s="44"/>
      <c r="Z270" s="44"/>
      <c r="AA270" s="115"/>
      <c r="AB270" s="115"/>
      <c r="AC270" s="68"/>
      <c r="AD270" s="68"/>
      <c r="AE270" s="115"/>
      <c r="AF270" s="115"/>
      <c r="AG270" s="115"/>
      <c r="AH270" s="115"/>
      <c r="AI270" s="115"/>
      <c r="AJ270" s="115"/>
      <c r="AK270" s="115"/>
    </row>
    <row r="271" spans="2:37" ht="10.5" customHeight="1">
      <c r="B271" s="236"/>
      <c r="C271" s="309" t="s">
        <v>103</v>
      </c>
      <c r="D271" s="352"/>
      <c r="F271" s="408"/>
      <c r="G271" s="769" t="s">
        <v>2373</v>
      </c>
      <c r="H271" s="769" t="s">
        <v>1231</v>
      </c>
      <c r="I271" s="770" t="s">
        <v>2374</v>
      </c>
      <c r="J271" s="770" t="s">
        <v>2394</v>
      </c>
      <c r="K271" s="771" t="s">
        <v>1807</v>
      </c>
      <c r="L271" s="772" t="s">
        <v>398</v>
      </c>
      <c r="M271" s="1850" t="s">
        <v>2385</v>
      </c>
      <c r="N271" s="772" t="s">
        <v>1130</v>
      </c>
      <c r="O271" s="977" t="s">
        <v>3480</v>
      </c>
      <c r="P271" s="241" t="s">
        <v>1910</v>
      </c>
      <c r="Q271" s="241"/>
      <c r="R271" s="147"/>
      <c r="S271" s="236"/>
      <c r="T271" s="391" t="s">
        <v>1903</v>
      </c>
      <c r="U271" s="391" t="s">
        <v>307</v>
      </c>
      <c r="W271" s="44"/>
      <c r="X271" s="44"/>
      <c r="Z271" s="44"/>
      <c r="AA271" s="115"/>
      <c r="AB271" s="115"/>
      <c r="AC271" s="379"/>
      <c r="AD271" s="68"/>
      <c r="AE271" s="115"/>
      <c r="AF271" s="115"/>
      <c r="AG271" s="115"/>
      <c r="AH271" s="115"/>
      <c r="AI271" s="115"/>
      <c r="AJ271" s="115"/>
      <c r="AK271" s="115"/>
    </row>
    <row r="272" spans="2:37" ht="10.5" customHeight="1">
      <c r="B272" s="236"/>
      <c r="C272" s="309" t="s">
        <v>105</v>
      </c>
      <c r="D272" s="352"/>
      <c r="F272" s="408"/>
      <c r="G272" s="769" t="s">
        <v>2375</v>
      </c>
      <c r="H272" s="769" t="s">
        <v>1664</v>
      </c>
      <c r="I272" s="773" t="s">
        <v>154</v>
      </c>
      <c r="J272" s="773" t="s">
        <v>2394</v>
      </c>
      <c r="K272" s="771" t="s">
        <v>4611</v>
      </c>
      <c r="L272" s="772" t="s">
        <v>398</v>
      </c>
      <c r="M272" s="1850" t="s">
        <v>1121</v>
      </c>
      <c r="N272" s="772" t="s">
        <v>154</v>
      </c>
      <c r="O272" s="977" t="s">
        <v>3481</v>
      </c>
      <c r="P272" s="241" t="s">
        <v>1912</v>
      </c>
      <c r="Q272" s="241"/>
      <c r="R272" s="147"/>
      <c r="S272" s="236"/>
      <c r="T272" s="391" t="s">
        <v>1905</v>
      </c>
      <c r="U272" s="391" t="s">
        <v>305</v>
      </c>
      <c r="W272" s="44"/>
      <c r="X272" s="44"/>
      <c r="Z272" s="44"/>
      <c r="AA272" s="115"/>
      <c r="AB272" s="115"/>
      <c r="AC272" s="379"/>
      <c r="AD272" s="68"/>
      <c r="AE272" s="115"/>
      <c r="AF272" s="115"/>
      <c r="AG272" s="115"/>
      <c r="AH272" s="115"/>
      <c r="AI272" s="115"/>
      <c r="AJ272" s="115"/>
      <c r="AK272" s="115"/>
    </row>
    <row r="273" spans="2:37" ht="10.5" customHeight="1">
      <c r="B273" s="236"/>
      <c r="C273" s="309" t="s">
        <v>107</v>
      </c>
      <c r="D273" s="352"/>
      <c r="F273" s="408"/>
      <c r="G273" s="769" t="s">
        <v>2376</v>
      </c>
      <c r="H273" s="769" t="s">
        <v>1231</v>
      </c>
      <c r="I273" s="773" t="s">
        <v>711</v>
      </c>
      <c r="J273" s="773" t="s">
        <v>2394</v>
      </c>
      <c r="K273" s="771" t="s">
        <v>4608</v>
      </c>
      <c r="L273" s="772" t="s">
        <v>398</v>
      </c>
      <c r="M273" s="1850" t="s">
        <v>1121</v>
      </c>
      <c r="N273" s="772" t="s">
        <v>1130</v>
      </c>
      <c r="O273" s="977" t="s">
        <v>3482</v>
      </c>
      <c r="P273" s="241" t="s">
        <v>628</v>
      </c>
      <c r="Q273" s="241"/>
      <c r="R273" s="147"/>
      <c r="S273" s="236"/>
      <c r="T273" s="391" t="s">
        <v>1907</v>
      </c>
      <c r="U273" s="391" t="s">
        <v>584</v>
      </c>
      <c r="W273" s="44"/>
      <c r="X273" s="44"/>
      <c r="Z273" s="44"/>
      <c r="AA273" s="115"/>
      <c r="AB273" s="115"/>
      <c r="AC273" s="379"/>
      <c r="AD273" s="68"/>
      <c r="AE273" s="115"/>
      <c r="AF273" s="115"/>
      <c r="AG273" s="115"/>
      <c r="AH273" s="115"/>
      <c r="AI273" s="115"/>
      <c r="AJ273" s="115"/>
      <c r="AK273" s="115"/>
    </row>
    <row r="274" spans="2:37" ht="10.5" customHeight="1">
      <c r="B274" s="236"/>
      <c r="C274" s="309" t="s">
        <v>109</v>
      </c>
      <c r="D274" s="352"/>
      <c r="F274" s="408"/>
      <c r="G274" s="769" t="s">
        <v>2377</v>
      </c>
      <c r="H274" s="769" t="s">
        <v>1231</v>
      </c>
      <c r="I274" s="770" t="s">
        <v>1887</v>
      </c>
      <c r="J274" s="770" t="s">
        <v>2394</v>
      </c>
      <c r="K274" s="771" t="s">
        <v>576</v>
      </c>
      <c r="L274" s="772" t="s">
        <v>398</v>
      </c>
      <c r="M274" s="1850" t="s">
        <v>2385</v>
      </c>
      <c r="N274" s="772" t="s">
        <v>159</v>
      </c>
      <c r="O274" s="977" t="s">
        <v>3483</v>
      </c>
      <c r="P274" s="241" t="s">
        <v>2141</v>
      </c>
      <c r="Q274" s="241"/>
      <c r="R274" s="147"/>
      <c r="S274" s="236"/>
      <c r="T274" s="391" t="s">
        <v>1909</v>
      </c>
      <c r="U274" s="391" t="s">
        <v>2373</v>
      </c>
      <c r="W274" s="44"/>
      <c r="X274" s="44"/>
      <c r="Z274" s="44"/>
      <c r="AA274" s="115"/>
      <c r="AB274" s="115"/>
      <c r="AC274" s="379"/>
      <c r="AD274" s="68"/>
      <c r="AE274" s="115"/>
      <c r="AF274" s="115"/>
      <c r="AG274" s="115"/>
      <c r="AH274" s="115"/>
      <c r="AI274" s="115"/>
      <c r="AJ274" s="115"/>
      <c r="AK274" s="115"/>
    </row>
    <row r="275" spans="2:37" ht="10.5" customHeight="1">
      <c r="B275" s="236"/>
      <c r="C275" s="309" t="s">
        <v>2200</v>
      </c>
      <c r="D275" s="352"/>
      <c r="F275" s="408"/>
      <c r="G275" s="769" t="s">
        <v>2378</v>
      </c>
      <c r="H275" s="769" t="s">
        <v>1231</v>
      </c>
      <c r="I275" s="770" t="s">
        <v>1887</v>
      </c>
      <c r="J275" s="770" t="s">
        <v>2394</v>
      </c>
      <c r="K275" s="771" t="s">
        <v>576</v>
      </c>
      <c r="L275" s="772" t="s">
        <v>398</v>
      </c>
      <c r="M275" s="1850" t="s">
        <v>2385</v>
      </c>
      <c r="N275" s="772" t="s">
        <v>159</v>
      </c>
      <c r="O275" s="977" t="s">
        <v>3484</v>
      </c>
      <c r="P275" s="241" t="s">
        <v>2142</v>
      </c>
      <c r="Q275" s="241"/>
      <c r="R275" s="147"/>
      <c r="S275" s="236"/>
      <c r="T275" s="391" t="s">
        <v>3654</v>
      </c>
      <c r="U275" s="391" t="s">
        <v>1131</v>
      </c>
      <c r="W275" s="44"/>
      <c r="X275" s="44"/>
      <c r="Z275" s="44"/>
      <c r="AA275" s="115"/>
      <c r="AB275" s="115"/>
      <c r="AC275" s="379"/>
      <c r="AD275" s="68"/>
      <c r="AE275" s="115"/>
      <c r="AF275" s="115"/>
      <c r="AG275" s="115"/>
      <c r="AH275" s="115"/>
      <c r="AI275" s="115"/>
      <c r="AJ275" s="115"/>
      <c r="AK275" s="115"/>
    </row>
    <row r="276" spans="2:37" ht="10.5" customHeight="1">
      <c r="B276" s="236"/>
      <c r="C276" s="309" t="s">
        <v>2202</v>
      </c>
      <c r="D276" s="352"/>
      <c r="F276" s="408"/>
      <c r="G276" s="769" t="s">
        <v>2379</v>
      </c>
      <c r="H276" s="769" t="s">
        <v>1231</v>
      </c>
      <c r="I276" s="773" t="s">
        <v>711</v>
      </c>
      <c r="J276" s="773" t="s">
        <v>2394</v>
      </c>
      <c r="K276" s="771" t="s">
        <v>4608</v>
      </c>
      <c r="L276" s="772" t="s">
        <v>398</v>
      </c>
      <c r="M276" s="1850" t="s">
        <v>1121</v>
      </c>
      <c r="N276" s="772" t="s">
        <v>1130</v>
      </c>
      <c r="O276" s="977" t="s">
        <v>3485</v>
      </c>
      <c r="P276" s="241" t="s">
        <v>1171</v>
      </c>
      <c r="Q276" s="241"/>
      <c r="R276" s="147"/>
      <c r="S276" s="236"/>
      <c r="T276" s="391" t="s">
        <v>2355</v>
      </c>
      <c r="U276" s="391" t="s">
        <v>1856</v>
      </c>
      <c r="W276" s="44"/>
      <c r="X276" s="44"/>
      <c r="Z276" s="44"/>
      <c r="AA276" s="115"/>
      <c r="AB276" s="115"/>
      <c r="AC276" s="379"/>
      <c r="AD276" s="68"/>
      <c r="AE276" s="115"/>
      <c r="AF276" s="115"/>
      <c r="AG276" s="115"/>
      <c r="AH276" s="115"/>
      <c r="AI276" s="115"/>
      <c r="AJ276" s="115"/>
      <c r="AK276" s="115"/>
    </row>
    <row r="277" spans="2:37" ht="10.5" customHeight="1">
      <c r="B277" s="236"/>
      <c r="C277" s="309" t="s">
        <v>2204</v>
      </c>
      <c r="D277" s="352"/>
      <c r="F277" s="408"/>
      <c r="G277" s="769" t="s">
        <v>1025</v>
      </c>
      <c r="H277" s="769" t="s">
        <v>1231</v>
      </c>
      <c r="I277" s="773" t="s">
        <v>1026</v>
      </c>
      <c r="J277" s="773" t="s">
        <v>2394</v>
      </c>
      <c r="K277" s="771" t="s">
        <v>4614</v>
      </c>
      <c r="L277" s="772" t="s">
        <v>398</v>
      </c>
      <c r="M277" s="1850" t="s">
        <v>2385</v>
      </c>
      <c r="N277" s="772" t="s">
        <v>1240</v>
      </c>
      <c r="O277" s="977" t="s">
        <v>3486</v>
      </c>
      <c r="P277" s="241" t="s">
        <v>1173</v>
      </c>
      <c r="Q277" s="241"/>
      <c r="R277" s="147"/>
      <c r="S277" s="236"/>
      <c r="T277" s="391" t="s">
        <v>1911</v>
      </c>
      <c r="U277" s="391" t="s">
        <v>192</v>
      </c>
      <c r="W277" s="44"/>
      <c r="X277" s="44"/>
      <c r="Z277" s="44"/>
      <c r="AA277" s="115"/>
      <c r="AB277" s="115"/>
      <c r="AC277" s="379"/>
      <c r="AD277" s="68"/>
      <c r="AE277" s="115"/>
      <c r="AF277" s="115"/>
      <c r="AG277" s="115"/>
      <c r="AH277" s="115"/>
      <c r="AI277" s="115"/>
      <c r="AJ277" s="115"/>
      <c r="AK277" s="115"/>
    </row>
    <row r="278" spans="2:37" ht="10.5" customHeight="1">
      <c r="F278" s="408"/>
      <c r="G278" s="769" t="s">
        <v>1027</v>
      </c>
      <c r="H278" s="769" t="s">
        <v>1231</v>
      </c>
      <c r="I278" s="773" t="s">
        <v>711</v>
      </c>
      <c r="J278" s="773" t="s">
        <v>2394</v>
      </c>
      <c r="K278" s="771" t="s">
        <v>4608</v>
      </c>
      <c r="L278" s="772" t="s">
        <v>398</v>
      </c>
      <c r="M278" s="1850" t="s">
        <v>1121</v>
      </c>
      <c r="N278" s="772" t="s">
        <v>1130</v>
      </c>
      <c r="O278" s="977" t="s">
        <v>3487</v>
      </c>
      <c r="P278" s="241" t="s">
        <v>1175</v>
      </c>
      <c r="Q278" s="241"/>
      <c r="R278" s="147"/>
      <c r="S278" s="236"/>
      <c r="T278" s="391" t="s">
        <v>2522</v>
      </c>
      <c r="U278" s="391" t="s">
        <v>615</v>
      </c>
      <c r="W278" s="44"/>
      <c r="X278" s="44"/>
      <c r="Z278" s="115"/>
      <c r="AA278" s="115"/>
      <c r="AB278" s="115"/>
      <c r="AC278" s="379"/>
      <c r="AD278" s="68"/>
      <c r="AE278" s="115"/>
      <c r="AF278" s="115"/>
      <c r="AG278" s="115"/>
      <c r="AH278" s="115"/>
      <c r="AI278" s="115"/>
      <c r="AJ278" s="115"/>
      <c r="AK278" s="115"/>
    </row>
    <row r="279" spans="2:37" ht="10.5" customHeight="1">
      <c r="F279" s="408"/>
      <c r="G279" s="769" t="s">
        <v>1028</v>
      </c>
      <c r="H279" s="769" t="s">
        <v>1136</v>
      </c>
      <c r="I279" s="770" t="s">
        <v>1029</v>
      </c>
      <c r="J279" s="770" t="s">
        <v>2393</v>
      </c>
      <c r="K279" s="771" t="s">
        <v>1808</v>
      </c>
      <c r="L279" s="772" t="s">
        <v>397</v>
      </c>
      <c r="M279" s="1850" t="s">
        <v>2385</v>
      </c>
      <c r="N279" s="772" t="s">
        <v>1575</v>
      </c>
      <c r="O279" s="977" t="s">
        <v>3488</v>
      </c>
      <c r="P279" s="241" t="s">
        <v>1176</v>
      </c>
      <c r="Q279" s="241"/>
      <c r="R279" s="147"/>
      <c r="S279" s="236"/>
      <c r="T279" s="391" t="s">
        <v>1913</v>
      </c>
      <c r="U279" s="391" t="s">
        <v>192</v>
      </c>
      <c r="W279" s="44"/>
      <c r="X279" s="44"/>
      <c r="Z279" s="115"/>
      <c r="AA279" s="115"/>
      <c r="AB279" s="115"/>
      <c r="AC279" s="379"/>
      <c r="AD279" s="68"/>
      <c r="AE279" s="115"/>
      <c r="AF279" s="115"/>
      <c r="AG279" s="115"/>
      <c r="AH279" s="115"/>
      <c r="AI279" s="115"/>
      <c r="AJ279" s="115"/>
      <c r="AK279" s="115"/>
    </row>
    <row r="280" spans="2:37" ht="10.5" customHeight="1">
      <c r="F280" s="408"/>
      <c r="G280" s="769" t="s">
        <v>1030</v>
      </c>
      <c r="H280" s="769" t="s">
        <v>1136</v>
      </c>
      <c r="I280" s="773" t="s">
        <v>711</v>
      </c>
      <c r="J280" s="773" t="s">
        <v>2394</v>
      </c>
      <c r="K280" s="771" t="s">
        <v>4608</v>
      </c>
      <c r="L280" s="772" t="s">
        <v>398</v>
      </c>
      <c r="M280" s="1850" t="s">
        <v>1121</v>
      </c>
      <c r="N280" s="772" t="s">
        <v>1130</v>
      </c>
      <c r="O280" s="977" t="s">
        <v>3489</v>
      </c>
      <c r="P280" s="241" t="s">
        <v>1178</v>
      </c>
      <c r="Q280" s="241"/>
      <c r="R280" s="147"/>
      <c r="S280" s="236"/>
      <c r="T280" s="391" t="s">
        <v>629</v>
      </c>
      <c r="U280" s="391" t="s">
        <v>1856</v>
      </c>
      <c r="W280" s="44"/>
      <c r="X280" s="44"/>
      <c r="Z280" s="115"/>
      <c r="AA280" s="115"/>
      <c r="AB280" s="115"/>
      <c r="AC280" s="379"/>
      <c r="AD280" s="68"/>
      <c r="AE280" s="115"/>
      <c r="AF280" s="115"/>
      <c r="AG280" s="115"/>
      <c r="AH280" s="115"/>
      <c r="AI280" s="115"/>
      <c r="AJ280" s="115"/>
      <c r="AK280" s="115"/>
    </row>
    <row r="281" spans="2:37" ht="10.5" customHeight="1">
      <c r="F281" s="408"/>
      <c r="G281" s="769" t="s">
        <v>1031</v>
      </c>
      <c r="H281" s="769" t="s">
        <v>1231</v>
      </c>
      <c r="I281" s="770" t="s">
        <v>1032</v>
      </c>
      <c r="J281" s="770" t="s">
        <v>2393</v>
      </c>
      <c r="K281" s="771" t="s">
        <v>1809</v>
      </c>
      <c r="L281" s="772" t="s">
        <v>397</v>
      </c>
      <c r="M281" s="1850" t="s">
        <v>2385</v>
      </c>
      <c r="N281" s="772" t="s">
        <v>1130</v>
      </c>
      <c r="O281" s="977" t="s">
        <v>3490</v>
      </c>
      <c r="P281" s="241" t="s">
        <v>2290</v>
      </c>
      <c r="Q281" s="241"/>
      <c r="R281" s="147"/>
      <c r="S281" s="236"/>
      <c r="T281" s="391" t="s">
        <v>2143</v>
      </c>
      <c r="U281" s="391" t="s">
        <v>116</v>
      </c>
      <c r="W281" s="44"/>
      <c r="X281" s="44"/>
      <c r="Z281" s="115"/>
      <c r="AA281" s="115"/>
      <c r="AB281" s="115"/>
      <c r="AC281" s="379"/>
      <c r="AD281" s="68"/>
      <c r="AE281" s="115"/>
      <c r="AF281" s="115"/>
      <c r="AG281" s="115"/>
      <c r="AH281" s="115"/>
      <c r="AI281" s="115"/>
      <c r="AJ281" s="115"/>
      <c r="AK281" s="115"/>
    </row>
    <row r="282" spans="2:37" ht="10.5" customHeight="1">
      <c r="F282" s="408"/>
      <c r="G282" s="769" t="s">
        <v>1033</v>
      </c>
      <c r="H282" s="769" t="s">
        <v>1136</v>
      </c>
      <c r="I282" s="773" t="s">
        <v>1034</v>
      </c>
      <c r="J282" s="773" t="s">
        <v>2394</v>
      </c>
      <c r="K282" s="771" t="s">
        <v>1810</v>
      </c>
      <c r="L282" s="772" t="s">
        <v>398</v>
      </c>
      <c r="M282" s="1850" t="s">
        <v>2385</v>
      </c>
      <c r="N282" s="772" t="s">
        <v>1240</v>
      </c>
      <c r="O282" s="977" t="s">
        <v>3491</v>
      </c>
      <c r="P282" s="241" t="s">
        <v>77</v>
      </c>
      <c r="Q282" s="241"/>
      <c r="R282" s="147"/>
      <c r="S282" s="236"/>
      <c r="T282" s="391" t="s">
        <v>1172</v>
      </c>
      <c r="U282" s="391" t="s">
        <v>584</v>
      </c>
      <c r="W282" s="44"/>
      <c r="X282" s="44"/>
      <c r="Z282" s="115"/>
      <c r="AA282" s="115"/>
      <c r="AB282" s="115"/>
      <c r="AC282" s="379"/>
      <c r="AD282" s="68"/>
      <c r="AE282" s="115"/>
      <c r="AF282" s="115"/>
      <c r="AG282" s="115"/>
      <c r="AH282" s="115"/>
      <c r="AI282" s="115"/>
      <c r="AJ282" s="115"/>
      <c r="AK282" s="115"/>
    </row>
    <row r="283" spans="2:37" ht="10.5" customHeight="1">
      <c r="F283" s="408"/>
      <c r="G283" s="769" t="s">
        <v>1035</v>
      </c>
      <c r="H283" s="769" t="s">
        <v>1231</v>
      </c>
      <c r="I283" s="773" t="s">
        <v>1036</v>
      </c>
      <c r="J283" s="773" t="s">
        <v>2393</v>
      </c>
      <c r="K283" s="771" t="s">
        <v>1811</v>
      </c>
      <c r="L283" s="772" t="s">
        <v>397</v>
      </c>
      <c r="M283" s="1850" t="s">
        <v>2385</v>
      </c>
      <c r="N283" s="772" t="s">
        <v>1130</v>
      </c>
      <c r="O283" s="977" t="s">
        <v>3492</v>
      </c>
      <c r="P283" s="241" t="s">
        <v>78</v>
      </c>
      <c r="Q283" s="241"/>
      <c r="R283" s="147"/>
      <c r="S283" s="236"/>
      <c r="T283" s="391" t="s">
        <v>1174</v>
      </c>
      <c r="U283" s="391" t="s">
        <v>2069</v>
      </c>
      <c r="W283" s="44"/>
      <c r="X283" s="44"/>
      <c r="Z283" s="115"/>
      <c r="AA283" s="115"/>
      <c r="AB283" s="115"/>
      <c r="AC283" s="379"/>
      <c r="AD283" s="68"/>
      <c r="AE283" s="115"/>
      <c r="AF283" s="115"/>
      <c r="AG283" s="115"/>
      <c r="AH283" s="115"/>
      <c r="AI283" s="115"/>
      <c r="AJ283" s="115"/>
      <c r="AK283" s="115"/>
    </row>
    <row r="284" spans="2:37" ht="10.5" customHeight="1">
      <c r="F284" s="408"/>
      <c r="G284" s="769" t="s">
        <v>1037</v>
      </c>
      <c r="H284" s="769" t="s">
        <v>1136</v>
      </c>
      <c r="I284" s="770" t="s">
        <v>1038</v>
      </c>
      <c r="J284" s="770" t="s">
        <v>2393</v>
      </c>
      <c r="K284" s="771" t="s">
        <v>1654</v>
      </c>
      <c r="L284" s="772" t="s">
        <v>397</v>
      </c>
      <c r="M284" s="1850" t="s">
        <v>2385</v>
      </c>
      <c r="N284" s="772" t="s">
        <v>154</v>
      </c>
      <c r="O284" s="977" t="s">
        <v>3493</v>
      </c>
      <c r="P284" s="241" t="s">
        <v>79</v>
      </c>
      <c r="Q284" s="241"/>
      <c r="R284" s="147"/>
      <c r="S284" s="236"/>
      <c r="T284" s="391" t="s">
        <v>2280</v>
      </c>
      <c r="U284" s="391" t="s">
        <v>1039</v>
      </c>
      <c r="W284" s="44"/>
      <c r="X284" s="44"/>
      <c r="Z284" s="115"/>
      <c r="AA284" s="115"/>
      <c r="AB284" s="115"/>
      <c r="AC284" s="379"/>
      <c r="AD284" s="68"/>
      <c r="AE284" s="115"/>
      <c r="AF284" s="115"/>
      <c r="AG284" s="115"/>
      <c r="AH284" s="115"/>
      <c r="AI284" s="115"/>
      <c r="AJ284" s="115"/>
      <c r="AK284" s="115"/>
    </row>
    <row r="285" spans="2:37" ht="10.5" customHeight="1">
      <c r="F285" s="408"/>
      <c r="G285" s="769" t="s">
        <v>1039</v>
      </c>
      <c r="H285" s="769" t="s">
        <v>1231</v>
      </c>
      <c r="I285" s="770" t="s">
        <v>1040</v>
      </c>
      <c r="J285" s="770" t="s">
        <v>2393</v>
      </c>
      <c r="K285" s="771" t="s">
        <v>1655</v>
      </c>
      <c r="L285" s="772" t="s">
        <v>397</v>
      </c>
      <c r="M285" s="1850" t="s">
        <v>2385</v>
      </c>
      <c r="N285" s="772" t="s">
        <v>159</v>
      </c>
      <c r="O285" s="977" t="s">
        <v>3494</v>
      </c>
      <c r="P285" s="241" t="s">
        <v>81</v>
      </c>
      <c r="Q285" s="241"/>
      <c r="R285" s="147"/>
      <c r="S285" s="236"/>
      <c r="T285" s="391" t="s">
        <v>1177</v>
      </c>
      <c r="U285" s="391" t="s">
        <v>298</v>
      </c>
      <c r="W285" s="44"/>
      <c r="X285" s="44"/>
      <c r="Z285" s="115"/>
      <c r="AA285" s="115"/>
      <c r="AB285" s="115"/>
      <c r="AC285" s="379"/>
      <c r="AD285" s="68"/>
      <c r="AE285" s="115"/>
      <c r="AF285" s="115"/>
      <c r="AG285" s="115"/>
      <c r="AH285" s="115"/>
      <c r="AI285" s="115"/>
      <c r="AJ285" s="115"/>
      <c r="AK285" s="115"/>
    </row>
    <row r="286" spans="2:37" ht="10.5" customHeight="1">
      <c r="F286" s="408"/>
      <c r="G286" s="769" t="s">
        <v>1041</v>
      </c>
      <c r="H286" s="769" t="s">
        <v>1136</v>
      </c>
      <c r="I286" s="770" t="s">
        <v>1042</v>
      </c>
      <c r="J286" s="770" t="s">
        <v>2393</v>
      </c>
      <c r="K286" s="771" t="s">
        <v>1656</v>
      </c>
      <c r="L286" s="772" t="s">
        <v>397</v>
      </c>
      <c r="M286" s="1850" t="s">
        <v>2385</v>
      </c>
      <c r="N286" s="772" t="s">
        <v>1652</v>
      </c>
      <c r="O286" s="977" t="s">
        <v>3495</v>
      </c>
      <c r="P286" s="241" t="s">
        <v>1152</v>
      </c>
      <c r="Q286" s="241"/>
      <c r="R286" s="147"/>
      <c r="S286" s="236"/>
      <c r="T286" s="391" t="s">
        <v>2289</v>
      </c>
      <c r="U286" s="391" t="s">
        <v>108</v>
      </c>
      <c r="W286" s="44"/>
      <c r="X286" s="44"/>
      <c r="Z286" s="115"/>
      <c r="AA286" s="115"/>
      <c r="AB286" s="115"/>
      <c r="AC286" s="379"/>
      <c r="AD286" s="68"/>
      <c r="AE286" s="115"/>
      <c r="AF286" s="115"/>
      <c r="AG286" s="115"/>
      <c r="AH286" s="115"/>
      <c r="AI286" s="115"/>
      <c r="AJ286" s="115"/>
      <c r="AK286" s="115"/>
    </row>
    <row r="287" spans="2:37" ht="10.5" customHeight="1">
      <c r="F287" s="408"/>
      <c r="G287" s="769" t="s">
        <v>1043</v>
      </c>
      <c r="H287" s="769" t="s">
        <v>1664</v>
      </c>
      <c r="I287" s="773" t="s">
        <v>712</v>
      </c>
      <c r="J287" s="773" t="s">
        <v>2394</v>
      </c>
      <c r="K287" s="771" t="s">
        <v>4610</v>
      </c>
      <c r="L287" s="772" t="s">
        <v>398</v>
      </c>
      <c r="M287" s="1850" t="s">
        <v>1121</v>
      </c>
      <c r="N287" s="772" t="s">
        <v>1250</v>
      </c>
      <c r="O287" s="977" t="s">
        <v>3496</v>
      </c>
      <c r="P287" s="241" t="s">
        <v>1154</v>
      </c>
      <c r="Q287" s="241"/>
      <c r="R287" s="147"/>
      <c r="S287" s="236"/>
      <c r="T287" s="391" t="s">
        <v>76</v>
      </c>
      <c r="U287" s="391" t="s">
        <v>189</v>
      </c>
      <c r="W287" s="44"/>
      <c r="X287" s="44"/>
      <c r="AA287"/>
      <c r="AB287"/>
      <c r="AC287" s="379"/>
      <c r="AD287" s="68"/>
    </row>
    <row r="288" spans="2:37" ht="10.5" customHeight="1">
      <c r="F288" s="408"/>
      <c r="G288" s="769" t="s">
        <v>1044</v>
      </c>
      <c r="H288" s="769" t="s">
        <v>1231</v>
      </c>
      <c r="I288" s="773" t="s">
        <v>711</v>
      </c>
      <c r="J288" s="773" t="s">
        <v>2394</v>
      </c>
      <c r="K288" s="771" t="s">
        <v>4608</v>
      </c>
      <c r="L288" s="772" t="s">
        <v>398</v>
      </c>
      <c r="M288" s="1850" t="s">
        <v>1121</v>
      </c>
      <c r="N288" s="772" t="s">
        <v>1130</v>
      </c>
      <c r="O288" s="977" t="s">
        <v>3497</v>
      </c>
      <c r="P288" s="241" t="s">
        <v>1156</v>
      </c>
      <c r="Q288" s="241"/>
      <c r="R288" s="147"/>
      <c r="S288" s="236"/>
      <c r="T288" s="391" t="s">
        <v>80</v>
      </c>
      <c r="U288" s="391" t="s">
        <v>2020</v>
      </c>
      <c r="W288" s="44"/>
      <c r="X288" s="44"/>
      <c r="AA288"/>
      <c r="AB288"/>
      <c r="AC288" s="379"/>
      <c r="AD288" s="68"/>
    </row>
    <row r="289" spans="6:30" ht="10.5" customHeight="1">
      <c r="F289" s="408"/>
      <c r="G289" s="769" t="s">
        <v>1045</v>
      </c>
      <c r="H289" s="769" t="s">
        <v>1136</v>
      </c>
      <c r="I289" s="770" t="s">
        <v>2004</v>
      </c>
      <c r="J289" s="770" t="s">
        <v>2393</v>
      </c>
      <c r="K289" s="771" t="s">
        <v>1657</v>
      </c>
      <c r="L289" s="772" t="s">
        <v>397</v>
      </c>
      <c r="M289" s="1850" t="s">
        <v>2385</v>
      </c>
      <c r="N289" s="772" t="s">
        <v>154</v>
      </c>
      <c r="O289" s="977" t="s">
        <v>3498</v>
      </c>
      <c r="P289" s="241" t="s">
        <v>1158</v>
      </c>
      <c r="Q289" s="241"/>
      <c r="R289" s="147"/>
      <c r="S289" s="236"/>
      <c r="T289" s="391" t="s">
        <v>82</v>
      </c>
      <c r="U289" s="391" t="s">
        <v>1241</v>
      </c>
      <c r="W289" s="44"/>
      <c r="X289" s="44"/>
      <c r="AA289"/>
      <c r="AB289"/>
      <c r="AC289" s="379"/>
      <c r="AD289" s="68"/>
    </row>
    <row r="290" spans="6:30" ht="10.5" customHeight="1">
      <c r="F290" s="408"/>
      <c r="G290" s="769" t="s">
        <v>2005</v>
      </c>
      <c r="H290" s="769" t="s">
        <v>1136</v>
      </c>
      <c r="I290" s="770" t="s">
        <v>2006</v>
      </c>
      <c r="J290" s="770" t="s">
        <v>2393</v>
      </c>
      <c r="K290" s="771" t="s">
        <v>1658</v>
      </c>
      <c r="L290" s="772" t="s">
        <v>397</v>
      </c>
      <c r="M290" s="1850" t="s">
        <v>2385</v>
      </c>
      <c r="N290" s="772" t="s">
        <v>1246</v>
      </c>
      <c r="O290" s="977" t="s">
        <v>3499</v>
      </c>
      <c r="P290" s="241" t="s">
        <v>1160</v>
      </c>
      <c r="Q290" s="241"/>
      <c r="R290" s="147"/>
      <c r="S290" s="236"/>
      <c r="T290" s="391" t="s">
        <v>1153</v>
      </c>
      <c r="U290" s="391" t="s">
        <v>1805</v>
      </c>
      <c r="W290" s="44"/>
      <c r="X290" s="44"/>
      <c r="AA290"/>
      <c r="AB290"/>
      <c r="AC290" s="379"/>
      <c r="AD290" s="68"/>
    </row>
    <row r="291" spans="6:30" ht="10.5" customHeight="1">
      <c r="F291" s="408"/>
      <c r="G291" s="769" t="s">
        <v>1501</v>
      </c>
      <c r="H291" s="769"/>
      <c r="I291" s="769" t="s">
        <v>1501</v>
      </c>
      <c r="J291" s="770"/>
      <c r="K291" s="771"/>
      <c r="L291" s="772"/>
      <c r="M291" s="1851" t="s">
        <v>1501</v>
      </c>
      <c r="N291" s="769" t="s">
        <v>1501</v>
      </c>
      <c r="O291" s="977" t="s">
        <v>3500</v>
      </c>
      <c r="P291" s="241" t="s">
        <v>1162</v>
      </c>
      <c r="Q291" s="241"/>
      <c r="R291" s="147"/>
      <c r="S291" s="236"/>
      <c r="T291" s="391" t="s">
        <v>1155</v>
      </c>
      <c r="U291" s="391" t="s">
        <v>172</v>
      </c>
      <c r="W291" s="44"/>
      <c r="X291" s="44"/>
      <c r="AA291"/>
      <c r="AB291"/>
      <c r="AC291" s="379"/>
      <c r="AD291" s="68"/>
    </row>
    <row r="292" spans="6:30" ht="10.5" customHeight="1">
      <c r="F292" s="408"/>
      <c r="G292" s="769" t="s">
        <v>2007</v>
      </c>
      <c r="H292" s="769" t="s">
        <v>1136</v>
      </c>
      <c r="I292" s="773" t="s">
        <v>2008</v>
      </c>
      <c r="J292" s="770" t="s">
        <v>2393</v>
      </c>
      <c r="K292" s="771" t="s">
        <v>429</v>
      </c>
      <c r="L292" s="772" t="s">
        <v>397</v>
      </c>
      <c r="M292" s="1850" t="s">
        <v>2385</v>
      </c>
      <c r="N292" s="772" t="s">
        <v>1652</v>
      </c>
      <c r="O292" s="977" t="s">
        <v>3501</v>
      </c>
      <c r="P292" s="241" t="s">
        <v>832</v>
      </c>
      <c r="Q292" s="241"/>
      <c r="R292" s="147"/>
      <c r="S292" s="236"/>
      <c r="T292" s="236" t="s">
        <v>1157</v>
      </c>
      <c r="U292" s="236" t="s">
        <v>1041</v>
      </c>
      <c r="W292" s="44"/>
      <c r="X292" s="44"/>
      <c r="AA292"/>
      <c r="AB292"/>
      <c r="AC292" s="379"/>
      <c r="AD292" s="68"/>
    </row>
    <row r="293" spans="6:30" ht="10.5" customHeight="1">
      <c r="F293" s="408"/>
      <c r="G293" s="769" t="s">
        <v>2009</v>
      </c>
      <c r="H293" s="769" t="s">
        <v>1231</v>
      </c>
      <c r="I293" s="773" t="s">
        <v>711</v>
      </c>
      <c r="J293" s="773" t="s">
        <v>2394</v>
      </c>
      <c r="K293" s="771" t="s">
        <v>4608</v>
      </c>
      <c r="L293" s="772" t="s">
        <v>398</v>
      </c>
      <c r="M293" s="1850" t="s">
        <v>1121</v>
      </c>
      <c r="N293" s="772" t="s">
        <v>1130</v>
      </c>
      <c r="O293" s="977" t="s">
        <v>3502</v>
      </c>
      <c r="P293" s="241" t="s">
        <v>833</v>
      </c>
      <c r="Q293" s="241"/>
      <c r="R293" s="147"/>
      <c r="S293" s="236"/>
      <c r="T293" s="391" t="s">
        <v>1159</v>
      </c>
      <c r="U293" s="391" t="s">
        <v>1131</v>
      </c>
      <c r="W293" s="44"/>
      <c r="X293" s="44"/>
      <c r="AA293"/>
      <c r="AB293"/>
      <c r="AC293" s="68"/>
      <c r="AD293" s="68"/>
    </row>
    <row r="294" spans="6:30" ht="10.5" customHeight="1">
      <c r="F294" s="408"/>
      <c r="G294" s="769" t="s">
        <v>2010</v>
      </c>
      <c r="H294" s="769" t="s">
        <v>1231</v>
      </c>
      <c r="I294" s="773" t="s">
        <v>2011</v>
      </c>
      <c r="J294" s="773" t="s">
        <v>2393</v>
      </c>
      <c r="K294" s="771" t="s">
        <v>213</v>
      </c>
      <c r="L294" s="772" t="s">
        <v>397</v>
      </c>
      <c r="M294" s="1850" t="s">
        <v>2385</v>
      </c>
      <c r="N294" s="772" t="s">
        <v>159</v>
      </c>
      <c r="O294" s="977" t="s">
        <v>3503</v>
      </c>
      <c r="P294" s="241" t="s">
        <v>835</v>
      </c>
      <c r="Q294" s="241"/>
      <c r="R294" s="147"/>
      <c r="S294" s="236"/>
      <c r="T294" s="391" t="s">
        <v>1161</v>
      </c>
      <c r="U294" s="391" t="s">
        <v>2020</v>
      </c>
      <c r="W294" s="44"/>
      <c r="X294" s="44"/>
      <c r="AA294"/>
      <c r="AB294"/>
      <c r="AC294" s="379"/>
      <c r="AD294" s="68"/>
    </row>
    <row r="295" spans="6:30" ht="10.5" customHeight="1">
      <c r="F295" s="408"/>
      <c r="G295" s="769" t="s">
        <v>2012</v>
      </c>
      <c r="H295" s="769" t="s">
        <v>1136</v>
      </c>
      <c r="I295" s="770" t="s">
        <v>2013</v>
      </c>
      <c r="J295" s="773" t="s">
        <v>2394</v>
      </c>
      <c r="K295" s="771" t="s">
        <v>4615</v>
      </c>
      <c r="L295" s="772" t="s">
        <v>397</v>
      </c>
      <c r="M295" s="1850" t="s">
        <v>2385</v>
      </c>
      <c r="N295" s="772" t="s">
        <v>154</v>
      </c>
      <c r="O295" s="977" t="s">
        <v>3504</v>
      </c>
      <c r="P295" s="241" t="s">
        <v>837</v>
      </c>
      <c r="Q295" s="241"/>
      <c r="R295" s="147"/>
      <c r="S295" s="236"/>
      <c r="T295" s="391" t="s">
        <v>2286</v>
      </c>
      <c r="U295" s="391" t="s">
        <v>1522</v>
      </c>
      <c r="W295" s="44"/>
      <c r="X295" s="44"/>
      <c r="AA295"/>
      <c r="AB295"/>
      <c r="AC295" s="379"/>
      <c r="AD295" s="68"/>
    </row>
    <row r="296" spans="6:30" ht="10.5" customHeight="1">
      <c r="F296" s="408"/>
      <c r="G296" s="769" t="s">
        <v>2014</v>
      </c>
      <c r="H296" s="769" t="s">
        <v>1664</v>
      </c>
      <c r="I296" s="770" t="s">
        <v>2015</v>
      </c>
      <c r="J296" s="770" t="s">
        <v>2393</v>
      </c>
      <c r="K296" s="771" t="s">
        <v>1336</v>
      </c>
      <c r="L296" s="772" t="s">
        <v>397</v>
      </c>
      <c r="M296" s="1850" t="s">
        <v>2385</v>
      </c>
      <c r="N296" s="772" t="s">
        <v>1652</v>
      </c>
      <c r="O296" s="977" t="s">
        <v>3505</v>
      </c>
      <c r="P296" s="241" t="s">
        <v>1978</v>
      </c>
      <c r="Q296" s="241"/>
      <c r="R296" s="147"/>
      <c r="S296" s="236"/>
      <c r="T296" s="391" t="s">
        <v>154</v>
      </c>
      <c r="U296" s="391" t="s">
        <v>2375</v>
      </c>
      <c r="W296" s="44"/>
      <c r="X296" s="44"/>
      <c r="AA296"/>
      <c r="AB296"/>
      <c r="AC296" s="379"/>
      <c r="AD296" s="68"/>
    </row>
    <row r="297" spans="6:30" ht="10.5" customHeight="1">
      <c r="F297" s="408"/>
      <c r="G297" s="769" t="s">
        <v>2016</v>
      </c>
      <c r="H297" s="769" t="s">
        <v>1136</v>
      </c>
      <c r="I297" s="770" t="s">
        <v>2017</v>
      </c>
      <c r="J297" s="770" t="s">
        <v>2394</v>
      </c>
      <c r="K297" s="771" t="s">
        <v>4616</v>
      </c>
      <c r="L297" s="772" t="s">
        <v>397</v>
      </c>
      <c r="M297" s="1850" t="s">
        <v>2385</v>
      </c>
      <c r="N297" s="772" t="s">
        <v>154</v>
      </c>
      <c r="O297" s="977" t="s">
        <v>3506</v>
      </c>
      <c r="P297" s="241" t="s">
        <v>1979</v>
      </c>
      <c r="Q297" s="241"/>
      <c r="R297" s="147"/>
      <c r="S297" s="236"/>
      <c r="T297" s="391" t="s">
        <v>834</v>
      </c>
      <c r="U297" s="391" t="s">
        <v>172</v>
      </c>
      <c r="W297" s="44"/>
      <c r="X297" s="44"/>
      <c r="AA297"/>
      <c r="AB297"/>
      <c r="AC297" s="379"/>
      <c r="AD297" s="68"/>
    </row>
    <row r="298" spans="6:30" ht="10.5" customHeight="1">
      <c r="F298" s="408"/>
      <c r="G298" s="769" t="s">
        <v>2018</v>
      </c>
      <c r="H298" s="769" t="s">
        <v>1231</v>
      </c>
      <c r="I298" s="770" t="s">
        <v>2019</v>
      </c>
      <c r="J298" s="770" t="s">
        <v>2393</v>
      </c>
      <c r="K298" s="771" t="s">
        <v>1860</v>
      </c>
      <c r="L298" s="772" t="s">
        <v>397</v>
      </c>
      <c r="M298" s="1850" t="s">
        <v>2385</v>
      </c>
      <c r="N298" s="772" t="s">
        <v>159</v>
      </c>
      <c r="O298" s="977" t="s">
        <v>3507</v>
      </c>
      <c r="P298" s="241" t="s">
        <v>1898</v>
      </c>
      <c r="Q298" s="241"/>
      <c r="R298" s="147"/>
      <c r="S298" s="236"/>
      <c r="T298" s="236" t="s">
        <v>836</v>
      </c>
      <c r="U298" s="236" t="s">
        <v>310</v>
      </c>
      <c r="W298" s="44"/>
      <c r="X298" s="44"/>
      <c r="AA298"/>
      <c r="AB298"/>
      <c r="AC298" s="379"/>
      <c r="AD298" s="68"/>
    </row>
    <row r="299" spans="6:30" ht="10.5" customHeight="1">
      <c r="F299" s="408"/>
      <c r="G299" s="769" t="s">
        <v>2020</v>
      </c>
      <c r="H299" s="769" t="s">
        <v>1136</v>
      </c>
      <c r="I299" s="770" t="s">
        <v>2021</v>
      </c>
      <c r="J299" s="770" t="s">
        <v>2393</v>
      </c>
      <c r="K299" s="771" t="s">
        <v>1861</v>
      </c>
      <c r="L299" s="772" t="s">
        <v>397</v>
      </c>
      <c r="M299" s="1850" t="s">
        <v>2385</v>
      </c>
      <c r="N299" s="772" t="s">
        <v>1246</v>
      </c>
      <c r="O299" s="977" t="s">
        <v>3508</v>
      </c>
      <c r="P299" s="241" t="s">
        <v>1900</v>
      </c>
      <c r="Q299" s="241"/>
      <c r="R299" s="147"/>
      <c r="S299" s="236"/>
      <c r="T299" s="391" t="s">
        <v>838</v>
      </c>
      <c r="U299" s="391" t="s">
        <v>1030</v>
      </c>
      <c r="W299" s="44"/>
      <c r="X299" s="44"/>
      <c r="AA299"/>
      <c r="AB299"/>
      <c r="AC299" s="68"/>
      <c r="AD299" s="68"/>
    </row>
    <row r="300" spans="6:30" ht="10.5" customHeight="1">
      <c r="F300" s="408"/>
      <c r="G300" s="769" t="s">
        <v>2022</v>
      </c>
      <c r="H300" s="769" t="s">
        <v>1136</v>
      </c>
      <c r="I300" s="770" t="s">
        <v>811</v>
      </c>
      <c r="J300" s="770" t="s">
        <v>2393</v>
      </c>
      <c r="K300" s="771" t="s">
        <v>1862</v>
      </c>
      <c r="L300" s="772" t="s">
        <v>397</v>
      </c>
      <c r="M300" s="1850" t="s">
        <v>2385</v>
      </c>
      <c r="N300" s="772" t="s">
        <v>154</v>
      </c>
      <c r="O300" s="977" t="s">
        <v>3509</v>
      </c>
      <c r="P300" s="241" t="s">
        <v>554</v>
      </c>
      <c r="Q300" s="241"/>
      <c r="R300" s="147"/>
      <c r="S300" s="236"/>
      <c r="T300" s="391" t="s">
        <v>2356</v>
      </c>
      <c r="U300" s="391" t="s">
        <v>2280</v>
      </c>
      <c r="W300" s="44"/>
      <c r="X300" s="44"/>
      <c r="AA300"/>
      <c r="AB300"/>
      <c r="AC300" s="379"/>
      <c r="AD300" s="68"/>
    </row>
    <row r="301" spans="6:30" ht="10.5" customHeight="1">
      <c r="F301" s="408"/>
      <c r="G301" s="769" t="s">
        <v>812</v>
      </c>
      <c r="H301" s="769" t="s">
        <v>1136</v>
      </c>
      <c r="I301" s="770" t="s">
        <v>813</v>
      </c>
      <c r="J301" s="770" t="s">
        <v>2393</v>
      </c>
      <c r="K301" s="771" t="s">
        <v>1863</v>
      </c>
      <c r="L301" s="772" t="s">
        <v>397</v>
      </c>
      <c r="M301" s="1850" t="s">
        <v>2385</v>
      </c>
      <c r="N301" s="772" t="s">
        <v>1652</v>
      </c>
      <c r="O301" s="977" t="s">
        <v>3510</v>
      </c>
      <c r="P301" s="241" t="s">
        <v>555</v>
      </c>
      <c r="Q301" s="241"/>
      <c r="R301" s="147"/>
      <c r="S301" s="236"/>
      <c r="T301" s="391" t="s">
        <v>1980</v>
      </c>
      <c r="U301" s="391" t="s">
        <v>1044</v>
      </c>
      <c r="W301" s="44"/>
      <c r="X301" s="44"/>
      <c r="AA301"/>
      <c r="AB301"/>
      <c r="AC301" s="379"/>
      <c r="AD301" s="68"/>
    </row>
    <row r="302" spans="6:30" ht="10.5" customHeight="1">
      <c r="F302" s="408"/>
      <c r="G302" s="769" t="s">
        <v>1549</v>
      </c>
      <c r="H302" s="769" t="s">
        <v>1136</v>
      </c>
      <c r="I302" s="773" t="s">
        <v>1652</v>
      </c>
      <c r="J302" s="770" t="s">
        <v>2394</v>
      </c>
      <c r="K302" s="771" t="s">
        <v>1092</v>
      </c>
      <c r="L302" s="772" t="s">
        <v>398</v>
      </c>
      <c r="M302" s="1850" t="s">
        <v>2385</v>
      </c>
      <c r="N302" s="772" t="s">
        <v>1652</v>
      </c>
      <c r="O302" s="977" t="s">
        <v>3511</v>
      </c>
      <c r="P302" s="241" t="s">
        <v>557</v>
      </c>
      <c r="Q302" s="241"/>
      <c r="R302" s="147"/>
      <c r="S302" s="236"/>
      <c r="T302" s="391" t="s">
        <v>1899</v>
      </c>
      <c r="U302" s="391" t="s">
        <v>1550</v>
      </c>
      <c r="W302" s="44"/>
      <c r="X302" s="44"/>
      <c r="AA302"/>
      <c r="AB302"/>
      <c r="AC302" s="379"/>
      <c r="AD302" s="68"/>
    </row>
    <row r="303" spans="6:30" ht="10.5" customHeight="1">
      <c r="F303" s="408"/>
      <c r="G303" s="769" t="s">
        <v>1550</v>
      </c>
      <c r="H303" s="769" t="s">
        <v>1136</v>
      </c>
      <c r="I303" s="773" t="s">
        <v>1551</v>
      </c>
      <c r="J303" s="773" t="s">
        <v>2393</v>
      </c>
      <c r="K303" s="771" t="s">
        <v>1864</v>
      </c>
      <c r="L303" s="772" t="s">
        <v>397</v>
      </c>
      <c r="M303" s="1850" t="s">
        <v>2385</v>
      </c>
      <c r="N303" s="772" t="s">
        <v>1575</v>
      </c>
      <c r="O303" s="977" t="s">
        <v>3512</v>
      </c>
      <c r="P303" s="241" t="s">
        <v>559</v>
      </c>
      <c r="Q303" s="241"/>
      <c r="R303" s="147"/>
      <c r="S303" s="236"/>
      <c r="T303" s="391" t="s">
        <v>1901</v>
      </c>
      <c r="U303" s="391" t="s">
        <v>2324</v>
      </c>
      <c r="W303" s="44"/>
      <c r="X303" s="44"/>
      <c r="AA303"/>
      <c r="AB303"/>
      <c r="AC303" s="379"/>
      <c r="AD303" s="68"/>
    </row>
    <row r="304" spans="6:30" ht="10.5" customHeight="1">
      <c r="F304" s="408"/>
      <c r="G304" s="769" t="s">
        <v>1552</v>
      </c>
      <c r="H304" s="769" t="s">
        <v>1136</v>
      </c>
      <c r="I304" s="773" t="s">
        <v>1763</v>
      </c>
      <c r="J304" s="773" t="s">
        <v>2393</v>
      </c>
      <c r="K304" s="771" t="s">
        <v>1096</v>
      </c>
      <c r="L304" s="772" t="s">
        <v>397</v>
      </c>
      <c r="M304" s="1850" t="s">
        <v>2385</v>
      </c>
      <c r="N304" s="772" t="s">
        <v>1652</v>
      </c>
      <c r="O304" s="977" t="s">
        <v>3513</v>
      </c>
      <c r="P304" s="241" t="s">
        <v>560</v>
      </c>
      <c r="Q304" s="241"/>
      <c r="R304" s="147"/>
      <c r="S304" s="236"/>
      <c r="T304" s="391" t="s">
        <v>768</v>
      </c>
      <c r="U304" s="391" t="s">
        <v>305</v>
      </c>
      <c r="W304" s="44"/>
      <c r="X304" s="44"/>
      <c r="AA304"/>
      <c r="AB304"/>
      <c r="AC304" s="379"/>
      <c r="AD304" s="698"/>
    </row>
    <row r="305" spans="6:30" ht="10.5" customHeight="1">
      <c r="F305" s="408"/>
      <c r="G305" s="769" t="s">
        <v>1764</v>
      </c>
      <c r="H305" s="769" t="s">
        <v>1136</v>
      </c>
      <c r="I305" s="773" t="s">
        <v>1765</v>
      </c>
      <c r="J305" s="773" t="s">
        <v>2393</v>
      </c>
      <c r="K305" s="771" t="s">
        <v>1097</v>
      </c>
      <c r="L305" s="772" t="s">
        <v>397</v>
      </c>
      <c r="M305" s="1850" t="s">
        <v>2385</v>
      </c>
      <c r="N305" s="772" t="s">
        <v>1246</v>
      </c>
      <c r="O305" s="977" t="s">
        <v>3514</v>
      </c>
      <c r="P305" s="241" t="s">
        <v>561</v>
      </c>
      <c r="Q305" s="241"/>
      <c r="R305" s="147"/>
      <c r="S305" s="236"/>
      <c r="T305" s="391" t="s">
        <v>556</v>
      </c>
      <c r="U305" s="391" t="s">
        <v>116</v>
      </c>
      <c r="W305" s="44"/>
      <c r="X305" s="44"/>
      <c r="AA305"/>
      <c r="AB305"/>
      <c r="AC305" s="379"/>
      <c r="AD305" s="68"/>
    </row>
    <row r="306" spans="6:30" ht="10.5" customHeight="1">
      <c r="F306" s="408"/>
      <c r="G306" s="769" t="s">
        <v>1766</v>
      </c>
      <c r="H306" s="769" t="s">
        <v>1231</v>
      </c>
      <c r="I306" s="773" t="s">
        <v>1767</v>
      </c>
      <c r="J306" s="773" t="s">
        <v>2393</v>
      </c>
      <c r="K306" s="771" t="s">
        <v>1098</v>
      </c>
      <c r="L306" s="772" t="s">
        <v>397</v>
      </c>
      <c r="M306" s="1850" t="s">
        <v>2385</v>
      </c>
      <c r="N306" s="772" t="s">
        <v>159</v>
      </c>
      <c r="O306" s="977" t="s">
        <v>3515</v>
      </c>
      <c r="P306" s="241" t="s">
        <v>563</v>
      </c>
      <c r="Q306" s="241"/>
      <c r="R306" s="147"/>
      <c r="S306" s="236"/>
      <c r="T306" s="391" t="s">
        <v>2357</v>
      </c>
      <c r="U306" s="391" t="s">
        <v>1247</v>
      </c>
      <c r="W306" s="44"/>
      <c r="X306" s="44"/>
      <c r="AA306"/>
      <c r="AB306"/>
      <c r="AC306" s="379"/>
      <c r="AD306" s="68"/>
    </row>
    <row r="307" spans="6:30" ht="10.5" customHeight="1">
      <c r="F307" s="408"/>
      <c r="G307" s="769" t="s">
        <v>1768</v>
      </c>
      <c r="H307" s="769" t="s">
        <v>1136</v>
      </c>
      <c r="I307" s="773" t="s">
        <v>1769</v>
      </c>
      <c r="J307" s="773" t="s">
        <v>2393</v>
      </c>
      <c r="K307" s="771" t="s">
        <v>1099</v>
      </c>
      <c r="L307" s="772" t="s">
        <v>397</v>
      </c>
      <c r="M307" s="1850" t="s">
        <v>2385</v>
      </c>
      <c r="N307" s="772" t="s">
        <v>1240</v>
      </c>
      <c r="O307" s="977" t="s">
        <v>3516</v>
      </c>
      <c r="P307" s="241" t="s">
        <v>565</v>
      </c>
      <c r="Q307" s="241"/>
      <c r="R307" s="147"/>
      <c r="S307" s="236"/>
      <c r="T307" s="391" t="s">
        <v>558</v>
      </c>
      <c r="U307" s="391" t="s">
        <v>2376</v>
      </c>
      <c r="W307" s="44"/>
      <c r="X307" s="44"/>
      <c r="AA307"/>
      <c r="AB307"/>
      <c r="AC307" s="379"/>
      <c r="AD307" s="68"/>
    </row>
    <row r="308" spans="6:30" ht="10.5" customHeight="1">
      <c r="F308" s="408"/>
      <c r="G308" s="769" t="s">
        <v>1770</v>
      </c>
      <c r="H308" s="769" t="s">
        <v>1136</v>
      </c>
      <c r="I308" s="770" t="s">
        <v>1771</v>
      </c>
      <c r="J308" s="773" t="s">
        <v>2393</v>
      </c>
      <c r="K308" s="771" t="s">
        <v>1100</v>
      </c>
      <c r="L308" s="772" t="s">
        <v>397</v>
      </c>
      <c r="M308" s="1850" t="s">
        <v>2385</v>
      </c>
      <c r="N308" s="772" t="s">
        <v>1130</v>
      </c>
      <c r="O308" s="977" t="s">
        <v>3517</v>
      </c>
      <c r="P308" s="241" t="s">
        <v>511</v>
      </c>
      <c r="Q308" s="241"/>
      <c r="R308" s="147"/>
      <c r="S308" s="236"/>
      <c r="T308" s="391" t="s">
        <v>2323</v>
      </c>
      <c r="U308" s="391" t="s">
        <v>2378</v>
      </c>
      <c r="W308" s="44"/>
      <c r="X308" s="44"/>
      <c r="AA308"/>
      <c r="AB308"/>
      <c r="AC308" s="379"/>
      <c r="AD308" s="68"/>
    </row>
    <row r="309" spans="6:30" ht="10.5" customHeight="1">
      <c r="F309" s="408"/>
      <c r="G309" s="769" t="s">
        <v>1772</v>
      </c>
      <c r="H309" s="769" t="s">
        <v>1136</v>
      </c>
      <c r="I309" s="773" t="s">
        <v>1773</v>
      </c>
      <c r="J309" s="770" t="s">
        <v>2393</v>
      </c>
      <c r="K309" s="771" t="s">
        <v>1101</v>
      </c>
      <c r="L309" s="772" t="s">
        <v>397</v>
      </c>
      <c r="M309" s="1850" t="s">
        <v>2385</v>
      </c>
      <c r="N309" s="772" t="s">
        <v>1652</v>
      </c>
      <c r="O309" s="977" t="s">
        <v>3518</v>
      </c>
      <c r="P309" s="241" t="s">
        <v>1087</v>
      </c>
      <c r="Q309" s="241"/>
      <c r="R309" s="147"/>
      <c r="S309" s="236"/>
      <c r="T309" s="391" t="s">
        <v>562</v>
      </c>
      <c r="U309" s="391" t="s">
        <v>2018</v>
      </c>
      <c r="W309" s="44"/>
      <c r="X309" s="44"/>
      <c r="AA309"/>
      <c r="AB309"/>
      <c r="AC309" s="379"/>
      <c r="AD309" s="68"/>
    </row>
    <row r="310" spans="6:30" ht="10.5" customHeight="1">
      <c r="F310" s="408"/>
      <c r="G310" s="769" t="s">
        <v>1774</v>
      </c>
      <c r="H310" s="769" t="s">
        <v>1136</v>
      </c>
      <c r="I310" s="773" t="s">
        <v>1240</v>
      </c>
      <c r="J310" s="773" t="s">
        <v>2394</v>
      </c>
      <c r="K310" s="771" t="s">
        <v>4609</v>
      </c>
      <c r="L310" s="772" t="s">
        <v>398</v>
      </c>
      <c r="M310" s="1850" t="s">
        <v>2385</v>
      </c>
      <c r="N310" s="772" t="s">
        <v>1240</v>
      </c>
      <c r="O310" s="977" t="s">
        <v>3519</v>
      </c>
      <c r="P310" s="241" t="s">
        <v>695</v>
      </c>
      <c r="Q310" s="241"/>
      <c r="R310" s="147"/>
      <c r="S310" s="236"/>
      <c r="T310" s="391" t="s">
        <v>2523</v>
      </c>
      <c r="U310" s="391" t="s">
        <v>1035</v>
      </c>
      <c r="W310" s="44"/>
      <c r="X310" s="44"/>
      <c r="AA310"/>
      <c r="AB310"/>
      <c r="AC310" s="379"/>
      <c r="AD310" s="68"/>
    </row>
    <row r="311" spans="6:30" ht="10.5" customHeight="1">
      <c r="F311" s="408"/>
      <c r="G311" s="769" t="s">
        <v>1775</v>
      </c>
      <c r="H311" s="769" t="s">
        <v>1231</v>
      </c>
      <c r="I311" s="773" t="s">
        <v>1776</v>
      </c>
      <c r="J311" s="773" t="s">
        <v>2393</v>
      </c>
      <c r="K311" s="771" t="s">
        <v>1102</v>
      </c>
      <c r="L311" s="772" t="s">
        <v>397</v>
      </c>
      <c r="M311" s="1850" t="s">
        <v>2385</v>
      </c>
      <c r="N311" s="772" t="s">
        <v>159</v>
      </c>
      <c r="O311" s="977" t="s">
        <v>3520</v>
      </c>
      <c r="P311" s="241" t="s">
        <v>33</v>
      </c>
      <c r="Q311" s="241"/>
      <c r="R311" s="147"/>
      <c r="S311" s="236"/>
      <c r="T311" s="391" t="s">
        <v>564</v>
      </c>
      <c r="U311" s="391" t="s">
        <v>1526</v>
      </c>
      <c r="W311" s="44"/>
      <c r="X311" s="44"/>
      <c r="AA311"/>
      <c r="AB311"/>
      <c r="AC311" s="379"/>
      <c r="AD311" s="68"/>
    </row>
    <row r="312" spans="6:30" ht="10.5" customHeight="1">
      <c r="F312" s="408"/>
      <c r="G312" s="769" t="s">
        <v>1854</v>
      </c>
      <c r="H312" s="769" t="s">
        <v>1136</v>
      </c>
      <c r="I312" s="770" t="s">
        <v>1855</v>
      </c>
      <c r="J312" s="773" t="s">
        <v>2393</v>
      </c>
      <c r="K312" s="771" t="s">
        <v>1103</v>
      </c>
      <c r="L312" s="772" t="s">
        <v>397</v>
      </c>
      <c r="M312" s="1850" t="s">
        <v>2385</v>
      </c>
      <c r="N312" s="772" t="s">
        <v>1130</v>
      </c>
      <c r="O312" s="977" t="s">
        <v>3521</v>
      </c>
      <c r="P312" s="241" t="s">
        <v>1818</v>
      </c>
      <c r="Q312" s="241"/>
      <c r="R312" s="147"/>
      <c r="S312" s="236"/>
      <c r="T312" s="391" t="s">
        <v>510</v>
      </c>
      <c r="U312" s="391" t="s">
        <v>612</v>
      </c>
      <c r="W312" s="44"/>
      <c r="X312" s="44"/>
      <c r="AA312"/>
      <c r="AB312"/>
      <c r="AC312" s="379"/>
      <c r="AD312" s="68"/>
    </row>
    <row r="313" spans="6:30" ht="10.5" customHeight="1">
      <c r="F313" s="408"/>
      <c r="G313" s="769" t="s">
        <v>1856</v>
      </c>
      <c r="H313" s="769" t="s">
        <v>1231</v>
      </c>
      <c r="I313" s="773" t="s">
        <v>1422</v>
      </c>
      <c r="J313" s="770" t="s">
        <v>2394</v>
      </c>
      <c r="K313" s="771" t="s">
        <v>1560</v>
      </c>
      <c r="L313" s="772" t="s">
        <v>398</v>
      </c>
      <c r="M313" s="1850" t="s">
        <v>2385</v>
      </c>
      <c r="N313" s="772" t="s">
        <v>1422</v>
      </c>
      <c r="O313" s="977" t="s">
        <v>3522</v>
      </c>
      <c r="P313" s="241" t="s">
        <v>1820</v>
      </c>
      <c r="Q313" s="241"/>
      <c r="R313" s="147"/>
      <c r="S313" s="236"/>
      <c r="T313" s="391" t="s">
        <v>512</v>
      </c>
      <c r="U313" s="391" t="s">
        <v>153</v>
      </c>
      <c r="W313" s="44"/>
      <c r="X313" s="44"/>
      <c r="AA313"/>
      <c r="AB313"/>
      <c r="AC313" s="379"/>
      <c r="AD313" s="68"/>
    </row>
    <row r="314" spans="6:30" ht="10.5" customHeight="1">
      <c r="F314" s="408"/>
      <c r="G314" s="769" t="s">
        <v>1857</v>
      </c>
      <c r="H314" s="769" t="s">
        <v>1231</v>
      </c>
      <c r="I314" s="773" t="s">
        <v>711</v>
      </c>
      <c r="J314" s="773" t="s">
        <v>2394</v>
      </c>
      <c r="K314" s="771" t="s">
        <v>4608</v>
      </c>
      <c r="L314" s="772" t="s">
        <v>398</v>
      </c>
      <c r="M314" s="1850" t="s">
        <v>1121</v>
      </c>
      <c r="N314" s="772" t="s">
        <v>1130</v>
      </c>
      <c r="O314" s="977" t="s">
        <v>3523</v>
      </c>
      <c r="P314" s="241" t="s">
        <v>321</v>
      </c>
      <c r="Q314" s="241"/>
      <c r="R314" s="147"/>
      <c r="S314" s="236"/>
      <c r="T314" s="391" t="s">
        <v>694</v>
      </c>
      <c r="U314" s="391" t="s">
        <v>1041</v>
      </c>
      <c r="W314" s="44"/>
      <c r="X314" s="44"/>
      <c r="AA314"/>
      <c r="AB314"/>
      <c r="AC314" s="379"/>
      <c r="AD314" s="68"/>
    </row>
    <row r="315" spans="6:30" ht="10.5" customHeight="1">
      <c r="F315" s="408"/>
      <c r="G315" s="769" t="s">
        <v>1858</v>
      </c>
      <c r="H315" s="769" t="s">
        <v>1136</v>
      </c>
      <c r="I315" s="773" t="s">
        <v>97</v>
      </c>
      <c r="J315" s="773" t="s">
        <v>2393</v>
      </c>
      <c r="K315" s="771" t="s">
        <v>1104</v>
      </c>
      <c r="L315" s="772" t="s">
        <v>397</v>
      </c>
      <c r="M315" s="1850" t="s">
        <v>2385</v>
      </c>
      <c r="N315" s="772" t="s">
        <v>1575</v>
      </c>
      <c r="O315" s="977" t="s">
        <v>3524</v>
      </c>
      <c r="P315" s="241" t="s">
        <v>323</v>
      </c>
      <c r="Q315" s="241"/>
      <c r="R315" s="147"/>
      <c r="S315" s="236"/>
      <c r="T315" s="391" t="s">
        <v>696</v>
      </c>
      <c r="U315" s="391" t="s">
        <v>115</v>
      </c>
      <c r="W315" s="44"/>
      <c r="X315" s="44"/>
      <c r="AA315"/>
      <c r="AB315"/>
      <c r="AC315" s="379"/>
      <c r="AD315" s="68"/>
    </row>
    <row r="316" spans="6:30" ht="10.5" customHeight="1">
      <c r="F316" s="408"/>
      <c r="G316" s="769" t="s">
        <v>98</v>
      </c>
      <c r="H316" s="769" t="s">
        <v>1231</v>
      </c>
      <c r="I316" s="773" t="s">
        <v>99</v>
      </c>
      <c r="J316" s="773" t="s">
        <v>2393</v>
      </c>
      <c r="K316" s="771" t="s">
        <v>1105</v>
      </c>
      <c r="L316" s="772" t="s">
        <v>397</v>
      </c>
      <c r="M316" s="1850" t="s">
        <v>2385</v>
      </c>
      <c r="N316" s="772" t="s">
        <v>1250</v>
      </c>
      <c r="O316" s="977" t="s">
        <v>3525</v>
      </c>
      <c r="P316" s="241" t="s">
        <v>325</v>
      </c>
      <c r="Q316" s="241"/>
      <c r="R316" s="147"/>
      <c r="S316" s="236"/>
      <c r="T316" s="391" t="s">
        <v>34</v>
      </c>
      <c r="U316" s="391" t="s">
        <v>169</v>
      </c>
      <c r="W316" s="44"/>
      <c r="X316" s="44"/>
      <c r="AA316"/>
      <c r="AB316"/>
      <c r="AC316" s="379"/>
      <c r="AD316" s="68"/>
    </row>
    <row r="317" spans="6:30" ht="10.5" customHeight="1">
      <c r="F317" s="408"/>
      <c r="G317" s="769" t="s">
        <v>100</v>
      </c>
      <c r="H317" s="769" t="s">
        <v>1136</v>
      </c>
      <c r="I317" s="773" t="s">
        <v>101</v>
      </c>
      <c r="J317" s="773" t="s">
        <v>2393</v>
      </c>
      <c r="K317" s="771" t="s">
        <v>1106</v>
      </c>
      <c r="L317" s="772" t="s">
        <v>397</v>
      </c>
      <c r="M317" s="1850" t="s">
        <v>2385</v>
      </c>
      <c r="N317" s="772" t="s">
        <v>1240</v>
      </c>
      <c r="O317" s="977" t="s">
        <v>3526</v>
      </c>
      <c r="P317" s="241" t="s">
        <v>327</v>
      </c>
      <c r="Q317" s="241"/>
      <c r="R317" s="147"/>
      <c r="S317" s="236"/>
      <c r="T317" s="391" t="s">
        <v>1819</v>
      </c>
      <c r="U317" s="391" t="s">
        <v>2069</v>
      </c>
      <c r="W317" s="44"/>
      <c r="X317" s="44"/>
      <c r="AA317"/>
      <c r="AB317"/>
      <c r="AC317" s="379"/>
      <c r="AD317" s="68"/>
    </row>
    <row r="318" spans="6:30" ht="10.5" customHeight="1">
      <c r="F318" s="408"/>
      <c r="G318" s="769" t="s">
        <v>102</v>
      </c>
      <c r="H318" s="769" t="s">
        <v>1136</v>
      </c>
      <c r="I318" s="773" t="s">
        <v>103</v>
      </c>
      <c r="J318" s="773" t="s">
        <v>2393</v>
      </c>
      <c r="K318" s="771" t="s">
        <v>1107</v>
      </c>
      <c r="L318" s="772" t="s">
        <v>397</v>
      </c>
      <c r="M318" s="1850" t="s">
        <v>2385</v>
      </c>
      <c r="N318" s="772" t="s">
        <v>1246</v>
      </c>
      <c r="O318" s="977" t="s">
        <v>3527</v>
      </c>
      <c r="P318" s="241" t="s">
        <v>329</v>
      </c>
      <c r="Q318" s="241"/>
      <c r="R318" s="147"/>
      <c r="S318" s="236"/>
      <c r="T318" s="391" t="s">
        <v>1821</v>
      </c>
      <c r="U318" s="391" t="s">
        <v>2379</v>
      </c>
      <c r="W318" s="44"/>
      <c r="X318" s="44"/>
      <c r="AA318"/>
      <c r="AB318"/>
      <c r="AC318" s="379"/>
      <c r="AD318" s="68"/>
    </row>
    <row r="319" spans="6:30" ht="10.5" customHeight="1">
      <c r="F319" s="408"/>
      <c r="G319" s="769" t="s">
        <v>104</v>
      </c>
      <c r="H319" s="769" t="s">
        <v>1136</v>
      </c>
      <c r="I319" s="773" t="s">
        <v>105</v>
      </c>
      <c r="J319" s="773" t="s">
        <v>2393</v>
      </c>
      <c r="K319" s="771" t="s">
        <v>1108</v>
      </c>
      <c r="L319" s="772" t="s">
        <v>397</v>
      </c>
      <c r="M319" s="1850" t="s">
        <v>2385</v>
      </c>
      <c r="N319" s="772" t="s">
        <v>154</v>
      </c>
      <c r="O319" s="977" t="s">
        <v>3528</v>
      </c>
      <c r="P319" s="241" t="s">
        <v>331</v>
      </c>
      <c r="Q319" s="241"/>
      <c r="R319" s="147"/>
      <c r="S319" s="236"/>
      <c r="T319" s="391" t="s">
        <v>322</v>
      </c>
      <c r="U319" s="391" t="s">
        <v>1805</v>
      </c>
      <c r="W319" s="44"/>
      <c r="X319" s="44"/>
      <c r="AA319"/>
      <c r="AB319"/>
      <c r="AC319" s="379"/>
      <c r="AD319" s="68"/>
    </row>
    <row r="320" spans="6:30" ht="10.5" customHeight="1">
      <c r="F320" s="408"/>
      <c r="G320" s="769" t="s">
        <v>106</v>
      </c>
      <c r="H320" s="769" t="s">
        <v>1136</v>
      </c>
      <c r="I320" s="773" t="s">
        <v>107</v>
      </c>
      <c r="J320" s="773" t="s">
        <v>2393</v>
      </c>
      <c r="K320" s="771" t="s">
        <v>2168</v>
      </c>
      <c r="L320" s="772" t="s">
        <v>397</v>
      </c>
      <c r="M320" s="1850" t="s">
        <v>2385</v>
      </c>
      <c r="N320" s="772" t="s">
        <v>1240</v>
      </c>
      <c r="O320" s="977" t="s">
        <v>3529</v>
      </c>
      <c r="P320" s="241" t="s">
        <v>1795</v>
      </c>
      <c r="Q320" s="241"/>
      <c r="R320" s="147"/>
      <c r="S320" s="236"/>
      <c r="T320" s="391" t="s">
        <v>324</v>
      </c>
      <c r="U320" s="391" t="s">
        <v>815</v>
      </c>
      <c r="W320" s="44"/>
      <c r="X320" s="44"/>
      <c r="AA320"/>
      <c r="AB320"/>
      <c r="AC320" s="379"/>
      <c r="AD320" s="68"/>
    </row>
    <row r="321" spans="6:30" ht="10.5" customHeight="1">
      <c r="F321" s="408"/>
      <c r="G321" s="769" t="s">
        <v>108</v>
      </c>
      <c r="H321" s="769" t="s">
        <v>1231</v>
      </c>
      <c r="I321" s="773" t="s">
        <v>109</v>
      </c>
      <c r="J321" s="773" t="s">
        <v>2393</v>
      </c>
      <c r="K321" s="771" t="s">
        <v>2169</v>
      </c>
      <c r="L321" s="772" t="s">
        <v>397</v>
      </c>
      <c r="M321" s="1850" t="s">
        <v>2385</v>
      </c>
      <c r="N321" s="772" t="s">
        <v>159</v>
      </c>
      <c r="O321" s="977" t="s">
        <v>3530</v>
      </c>
      <c r="P321" s="241" t="s">
        <v>1797</v>
      </c>
      <c r="Q321" s="241"/>
      <c r="R321" s="147"/>
      <c r="S321" s="236"/>
      <c r="T321" s="391" t="s">
        <v>326</v>
      </c>
      <c r="U321" s="391" t="s">
        <v>172</v>
      </c>
      <c r="W321" s="44"/>
      <c r="X321" s="44"/>
      <c r="AA321"/>
      <c r="AB321"/>
      <c r="AC321" s="379"/>
      <c r="AD321" s="68"/>
    </row>
    <row r="322" spans="6:30" ht="10.5" customHeight="1">
      <c r="F322" s="408"/>
      <c r="G322" s="769" t="s">
        <v>1805</v>
      </c>
      <c r="H322" s="769" t="s">
        <v>1231</v>
      </c>
      <c r="I322" s="770" t="s">
        <v>322</v>
      </c>
      <c r="J322" s="773" t="s">
        <v>2394</v>
      </c>
      <c r="K322" s="771" t="s">
        <v>2170</v>
      </c>
      <c r="L322" s="772" t="s">
        <v>398</v>
      </c>
      <c r="M322" s="1850" t="s">
        <v>1121</v>
      </c>
      <c r="N322" s="772" t="s">
        <v>1422</v>
      </c>
      <c r="O322" s="977" t="s">
        <v>3531</v>
      </c>
      <c r="P322" s="241" t="s">
        <v>1993</v>
      </c>
      <c r="Q322" s="241"/>
      <c r="R322" s="147"/>
      <c r="S322" s="236"/>
      <c r="T322" s="236" t="s">
        <v>328</v>
      </c>
      <c r="U322" s="236" t="s">
        <v>2203</v>
      </c>
      <c r="W322" s="44"/>
      <c r="X322" s="44"/>
      <c r="AA322"/>
      <c r="AB322"/>
      <c r="AC322" s="379"/>
      <c r="AD322" s="68"/>
    </row>
    <row r="323" spans="6:30" ht="10.5" customHeight="1">
      <c r="F323" s="408"/>
      <c r="G323" s="769" t="s">
        <v>1806</v>
      </c>
      <c r="H323" s="769" t="s">
        <v>1136</v>
      </c>
      <c r="I323" s="773" t="s">
        <v>2200</v>
      </c>
      <c r="J323" s="770" t="s">
        <v>2393</v>
      </c>
      <c r="K323" s="771" t="s">
        <v>2171</v>
      </c>
      <c r="L323" s="772" t="s">
        <v>397</v>
      </c>
      <c r="M323" s="1850" t="s">
        <v>2385</v>
      </c>
      <c r="N323" s="772" t="s">
        <v>1652</v>
      </c>
      <c r="O323" s="977" t="s">
        <v>3532</v>
      </c>
      <c r="P323" s="241" t="s">
        <v>146</v>
      </c>
      <c r="Q323" s="241"/>
      <c r="R323" s="147"/>
      <c r="S323" s="236"/>
      <c r="T323" s="391" t="s">
        <v>330</v>
      </c>
      <c r="U323" s="391" t="s">
        <v>1733</v>
      </c>
      <c r="W323" s="44"/>
      <c r="X323" s="44"/>
      <c r="AA323"/>
      <c r="AB323"/>
      <c r="AC323" s="68"/>
      <c r="AD323" s="68"/>
    </row>
    <row r="324" spans="6:30" ht="10.5" customHeight="1">
      <c r="F324" s="408"/>
      <c r="G324" s="769" t="s">
        <v>2201</v>
      </c>
      <c r="H324" s="769" t="s">
        <v>1231</v>
      </c>
      <c r="I324" s="773" t="s">
        <v>2202</v>
      </c>
      <c r="J324" s="773" t="s">
        <v>2393</v>
      </c>
      <c r="K324" s="771" t="s">
        <v>395</v>
      </c>
      <c r="L324" s="772" t="s">
        <v>397</v>
      </c>
      <c r="M324" s="1850" t="s">
        <v>2385</v>
      </c>
      <c r="N324" s="772" t="s">
        <v>1250</v>
      </c>
      <c r="O324" s="977" t="s">
        <v>3533</v>
      </c>
      <c r="P324" s="241" t="s">
        <v>147</v>
      </c>
      <c r="Q324" s="241"/>
      <c r="R324" s="147"/>
      <c r="S324" s="236"/>
      <c r="T324" s="391" t="s">
        <v>332</v>
      </c>
      <c r="U324" s="391" t="s">
        <v>168</v>
      </c>
      <c r="W324" s="44"/>
      <c r="X324" s="44"/>
      <c r="AA324"/>
      <c r="AB324"/>
      <c r="AC324" s="379"/>
      <c r="AD324" s="68"/>
    </row>
    <row r="325" spans="6:30" ht="10.5" customHeight="1">
      <c r="F325" s="408"/>
      <c r="G325" s="769" t="s">
        <v>2203</v>
      </c>
      <c r="H325" s="769" t="s">
        <v>1136</v>
      </c>
      <c r="I325" s="773" t="s">
        <v>2204</v>
      </c>
      <c r="J325" s="773" t="s">
        <v>2393</v>
      </c>
      <c r="K325" s="771" t="s">
        <v>396</v>
      </c>
      <c r="L325" s="772" t="s">
        <v>397</v>
      </c>
      <c r="M325" s="1850" t="s">
        <v>2385</v>
      </c>
      <c r="N325" s="772" t="s">
        <v>1240</v>
      </c>
      <c r="O325" s="977" t="s">
        <v>3534</v>
      </c>
      <c r="P325" s="241" t="s">
        <v>1475</v>
      </c>
      <c r="Q325" s="241"/>
      <c r="R325" s="147"/>
      <c r="S325" s="236"/>
      <c r="T325" s="391" t="s">
        <v>1796</v>
      </c>
      <c r="U325" s="391" t="s">
        <v>100</v>
      </c>
      <c r="W325" s="44"/>
      <c r="X325" s="44"/>
      <c r="AA325"/>
      <c r="AB325"/>
      <c r="AC325" s="379"/>
      <c r="AD325" s="68"/>
    </row>
    <row r="326" spans="6:30" ht="10.5" customHeight="1">
      <c r="F326" s="253"/>
      <c r="G326" s="769" t="s">
        <v>2205</v>
      </c>
      <c r="H326" s="769" t="s">
        <v>1136</v>
      </c>
      <c r="I326" s="773" t="s">
        <v>1652</v>
      </c>
      <c r="J326" s="773" t="s">
        <v>2394</v>
      </c>
      <c r="K326" s="771" t="s">
        <v>1092</v>
      </c>
      <c r="L326" s="772" t="s">
        <v>398</v>
      </c>
      <c r="M326" s="1850" t="s">
        <v>2385</v>
      </c>
      <c r="N326" s="772" t="s">
        <v>1652</v>
      </c>
      <c r="O326" s="977" t="s">
        <v>3535</v>
      </c>
      <c r="P326" s="241" t="s">
        <v>735</v>
      </c>
      <c r="Q326" s="241"/>
      <c r="R326" s="147"/>
      <c r="S326" s="236"/>
      <c r="T326" s="391" t="s">
        <v>188</v>
      </c>
      <c r="U326" s="391" t="s">
        <v>1549</v>
      </c>
      <c r="W326" s="44"/>
      <c r="X326" s="44"/>
      <c r="AA326"/>
      <c r="AB326"/>
      <c r="AC326" s="379"/>
      <c r="AD326" s="68"/>
    </row>
    <row r="327" spans="6:30" ht="10.5" customHeight="1">
      <c r="P327" s="241" t="s">
        <v>737</v>
      </c>
      <c r="Q327" s="241"/>
      <c r="R327" s="147"/>
      <c r="S327" s="236"/>
      <c r="T327" s="391" t="s">
        <v>1994</v>
      </c>
      <c r="U327" s="391" t="s">
        <v>188</v>
      </c>
      <c r="W327" s="44"/>
      <c r="X327" s="44"/>
      <c r="AA327"/>
      <c r="AB327"/>
      <c r="AC327" s="379"/>
      <c r="AD327" s="68"/>
    </row>
    <row r="328" spans="6:30" ht="10.5" customHeight="1">
      <c r="P328" s="241" t="s">
        <v>739</v>
      </c>
      <c r="Q328" s="241"/>
      <c r="R328" s="147"/>
      <c r="S328" s="236"/>
      <c r="T328" s="236" t="s">
        <v>642</v>
      </c>
      <c r="U328" s="236" t="s">
        <v>2014</v>
      </c>
      <c r="W328" s="44"/>
      <c r="X328" s="44"/>
      <c r="AA328"/>
      <c r="AB328"/>
      <c r="AC328" s="379"/>
      <c r="AD328" s="68"/>
    </row>
    <row r="329" spans="6:30" ht="10.5" customHeight="1">
      <c r="P329" s="241" t="s">
        <v>2220</v>
      </c>
      <c r="Q329" s="241"/>
      <c r="R329" s="147"/>
      <c r="S329" s="236"/>
      <c r="T329" s="391" t="s">
        <v>148</v>
      </c>
      <c r="U329" s="391" t="s">
        <v>1732</v>
      </c>
      <c r="W329" s="44"/>
      <c r="X329" s="44"/>
      <c r="AA329"/>
      <c r="AB329"/>
      <c r="AC329" s="68"/>
      <c r="AD329" s="68"/>
    </row>
    <row r="330" spans="6:30" ht="10.5" customHeight="1">
      <c r="P330" s="241" t="s">
        <v>2221</v>
      </c>
      <c r="Q330" s="241"/>
      <c r="R330" s="147"/>
      <c r="S330" s="236"/>
      <c r="T330" s="391" t="s">
        <v>189</v>
      </c>
      <c r="U330" s="391" t="s">
        <v>584</v>
      </c>
      <c r="W330" s="44"/>
      <c r="X330" s="44"/>
      <c r="AA330"/>
      <c r="AB330"/>
      <c r="AC330" s="379"/>
      <c r="AD330" s="68"/>
    </row>
    <row r="331" spans="6:30" ht="10.5" customHeight="1">
      <c r="P331" s="241" t="s">
        <v>2223</v>
      </c>
      <c r="Q331" s="241"/>
      <c r="R331" s="147"/>
      <c r="S331" s="236"/>
      <c r="T331" s="391" t="s">
        <v>2358</v>
      </c>
      <c r="U331" s="391" t="s">
        <v>1858</v>
      </c>
      <c r="W331" s="44"/>
      <c r="X331" s="44"/>
      <c r="AA331"/>
      <c r="AB331"/>
      <c r="AC331" s="379"/>
      <c r="AD331" s="68"/>
    </row>
    <row r="332" spans="6:30" ht="10.5" customHeight="1">
      <c r="P332" s="241" t="s">
        <v>2225</v>
      </c>
      <c r="Q332" s="241"/>
      <c r="R332" s="147"/>
      <c r="S332" s="236"/>
      <c r="T332" s="391" t="s">
        <v>736</v>
      </c>
      <c r="U332" s="391" t="s">
        <v>100</v>
      </c>
      <c r="W332" s="44"/>
      <c r="X332" s="44"/>
      <c r="AA332"/>
      <c r="AB332"/>
      <c r="AC332" s="379"/>
      <c r="AD332" s="68"/>
    </row>
    <row r="333" spans="6:30" ht="10.5" customHeight="1">
      <c r="P333" s="241" t="s">
        <v>2226</v>
      </c>
      <c r="Q333" s="241"/>
      <c r="R333" s="147"/>
      <c r="S333" s="236"/>
      <c r="T333" s="391" t="s">
        <v>738</v>
      </c>
      <c r="U333" s="391" t="s">
        <v>116</v>
      </c>
      <c r="W333" s="44"/>
      <c r="X333" s="44"/>
      <c r="AA333"/>
      <c r="AB333"/>
      <c r="AC333" s="379"/>
      <c r="AD333" s="68"/>
    </row>
    <row r="334" spans="6:30" ht="10.5" customHeight="1">
      <c r="P334" s="241" t="s">
        <v>360</v>
      </c>
      <c r="Q334" s="241"/>
      <c r="R334" s="147"/>
      <c r="S334" s="236"/>
      <c r="T334" s="391" t="s">
        <v>740</v>
      </c>
      <c r="U334" s="391" t="s">
        <v>313</v>
      </c>
      <c r="W334" s="44"/>
      <c r="X334" s="44"/>
      <c r="AA334"/>
      <c r="AB334"/>
      <c r="AC334" s="379"/>
      <c r="AD334" s="68"/>
    </row>
    <row r="335" spans="6:30" ht="10.5" customHeight="1">
      <c r="P335" s="241" t="s">
        <v>42</v>
      </c>
      <c r="Q335" s="241"/>
      <c r="R335" s="147"/>
      <c r="S335" s="236"/>
      <c r="T335" s="236" t="s">
        <v>2524</v>
      </c>
      <c r="U335" s="236" t="s">
        <v>819</v>
      </c>
      <c r="W335" s="44"/>
      <c r="X335" s="44"/>
      <c r="AA335"/>
      <c r="AB335"/>
      <c r="AC335" s="379"/>
      <c r="AD335" s="68"/>
    </row>
    <row r="336" spans="6:30" ht="10.5" customHeight="1">
      <c r="P336" s="241" t="s">
        <v>44</v>
      </c>
      <c r="Q336" s="241"/>
      <c r="R336" s="147"/>
      <c r="S336" s="236"/>
      <c r="T336" s="391" t="s">
        <v>2222</v>
      </c>
      <c r="U336" s="391" t="s">
        <v>1361</v>
      </c>
      <c r="W336" s="44"/>
      <c r="X336" s="44"/>
      <c r="AA336"/>
      <c r="AB336"/>
      <c r="AC336" s="68"/>
      <c r="AD336" s="68"/>
    </row>
    <row r="337" spans="16:30" ht="10.5" customHeight="1">
      <c r="P337" s="241" t="s">
        <v>1777</v>
      </c>
      <c r="Q337" s="241"/>
      <c r="R337" s="147"/>
      <c r="S337" s="236"/>
      <c r="T337" s="391" t="s">
        <v>2224</v>
      </c>
      <c r="U337" s="391" t="s">
        <v>1039</v>
      </c>
      <c r="W337" s="44"/>
      <c r="X337" s="44"/>
      <c r="AA337"/>
      <c r="AB337"/>
      <c r="AC337" s="379"/>
      <c r="AD337" s="68"/>
    </row>
    <row r="338" spans="16:30" ht="10.5" customHeight="1">
      <c r="P338" s="241" t="s">
        <v>1778</v>
      </c>
      <c r="Q338" s="241"/>
      <c r="R338" s="147"/>
      <c r="S338" s="236"/>
      <c r="T338" s="391" t="s">
        <v>2359</v>
      </c>
      <c r="U338" s="391" t="s">
        <v>619</v>
      </c>
      <c r="W338" s="44"/>
      <c r="X338" s="44"/>
      <c r="AA338"/>
      <c r="AB338"/>
      <c r="AC338" s="379"/>
      <c r="AD338" s="68"/>
    </row>
    <row r="339" spans="16:30" ht="10.5" customHeight="1">
      <c r="P339" s="241" t="s">
        <v>1780</v>
      </c>
      <c r="Q339" s="241"/>
      <c r="R339" s="147"/>
      <c r="S339" s="236"/>
      <c r="T339" s="435" t="s">
        <v>359</v>
      </c>
      <c r="U339" s="391" t="s">
        <v>2286</v>
      </c>
      <c r="W339" s="44"/>
      <c r="X339" s="44"/>
      <c r="AA339"/>
      <c r="AB339"/>
      <c r="AC339" s="379"/>
      <c r="AD339" s="68"/>
    </row>
    <row r="340" spans="16:30" ht="10.5" customHeight="1">
      <c r="P340" s="241" t="s">
        <v>1781</v>
      </c>
      <c r="Q340" s="241"/>
      <c r="R340" s="147"/>
      <c r="S340" s="236"/>
      <c r="T340" s="391" t="s">
        <v>361</v>
      </c>
      <c r="U340" s="391" t="s">
        <v>2007</v>
      </c>
      <c r="W340" s="44"/>
      <c r="X340" s="44"/>
      <c r="AA340"/>
      <c r="AB340"/>
      <c r="AC340" s="697"/>
      <c r="AD340" s="68"/>
    </row>
    <row r="341" spans="16:30" ht="10.5" customHeight="1">
      <c r="P341" s="241" t="s">
        <v>1782</v>
      </c>
      <c r="Q341" s="241"/>
      <c r="R341" s="147"/>
      <c r="S341" s="236"/>
      <c r="T341" s="391" t="s">
        <v>43</v>
      </c>
      <c r="U341" s="391" t="s">
        <v>891</v>
      </c>
      <c r="W341" s="44"/>
      <c r="X341" s="44"/>
      <c r="AA341"/>
      <c r="AB341"/>
      <c r="AC341" s="379"/>
      <c r="AD341" s="68"/>
    </row>
    <row r="342" spans="16:30" ht="10.5" customHeight="1">
      <c r="P342" s="241" t="s">
        <v>1784</v>
      </c>
      <c r="Q342" s="241"/>
      <c r="R342" s="147"/>
      <c r="S342" s="236"/>
      <c r="T342" s="391" t="s">
        <v>45</v>
      </c>
      <c r="U342" s="391" t="s">
        <v>584</v>
      </c>
      <c r="W342" s="44"/>
      <c r="X342" s="44"/>
      <c r="AA342"/>
      <c r="AB342"/>
      <c r="AC342" s="379"/>
      <c r="AD342" s="68"/>
    </row>
    <row r="343" spans="16:30" ht="10.5" customHeight="1">
      <c r="P343" s="241" t="s">
        <v>669</v>
      </c>
      <c r="Q343" s="241"/>
      <c r="R343" s="147"/>
      <c r="S343" s="236"/>
      <c r="T343" s="236" t="s">
        <v>814</v>
      </c>
      <c r="U343" s="236" t="s">
        <v>2284</v>
      </c>
      <c r="W343" s="44"/>
      <c r="X343" s="44"/>
      <c r="AA343"/>
      <c r="AB343"/>
      <c r="AC343" s="379"/>
      <c r="AD343" s="68"/>
    </row>
    <row r="344" spans="16:30" ht="10.5" customHeight="1">
      <c r="P344" s="241" t="s">
        <v>1070</v>
      </c>
      <c r="Q344" s="241"/>
      <c r="R344" s="147"/>
      <c r="S344" s="236"/>
      <c r="T344" s="236" t="s">
        <v>1779</v>
      </c>
      <c r="U344" s="236" t="s">
        <v>814</v>
      </c>
      <c r="W344" s="44"/>
      <c r="X344" s="44"/>
      <c r="AA344"/>
      <c r="AB344"/>
      <c r="AC344" s="68"/>
      <c r="AD344" s="68"/>
    </row>
    <row r="345" spans="16:30" ht="10.5" customHeight="1">
      <c r="P345" s="241" t="s">
        <v>1072</v>
      </c>
      <c r="Q345" s="241"/>
      <c r="R345" s="147"/>
      <c r="S345" s="236"/>
      <c r="T345" s="391" t="s">
        <v>2360</v>
      </c>
      <c r="U345" s="391" t="s">
        <v>584</v>
      </c>
      <c r="W345" s="44"/>
      <c r="X345" s="44"/>
      <c r="AA345"/>
      <c r="AB345"/>
      <c r="AC345" s="68"/>
      <c r="AD345" s="68"/>
    </row>
    <row r="346" spans="16:30" ht="10.5" customHeight="1">
      <c r="P346" s="241" t="s">
        <v>1074</v>
      </c>
      <c r="Q346" s="241"/>
      <c r="R346" s="147"/>
      <c r="S346" s="236"/>
      <c r="T346" s="391" t="s">
        <v>2525</v>
      </c>
      <c r="U346" s="391" t="s">
        <v>2281</v>
      </c>
      <c r="W346" s="44"/>
      <c r="X346" s="44"/>
      <c r="AA346"/>
      <c r="AB346"/>
      <c r="AC346" s="379"/>
      <c r="AD346" s="68"/>
    </row>
    <row r="347" spans="16:30" ht="10.5" customHeight="1">
      <c r="P347" s="241" t="s">
        <v>2304</v>
      </c>
      <c r="Q347" s="241"/>
      <c r="R347" s="147"/>
      <c r="S347" s="236"/>
      <c r="T347" s="391" t="s">
        <v>1783</v>
      </c>
      <c r="U347" s="391" t="s">
        <v>1361</v>
      </c>
      <c r="W347" s="44"/>
      <c r="X347" s="44"/>
      <c r="AA347"/>
      <c r="AB347"/>
      <c r="AC347" s="379"/>
      <c r="AD347" s="68"/>
    </row>
    <row r="348" spans="16:30" ht="10.5" customHeight="1">
      <c r="P348" s="241" t="s">
        <v>2306</v>
      </c>
      <c r="Q348" s="241"/>
      <c r="R348" s="147"/>
      <c r="S348" s="236"/>
      <c r="T348" s="391" t="s">
        <v>1785</v>
      </c>
      <c r="U348" s="391" t="s">
        <v>1361</v>
      </c>
      <c r="W348" s="44"/>
      <c r="X348" s="44"/>
      <c r="AA348"/>
      <c r="AB348"/>
      <c r="AC348" s="379"/>
      <c r="AD348" s="68"/>
    </row>
    <row r="349" spans="16:30" ht="10.5" customHeight="1">
      <c r="P349" s="241" t="s">
        <v>181</v>
      </c>
      <c r="Q349" s="241"/>
      <c r="R349" s="147"/>
      <c r="S349" s="236"/>
      <c r="T349" s="391" t="s">
        <v>670</v>
      </c>
      <c r="U349" s="391" t="s">
        <v>115</v>
      </c>
      <c r="W349" s="44"/>
      <c r="X349" s="44"/>
      <c r="AA349"/>
      <c r="AB349"/>
      <c r="AC349" s="379"/>
      <c r="AD349" s="68"/>
    </row>
    <row r="350" spans="16:30" ht="10.5" customHeight="1">
      <c r="P350" s="241" t="s">
        <v>182</v>
      </c>
      <c r="Q350" s="241"/>
      <c r="R350" s="147"/>
      <c r="S350" s="236"/>
      <c r="T350" s="391" t="s">
        <v>643</v>
      </c>
      <c r="U350" s="391" t="s">
        <v>584</v>
      </c>
      <c r="W350" s="44"/>
      <c r="X350" s="44"/>
      <c r="AA350"/>
      <c r="AB350"/>
      <c r="AC350" s="379"/>
      <c r="AD350" s="68"/>
    </row>
    <row r="351" spans="16:30" ht="10.5" customHeight="1">
      <c r="P351" s="241" t="s">
        <v>1685</v>
      </c>
      <c r="Q351" s="241"/>
      <c r="R351" s="147"/>
      <c r="S351" s="236"/>
      <c r="T351" s="391" t="s">
        <v>2526</v>
      </c>
      <c r="U351" s="391" t="s">
        <v>152</v>
      </c>
      <c r="W351" s="44"/>
      <c r="X351" s="44"/>
      <c r="AA351"/>
      <c r="AB351"/>
      <c r="AC351" s="379"/>
      <c r="AD351" s="68"/>
    </row>
    <row r="352" spans="16:30" ht="10.5" customHeight="1">
      <c r="P352" s="241" t="s">
        <v>1687</v>
      </c>
      <c r="Q352" s="241"/>
      <c r="R352" s="147"/>
      <c r="S352" s="236"/>
      <c r="T352" s="391" t="s">
        <v>2527</v>
      </c>
      <c r="U352" s="391" t="s">
        <v>303</v>
      </c>
      <c r="W352" s="44"/>
      <c r="X352" s="44"/>
      <c r="AA352"/>
      <c r="AB352"/>
      <c r="AC352" s="379"/>
      <c r="AD352" s="68"/>
    </row>
    <row r="353" spans="16:30" ht="10.5" customHeight="1">
      <c r="P353" s="241" t="s">
        <v>1746</v>
      </c>
      <c r="Q353" s="241"/>
      <c r="R353" s="147"/>
      <c r="S353" s="236"/>
      <c r="T353" s="391" t="s">
        <v>1071</v>
      </c>
      <c r="U353" s="391" t="s">
        <v>1361</v>
      </c>
      <c r="W353" s="44"/>
      <c r="X353" s="44"/>
      <c r="AA353"/>
      <c r="AB353"/>
      <c r="AC353" s="379"/>
      <c r="AD353" s="68"/>
    </row>
    <row r="354" spans="16:30" ht="10.5" customHeight="1">
      <c r="P354" s="241" t="s">
        <v>1748</v>
      </c>
      <c r="Q354" s="241"/>
      <c r="R354" s="147"/>
      <c r="S354" s="236"/>
      <c r="T354" s="391" t="s">
        <v>1073</v>
      </c>
      <c r="U354" s="391" t="s">
        <v>615</v>
      </c>
      <c r="W354" s="44"/>
      <c r="X354" s="44"/>
      <c r="AA354"/>
      <c r="AB354"/>
      <c r="AC354" s="379"/>
      <c r="AD354" s="68"/>
    </row>
    <row r="355" spans="16:30" ht="10.5" customHeight="1">
      <c r="P355" s="241" t="s">
        <v>1749</v>
      </c>
      <c r="Q355" s="241"/>
      <c r="R355" s="147"/>
      <c r="S355" s="236"/>
      <c r="T355" s="391" t="s">
        <v>2361</v>
      </c>
      <c r="U355" s="391" t="s">
        <v>2009</v>
      </c>
      <c r="W355" s="44"/>
      <c r="X355" s="44"/>
      <c r="AA355"/>
      <c r="AB355"/>
      <c r="AC355" s="379"/>
      <c r="AD355" s="68"/>
    </row>
    <row r="356" spans="16:30" ht="10.5" customHeight="1">
      <c r="P356" s="241" t="s">
        <v>1751</v>
      </c>
      <c r="Q356" s="241"/>
      <c r="R356" s="147"/>
      <c r="S356" s="236"/>
      <c r="T356" s="391" t="s">
        <v>2362</v>
      </c>
      <c r="U356" s="391" t="s">
        <v>2322</v>
      </c>
      <c r="W356" s="44"/>
      <c r="X356" s="44"/>
      <c r="AA356"/>
      <c r="AB356"/>
      <c r="AC356" s="379"/>
      <c r="AD356" s="68"/>
    </row>
    <row r="357" spans="16:30" ht="10.5" customHeight="1">
      <c r="P357" s="241" t="s">
        <v>1753</v>
      </c>
      <c r="Q357" s="241"/>
      <c r="R357" s="147"/>
      <c r="S357" s="236"/>
      <c r="T357" s="391" t="s">
        <v>1075</v>
      </c>
      <c r="U357" s="391" t="s">
        <v>1131</v>
      </c>
      <c r="W357" s="44"/>
      <c r="X357" s="44"/>
      <c r="AA357"/>
      <c r="AB357"/>
      <c r="AC357" s="379"/>
      <c r="AD357" s="68"/>
    </row>
    <row r="358" spans="16:30" ht="10.5" customHeight="1">
      <c r="P358" s="241" t="s">
        <v>1787</v>
      </c>
      <c r="Q358" s="241"/>
      <c r="R358" s="147"/>
      <c r="S358" s="236"/>
      <c r="T358" s="391" t="s">
        <v>2305</v>
      </c>
      <c r="U358" s="391" t="s">
        <v>192</v>
      </c>
      <c r="W358" s="44"/>
      <c r="X358" s="44"/>
      <c r="AA358"/>
      <c r="AB358"/>
      <c r="AC358" s="379"/>
      <c r="AD358" s="68"/>
    </row>
    <row r="359" spans="16:30" ht="10.5" customHeight="1">
      <c r="P359" s="241" t="s">
        <v>1789</v>
      </c>
      <c r="Q359" s="241"/>
      <c r="R359" s="147"/>
      <c r="S359" s="236"/>
      <c r="T359" s="236" t="s">
        <v>428</v>
      </c>
      <c r="U359" s="236" t="s">
        <v>1035</v>
      </c>
      <c r="W359" s="44"/>
      <c r="X359" s="44"/>
      <c r="AA359"/>
      <c r="AB359"/>
      <c r="AC359" s="379"/>
      <c r="AD359" s="68"/>
    </row>
    <row r="360" spans="16:30" ht="10.5" customHeight="1">
      <c r="P360" s="241" t="s">
        <v>1790</v>
      </c>
      <c r="Q360" s="241"/>
      <c r="R360" s="147"/>
      <c r="S360" s="236"/>
      <c r="T360" s="236" t="s">
        <v>3655</v>
      </c>
      <c r="U360" s="236" t="s">
        <v>617</v>
      </c>
      <c r="W360" s="44"/>
      <c r="X360" s="44"/>
      <c r="AA360"/>
      <c r="AB360"/>
      <c r="AC360" s="68"/>
      <c r="AD360" s="68"/>
    </row>
    <row r="361" spans="16:30" ht="10.5" customHeight="1">
      <c r="P361" s="241" t="s">
        <v>1792</v>
      </c>
      <c r="Q361" s="241"/>
      <c r="R361" s="147"/>
      <c r="S361" s="236"/>
      <c r="T361" s="236" t="s">
        <v>289</v>
      </c>
      <c r="U361" s="236" t="s">
        <v>1252</v>
      </c>
      <c r="W361" s="44"/>
      <c r="X361" s="44"/>
      <c r="AA361"/>
      <c r="AB361"/>
      <c r="AC361" s="68"/>
      <c r="AD361" s="68"/>
    </row>
    <row r="362" spans="16:30" ht="10.5" customHeight="1">
      <c r="P362" s="241" t="s">
        <v>1794</v>
      </c>
      <c r="Q362" s="241"/>
      <c r="R362" s="147"/>
      <c r="S362" s="236"/>
      <c r="T362" s="391" t="s">
        <v>1686</v>
      </c>
      <c r="U362" s="391" t="s">
        <v>819</v>
      </c>
      <c r="W362" s="44"/>
      <c r="X362" s="44"/>
      <c r="AA362"/>
      <c r="AB362"/>
      <c r="AC362" s="68"/>
      <c r="AD362" s="68"/>
    </row>
    <row r="363" spans="16:30" ht="10.5" customHeight="1">
      <c r="P363" s="241" t="s">
        <v>393</v>
      </c>
      <c r="Q363" s="241"/>
      <c r="R363" s="147"/>
      <c r="S363" s="236"/>
      <c r="T363" s="391" t="s">
        <v>1688</v>
      </c>
      <c r="U363" s="391" t="s">
        <v>1045</v>
      </c>
      <c r="W363" s="44"/>
      <c r="X363" s="44"/>
      <c r="AA363"/>
      <c r="AB363"/>
      <c r="AC363" s="379"/>
      <c r="AD363" s="68"/>
    </row>
    <row r="364" spans="16:30" ht="10.5" customHeight="1">
      <c r="P364" s="241" t="s">
        <v>127</v>
      </c>
      <c r="Q364" s="241"/>
      <c r="R364" s="147"/>
      <c r="S364" s="236"/>
      <c r="T364" s="236" t="s">
        <v>1747</v>
      </c>
      <c r="U364" s="236" t="s">
        <v>2286</v>
      </c>
      <c r="W364" s="44"/>
      <c r="X364" s="44"/>
      <c r="AA364"/>
      <c r="AB364"/>
      <c r="AC364" s="379"/>
      <c r="AD364" s="68"/>
    </row>
    <row r="365" spans="16:30" ht="10.5" customHeight="1">
      <c r="P365" s="241" t="s">
        <v>1554</v>
      </c>
      <c r="Q365" s="241"/>
      <c r="R365" s="147"/>
      <c r="S365" s="236"/>
      <c r="T365" s="236" t="s">
        <v>3985</v>
      </c>
      <c r="U365" s="236" t="s">
        <v>2280</v>
      </c>
      <c r="W365" s="44"/>
      <c r="X365" s="44"/>
      <c r="AA365"/>
      <c r="AB365"/>
      <c r="AC365" s="68"/>
      <c r="AD365" s="68"/>
    </row>
    <row r="366" spans="16:30" ht="10.5" customHeight="1">
      <c r="P366" s="241" t="s">
        <v>1622</v>
      </c>
      <c r="Q366" s="241"/>
      <c r="R366" s="147"/>
      <c r="S366" s="236"/>
      <c r="T366" s="391" t="s">
        <v>1750</v>
      </c>
      <c r="U366" s="391" t="s">
        <v>615</v>
      </c>
      <c r="W366" s="44"/>
      <c r="X366" s="44"/>
      <c r="AA366"/>
      <c r="AB366"/>
      <c r="AC366" s="379"/>
      <c r="AD366" s="68"/>
    </row>
    <row r="367" spans="16:30" ht="10.5" customHeight="1">
      <c r="P367" s="241" t="s">
        <v>2098</v>
      </c>
      <c r="Q367" s="241"/>
      <c r="R367" s="147"/>
      <c r="S367" s="236"/>
      <c r="T367" s="391" t="s">
        <v>1752</v>
      </c>
      <c r="U367" s="391" t="s">
        <v>1234</v>
      </c>
      <c r="W367" s="44"/>
      <c r="X367" s="44"/>
      <c r="AA367"/>
      <c r="AB367"/>
      <c r="AC367" s="379"/>
      <c r="AD367" s="68"/>
    </row>
    <row r="368" spans="16:30" ht="10.5" customHeight="1">
      <c r="P368" s="241" t="s">
        <v>2100</v>
      </c>
      <c r="Q368" s="241"/>
      <c r="R368" s="147"/>
      <c r="S368" s="236"/>
      <c r="T368" s="391" t="s">
        <v>2528</v>
      </c>
      <c r="U368" s="391" t="s">
        <v>192</v>
      </c>
      <c r="W368" s="44"/>
      <c r="X368" s="44"/>
      <c r="AA368"/>
      <c r="AB368"/>
      <c r="AC368" s="379"/>
      <c r="AD368" s="68"/>
    </row>
    <row r="369" spans="16:30" ht="10.5" customHeight="1">
      <c r="P369" s="241" t="s">
        <v>927</v>
      </c>
      <c r="Q369" s="241"/>
      <c r="R369" s="147"/>
      <c r="S369" s="236"/>
      <c r="T369" s="391" t="s">
        <v>1754</v>
      </c>
      <c r="U369" s="391" t="s">
        <v>1237</v>
      </c>
      <c r="W369" s="44"/>
      <c r="X369" s="44"/>
      <c r="AA369"/>
      <c r="AB369"/>
      <c r="AC369" s="379"/>
      <c r="AD369" s="68"/>
    </row>
    <row r="370" spans="16:30" ht="10.5" customHeight="1">
      <c r="P370" s="241" t="s">
        <v>630</v>
      </c>
      <c r="Q370" s="241"/>
      <c r="R370" s="147"/>
      <c r="S370" s="236"/>
      <c r="T370" s="391" t="s">
        <v>1788</v>
      </c>
      <c r="U370" s="391" t="s">
        <v>305</v>
      </c>
      <c r="W370" s="44"/>
      <c r="X370" s="44"/>
      <c r="AA370"/>
      <c r="AB370"/>
      <c r="AC370" s="379"/>
      <c r="AD370" s="68"/>
    </row>
    <row r="371" spans="16:30" ht="10.5" customHeight="1">
      <c r="P371" s="241" t="s">
        <v>526</v>
      </c>
      <c r="Q371" s="241"/>
      <c r="R371" s="147"/>
      <c r="S371" s="236"/>
      <c r="T371" s="391" t="s">
        <v>2529</v>
      </c>
      <c r="U371" s="391" t="s">
        <v>608</v>
      </c>
      <c r="W371" s="44"/>
      <c r="X371" s="44"/>
      <c r="AA371"/>
      <c r="AB371"/>
      <c r="AC371" s="379"/>
      <c r="AD371" s="68"/>
    </row>
    <row r="372" spans="16:30" ht="10.5" customHeight="1">
      <c r="P372" s="241" t="s">
        <v>626</v>
      </c>
      <c r="Q372" s="241"/>
      <c r="R372" s="147"/>
      <c r="S372" s="236"/>
      <c r="T372" s="391" t="s">
        <v>1791</v>
      </c>
      <c r="U372" s="391" t="s">
        <v>2373</v>
      </c>
      <c r="W372" s="44"/>
      <c r="X372" s="44"/>
      <c r="AA372"/>
      <c r="AB372"/>
      <c r="AC372" s="379"/>
      <c r="AD372" s="68"/>
    </row>
    <row r="373" spans="16:30" ht="10.5" customHeight="1">
      <c r="P373" s="241" t="s">
        <v>2194</v>
      </c>
      <c r="Q373" s="241"/>
      <c r="R373" s="147"/>
      <c r="S373" s="236"/>
      <c r="T373" s="391" t="s">
        <v>1793</v>
      </c>
      <c r="U373" s="391" t="s">
        <v>1234</v>
      </c>
      <c r="W373" s="44"/>
      <c r="X373" s="44"/>
      <c r="AA373"/>
      <c r="AB373"/>
      <c r="AC373" s="379"/>
      <c r="AD373" s="68"/>
    </row>
    <row r="374" spans="16:30" ht="10.5" customHeight="1">
      <c r="P374" s="241" t="s">
        <v>211</v>
      </c>
      <c r="Q374" s="241"/>
      <c r="R374" s="147"/>
      <c r="S374" s="236"/>
      <c r="T374" s="391" t="s">
        <v>2069</v>
      </c>
      <c r="U374" s="391" t="s">
        <v>2319</v>
      </c>
      <c r="W374" s="44"/>
      <c r="X374" s="44"/>
      <c r="AA374"/>
      <c r="AB374"/>
      <c r="AC374" s="379"/>
      <c r="AD374" s="68"/>
    </row>
    <row r="375" spans="16:30" ht="10.5" customHeight="1">
      <c r="P375" s="241" t="s">
        <v>726</v>
      </c>
      <c r="Q375" s="241"/>
      <c r="R375" s="147"/>
      <c r="S375" s="236"/>
      <c r="T375" s="391" t="s">
        <v>2363</v>
      </c>
      <c r="U375" s="391" t="s">
        <v>2009</v>
      </c>
      <c r="W375" s="44"/>
      <c r="X375" s="44"/>
      <c r="AA375"/>
      <c r="AB375"/>
      <c r="AC375" s="379"/>
      <c r="AD375" s="68"/>
    </row>
    <row r="376" spans="16:30" ht="10.5" customHeight="1">
      <c r="P376" s="241" t="s">
        <v>727</v>
      </c>
      <c r="Q376" s="241"/>
      <c r="R376" s="147"/>
      <c r="S376" s="236"/>
      <c r="T376" s="391" t="s">
        <v>2364</v>
      </c>
      <c r="U376" s="391" t="s">
        <v>2283</v>
      </c>
      <c r="W376" s="44"/>
      <c r="X376" s="44"/>
      <c r="AA376"/>
      <c r="AB376"/>
      <c r="AC376" s="379"/>
      <c r="AD376" s="68"/>
    </row>
    <row r="377" spans="16:30" ht="10.5" customHeight="1">
      <c r="P377" s="241" t="s">
        <v>221</v>
      </c>
      <c r="Q377" s="241"/>
      <c r="R377" s="147"/>
      <c r="S377" s="236"/>
      <c r="T377" s="236" t="s">
        <v>394</v>
      </c>
      <c r="U377" s="236" t="s">
        <v>1131</v>
      </c>
      <c r="W377" s="44"/>
      <c r="X377" s="44"/>
      <c r="AA377"/>
      <c r="AB377"/>
      <c r="AC377" s="68"/>
      <c r="AD377" s="68"/>
    </row>
    <row r="378" spans="16:30" ht="10.5" customHeight="1">
      <c r="P378" s="241" t="s">
        <v>223</v>
      </c>
      <c r="Q378" s="241"/>
      <c r="R378" s="147"/>
      <c r="S378" s="236"/>
      <c r="T378" s="391" t="s">
        <v>219</v>
      </c>
      <c r="U378" s="391" t="s">
        <v>620</v>
      </c>
      <c r="W378" s="44"/>
      <c r="X378" s="44"/>
      <c r="AA378"/>
      <c r="AB378"/>
      <c r="AC378" s="379"/>
      <c r="AD378" s="68"/>
    </row>
    <row r="379" spans="16:30" ht="10.5" customHeight="1">
      <c r="P379" s="241" t="s">
        <v>225</v>
      </c>
      <c r="Q379" s="241"/>
      <c r="R379" s="147"/>
      <c r="S379" s="236"/>
      <c r="T379" s="391" t="s">
        <v>2365</v>
      </c>
      <c r="U379" s="391" t="s">
        <v>1856</v>
      </c>
      <c r="W379" s="44"/>
      <c r="X379" s="44"/>
      <c r="AA379"/>
      <c r="AB379"/>
      <c r="AC379" s="379"/>
      <c r="AD379" s="68"/>
    </row>
    <row r="380" spans="16:30" ht="10.5" customHeight="1">
      <c r="P380" s="241" t="s">
        <v>730</v>
      </c>
      <c r="Q380" s="241"/>
      <c r="R380" s="147"/>
      <c r="S380" s="236"/>
      <c r="T380" s="391" t="s">
        <v>1555</v>
      </c>
      <c r="U380" s="391" t="s">
        <v>2281</v>
      </c>
      <c r="W380" s="44"/>
      <c r="X380" s="44"/>
      <c r="AA380"/>
      <c r="AB380"/>
      <c r="AC380" s="379"/>
      <c r="AD380" s="68"/>
    </row>
    <row r="381" spans="16:30" ht="10.5" customHeight="1">
      <c r="P381" s="241" t="s">
        <v>731</v>
      </c>
      <c r="Q381" s="241"/>
      <c r="R381" s="147"/>
      <c r="S381" s="236"/>
      <c r="T381" s="391" t="s">
        <v>2099</v>
      </c>
      <c r="U381" s="391" t="s">
        <v>610</v>
      </c>
      <c r="W381" s="44"/>
      <c r="X381" s="44"/>
      <c r="AA381"/>
      <c r="AB381"/>
      <c r="AC381" s="379"/>
      <c r="AD381" s="68"/>
    </row>
    <row r="382" spans="16:30" ht="10.5" customHeight="1">
      <c r="P382" s="241" t="s">
        <v>733</v>
      </c>
      <c r="Q382" s="241"/>
      <c r="R382" s="147"/>
      <c r="S382" s="236"/>
      <c r="T382" s="391" t="s">
        <v>2101</v>
      </c>
      <c r="U382" s="391" t="s">
        <v>1235</v>
      </c>
      <c r="W382" s="44"/>
      <c r="X382" s="44"/>
      <c r="AA382"/>
      <c r="AB382"/>
      <c r="AC382" s="379"/>
      <c r="AD382" s="68"/>
    </row>
    <row r="383" spans="16:30" ht="10.5" customHeight="1">
      <c r="P383" s="241" t="s">
        <v>1449</v>
      </c>
      <c r="Q383" s="241"/>
      <c r="R383" s="147"/>
      <c r="S383" s="236"/>
      <c r="T383" s="391" t="s">
        <v>928</v>
      </c>
      <c r="U383" s="391" t="s">
        <v>1364</v>
      </c>
      <c r="W383" s="44"/>
      <c r="X383" s="44"/>
      <c r="AA383"/>
      <c r="AB383"/>
      <c r="AC383" s="379"/>
      <c r="AD383" s="68"/>
    </row>
    <row r="384" spans="16:30" ht="10.5" customHeight="1">
      <c r="P384" s="241" t="s">
        <v>1145</v>
      </c>
      <c r="Q384" s="241"/>
      <c r="R384" s="147"/>
      <c r="S384" s="236"/>
      <c r="T384" s="391" t="s">
        <v>527</v>
      </c>
      <c r="U384" s="391" t="s">
        <v>1251</v>
      </c>
      <c r="W384" s="44"/>
      <c r="X384" s="44"/>
      <c r="AA384"/>
      <c r="AB384"/>
      <c r="AC384" s="379"/>
      <c r="AD384" s="68"/>
    </row>
    <row r="385" spans="16:30" ht="10.5" customHeight="1">
      <c r="P385" s="241" t="s">
        <v>1147</v>
      </c>
      <c r="Q385" s="241"/>
      <c r="R385" s="147"/>
      <c r="S385" s="236"/>
      <c r="T385" s="391" t="s">
        <v>627</v>
      </c>
      <c r="U385" s="391" t="s">
        <v>298</v>
      </c>
      <c r="W385" s="44"/>
      <c r="X385" s="44"/>
      <c r="AA385"/>
      <c r="AB385"/>
      <c r="AC385" s="379"/>
      <c r="AD385" s="68"/>
    </row>
    <row r="386" spans="16:30" ht="10.5" customHeight="1">
      <c r="P386" s="241" t="s">
        <v>839</v>
      </c>
      <c r="Q386" s="241"/>
      <c r="R386" s="147"/>
      <c r="S386" s="236"/>
      <c r="T386" s="391" t="s">
        <v>2195</v>
      </c>
      <c r="U386" s="391" t="s">
        <v>150</v>
      </c>
      <c r="W386" s="44"/>
      <c r="X386" s="44"/>
      <c r="AA386"/>
      <c r="AB386"/>
      <c r="AC386" s="379"/>
      <c r="AD386" s="68"/>
    </row>
    <row r="387" spans="16:30" ht="10.5" customHeight="1">
      <c r="P387" s="241" t="s">
        <v>2258</v>
      </c>
      <c r="Q387" s="241"/>
      <c r="R387" s="147"/>
      <c r="S387" s="236"/>
      <c r="T387" s="391" t="s">
        <v>212</v>
      </c>
      <c r="U387" s="391" t="s">
        <v>2280</v>
      </c>
      <c r="W387" s="44"/>
      <c r="X387" s="44"/>
      <c r="AA387"/>
      <c r="AB387"/>
      <c r="AC387" s="379"/>
      <c r="AD387" s="68"/>
    </row>
    <row r="388" spans="16:30" ht="10.5" customHeight="1">
      <c r="P388" s="241" t="s">
        <v>3135</v>
      </c>
      <c r="Q388" s="241"/>
      <c r="R388" s="147"/>
      <c r="S388" s="236"/>
      <c r="T388" s="391" t="s">
        <v>612</v>
      </c>
      <c r="U388" s="391" t="s">
        <v>1526</v>
      </c>
      <c r="W388" s="44"/>
      <c r="X388" s="44"/>
      <c r="AA388"/>
      <c r="AB388"/>
      <c r="AC388" s="379"/>
      <c r="AD388" s="68"/>
    </row>
    <row r="389" spans="16:30" ht="10.5" customHeight="1">
      <c r="P389" s="241" t="s">
        <v>842</v>
      </c>
      <c r="Q389" s="241"/>
      <c r="R389" s="147"/>
      <c r="S389" s="236"/>
      <c r="T389" s="391" t="s">
        <v>2174</v>
      </c>
      <c r="U389" s="391" t="s">
        <v>2278</v>
      </c>
      <c r="W389" s="44"/>
      <c r="X389" s="44"/>
      <c r="AA389"/>
      <c r="AB389"/>
      <c r="AC389" s="379"/>
      <c r="AD389" s="68"/>
    </row>
    <row r="390" spans="16:30" ht="10.5" customHeight="1">
      <c r="P390" s="241" t="s">
        <v>844</v>
      </c>
      <c r="Q390" s="241"/>
      <c r="R390" s="147"/>
      <c r="S390" s="236"/>
      <c r="T390" s="391" t="s">
        <v>222</v>
      </c>
      <c r="U390" s="391" t="s">
        <v>1421</v>
      </c>
      <c r="W390" s="44"/>
      <c r="X390" s="44"/>
      <c r="AA390"/>
      <c r="AB390"/>
      <c r="AC390" s="379"/>
      <c r="AD390" s="68"/>
    </row>
    <row r="391" spans="16:30" ht="10.5" customHeight="1">
      <c r="P391" s="241" t="s">
        <v>846</v>
      </c>
      <c r="Q391" s="241"/>
      <c r="R391" s="147"/>
      <c r="S391" s="236"/>
      <c r="T391" s="391" t="s">
        <v>979</v>
      </c>
      <c r="U391" s="391" t="s">
        <v>1364</v>
      </c>
      <c r="W391" s="44"/>
      <c r="X391" s="44"/>
      <c r="AA391"/>
      <c r="AB391"/>
      <c r="AC391" s="379"/>
      <c r="AD391" s="68"/>
    </row>
    <row r="392" spans="16:30" ht="10.5" customHeight="1">
      <c r="P392" s="241" t="s">
        <v>848</v>
      </c>
      <c r="Q392" s="241"/>
      <c r="R392" s="147"/>
      <c r="S392" s="236"/>
      <c r="T392" s="391" t="s">
        <v>224</v>
      </c>
      <c r="U392" s="391" t="s">
        <v>1025</v>
      </c>
      <c r="W392" s="44"/>
      <c r="X392" s="44"/>
      <c r="AA392"/>
      <c r="AB392"/>
      <c r="AC392" s="379"/>
      <c r="AD392" s="68"/>
    </row>
    <row r="393" spans="16:30" ht="10.5" customHeight="1">
      <c r="P393" s="241" t="s">
        <v>850</v>
      </c>
      <c r="Q393" s="241"/>
      <c r="R393" s="147"/>
      <c r="S393" s="236"/>
      <c r="T393" s="391" t="s">
        <v>613</v>
      </c>
      <c r="U393" s="391" t="s">
        <v>305</v>
      </c>
      <c r="W393" s="44"/>
      <c r="X393" s="44"/>
      <c r="AA393"/>
      <c r="AB393"/>
      <c r="AC393" s="379"/>
      <c r="AD393" s="68"/>
    </row>
    <row r="394" spans="16:30" ht="10.5" customHeight="1">
      <c r="P394" s="241" t="s">
        <v>632</v>
      </c>
      <c r="Q394" s="241"/>
      <c r="R394" s="147"/>
      <c r="S394" s="236"/>
      <c r="T394" s="391" t="s">
        <v>732</v>
      </c>
      <c r="U394" s="391" t="s">
        <v>613</v>
      </c>
      <c r="W394" s="44"/>
      <c r="X394" s="44"/>
      <c r="AA394"/>
      <c r="AB394"/>
      <c r="AC394" s="379"/>
      <c r="AD394" s="68"/>
    </row>
    <row r="395" spans="16:30" ht="10.5" customHeight="1">
      <c r="P395" s="241" t="s">
        <v>49</v>
      </c>
      <c r="Q395" s="241"/>
      <c r="R395" s="147"/>
      <c r="S395" s="236"/>
      <c r="T395" s="391" t="s">
        <v>1144</v>
      </c>
      <c r="U395" s="391" t="s">
        <v>2286</v>
      </c>
      <c r="W395" s="44"/>
      <c r="X395" s="44"/>
      <c r="AA395"/>
      <c r="AB395"/>
      <c r="AC395" s="379"/>
      <c r="AD395" s="68"/>
    </row>
    <row r="396" spans="16:30" ht="10.5" customHeight="1">
      <c r="P396" s="241" t="s">
        <v>899</v>
      </c>
      <c r="Q396" s="241"/>
      <c r="R396" s="147"/>
      <c r="S396" s="236"/>
      <c r="T396" s="391" t="s">
        <v>1146</v>
      </c>
      <c r="U396" s="391" t="s">
        <v>298</v>
      </c>
      <c r="W396" s="44"/>
      <c r="X396" s="44"/>
      <c r="AA396"/>
      <c r="AB396"/>
      <c r="AC396" s="379"/>
      <c r="AD396" s="68"/>
    </row>
    <row r="397" spans="16:30" ht="10.5" customHeight="1">
      <c r="P397" s="241" t="s">
        <v>1615</v>
      </c>
      <c r="Q397" s="241"/>
      <c r="R397" s="147"/>
      <c r="S397" s="236"/>
      <c r="T397" s="391" t="s">
        <v>1148</v>
      </c>
      <c r="U397" s="391" t="s">
        <v>152</v>
      </c>
      <c r="W397" s="44"/>
      <c r="X397" s="44"/>
      <c r="AA397"/>
      <c r="AB397"/>
      <c r="AC397" s="379"/>
      <c r="AD397" s="68"/>
    </row>
    <row r="398" spans="16:30" ht="10.5" customHeight="1">
      <c r="P398" s="241" t="s">
        <v>933</v>
      </c>
      <c r="Q398" s="241"/>
      <c r="R398" s="147"/>
      <c r="S398" s="236"/>
      <c r="T398" s="391" t="s">
        <v>840</v>
      </c>
      <c r="U398" s="391" t="s">
        <v>2067</v>
      </c>
      <c r="W398" s="44"/>
      <c r="X398" s="44"/>
      <c r="AA398"/>
      <c r="AB398"/>
      <c r="AC398" s="379"/>
      <c r="AD398" s="68"/>
    </row>
    <row r="399" spans="16:30" ht="10.5" customHeight="1">
      <c r="P399" s="241" t="s">
        <v>934</v>
      </c>
      <c r="Q399" s="241"/>
      <c r="R399" s="147"/>
      <c r="S399" s="236"/>
      <c r="T399" s="391" t="s">
        <v>2259</v>
      </c>
      <c r="U399" s="391" t="s">
        <v>1734</v>
      </c>
      <c r="W399" s="44"/>
      <c r="X399" s="44"/>
      <c r="AA399"/>
      <c r="AB399"/>
      <c r="AC399" s="379"/>
      <c r="AD399" s="68"/>
    </row>
    <row r="400" spans="16:30" ht="10.5" customHeight="1">
      <c r="P400" s="241" t="s">
        <v>936</v>
      </c>
      <c r="Q400" s="241"/>
      <c r="R400" s="147"/>
      <c r="S400" s="236"/>
      <c r="T400" s="236" t="s">
        <v>843</v>
      </c>
      <c r="U400" s="236" t="s">
        <v>2016</v>
      </c>
      <c r="AA400"/>
      <c r="AB400"/>
      <c r="AC400" s="68"/>
      <c r="AD400" s="68"/>
    </row>
    <row r="401" spans="16:30" ht="10.5" customHeight="1">
      <c r="P401" s="241" t="s">
        <v>915</v>
      </c>
      <c r="Q401" s="241"/>
      <c r="R401" s="147"/>
      <c r="S401" s="236"/>
      <c r="T401" s="391" t="s">
        <v>845</v>
      </c>
      <c r="U401" s="391" t="s">
        <v>1037</v>
      </c>
      <c r="AA401"/>
      <c r="AB401"/>
      <c r="AC401" s="379"/>
      <c r="AD401" s="68"/>
    </row>
    <row r="402" spans="16:30" ht="10.5" customHeight="1">
      <c r="P402" s="241" t="s">
        <v>917</v>
      </c>
      <c r="Q402" s="241"/>
      <c r="R402" s="147"/>
      <c r="S402" s="236"/>
      <c r="T402" s="391" t="s">
        <v>847</v>
      </c>
      <c r="U402" s="391" t="s">
        <v>617</v>
      </c>
      <c r="AA402"/>
      <c r="AB402"/>
      <c r="AC402" s="379"/>
      <c r="AD402" s="68"/>
    </row>
    <row r="403" spans="16:30" ht="10.5" customHeight="1">
      <c r="P403" s="241" t="s">
        <v>919</v>
      </c>
      <c r="Q403" s="241"/>
      <c r="R403" s="147"/>
      <c r="S403" s="236"/>
      <c r="T403" s="391" t="s">
        <v>849</v>
      </c>
      <c r="U403" s="391" t="s">
        <v>298</v>
      </c>
      <c r="AA403"/>
      <c r="AB403"/>
      <c r="AC403" s="379"/>
      <c r="AD403" s="68"/>
    </row>
    <row r="404" spans="16:30" ht="10.5" customHeight="1">
      <c r="P404" s="241" t="s">
        <v>921</v>
      </c>
      <c r="Q404" s="241"/>
      <c r="R404" s="147"/>
      <c r="S404" s="236"/>
      <c r="T404" s="236" t="s">
        <v>851</v>
      </c>
      <c r="U404" s="236" t="s">
        <v>1249</v>
      </c>
      <c r="AA404"/>
      <c r="AB404"/>
      <c r="AC404" s="68"/>
      <c r="AD404" s="68"/>
    </row>
    <row r="405" spans="16:30" ht="10.5" customHeight="1">
      <c r="P405" s="241" t="s">
        <v>530</v>
      </c>
      <c r="Q405" s="241"/>
      <c r="R405" s="147"/>
      <c r="S405" s="236"/>
      <c r="T405" s="391" t="s">
        <v>633</v>
      </c>
      <c r="U405" s="391" t="s">
        <v>2020</v>
      </c>
      <c r="AA405"/>
      <c r="AB405"/>
      <c r="AC405" s="379"/>
      <c r="AD405" s="68"/>
    </row>
    <row r="406" spans="16:30" ht="10.5" customHeight="1">
      <c r="P406" s="241" t="s">
        <v>350</v>
      </c>
      <c r="Q406" s="241"/>
      <c r="R406" s="147"/>
      <c r="S406" s="236"/>
      <c r="T406" s="391" t="s">
        <v>50</v>
      </c>
      <c r="U406" s="391" t="s">
        <v>106</v>
      </c>
      <c r="AA406"/>
      <c r="AB406"/>
      <c r="AC406" s="379"/>
      <c r="AD406" s="68"/>
    </row>
    <row r="407" spans="16:30" ht="10.5" customHeight="1">
      <c r="P407" s="241" t="s">
        <v>352</v>
      </c>
      <c r="Q407" s="241"/>
      <c r="R407" s="147"/>
      <c r="S407" s="236"/>
      <c r="T407" s="391" t="s">
        <v>900</v>
      </c>
      <c r="U407" s="391" t="s">
        <v>1857</v>
      </c>
      <c r="AA407"/>
      <c r="AB407"/>
      <c r="AC407" s="379"/>
      <c r="AD407" s="68"/>
    </row>
    <row r="408" spans="16:30" ht="10.5" customHeight="1">
      <c r="P408" s="241" t="s">
        <v>354</v>
      </c>
      <c r="Q408" s="241"/>
      <c r="R408" s="147"/>
      <c r="S408" s="236"/>
      <c r="T408" s="391" t="s">
        <v>620</v>
      </c>
      <c r="U408" s="391" t="s">
        <v>2203</v>
      </c>
      <c r="AA408"/>
      <c r="AB408"/>
      <c r="AC408" s="379"/>
      <c r="AD408" s="68"/>
    </row>
    <row r="409" spans="16:30" ht="10.5" customHeight="1">
      <c r="P409" s="241" t="s">
        <v>553</v>
      </c>
      <c r="Q409" s="241"/>
      <c r="R409" s="147"/>
      <c r="S409" s="236"/>
      <c r="T409" s="391" t="s">
        <v>935</v>
      </c>
      <c r="U409" s="391" t="s">
        <v>1135</v>
      </c>
      <c r="AA409"/>
      <c r="AB409"/>
      <c r="AC409" s="379"/>
      <c r="AD409" s="68"/>
    </row>
    <row r="410" spans="16:30" ht="10.5" customHeight="1">
      <c r="P410" s="241" t="s">
        <v>1332</v>
      </c>
      <c r="Q410" s="241"/>
      <c r="R410" s="147"/>
      <c r="S410" s="236"/>
      <c r="T410" s="236" t="s">
        <v>937</v>
      </c>
      <c r="U410" s="236" t="s">
        <v>2322</v>
      </c>
      <c r="AA410"/>
      <c r="AB410"/>
      <c r="AC410" s="68"/>
      <c r="AD410" s="68"/>
    </row>
    <row r="411" spans="16:30" ht="10.5" customHeight="1">
      <c r="P411" s="241" t="s">
        <v>1487</v>
      </c>
      <c r="Q411" s="241"/>
      <c r="R411" s="147"/>
      <c r="S411" s="236"/>
      <c r="T411" s="391" t="s">
        <v>916</v>
      </c>
      <c r="U411" s="391" t="s">
        <v>402</v>
      </c>
      <c r="AA411"/>
      <c r="AB411"/>
      <c r="AC411" s="379"/>
      <c r="AD411" s="68"/>
    </row>
    <row r="412" spans="16:30" ht="10.5" customHeight="1">
      <c r="P412" s="241" t="s">
        <v>943</v>
      </c>
      <c r="Q412" s="241"/>
      <c r="R412" s="147"/>
      <c r="S412" s="236"/>
      <c r="T412" s="391" t="s">
        <v>918</v>
      </c>
      <c r="U412" s="391" t="s">
        <v>115</v>
      </c>
      <c r="AA412"/>
      <c r="AB412"/>
      <c r="AC412" s="379"/>
      <c r="AD412" s="68"/>
    </row>
    <row r="413" spans="16:30" ht="10.5" customHeight="1">
      <c r="P413" s="241" t="s">
        <v>945</v>
      </c>
      <c r="Q413" s="241"/>
      <c r="R413" s="147"/>
      <c r="S413" s="236"/>
      <c r="T413" s="391" t="s">
        <v>920</v>
      </c>
      <c r="U413" s="391" t="s">
        <v>624</v>
      </c>
      <c r="AA413"/>
      <c r="AB413"/>
      <c r="AC413" s="379"/>
      <c r="AD413" s="68"/>
    </row>
    <row r="414" spans="16:30" ht="10.5" customHeight="1">
      <c r="P414" s="241" t="s">
        <v>947</v>
      </c>
      <c r="Q414" s="241"/>
      <c r="R414" s="147"/>
      <c r="S414" s="236"/>
      <c r="T414" s="391" t="s">
        <v>922</v>
      </c>
      <c r="U414" s="391" t="s">
        <v>1734</v>
      </c>
      <c r="AA414"/>
      <c r="AB414"/>
      <c r="AC414" s="379"/>
      <c r="AD414" s="68"/>
    </row>
    <row r="415" spans="16:30" ht="10.5" customHeight="1">
      <c r="P415" s="241" t="s">
        <v>1556</v>
      </c>
      <c r="Q415" s="241"/>
      <c r="R415" s="147"/>
      <c r="S415" s="236"/>
      <c r="T415" s="391" t="s">
        <v>980</v>
      </c>
      <c r="U415" s="391" t="s">
        <v>584</v>
      </c>
      <c r="AA415"/>
      <c r="AB415"/>
      <c r="AC415" s="379"/>
      <c r="AD415" s="68"/>
    </row>
    <row r="416" spans="16:30" ht="10.5" customHeight="1">
      <c r="P416" s="241" t="s">
        <v>1557</v>
      </c>
      <c r="Q416" s="241"/>
      <c r="R416" s="147"/>
      <c r="S416" s="236"/>
      <c r="T416" s="391" t="s">
        <v>531</v>
      </c>
      <c r="U416" s="391" t="s">
        <v>2009</v>
      </c>
      <c r="AA416"/>
      <c r="AB416"/>
      <c r="AC416" s="379"/>
      <c r="AD416" s="68"/>
    </row>
    <row r="417" spans="16:30" ht="10.5" customHeight="1">
      <c r="P417" s="241" t="s">
        <v>1558</v>
      </c>
      <c r="Q417" s="241"/>
      <c r="R417" s="147"/>
      <c r="S417" s="236"/>
      <c r="T417" s="391" t="s">
        <v>351</v>
      </c>
      <c r="U417" s="391" t="s">
        <v>2319</v>
      </c>
      <c r="AA417"/>
      <c r="AB417"/>
      <c r="AC417" s="379"/>
      <c r="AD417" s="68"/>
    </row>
    <row r="418" spans="16:30" ht="10.5" customHeight="1">
      <c r="P418" s="241" t="s">
        <v>805</v>
      </c>
      <c r="Q418" s="241"/>
      <c r="R418" s="147"/>
      <c r="S418" s="236"/>
      <c r="T418" s="391" t="s">
        <v>353</v>
      </c>
      <c r="U418" s="391" t="s">
        <v>1364</v>
      </c>
      <c r="AA418"/>
      <c r="AB418"/>
      <c r="AC418" s="379"/>
      <c r="AD418" s="68"/>
    </row>
    <row r="419" spans="16:30" ht="10.5" customHeight="1">
      <c r="P419" s="241" t="s">
        <v>807</v>
      </c>
      <c r="Q419" s="241"/>
      <c r="R419" s="147"/>
      <c r="S419" s="236"/>
      <c r="T419" s="391" t="s">
        <v>981</v>
      </c>
      <c r="U419" s="391" t="s">
        <v>1766</v>
      </c>
      <c r="AA419"/>
      <c r="AB419"/>
      <c r="AC419" s="379"/>
      <c r="AD419" s="68"/>
    </row>
    <row r="420" spans="16:30" ht="10.5" customHeight="1">
      <c r="P420" s="241" t="s">
        <v>809</v>
      </c>
      <c r="Q420" s="241"/>
      <c r="R420" s="147"/>
      <c r="S420" s="236"/>
      <c r="T420" s="391" t="s">
        <v>355</v>
      </c>
      <c r="U420" s="391" t="s">
        <v>818</v>
      </c>
      <c r="AA420"/>
      <c r="AB420"/>
      <c r="AC420" s="379"/>
      <c r="AD420" s="68"/>
    </row>
    <row r="421" spans="16:30" ht="10.5" customHeight="1">
      <c r="P421" s="241" t="s">
        <v>405</v>
      </c>
      <c r="Q421" s="241"/>
      <c r="R421" s="147"/>
      <c r="S421" s="236"/>
      <c r="T421" s="391" t="s">
        <v>1333</v>
      </c>
      <c r="U421" s="391" t="s">
        <v>2069</v>
      </c>
      <c r="AA421"/>
      <c r="AB421"/>
      <c r="AC421" s="379"/>
      <c r="AD421" s="68"/>
    </row>
    <row r="422" spans="16:30" ht="10.5" customHeight="1">
      <c r="P422" s="241" t="s">
        <v>1599</v>
      </c>
      <c r="Q422" s="241"/>
      <c r="R422" s="147"/>
      <c r="S422" s="236"/>
      <c r="T422" s="391" t="s">
        <v>1488</v>
      </c>
      <c r="U422" s="391" t="s">
        <v>168</v>
      </c>
      <c r="AA422"/>
      <c r="AB422"/>
      <c r="AC422" s="379"/>
      <c r="AD422" s="68"/>
    </row>
    <row r="423" spans="16:30" ht="10.5" customHeight="1">
      <c r="P423" s="241" t="s">
        <v>2106</v>
      </c>
      <c r="Q423" s="241"/>
      <c r="R423" s="147"/>
      <c r="S423" s="236"/>
      <c r="T423" s="236" t="s">
        <v>944</v>
      </c>
      <c r="U423" s="236" t="s">
        <v>302</v>
      </c>
      <c r="AA423"/>
      <c r="AB423"/>
      <c r="AC423" s="68"/>
      <c r="AD423" s="68"/>
    </row>
    <row r="424" spans="16:30" ht="10.5" customHeight="1">
      <c r="P424" s="241" t="s">
        <v>1852</v>
      </c>
      <c r="Q424" s="241"/>
      <c r="R424" s="147"/>
      <c r="S424" s="236"/>
      <c r="T424" s="391" t="s">
        <v>946</v>
      </c>
      <c r="U424" s="391" t="s">
        <v>306</v>
      </c>
      <c r="AA424"/>
      <c r="AB424"/>
      <c r="AC424" s="379"/>
      <c r="AD424" s="68"/>
    </row>
    <row r="425" spans="16:30" ht="10.5" customHeight="1">
      <c r="P425" s="241" t="s">
        <v>967</v>
      </c>
      <c r="Q425" s="241"/>
      <c r="R425" s="147"/>
      <c r="S425" s="236"/>
      <c r="T425" s="391" t="s">
        <v>982</v>
      </c>
      <c r="U425" s="391" t="s">
        <v>1854</v>
      </c>
      <c r="AA425"/>
      <c r="AB425"/>
      <c r="AC425" s="379"/>
      <c r="AD425" s="68"/>
    </row>
    <row r="426" spans="16:30" ht="10.5" customHeight="1">
      <c r="P426" s="241" t="s">
        <v>386</v>
      </c>
      <c r="Q426" s="241"/>
      <c r="R426" s="147"/>
      <c r="S426" s="236"/>
      <c r="T426" s="391" t="s">
        <v>948</v>
      </c>
      <c r="U426" s="391" t="s">
        <v>1131</v>
      </c>
      <c r="AA426"/>
      <c r="AB426"/>
      <c r="AC426" s="379"/>
      <c r="AD426" s="68"/>
    </row>
    <row r="427" spans="16:30" ht="10.5" customHeight="1">
      <c r="P427" s="241" t="s">
        <v>388</v>
      </c>
      <c r="Q427" s="241"/>
      <c r="R427" s="147"/>
      <c r="S427" s="236"/>
      <c r="T427" s="391" t="s">
        <v>301</v>
      </c>
      <c r="U427" s="391" t="s">
        <v>2322</v>
      </c>
      <c r="AA427"/>
      <c r="AB427"/>
      <c r="AC427" s="379"/>
      <c r="AD427" s="68"/>
    </row>
    <row r="428" spans="16:30" ht="10.5" customHeight="1">
      <c r="P428" s="241" t="s">
        <v>389</v>
      </c>
      <c r="Q428" s="241"/>
      <c r="R428" s="147"/>
      <c r="S428" s="236"/>
      <c r="T428" s="391" t="s">
        <v>2530</v>
      </c>
      <c r="U428" s="391" t="s">
        <v>1653</v>
      </c>
      <c r="AA428"/>
      <c r="AB428"/>
      <c r="AC428" s="379"/>
      <c r="AD428" s="68"/>
    </row>
    <row r="429" spans="16:30" ht="10.5" customHeight="1">
      <c r="P429" s="241" t="s">
        <v>1798</v>
      </c>
      <c r="Q429" s="241"/>
      <c r="R429" s="147"/>
      <c r="S429" s="236"/>
      <c r="T429" s="391" t="s">
        <v>1559</v>
      </c>
      <c r="U429" s="391" t="s">
        <v>2319</v>
      </c>
      <c r="AA429"/>
      <c r="AB429"/>
      <c r="AC429" s="379"/>
      <c r="AD429" s="68"/>
    </row>
    <row r="430" spans="16:30" ht="10.5" customHeight="1">
      <c r="P430" s="241" t="s">
        <v>461</v>
      </c>
      <c r="Q430" s="241"/>
      <c r="R430" s="147"/>
      <c r="S430" s="236"/>
      <c r="T430" s="391" t="s">
        <v>806</v>
      </c>
      <c r="U430" s="391" t="s">
        <v>100</v>
      </c>
      <c r="AA430"/>
      <c r="AB430"/>
      <c r="AC430" s="379"/>
      <c r="AD430" s="68"/>
    </row>
    <row r="431" spans="16:30" ht="10.5" customHeight="1">
      <c r="P431" s="241" t="s">
        <v>2000</v>
      </c>
      <c r="Q431" s="241"/>
      <c r="R431" s="147"/>
      <c r="S431" s="236"/>
      <c r="T431" s="391" t="s">
        <v>808</v>
      </c>
      <c r="U431" s="391" t="s">
        <v>303</v>
      </c>
      <c r="AA431"/>
      <c r="AB431"/>
      <c r="AC431" s="379"/>
      <c r="AD431" s="68"/>
    </row>
    <row r="432" spans="16:30" ht="10.5" customHeight="1">
      <c r="P432" s="241" t="s">
        <v>1531</v>
      </c>
      <c r="Q432" s="241"/>
      <c r="R432" s="147"/>
      <c r="S432" s="236"/>
      <c r="T432" s="391" t="s">
        <v>1614</v>
      </c>
      <c r="U432" s="391" t="s">
        <v>1033</v>
      </c>
      <c r="AA432"/>
      <c r="AB432"/>
      <c r="AC432" s="379"/>
      <c r="AD432" s="68"/>
    </row>
    <row r="433" spans="16:30" ht="10.5" customHeight="1">
      <c r="P433" s="241" t="s">
        <v>1533</v>
      </c>
      <c r="Q433" s="241"/>
      <c r="R433" s="147"/>
      <c r="S433" s="236"/>
      <c r="T433" s="391" t="s">
        <v>587</v>
      </c>
      <c r="U433" s="391" t="s">
        <v>313</v>
      </c>
      <c r="AA433"/>
      <c r="AB433"/>
      <c r="AC433" s="379"/>
      <c r="AD433" s="68"/>
    </row>
    <row r="434" spans="16:30" ht="10.5" customHeight="1">
      <c r="P434" s="241" t="s">
        <v>293</v>
      </c>
      <c r="Q434" s="241"/>
      <c r="R434" s="147"/>
      <c r="S434" s="236"/>
      <c r="T434" s="391" t="s">
        <v>1600</v>
      </c>
      <c r="U434" s="391" t="s">
        <v>108</v>
      </c>
      <c r="AA434"/>
      <c r="AB434"/>
      <c r="AC434" s="379"/>
      <c r="AD434" s="68"/>
    </row>
    <row r="435" spans="16:30" ht="10.5" customHeight="1">
      <c r="P435" s="241" t="s">
        <v>295</v>
      </c>
      <c r="Q435" s="241"/>
      <c r="R435" s="147"/>
      <c r="S435" s="236"/>
      <c r="T435" s="391" t="s">
        <v>2531</v>
      </c>
      <c r="U435" s="391" t="s">
        <v>152</v>
      </c>
      <c r="AA435"/>
      <c r="AB435"/>
      <c r="AC435" s="379"/>
      <c r="AD435" s="68"/>
    </row>
    <row r="436" spans="16:30" ht="10.5" customHeight="1">
      <c r="P436" s="241" t="s">
        <v>882</v>
      </c>
      <c r="Q436" s="241"/>
      <c r="R436" s="147"/>
      <c r="S436" s="236"/>
      <c r="T436" s="391" t="s">
        <v>1853</v>
      </c>
      <c r="U436" s="391" t="s">
        <v>1043</v>
      </c>
      <c r="AA436"/>
      <c r="AB436"/>
      <c r="AC436" s="379"/>
      <c r="AD436" s="68"/>
    </row>
    <row r="437" spans="16:30" ht="10.5" customHeight="1">
      <c r="P437" s="241" t="s">
        <v>2135</v>
      </c>
      <c r="Q437" s="241"/>
      <c r="R437" s="147"/>
      <c r="S437" s="236"/>
      <c r="T437" s="236" t="s">
        <v>2532</v>
      </c>
      <c r="U437" s="236" t="s">
        <v>306</v>
      </c>
      <c r="AA437"/>
      <c r="AB437"/>
      <c r="AC437" s="68"/>
      <c r="AD437" s="68"/>
    </row>
    <row r="438" spans="16:30" ht="10.5" customHeight="1">
      <c r="P438" s="241" t="s">
        <v>2136</v>
      </c>
      <c r="Q438" s="241"/>
      <c r="R438" s="147"/>
      <c r="S438" s="236"/>
      <c r="T438" s="391" t="s">
        <v>968</v>
      </c>
      <c r="U438" s="391" t="s">
        <v>1766</v>
      </c>
      <c r="AA438"/>
      <c r="AB438"/>
      <c r="AC438" s="379"/>
      <c r="AD438" s="68"/>
    </row>
    <row r="439" spans="16:30" ht="10.5" customHeight="1">
      <c r="P439" s="241" t="s">
        <v>2117</v>
      </c>
      <c r="Q439" s="241"/>
      <c r="R439" s="147"/>
      <c r="S439" s="236"/>
      <c r="T439" s="236" t="s">
        <v>387</v>
      </c>
      <c r="U439" s="236" t="s">
        <v>177</v>
      </c>
      <c r="AA439"/>
      <c r="AB439"/>
      <c r="AC439" s="68"/>
      <c r="AD439" s="68"/>
    </row>
    <row r="440" spans="16:30" ht="10.5" customHeight="1">
      <c r="P440" s="241" t="s">
        <v>2118</v>
      </c>
      <c r="Q440" s="241"/>
      <c r="R440" s="147"/>
      <c r="S440" s="236"/>
      <c r="T440" s="391" t="s">
        <v>983</v>
      </c>
      <c r="U440" s="391" t="s">
        <v>1030</v>
      </c>
      <c r="AA440"/>
      <c r="AB440"/>
      <c r="AC440" s="379"/>
      <c r="AD440" s="68"/>
    </row>
    <row r="441" spans="16:30" ht="10.5" customHeight="1">
      <c r="P441" s="241" t="s">
        <v>2120</v>
      </c>
      <c r="Q441" s="241"/>
      <c r="R441" s="147"/>
      <c r="S441" s="236"/>
      <c r="T441" s="236" t="s">
        <v>390</v>
      </c>
      <c r="U441" s="236" t="s">
        <v>2005</v>
      </c>
      <c r="AA441"/>
      <c r="AB441"/>
      <c r="AC441" s="68"/>
      <c r="AD441" s="68"/>
    </row>
    <row r="442" spans="16:30" ht="10.5" customHeight="1">
      <c r="P442" s="241" t="s">
        <v>478</v>
      </c>
      <c r="Q442" s="241"/>
      <c r="R442" s="147"/>
      <c r="S442" s="236"/>
      <c r="T442" s="391" t="s">
        <v>1799</v>
      </c>
      <c r="U442" s="391" t="s">
        <v>1364</v>
      </c>
      <c r="AA442"/>
      <c r="AB442"/>
      <c r="AC442" s="379"/>
      <c r="AD442" s="68"/>
    </row>
    <row r="443" spans="16:30" ht="10.5" customHeight="1">
      <c r="P443" s="241" t="s">
        <v>179</v>
      </c>
      <c r="Q443" s="241"/>
      <c r="R443" s="147"/>
      <c r="S443" s="236"/>
      <c r="T443" s="391" t="s">
        <v>462</v>
      </c>
      <c r="U443" s="391" t="s">
        <v>2379</v>
      </c>
      <c r="AA443"/>
      <c r="AB443"/>
      <c r="AC443" s="379"/>
      <c r="AD443" s="68"/>
    </row>
    <row r="444" spans="16:30" ht="10.5" customHeight="1">
      <c r="P444" s="241" t="s">
        <v>1955</v>
      </c>
      <c r="Q444" s="241"/>
      <c r="R444" s="147"/>
      <c r="S444" s="236"/>
      <c r="T444" s="391" t="s">
        <v>2001</v>
      </c>
      <c r="U444" s="391" t="s">
        <v>1243</v>
      </c>
      <c r="AA444"/>
      <c r="AB444"/>
      <c r="AC444" s="379"/>
      <c r="AD444" s="68"/>
    </row>
    <row r="445" spans="16:30" ht="10.5" customHeight="1">
      <c r="P445" s="241" t="s">
        <v>1829</v>
      </c>
      <c r="Q445" s="241"/>
      <c r="R445" s="147"/>
      <c r="S445" s="236"/>
      <c r="T445" s="391" t="s">
        <v>1532</v>
      </c>
      <c r="U445" s="391" t="s">
        <v>1770</v>
      </c>
      <c r="AA445"/>
      <c r="AB445"/>
      <c r="AC445" s="379"/>
      <c r="AD445" s="68"/>
    </row>
    <row r="446" spans="16:30" ht="10.5" customHeight="1">
      <c r="P446" s="241" t="s">
        <v>1831</v>
      </c>
      <c r="Q446" s="241"/>
      <c r="R446" s="147"/>
      <c r="S446" s="236"/>
      <c r="T446" s="391" t="s">
        <v>1534</v>
      </c>
      <c r="U446" s="391" t="s">
        <v>157</v>
      </c>
      <c r="AA446"/>
      <c r="AB446"/>
      <c r="AC446" s="379"/>
      <c r="AD446" s="68"/>
    </row>
    <row r="447" spans="16:30" ht="10.5" customHeight="1">
      <c r="P447" s="241" t="s">
        <v>1076</v>
      </c>
      <c r="Q447" s="241"/>
      <c r="R447" s="147"/>
      <c r="S447" s="236"/>
      <c r="T447" s="391" t="s">
        <v>294</v>
      </c>
      <c r="U447" s="391" t="s">
        <v>150</v>
      </c>
      <c r="AA447"/>
      <c r="AB447"/>
      <c r="AC447" s="379"/>
      <c r="AD447" s="68"/>
    </row>
    <row r="448" spans="16:30" ht="10.5" customHeight="1">
      <c r="P448" s="241" t="s">
        <v>1078</v>
      </c>
      <c r="Q448" s="241"/>
      <c r="R448" s="147"/>
      <c r="S448" s="236"/>
      <c r="T448" s="391" t="s">
        <v>296</v>
      </c>
      <c r="U448" s="391" t="s">
        <v>1230</v>
      </c>
      <c r="AA448"/>
      <c r="AB448"/>
      <c r="AC448" s="379"/>
      <c r="AD448" s="68"/>
    </row>
    <row r="449" spans="16:30" ht="10.5" customHeight="1">
      <c r="P449" s="241" t="s">
        <v>1047</v>
      </c>
      <c r="Q449" s="241"/>
      <c r="R449" s="147"/>
      <c r="S449" s="236"/>
      <c r="T449" s="391" t="s">
        <v>883</v>
      </c>
      <c r="U449" s="391" t="s">
        <v>2281</v>
      </c>
      <c r="AA449"/>
      <c r="AB449"/>
      <c r="AC449" s="379"/>
      <c r="AD449" s="68"/>
    </row>
    <row r="450" spans="16:30" ht="10.5" customHeight="1">
      <c r="P450" s="241" t="s">
        <v>1048</v>
      </c>
      <c r="Q450" s="241"/>
      <c r="R450" s="147"/>
      <c r="S450" s="236"/>
      <c r="T450" s="391" t="s">
        <v>2137</v>
      </c>
      <c r="U450" s="391" t="s">
        <v>310</v>
      </c>
      <c r="AA450"/>
      <c r="AB450"/>
      <c r="AC450" s="379"/>
      <c r="AD450" s="68"/>
    </row>
    <row r="451" spans="16:30" ht="10.5" customHeight="1">
      <c r="P451" s="241" t="s">
        <v>67</v>
      </c>
      <c r="Q451" s="241"/>
      <c r="R451" s="147"/>
      <c r="S451" s="236"/>
      <c r="T451" s="391" t="s">
        <v>2533</v>
      </c>
      <c r="U451" s="391" t="s">
        <v>2022</v>
      </c>
      <c r="AA451"/>
      <c r="AB451"/>
      <c r="AC451" s="379"/>
      <c r="AD451" s="68"/>
    </row>
    <row r="452" spans="16:30" ht="10.5" customHeight="1">
      <c r="P452" s="241" t="s">
        <v>346</v>
      </c>
      <c r="Q452" s="241"/>
      <c r="R452" s="147"/>
      <c r="S452" s="236"/>
      <c r="T452" s="435" t="s">
        <v>2119</v>
      </c>
      <c r="U452" s="391" t="s">
        <v>172</v>
      </c>
      <c r="AA452"/>
      <c r="AB452"/>
      <c r="AC452" s="697"/>
      <c r="AD452" s="68"/>
    </row>
    <row r="453" spans="16:30" ht="10.5" customHeight="1">
      <c r="P453" s="241" t="s">
        <v>2072</v>
      </c>
      <c r="Q453" s="241"/>
      <c r="R453" s="147"/>
      <c r="S453" s="236"/>
      <c r="T453" s="391" t="s">
        <v>2121</v>
      </c>
      <c r="U453" s="391" t="s">
        <v>1240</v>
      </c>
      <c r="AA453"/>
      <c r="AB453"/>
      <c r="AC453" s="379"/>
      <c r="AD453" s="68"/>
    </row>
    <row r="454" spans="16:30" ht="10.5" customHeight="1">
      <c r="P454" s="241" t="s">
        <v>1682</v>
      </c>
      <c r="Q454" s="241"/>
      <c r="R454" s="147"/>
      <c r="S454" s="236"/>
      <c r="T454" s="391" t="s">
        <v>479</v>
      </c>
      <c r="U454" s="391" t="s">
        <v>172</v>
      </c>
      <c r="AA454"/>
      <c r="AB454"/>
      <c r="AC454" s="379"/>
      <c r="AD454" s="68"/>
    </row>
    <row r="455" spans="16:30" ht="10.5" customHeight="1">
      <c r="P455" s="241" t="s">
        <v>1628</v>
      </c>
      <c r="Q455" s="241"/>
      <c r="R455" s="147"/>
      <c r="S455" s="236"/>
      <c r="T455" s="391" t="s">
        <v>984</v>
      </c>
      <c r="U455" s="391" t="s">
        <v>1421</v>
      </c>
      <c r="AA455"/>
      <c r="AB455"/>
      <c r="AC455" s="379"/>
      <c r="AD455" s="68"/>
    </row>
    <row r="456" spans="16:30" ht="10.5" customHeight="1">
      <c r="P456" s="241" t="s">
        <v>262</v>
      </c>
      <c r="Q456" s="241"/>
      <c r="R456" s="147"/>
      <c r="S456" s="236"/>
      <c r="T456" s="391" t="s">
        <v>180</v>
      </c>
      <c r="U456" s="391" t="s">
        <v>2007</v>
      </c>
      <c r="AA456"/>
      <c r="AB456"/>
      <c r="AC456" s="379"/>
      <c r="AD456" s="68"/>
    </row>
    <row r="457" spans="16:30" ht="10.5" customHeight="1">
      <c r="P457" s="241" t="s">
        <v>2165</v>
      </c>
      <c r="Q457" s="241"/>
      <c r="R457" s="147"/>
      <c r="S457" s="236"/>
      <c r="T457" s="236" t="s">
        <v>985</v>
      </c>
      <c r="U457" s="236" t="s">
        <v>2280</v>
      </c>
      <c r="AA457"/>
      <c r="AB457"/>
      <c r="AC457" s="68"/>
      <c r="AD457" s="68"/>
    </row>
    <row r="458" spans="16:30" ht="10.5" customHeight="1">
      <c r="P458" s="241" t="s">
        <v>441</v>
      </c>
      <c r="Q458" s="241"/>
      <c r="R458" s="147"/>
      <c r="S458" s="236"/>
      <c r="T458" s="391" t="s">
        <v>1828</v>
      </c>
      <c r="U458" s="391" t="s">
        <v>2203</v>
      </c>
      <c r="AA458"/>
      <c r="AB458"/>
      <c r="AC458" s="379"/>
      <c r="AD458" s="68"/>
    </row>
    <row r="459" spans="16:30" ht="10.5" customHeight="1">
      <c r="P459" s="241" t="s">
        <v>442</v>
      </c>
      <c r="Q459" s="241"/>
      <c r="R459" s="147"/>
      <c r="S459" s="236"/>
      <c r="T459" s="391" t="s">
        <v>986</v>
      </c>
      <c r="U459" s="391" t="s">
        <v>152</v>
      </c>
      <c r="AA459"/>
      <c r="AB459"/>
      <c r="AC459" s="379"/>
      <c r="AD459" s="68"/>
    </row>
    <row r="460" spans="16:30" ht="10.5" customHeight="1">
      <c r="P460" s="241" t="s">
        <v>444</v>
      </c>
      <c r="Q460" s="241"/>
      <c r="R460" s="147"/>
      <c r="S460" s="236"/>
      <c r="T460" s="391" t="s">
        <v>1830</v>
      </c>
      <c r="U460" s="391" t="s">
        <v>2203</v>
      </c>
      <c r="AA460"/>
      <c r="AB460"/>
      <c r="AC460" s="379"/>
      <c r="AD460" s="68"/>
    </row>
    <row r="461" spans="16:30" ht="10.5" customHeight="1">
      <c r="P461" s="241" t="s">
        <v>446</v>
      </c>
      <c r="Q461" s="241"/>
      <c r="R461" s="147"/>
      <c r="S461" s="236"/>
      <c r="T461" s="391" t="s">
        <v>310</v>
      </c>
      <c r="U461" s="391" t="s">
        <v>1251</v>
      </c>
      <c r="AA461"/>
      <c r="AB461"/>
      <c r="AC461" s="379"/>
      <c r="AD461" s="68"/>
    </row>
    <row r="462" spans="16:30" ht="10.5" customHeight="1">
      <c r="P462" s="241" t="s">
        <v>1165</v>
      </c>
      <c r="Q462" s="241"/>
      <c r="R462" s="147"/>
      <c r="S462" s="236"/>
      <c r="T462" s="391" t="s">
        <v>1077</v>
      </c>
      <c r="U462" s="391" t="s">
        <v>812</v>
      </c>
      <c r="AA462"/>
      <c r="AB462"/>
      <c r="AC462" s="379"/>
      <c r="AD462" s="68"/>
    </row>
    <row r="463" spans="16:30" ht="10.5" customHeight="1">
      <c r="P463" s="241" t="s">
        <v>1167</v>
      </c>
      <c r="Q463" s="241"/>
      <c r="R463" s="147"/>
      <c r="S463" s="236"/>
      <c r="T463" s="391" t="s">
        <v>1046</v>
      </c>
      <c r="U463" s="391" t="s">
        <v>815</v>
      </c>
      <c r="AA463"/>
      <c r="AB463"/>
      <c r="AC463" s="379"/>
      <c r="AD463" s="68"/>
    </row>
    <row r="464" spans="16:30" ht="10.5" customHeight="1">
      <c r="P464" s="241" t="s">
        <v>1845</v>
      </c>
      <c r="Q464" s="241"/>
      <c r="R464" s="147"/>
      <c r="S464" s="236"/>
      <c r="T464" s="391" t="s">
        <v>312</v>
      </c>
      <c r="U464" s="391" t="s">
        <v>1027</v>
      </c>
      <c r="AA464"/>
      <c r="AB464"/>
      <c r="AC464" s="379"/>
      <c r="AD464" s="68"/>
    </row>
    <row r="465" spans="16:30" ht="10.5" customHeight="1">
      <c r="P465" s="241" t="s">
        <v>1846</v>
      </c>
      <c r="Q465" s="241"/>
      <c r="R465" s="147"/>
      <c r="S465" s="236"/>
      <c r="T465" s="391" t="s">
        <v>315</v>
      </c>
      <c r="U465" s="391" t="s">
        <v>310</v>
      </c>
      <c r="AA465"/>
      <c r="AB465"/>
      <c r="AC465" s="379"/>
      <c r="AD465" s="68"/>
    </row>
    <row r="466" spans="16:30" ht="10.5" customHeight="1">
      <c r="P466" s="241" t="s">
        <v>70</v>
      </c>
      <c r="Q466" s="241"/>
      <c r="R466" s="147"/>
      <c r="S466" s="236"/>
      <c r="T466" s="236" t="s">
        <v>68</v>
      </c>
      <c r="U466" s="236" t="s">
        <v>1774</v>
      </c>
      <c r="AA466"/>
      <c r="AB466"/>
      <c r="AC466" s="68"/>
      <c r="AD466" s="68"/>
    </row>
    <row r="467" spans="16:30" ht="10.5" customHeight="1">
      <c r="P467" s="241" t="s">
        <v>72</v>
      </c>
      <c r="Q467" s="241"/>
      <c r="R467" s="147"/>
      <c r="S467" s="236"/>
      <c r="T467" s="236" t="s">
        <v>2073</v>
      </c>
      <c r="U467" s="236" t="s">
        <v>1251</v>
      </c>
      <c r="AA467"/>
      <c r="AB467"/>
      <c r="AC467" s="68"/>
      <c r="AD467" s="68"/>
    </row>
    <row r="468" spans="16:30" ht="10.5" customHeight="1">
      <c r="P468" s="241" t="s">
        <v>2214</v>
      </c>
      <c r="Q468" s="241"/>
      <c r="R468" s="147"/>
      <c r="S468" s="236"/>
      <c r="T468" s="391" t="s">
        <v>1627</v>
      </c>
      <c r="U468" s="391" t="s">
        <v>1857</v>
      </c>
      <c r="AA468"/>
      <c r="AB468"/>
      <c r="AC468" s="379"/>
      <c r="AD468" s="68"/>
    </row>
    <row r="469" spans="16:30" ht="10.5" customHeight="1">
      <c r="P469" s="241" t="s">
        <v>2033</v>
      </c>
      <c r="Q469" s="241"/>
      <c r="R469" s="147"/>
      <c r="S469" s="236"/>
      <c r="T469" s="391" t="s">
        <v>1629</v>
      </c>
      <c r="U469" s="391" t="s">
        <v>102</v>
      </c>
      <c r="AA469"/>
      <c r="AB469"/>
      <c r="AC469" s="379"/>
      <c r="AD469" s="68"/>
    </row>
    <row r="470" spans="16:30" ht="10.5" customHeight="1">
      <c r="P470" s="241" t="s">
        <v>2034</v>
      </c>
      <c r="Q470" s="241"/>
      <c r="R470" s="147"/>
      <c r="S470" s="236"/>
      <c r="T470" s="391" t="s">
        <v>644</v>
      </c>
      <c r="U470" s="391" t="s">
        <v>1131</v>
      </c>
      <c r="AA470"/>
      <c r="AB470"/>
      <c r="AC470" s="379"/>
      <c r="AD470" s="68"/>
    </row>
    <row r="471" spans="16:30" ht="10.5" customHeight="1">
      <c r="P471" s="241" t="s">
        <v>901</v>
      </c>
      <c r="Q471" s="241"/>
      <c r="R471" s="147"/>
      <c r="S471" s="236"/>
      <c r="T471" s="391" t="s">
        <v>2164</v>
      </c>
      <c r="U471" s="391" t="s">
        <v>2280</v>
      </c>
      <c r="AA471"/>
      <c r="AB471"/>
      <c r="AC471" s="379"/>
      <c r="AD471" s="68"/>
    </row>
    <row r="472" spans="16:30" ht="10.5" customHeight="1">
      <c r="P472" s="241" t="s">
        <v>903</v>
      </c>
      <c r="Q472" s="241"/>
      <c r="R472" s="147"/>
      <c r="S472" s="236"/>
      <c r="T472" s="391" t="s">
        <v>2166</v>
      </c>
      <c r="U472" s="391" t="s">
        <v>2016</v>
      </c>
      <c r="AA472"/>
      <c r="AB472"/>
      <c r="AC472" s="379"/>
      <c r="AD472" s="68"/>
    </row>
    <row r="473" spans="16:30" ht="10.5" customHeight="1">
      <c r="P473" s="241" t="s">
        <v>1392</v>
      </c>
      <c r="Q473" s="241"/>
      <c r="R473" s="147"/>
      <c r="S473" s="236"/>
      <c r="T473" s="391" t="s">
        <v>443</v>
      </c>
      <c r="U473" s="391" t="s">
        <v>2283</v>
      </c>
      <c r="AA473"/>
      <c r="AB473"/>
      <c r="AC473" s="379"/>
      <c r="AD473" s="68"/>
    </row>
    <row r="474" spans="16:30" ht="10.5" customHeight="1">
      <c r="P474" s="241" t="s">
        <v>1393</v>
      </c>
      <c r="Q474" s="241"/>
      <c r="R474" s="147"/>
      <c r="S474" s="236"/>
      <c r="T474" s="391" t="s">
        <v>445</v>
      </c>
      <c r="U474" s="391" t="s">
        <v>1249</v>
      </c>
      <c r="AA474"/>
      <c r="AB474"/>
      <c r="AC474" s="379"/>
      <c r="AD474" s="68"/>
    </row>
    <row r="475" spans="16:30" ht="10.5" customHeight="1">
      <c r="P475" s="241" t="s">
        <v>1395</v>
      </c>
      <c r="Q475" s="241"/>
      <c r="R475" s="147"/>
      <c r="S475" s="236"/>
      <c r="T475" s="391" t="s">
        <v>987</v>
      </c>
      <c r="U475" s="391" t="s">
        <v>1254</v>
      </c>
      <c r="AA475"/>
      <c r="AB475"/>
      <c r="AC475" s="379"/>
      <c r="AD475" s="68"/>
    </row>
    <row r="476" spans="16:30" ht="10.5" customHeight="1">
      <c r="P476" s="241" t="s">
        <v>1397</v>
      </c>
      <c r="Q476" s="241"/>
      <c r="R476" s="147"/>
      <c r="S476" s="236"/>
      <c r="T476" s="391" t="s">
        <v>447</v>
      </c>
      <c r="U476" s="391" t="s">
        <v>1254</v>
      </c>
      <c r="AA476"/>
      <c r="AB476"/>
      <c r="AC476" s="379"/>
      <c r="AD476" s="68"/>
    </row>
    <row r="477" spans="16:30" ht="10.5" customHeight="1">
      <c r="P477" s="241" t="s">
        <v>1399</v>
      </c>
      <c r="Q477" s="241"/>
      <c r="R477" s="147"/>
      <c r="S477" s="236"/>
      <c r="T477" s="236" t="s">
        <v>1166</v>
      </c>
      <c r="U477" s="236" t="s">
        <v>1234</v>
      </c>
      <c r="AA477"/>
      <c r="AB477"/>
      <c r="AC477" s="68"/>
      <c r="AD477" s="68"/>
    </row>
    <row r="478" spans="16:30" ht="10.5" customHeight="1">
      <c r="P478" s="241" t="s">
        <v>2151</v>
      </c>
      <c r="Q478" s="241"/>
      <c r="R478" s="147"/>
      <c r="S478" s="236"/>
      <c r="T478" s="391" t="s">
        <v>1168</v>
      </c>
      <c r="U478" s="391" t="s">
        <v>319</v>
      </c>
      <c r="AA478"/>
      <c r="AB478"/>
      <c r="AC478" s="379"/>
      <c r="AD478" s="68"/>
    </row>
    <row r="479" spans="16:30" ht="10.5" customHeight="1">
      <c r="P479" s="241" t="s">
        <v>2383</v>
      </c>
      <c r="Q479" s="241"/>
      <c r="R479" s="147"/>
      <c r="S479" s="236"/>
      <c r="T479" s="391" t="s">
        <v>2534</v>
      </c>
      <c r="U479" s="391" t="s">
        <v>2323</v>
      </c>
      <c r="AA479"/>
      <c r="AB479"/>
      <c r="AC479" s="379"/>
      <c r="AD479" s="68"/>
    </row>
    <row r="480" spans="16:30" ht="10.5" customHeight="1">
      <c r="P480" s="241" t="s">
        <v>1203</v>
      </c>
      <c r="Q480" s="241"/>
      <c r="R480" s="147"/>
      <c r="S480" s="236"/>
      <c r="T480" s="391" t="s">
        <v>1847</v>
      </c>
      <c r="U480" s="391" t="s">
        <v>1856</v>
      </c>
      <c r="AA480"/>
      <c r="AB480"/>
      <c r="AC480" s="379"/>
      <c r="AD480" s="68"/>
    </row>
    <row r="481" spans="16:30" ht="10.5" customHeight="1">
      <c r="P481" s="241" t="s">
        <v>1409</v>
      </c>
      <c r="Q481" s="241"/>
      <c r="R481" s="147"/>
      <c r="S481" s="236"/>
      <c r="T481" s="391" t="s">
        <v>71</v>
      </c>
      <c r="U481" s="391" t="s">
        <v>1770</v>
      </c>
      <c r="AA481"/>
      <c r="AB481"/>
      <c r="AC481" s="379"/>
      <c r="AD481" s="68"/>
    </row>
    <row r="482" spans="16:30" ht="10.5" customHeight="1">
      <c r="P482" s="241" t="s">
        <v>761</v>
      </c>
      <c r="Q482" s="241"/>
      <c r="R482" s="147"/>
      <c r="S482" s="236"/>
      <c r="T482" s="391" t="s">
        <v>588</v>
      </c>
      <c r="U482" s="391" t="s">
        <v>2280</v>
      </c>
      <c r="AA482"/>
      <c r="AB482"/>
      <c r="AC482" s="379"/>
      <c r="AD482" s="68"/>
    </row>
    <row r="483" spans="16:30" ht="10.5" customHeight="1">
      <c r="P483" s="241" t="s">
        <v>762</v>
      </c>
      <c r="Q483" s="241"/>
      <c r="R483" s="147"/>
      <c r="S483" s="236"/>
      <c r="T483" s="391" t="s">
        <v>73</v>
      </c>
      <c r="U483" s="391" t="s">
        <v>168</v>
      </c>
      <c r="AA483"/>
      <c r="AB483"/>
      <c r="AC483" s="379"/>
      <c r="AD483" s="68"/>
    </row>
    <row r="484" spans="16:30" ht="10.5" customHeight="1">
      <c r="P484" s="241" t="s">
        <v>764</v>
      </c>
      <c r="Q484" s="241"/>
      <c r="R484" s="147"/>
      <c r="S484" s="236"/>
      <c r="T484" s="391" t="s">
        <v>2215</v>
      </c>
      <c r="U484" s="391" t="s">
        <v>1360</v>
      </c>
      <c r="AA484"/>
      <c r="AB484"/>
      <c r="AC484" s="379"/>
      <c r="AD484" s="68"/>
    </row>
    <row r="485" spans="16:30" ht="10.5" customHeight="1">
      <c r="P485" s="241" t="s">
        <v>765</v>
      </c>
      <c r="Q485" s="241"/>
      <c r="R485" s="147"/>
      <c r="S485" s="236"/>
      <c r="T485" s="391" t="s">
        <v>988</v>
      </c>
      <c r="U485" s="391" t="s">
        <v>1421</v>
      </c>
      <c r="AA485"/>
      <c r="AB485"/>
      <c r="AC485" s="379"/>
      <c r="AD485" s="68"/>
    </row>
    <row r="486" spans="16:30" ht="10.5" customHeight="1">
      <c r="P486" s="241" t="s">
        <v>113</v>
      </c>
      <c r="Q486" s="241"/>
      <c r="R486" s="147"/>
      <c r="S486" s="236"/>
      <c r="T486" s="391" t="s">
        <v>989</v>
      </c>
      <c r="U486" s="391" t="s">
        <v>1044</v>
      </c>
      <c r="AA486"/>
      <c r="AB486"/>
      <c r="AC486" s="379"/>
      <c r="AD486" s="68"/>
    </row>
    <row r="487" spans="16:30" ht="10.5" customHeight="1">
      <c r="P487" s="241" t="s">
        <v>239</v>
      </c>
      <c r="Q487" s="241"/>
      <c r="R487" s="147"/>
      <c r="S487" s="236"/>
      <c r="T487" s="391" t="s">
        <v>570</v>
      </c>
      <c r="U487" s="391" t="s">
        <v>613</v>
      </c>
      <c r="AA487"/>
      <c r="AB487"/>
      <c r="AC487" s="379"/>
      <c r="AD487" s="68"/>
    </row>
    <row r="488" spans="16:30" ht="10.5" customHeight="1">
      <c r="P488" s="241" t="s">
        <v>1406</v>
      </c>
      <c r="Q488" s="241"/>
      <c r="R488" s="147"/>
      <c r="S488" s="236"/>
      <c r="T488" s="391" t="s">
        <v>902</v>
      </c>
      <c r="U488" s="391" t="s">
        <v>115</v>
      </c>
      <c r="AA488"/>
      <c r="AB488"/>
      <c r="AC488" s="379"/>
      <c r="AD488" s="68"/>
    </row>
    <row r="489" spans="16:30" ht="10.5" customHeight="1">
      <c r="P489" s="241" t="s">
        <v>234</v>
      </c>
      <c r="Q489" s="241"/>
      <c r="R489" s="147"/>
      <c r="S489" s="236"/>
      <c r="T489" s="391" t="s">
        <v>904</v>
      </c>
      <c r="U489" s="391" t="s">
        <v>1252</v>
      </c>
      <c r="AA489"/>
      <c r="AB489"/>
      <c r="AC489" s="379"/>
      <c r="AD489" s="68"/>
    </row>
    <row r="490" spans="16:30" ht="10.5" customHeight="1">
      <c r="P490" s="241" t="s">
        <v>1411</v>
      </c>
      <c r="Q490" s="241"/>
      <c r="R490" s="147"/>
      <c r="S490" s="236"/>
      <c r="T490" s="391" t="s">
        <v>1394</v>
      </c>
      <c r="U490" s="391" t="s">
        <v>1363</v>
      </c>
      <c r="AA490"/>
      <c r="AB490"/>
      <c r="AC490" s="379"/>
      <c r="AD490" s="68"/>
    </row>
    <row r="491" spans="16:30" ht="10.5" customHeight="1">
      <c r="P491" s="241" t="s">
        <v>1413</v>
      </c>
      <c r="Q491" s="241"/>
      <c r="R491" s="147"/>
      <c r="S491" s="236"/>
      <c r="T491" s="391" t="s">
        <v>1396</v>
      </c>
      <c r="U491" s="391" t="s">
        <v>2320</v>
      </c>
      <c r="AA491"/>
      <c r="AB491"/>
      <c r="AC491" s="379"/>
      <c r="AD491" s="68"/>
    </row>
    <row r="492" spans="16:30" ht="10.5" customHeight="1">
      <c r="P492" s="241" t="s">
        <v>1312</v>
      </c>
      <c r="Q492" s="241"/>
      <c r="R492" s="147"/>
      <c r="S492" s="236"/>
      <c r="T492" s="391" t="s">
        <v>1398</v>
      </c>
      <c r="U492" s="391" t="s">
        <v>2014</v>
      </c>
      <c r="AA492"/>
      <c r="AB492"/>
      <c r="AC492" s="379"/>
      <c r="AD492" s="68"/>
    </row>
    <row r="493" spans="16:30" ht="10.5" customHeight="1">
      <c r="P493" s="241" t="s">
        <v>1314</v>
      </c>
      <c r="Q493" s="241"/>
      <c r="R493" s="147"/>
      <c r="S493" s="236"/>
      <c r="T493" s="391" t="s">
        <v>2150</v>
      </c>
      <c r="U493" s="391" t="s">
        <v>2378</v>
      </c>
      <c r="AA493"/>
      <c r="AB493"/>
      <c r="AC493" s="379"/>
      <c r="AD493" s="68"/>
    </row>
    <row r="494" spans="16:30" ht="10.5" customHeight="1">
      <c r="P494" s="241" t="s">
        <v>1316</v>
      </c>
      <c r="Q494" s="241"/>
      <c r="R494" s="147"/>
      <c r="S494" s="236"/>
      <c r="T494" s="391" t="s">
        <v>2152</v>
      </c>
      <c r="U494" s="391" t="s">
        <v>115</v>
      </c>
      <c r="AA494"/>
      <c r="AB494"/>
      <c r="AC494" s="379"/>
      <c r="AD494" s="68"/>
    </row>
    <row r="495" spans="16:30" ht="10.5" customHeight="1">
      <c r="P495" s="241" t="s">
        <v>1317</v>
      </c>
      <c r="Q495" s="241"/>
      <c r="R495" s="147"/>
      <c r="S495" s="236"/>
      <c r="T495" s="236" t="s">
        <v>1202</v>
      </c>
      <c r="U495" s="236" t="s">
        <v>891</v>
      </c>
      <c r="AA495"/>
      <c r="AB495"/>
      <c r="AC495" s="68"/>
      <c r="AD495" s="68"/>
    </row>
    <row r="496" spans="16:30" ht="10.5" customHeight="1">
      <c r="P496" s="241" t="s">
        <v>1319</v>
      </c>
      <c r="Q496" s="241"/>
      <c r="R496" s="147"/>
      <c r="S496" s="236"/>
      <c r="T496" s="391" t="s">
        <v>990</v>
      </c>
      <c r="U496" s="391" t="s">
        <v>1854</v>
      </c>
      <c r="AA496"/>
      <c r="AB496"/>
      <c r="AC496" s="379"/>
      <c r="AD496" s="68"/>
    </row>
    <row r="497" spans="16:30" ht="10.5" customHeight="1">
      <c r="P497" s="241" t="s">
        <v>1321</v>
      </c>
      <c r="Q497" s="241"/>
      <c r="R497" s="147"/>
      <c r="S497" s="236"/>
      <c r="T497" s="391" t="s">
        <v>1204</v>
      </c>
      <c r="U497" s="391" t="s">
        <v>1365</v>
      </c>
      <c r="AA497"/>
      <c r="AB497"/>
      <c r="AC497" s="379"/>
      <c r="AD497" s="68"/>
    </row>
    <row r="498" spans="16:30" ht="10.5" customHeight="1">
      <c r="P498" s="241" t="s">
        <v>1464</v>
      </c>
      <c r="Q498" s="241"/>
      <c r="R498" s="147"/>
      <c r="S498" s="236"/>
      <c r="T498" s="391" t="s">
        <v>769</v>
      </c>
      <c r="U498" s="391" t="s">
        <v>1856</v>
      </c>
      <c r="AA498"/>
      <c r="AB498"/>
      <c r="AC498" s="379"/>
      <c r="AD498" s="68"/>
    </row>
    <row r="499" spans="16:30" ht="10.5" customHeight="1">
      <c r="P499" s="241" t="s">
        <v>1465</v>
      </c>
      <c r="Q499" s="241"/>
      <c r="R499" s="147"/>
      <c r="S499" s="236"/>
      <c r="T499" s="391" t="s">
        <v>770</v>
      </c>
      <c r="U499" s="391" t="s">
        <v>814</v>
      </c>
      <c r="AA499"/>
      <c r="AB499"/>
      <c r="AC499" s="379"/>
      <c r="AD499" s="68"/>
    </row>
    <row r="500" spans="16:30" ht="10.5" customHeight="1">
      <c r="P500" s="241" t="s">
        <v>1466</v>
      </c>
      <c r="Q500" s="241"/>
      <c r="R500" s="147"/>
      <c r="S500" s="236"/>
      <c r="T500" s="391" t="s">
        <v>763</v>
      </c>
      <c r="U500" s="391" t="s">
        <v>584</v>
      </c>
      <c r="AA500"/>
      <c r="AB500"/>
      <c r="AC500" s="379"/>
      <c r="AD500" s="68"/>
    </row>
    <row r="501" spans="16:30" ht="10.5" customHeight="1">
      <c r="P501" s="241" t="s">
        <v>1467</v>
      </c>
      <c r="Q501" s="241"/>
      <c r="R501" s="147"/>
      <c r="S501" s="236"/>
      <c r="T501" s="391" t="s">
        <v>766</v>
      </c>
      <c r="U501" s="391" t="s">
        <v>306</v>
      </c>
      <c r="AA501"/>
      <c r="AB501"/>
      <c r="AC501" s="379"/>
      <c r="AD501" s="68"/>
    </row>
    <row r="502" spans="16:30" ht="10.5" customHeight="1">
      <c r="P502" s="241" t="s">
        <v>1469</v>
      </c>
      <c r="Q502" s="241"/>
      <c r="R502" s="147"/>
      <c r="S502" s="236"/>
      <c r="T502" s="391" t="s">
        <v>114</v>
      </c>
      <c r="U502" s="391" t="s">
        <v>1857</v>
      </c>
      <c r="AA502"/>
      <c r="AB502"/>
      <c r="AC502" s="379"/>
      <c r="AD502" s="68"/>
    </row>
    <row r="503" spans="16:30" ht="10.5" customHeight="1">
      <c r="P503" s="241" t="s">
        <v>1471</v>
      </c>
      <c r="Q503" s="241"/>
      <c r="R503" s="147"/>
      <c r="S503" s="236"/>
      <c r="T503" s="391" t="s">
        <v>240</v>
      </c>
      <c r="U503" s="391" t="s">
        <v>1734</v>
      </c>
      <c r="AA503"/>
      <c r="AB503"/>
      <c r="AC503" s="379"/>
      <c r="AD503" s="68"/>
    </row>
    <row r="504" spans="16:30" ht="10.5" customHeight="1">
      <c r="P504" s="241" t="s">
        <v>1472</v>
      </c>
      <c r="Q504" s="241"/>
      <c r="R504" s="147"/>
      <c r="S504" s="236"/>
      <c r="T504" s="236" t="s">
        <v>1407</v>
      </c>
      <c r="U504" s="236" t="s">
        <v>1856</v>
      </c>
      <c r="AA504"/>
      <c r="AB504"/>
      <c r="AC504" s="68"/>
      <c r="AD504" s="68"/>
    </row>
    <row r="505" spans="16:30" ht="10.5" customHeight="1">
      <c r="P505" s="241" t="s">
        <v>1474</v>
      </c>
      <c r="Q505" s="241"/>
      <c r="R505" s="147"/>
      <c r="S505" s="236"/>
      <c r="T505" s="391" t="s">
        <v>1410</v>
      </c>
      <c r="U505" s="391" t="s">
        <v>315</v>
      </c>
      <c r="AA505"/>
      <c r="AB505"/>
      <c r="AC505" s="379"/>
      <c r="AD505" s="68"/>
    </row>
    <row r="506" spans="16:30" ht="10.5" customHeight="1">
      <c r="P506" s="241" t="s">
        <v>357</v>
      </c>
      <c r="Q506" s="241"/>
      <c r="R506" s="147"/>
      <c r="S506" s="236"/>
      <c r="T506" s="391" t="s">
        <v>1412</v>
      </c>
      <c r="U506" s="391" t="s">
        <v>2280</v>
      </c>
      <c r="AA506"/>
      <c r="AB506"/>
      <c r="AC506" s="379"/>
      <c r="AD506" s="68"/>
    </row>
    <row r="507" spans="16:30" ht="10.5" customHeight="1">
      <c r="P507" s="241" t="s">
        <v>236</v>
      </c>
      <c r="Q507" s="241"/>
      <c r="R507" s="147"/>
      <c r="S507" s="236"/>
      <c r="T507" s="391" t="s">
        <v>455</v>
      </c>
      <c r="U507" s="391" t="s">
        <v>1367</v>
      </c>
      <c r="AA507"/>
      <c r="AB507"/>
      <c r="AC507" s="379"/>
      <c r="AD507" s="68"/>
    </row>
    <row r="508" spans="16:30" ht="10.5" customHeight="1">
      <c r="P508" s="241" t="s">
        <v>238</v>
      </c>
      <c r="Q508" s="241"/>
      <c r="R508" s="147"/>
      <c r="S508" s="236"/>
      <c r="T508" s="391" t="s">
        <v>1313</v>
      </c>
      <c r="U508" s="391" t="s">
        <v>298</v>
      </c>
      <c r="AA508"/>
      <c r="AB508"/>
      <c r="AC508" s="379"/>
      <c r="AD508" s="68"/>
    </row>
    <row r="509" spans="16:30" ht="10.5" customHeight="1">
      <c r="P509" s="241" t="s">
        <v>11</v>
      </c>
      <c r="Q509" s="241"/>
      <c r="R509" s="147"/>
      <c r="S509" s="236"/>
      <c r="T509" s="391" t="s">
        <v>1315</v>
      </c>
      <c r="U509" s="391" t="s">
        <v>812</v>
      </c>
      <c r="AA509"/>
      <c r="AB509"/>
      <c r="AC509" s="379"/>
      <c r="AD509" s="68"/>
    </row>
    <row r="510" spans="16:30" ht="10.5" customHeight="1">
      <c r="P510" s="241" t="s">
        <v>1019</v>
      </c>
      <c r="Q510" s="241"/>
      <c r="R510" s="147"/>
      <c r="S510" s="236"/>
      <c r="T510" s="391" t="s">
        <v>169</v>
      </c>
      <c r="U510" s="391" t="s">
        <v>2012</v>
      </c>
      <c r="AA510"/>
      <c r="AB510"/>
      <c r="AC510" s="379"/>
      <c r="AD510" s="68"/>
    </row>
    <row r="511" spans="16:30" ht="10.5" customHeight="1">
      <c r="P511" s="241" t="s">
        <v>1021</v>
      </c>
      <c r="Q511" s="241"/>
      <c r="R511" s="147"/>
      <c r="S511" s="236"/>
      <c r="T511" s="391" t="s">
        <v>1318</v>
      </c>
      <c r="U511" s="391" t="s">
        <v>1734</v>
      </c>
      <c r="AA511"/>
      <c r="AB511"/>
      <c r="AC511" s="379"/>
      <c r="AD511" s="68"/>
    </row>
    <row r="512" spans="16:30" ht="10.5" customHeight="1">
      <c r="P512" s="241" t="s">
        <v>1023</v>
      </c>
      <c r="Q512" s="241"/>
      <c r="R512" s="147"/>
      <c r="S512" s="236"/>
      <c r="T512" s="391" t="s">
        <v>1320</v>
      </c>
      <c r="U512" s="391" t="s">
        <v>155</v>
      </c>
      <c r="AA512"/>
      <c r="AB512"/>
      <c r="AC512" s="379"/>
      <c r="AD512" s="68"/>
    </row>
    <row r="513" spans="16:30" ht="10.5" customHeight="1">
      <c r="P513" s="241" t="s">
        <v>246</v>
      </c>
      <c r="Q513" s="241"/>
      <c r="R513" s="147"/>
      <c r="S513" s="236"/>
      <c r="T513" s="391" t="s">
        <v>2288</v>
      </c>
      <c r="U513" s="391" t="s">
        <v>1764</v>
      </c>
      <c r="AA513"/>
      <c r="AB513"/>
      <c r="AC513" s="379"/>
      <c r="AD513" s="68"/>
    </row>
    <row r="514" spans="16:30" ht="10.5" customHeight="1">
      <c r="P514" s="241" t="s">
        <v>248</v>
      </c>
      <c r="Q514" s="241"/>
      <c r="R514" s="147"/>
      <c r="S514" s="236"/>
      <c r="T514" s="391" t="s">
        <v>991</v>
      </c>
      <c r="U514" s="391" t="s">
        <v>2283</v>
      </c>
      <c r="AA514"/>
      <c r="AB514"/>
      <c r="AC514" s="379"/>
      <c r="AD514" s="68"/>
    </row>
    <row r="515" spans="16:30" ht="10.5" customHeight="1">
      <c r="P515" s="241" t="s">
        <v>1519</v>
      </c>
      <c r="Q515" s="241"/>
      <c r="R515" s="147"/>
      <c r="S515" s="236"/>
      <c r="T515" s="391" t="s">
        <v>1240</v>
      </c>
      <c r="U515" s="391" t="s">
        <v>1239</v>
      </c>
      <c r="AA515"/>
      <c r="AB515"/>
      <c r="AC515" s="379"/>
      <c r="AD515" s="68"/>
    </row>
    <row r="516" spans="16:30" ht="10.5" customHeight="1">
      <c r="P516" s="241" t="s">
        <v>2138</v>
      </c>
      <c r="Q516" s="241"/>
      <c r="R516" s="147"/>
      <c r="S516" s="236"/>
      <c r="T516" s="391" t="s">
        <v>172</v>
      </c>
      <c r="U516" s="391" t="s">
        <v>2371</v>
      </c>
      <c r="AA516"/>
      <c r="AB516"/>
      <c r="AC516" s="379"/>
      <c r="AD516" s="68"/>
    </row>
    <row r="517" spans="16:30" ht="10.5" customHeight="1">
      <c r="P517" s="241" t="s">
        <v>453</v>
      </c>
      <c r="Q517" s="241"/>
      <c r="R517" s="147"/>
      <c r="S517" s="236"/>
      <c r="T517" s="391" t="s">
        <v>1468</v>
      </c>
      <c r="U517" s="391" t="s">
        <v>2020</v>
      </c>
      <c r="AA517"/>
      <c r="AB517"/>
      <c r="AC517" s="379"/>
      <c r="AD517" s="68"/>
    </row>
    <row r="518" spans="16:30" ht="10.5" customHeight="1">
      <c r="P518" s="241" t="s">
        <v>1222</v>
      </c>
      <c r="Q518" s="241"/>
      <c r="R518" s="147"/>
      <c r="S518" s="236"/>
      <c r="T518" s="391" t="s">
        <v>1470</v>
      </c>
      <c r="U518" s="391" t="s">
        <v>1734</v>
      </c>
      <c r="AA518"/>
      <c r="AB518"/>
      <c r="AC518" s="379"/>
      <c r="AD518" s="68"/>
    </row>
    <row r="519" spans="16:30" ht="10.5" customHeight="1">
      <c r="P519" s="241" t="s">
        <v>600</v>
      </c>
      <c r="Q519" s="241"/>
      <c r="R519" s="147"/>
      <c r="S519" s="236"/>
      <c r="T519" s="391" t="s">
        <v>1473</v>
      </c>
      <c r="U519" s="391" t="s">
        <v>2376</v>
      </c>
      <c r="AA519"/>
      <c r="AB519"/>
      <c r="AC519" s="379"/>
      <c r="AD519" s="68"/>
    </row>
    <row r="520" spans="16:30" ht="10.5" customHeight="1">
      <c r="P520" s="241" t="s">
        <v>640</v>
      </c>
      <c r="Q520" s="241"/>
      <c r="R520" s="147"/>
      <c r="S520" s="236"/>
      <c r="T520" s="391" t="s">
        <v>356</v>
      </c>
      <c r="U520" s="391" t="s">
        <v>2283</v>
      </c>
      <c r="AA520"/>
      <c r="AB520"/>
      <c r="AC520" s="379"/>
      <c r="AD520" s="68"/>
    </row>
    <row r="521" spans="16:30" ht="10.5" customHeight="1">
      <c r="P521" s="241" t="s">
        <v>641</v>
      </c>
      <c r="Q521" s="241"/>
      <c r="R521" s="147"/>
      <c r="S521" s="236"/>
      <c r="T521" s="435" t="s">
        <v>358</v>
      </c>
      <c r="U521" s="391" t="s">
        <v>1240</v>
      </c>
      <c r="AA521"/>
      <c r="AB521"/>
      <c r="AC521" s="697"/>
      <c r="AD521" s="68"/>
    </row>
    <row r="522" spans="16:30" ht="10.5" customHeight="1">
      <c r="P522" s="241" t="s">
        <v>487</v>
      </c>
      <c r="Q522" s="241"/>
      <c r="R522" s="147"/>
      <c r="S522" s="236"/>
      <c r="T522" s="435" t="s">
        <v>237</v>
      </c>
      <c r="U522" s="391" t="s">
        <v>2010</v>
      </c>
      <c r="AA522"/>
      <c r="AB522"/>
      <c r="AC522" s="697"/>
      <c r="AD522" s="68"/>
    </row>
    <row r="523" spans="16:30" ht="10.5" customHeight="1">
      <c r="P523" s="241" t="s">
        <v>489</v>
      </c>
      <c r="Q523" s="241"/>
      <c r="R523" s="147"/>
      <c r="S523" s="236"/>
      <c r="T523" s="391" t="s">
        <v>1500</v>
      </c>
      <c r="U523" s="391" t="s">
        <v>2319</v>
      </c>
      <c r="AA523"/>
      <c r="AB523"/>
      <c r="AC523" s="379"/>
      <c r="AD523" s="68"/>
    </row>
    <row r="524" spans="16:30" ht="10.5" customHeight="1">
      <c r="P524" s="241" t="s">
        <v>491</v>
      </c>
      <c r="Q524" s="241"/>
      <c r="R524" s="147"/>
      <c r="S524" s="236"/>
      <c r="T524" s="391" t="s">
        <v>2535</v>
      </c>
      <c r="U524" s="391" t="s">
        <v>315</v>
      </c>
      <c r="AA524"/>
      <c r="AB524"/>
      <c r="AC524" s="379"/>
      <c r="AD524" s="68"/>
    </row>
    <row r="525" spans="16:30" ht="10.5" customHeight="1">
      <c r="P525" s="241" t="s">
        <v>493</v>
      </c>
      <c r="Q525" s="241"/>
      <c r="R525" s="147"/>
      <c r="S525" s="236"/>
      <c r="T525" s="391" t="s">
        <v>1020</v>
      </c>
      <c r="U525" s="391" t="s">
        <v>2378</v>
      </c>
      <c r="AA525"/>
      <c r="AB525"/>
      <c r="AC525" s="379"/>
      <c r="AD525" s="68"/>
    </row>
    <row r="526" spans="16:30" ht="10.5" customHeight="1">
      <c r="P526" s="241" t="s">
        <v>505</v>
      </c>
      <c r="Q526" s="241"/>
      <c r="R526" s="147"/>
      <c r="S526" s="236"/>
      <c r="T526" s="391" t="s">
        <v>1022</v>
      </c>
      <c r="U526" s="391" t="s">
        <v>1230</v>
      </c>
      <c r="AA526"/>
      <c r="AB526"/>
      <c r="AC526" s="379"/>
      <c r="AD526" s="68"/>
    </row>
    <row r="527" spans="16:30" ht="10.5" customHeight="1">
      <c r="P527" s="241" t="s">
        <v>507</v>
      </c>
      <c r="Q527" s="241"/>
      <c r="R527" s="147"/>
      <c r="S527" s="236"/>
      <c r="T527" s="236" t="s">
        <v>1024</v>
      </c>
      <c r="U527" s="236" t="s">
        <v>608</v>
      </c>
      <c r="AA527"/>
      <c r="AB527"/>
      <c r="AC527" s="68"/>
      <c r="AD527" s="68"/>
    </row>
    <row r="528" spans="16:30" ht="10.5" customHeight="1">
      <c r="P528" s="241" t="s">
        <v>668</v>
      </c>
      <c r="Q528" s="241"/>
      <c r="R528" s="147"/>
      <c r="S528" s="236"/>
      <c r="T528" s="391" t="s">
        <v>247</v>
      </c>
      <c r="U528" s="391" t="s">
        <v>306</v>
      </c>
      <c r="AA528"/>
      <c r="AB528"/>
      <c r="AC528" s="379"/>
      <c r="AD528" s="68"/>
    </row>
    <row r="529" spans="16:30" ht="10.5" customHeight="1">
      <c r="P529" s="241" t="s">
        <v>544</v>
      </c>
      <c r="Q529" s="241"/>
      <c r="R529" s="147"/>
      <c r="S529" s="236"/>
      <c r="T529" s="391" t="s">
        <v>249</v>
      </c>
      <c r="U529" s="391" t="s">
        <v>2203</v>
      </c>
      <c r="AA529"/>
      <c r="AB529"/>
      <c r="AC529" s="379"/>
      <c r="AD529" s="68"/>
    </row>
    <row r="530" spans="16:30" ht="10.5" customHeight="1">
      <c r="P530" s="241" t="s">
        <v>545</v>
      </c>
      <c r="Q530" s="241"/>
      <c r="R530" s="147"/>
      <c r="S530" s="236"/>
      <c r="T530" s="236" t="s">
        <v>3255</v>
      </c>
      <c r="U530" s="236" t="s">
        <v>812</v>
      </c>
      <c r="AA530"/>
      <c r="AB530"/>
      <c r="AC530" s="68"/>
      <c r="AD530" s="68"/>
    </row>
    <row r="531" spans="16:30" ht="10.5" customHeight="1">
      <c r="P531" s="241" t="s">
        <v>1920</v>
      </c>
      <c r="Q531" s="241"/>
      <c r="R531" s="147"/>
      <c r="S531" s="236"/>
      <c r="T531" s="391" t="s">
        <v>2139</v>
      </c>
      <c r="U531" s="391" t="s">
        <v>1030</v>
      </c>
      <c r="AA531"/>
      <c r="AB531"/>
      <c r="AC531" s="379"/>
      <c r="AD531" s="68"/>
    </row>
    <row r="532" spans="16:30" ht="10.5" customHeight="1">
      <c r="P532" s="241" t="s">
        <v>436</v>
      </c>
      <c r="Q532" s="241"/>
      <c r="R532" s="147"/>
      <c r="S532" s="236"/>
      <c r="T532" s="391" t="s">
        <v>454</v>
      </c>
      <c r="U532" s="391" t="s">
        <v>1550</v>
      </c>
      <c r="AA532"/>
      <c r="AB532"/>
      <c r="AC532" s="379"/>
      <c r="AD532" s="68"/>
    </row>
    <row r="533" spans="16:30" ht="10.5" customHeight="1">
      <c r="P533" s="241" t="s">
        <v>437</v>
      </c>
      <c r="Q533" s="241"/>
      <c r="R533" s="147"/>
      <c r="S533" s="236"/>
      <c r="T533" s="391" t="s">
        <v>2536</v>
      </c>
      <c r="U533" s="391" t="s">
        <v>2020</v>
      </c>
      <c r="AA533"/>
      <c r="AB533"/>
      <c r="AC533" s="379"/>
      <c r="AD533" s="68"/>
    </row>
    <row r="534" spans="16:30" ht="10.5" customHeight="1">
      <c r="P534" s="241" t="s">
        <v>1186</v>
      </c>
      <c r="Q534" s="241"/>
      <c r="R534" s="147"/>
      <c r="S534" s="236"/>
      <c r="T534" s="391" t="s">
        <v>639</v>
      </c>
      <c r="U534" s="391" t="s">
        <v>155</v>
      </c>
      <c r="AA534"/>
      <c r="AB534"/>
      <c r="AC534" s="379"/>
      <c r="AD534" s="68"/>
    </row>
    <row r="535" spans="16:30" ht="10.5" customHeight="1">
      <c r="P535" s="241" t="s">
        <v>929</v>
      </c>
      <c r="Q535" s="241"/>
      <c r="R535" s="147"/>
      <c r="S535" s="236"/>
      <c r="T535" s="391" t="s">
        <v>486</v>
      </c>
      <c r="U535" s="391" t="s">
        <v>683</v>
      </c>
      <c r="AA535"/>
      <c r="AB535"/>
      <c r="AC535" s="379"/>
      <c r="AD535" s="68"/>
    </row>
    <row r="536" spans="16:30" ht="10.5" customHeight="1">
      <c r="P536" s="241" t="s">
        <v>931</v>
      </c>
      <c r="Q536" s="241"/>
      <c r="R536" s="147"/>
      <c r="S536" s="236"/>
      <c r="T536" s="391" t="s">
        <v>488</v>
      </c>
      <c r="U536" s="391" t="s">
        <v>1249</v>
      </c>
      <c r="AA536"/>
      <c r="AB536"/>
      <c r="AC536" s="379"/>
      <c r="AD536" s="68"/>
    </row>
    <row r="537" spans="16:30" ht="10.5" customHeight="1">
      <c r="P537" s="241" t="s">
        <v>932</v>
      </c>
      <c r="Q537" s="241"/>
      <c r="R537" s="147"/>
      <c r="S537" s="236"/>
      <c r="T537" s="391" t="s">
        <v>490</v>
      </c>
      <c r="U537" s="391" t="s">
        <v>1364</v>
      </c>
      <c r="AA537"/>
      <c r="AB537"/>
      <c r="AC537" s="379"/>
      <c r="AD537" s="68"/>
    </row>
    <row r="538" spans="16:30" ht="10.5" customHeight="1">
      <c r="P538" s="241" t="s">
        <v>133</v>
      </c>
      <c r="Q538" s="241"/>
      <c r="R538" s="147"/>
      <c r="S538" s="236"/>
      <c r="T538" s="391" t="s">
        <v>492</v>
      </c>
      <c r="U538" s="391" t="s">
        <v>812</v>
      </c>
      <c r="AA538"/>
      <c r="AB538"/>
      <c r="AC538" s="379"/>
      <c r="AD538" s="68"/>
    </row>
    <row r="539" spans="16:30" ht="10.5" customHeight="1">
      <c r="P539" s="241" t="s">
        <v>134</v>
      </c>
      <c r="Q539" s="241"/>
      <c r="R539" s="147"/>
      <c r="S539" s="236"/>
      <c r="T539" s="391" t="s">
        <v>494</v>
      </c>
      <c r="U539" s="391" t="s">
        <v>1653</v>
      </c>
      <c r="AA539"/>
      <c r="AB539"/>
      <c r="AC539" s="379"/>
      <c r="AD539" s="68"/>
    </row>
    <row r="540" spans="16:30" ht="10.5" customHeight="1">
      <c r="P540" s="241" t="s">
        <v>136</v>
      </c>
      <c r="Q540" s="241"/>
      <c r="R540" s="147"/>
      <c r="S540" s="236"/>
      <c r="T540" s="391" t="s">
        <v>506</v>
      </c>
      <c r="U540" s="391" t="s">
        <v>317</v>
      </c>
      <c r="AA540"/>
      <c r="AB540"/>
      <c r="AC540" s="379"/>
      <c r="AD540" s="68"/>
    </row>
    <row r="541" spans="16:30" ht="10.5" customHeight="1">
      <c r="P541" s="241" t="s">
        <v>2381</v>
      </c>
      <c r="Q541" s="241"/>
      <c r="R541" s="147"/>
      <c r="S541" s="236"/>
      <c r="T541" s="391" t="s">
        <v>508</v>
      </c>
      <c r="U541" s="391" t="s">
        <v>403</v>
      </c>
      <c r="AA541"/>
      <c r="AB541"/>
      <c r="AC541" s="379"/>
      <c r="AD541" s="68"/>
    </row>
    <row r="542" spans="16:30" ht="10.5" customHeight="1">
      <c r="P542" s="241" t="s">
        <v>1937</v>
      </c>
      <c r="Q542" s="241"/>
      <c r="R542" s="147"/>
      <c r="S542" s="236"/>
      <c r="T542" s="236" t="s">
        <v>645</v>
      </c>
      <c r="U542" s="236" t="s">
        <v>1131</v>
      </c>
      <c r="AA542"/>
      <c r="AB542"/>
      <c r="AC542" s="68"/>
      <c r="AD542" s="68"/>
    </row>
    <row r="543" spans="16:30" ht="10.5" customHeight="1">
      <c r="P543" s="241" t="s">
        <v>1939</v>
      </c>
      <c r="Q543" s="241"/>
      <c r="R543" s="147"/>
      <c r="S543" s="236"/>
      <c r="T543" s="391" t="s">
        <v>771</v>
      </c>
      <c r="U543" s="391" t="s">
        <v>608</v>
      </c>
      <c r="AA543"/>
      <c r="AB543"/>
      <c r="AC543" s="379"/>
      <c r="AD543" s="68"/>
    </row>
    <row r="544" spans="16:30" ht="10.5" customHeight="1">
      <c r="P544" s="241" t="s">
        <v>546</v>
      </c>
      <c r="Q544" s="241"/>
      <c r="R544" s="147"/>
      <c r="S544" s="236"/>
      <c r="T544" s="391" t="s">
        <v>1524</v>
      </c>
      <c r="U544" s="391" t="s">
        <v>617</v>
      </c>
      <c r="AA544"/>
      <c r="AB544"/>
      <c r="AC544" s="379"/>
      <c r="AD544" s="68"/>
    </row>
    <row r="545" spans="16:30" ht="10.5" customHeight="1">
      <c r="P545" s="241" t="s">
        <v>2155</v>
      </c>
      <c r="Q545" s="241"/>
      <c r="R545" s="147"/>
      <c r="S545" s="236"/>
      <c r="T545" s="391" t="s">
        <v>1921</v>
      </c>
      <c r="U545" s="391" t="s">
        <v>1030</v>
      </c>
      <c r="AA545"/>
      <c r="AB545"/>
      <c r="AC545" s="379"/>
      <c r="AD545" s="68"/>
    </row>
    <row r="546" spans="16:30" ht="10.5" customHeight="1">
      <c r="P546" s="241" t="s">
        <v>656</v>
      </c>
      <c r="Q546" s="241"/>
      <c r="R546" s="147"/>
      <c r="S546" s="236"/>
      <c r="T546" s="391" t="s">
        <v>1526</v>
      </c>
      <c r="U546" s="391" t="s">
        <v>1857</v>
      </c>
      <c r="AA546"/>
      <c r="AB546"/>
      <c r="AC546" s="379"/>
      <c r="AD546" s="68"/>
    </row>
    <row r="547" spans="16:30" ht="10.5" customHeight="1">
      <c r="P547" s="241" t="s">
        <v>658</v>
      </c>
      <c r="Q547" s="241"/>
      <c r="R547" s="147"/>
      <c r="S547" s="236"/>
      <c r="T547" s="391" t="s">
        <v>438</v>
      </c>
      <c r="U547" s="391" t="s">
        <v>1240</v>
      </c>
      <c r="AA547"/>
      <c r="AB547"/>
      <c r="AC547" s="379"/>
      <c r="AD547" s="68"/>
    </row>
    <row r="548" spans="16:30" ht="10.5" customHeight="1">
      <c r="P548" s="241" t="s">
        <v>2103</v>
      </c>
      <c r="Q548" s="241"/>
      <c r="R548" s="147"/>
      <c r="S548" s="236"/>
      <c r="T548" s="391" t="s">
        <v>177</v>
      </c>
      <c r="U548" s="391" t="s">
        <v>152</v>
      </c>
      <c r="AA548"/>
      <c r="AB548"/>
      <c r="AC548" s="379"/>
      <c r="AD548" s="68"/>
    </row>
    <row r="549" spans="16:30" ht="10.5" customHeight="1">
      <c r="P549" s="241" t="s">
        <v>37</v>
      </c>
      <c r="Q549" s="241"/>
      <c r="R549" s="147"/>
      <c r="S549" s="236"/>
      <c r="T549" s="391" t="s">
        <v>1187</v>
      </c>
      <c r="U549" s="391" t="s">
        <v>312</v>
      </c>
      <c r="AA549"/>
      <c r="AB549"/>
      <c r="AC549" s="379"/>
      <c r="AD549" s="68"/>
    </row>
    <row r="550" spans="16:30" ht="10.5" customHeight="1">
      <c r="P550" s="241" t="s">
        <v>38</v>
      </c>
      <c r="Q550" s="241"/>
      <c r="R550" s="147"/>
      <c r="S550" s="236"/>
      <c r="T550" s="391" t="s">
        <v>930</v>
      </c>
      <c r="U550" s="391" t="s">
        <v>1361</v>
      </c>
      <c r="AA550"/>
      <c r="AB550"/>
      <c r="AC550" s="379"/>
      <c r="AD550" s="68"/>
    </row>
    <row r="551" spans="16:30" ht="10.5" customHeight="1">
      <c r="P551" s="241" t="s">
        <v>2070</v>
      </c>
      <c r="Q551" s="241"/>
      <c r="R551" s="147"/>
      <c r="S551" s="236"/>
      <c r="T551" s="391" t="s">
        <v>993</v>
      </c>
      <c r="U551" s="391" t="s">
        <v>168</v>
      </c>
      <c r="AA551"/>
      <c r="AB551"/>
      <c r="AC551" s="379"/>
      <c r="AD551" s="68"/>
    </row>
    <row r="552" spans="16:30" ht="10.5" customHeight="1">
      <c r="P552" s="241" t="s">
        <v>2097</v>
      </c>
      <c r="Q552" s="241"/>
      <c r="R552" s="147"/>
      <c r="S552" s="236"/>
      <c r="T552" s="391" t="s">
        <v>132</v>
      </c>
      <c r="U552" s="391" t="s">
        <v>2322</v>
      </c>
      <c r="AA552"/>
      <c r="AB552"/>
      <c r="AC552" s="379"/>
      <c r="AD552" s="68"/>
    </row>
    <row r="553" spans="16:30" ht="10.5" customHeight="1">
      <c r="P553" s="241" t="s">
        <v>370</v>
      </c>
      <c r="Q553" s="241"/>
      <c r="R553" s="147"/>
      <c r="S553" s="236"/>
      <c r="T553" s="391" t="s">
        <v>2371</v>
      </c>
      <c r="U553" s="391" t="s">
        <v>1252</v>
      </c>
      <c r="AA553"/>
      <c r="AB553"/>
      <c r="AC553" s="379"/>
      <c r="AD553" s="68"/>
    </row>
    <row r="554" spans="16:30" ht="10.5" customHeight="1">
      <c r="P554" s="241" t="s">
        <v>372</v>
      </c>
      <c r="Q554" s="241"/>
      <c r="R554" s="147"/>
      <c r="S554" s="236"/>
      <c r="T554" s="391" t="s">
        <v>135</v>
      </c>
      <c r="U554" s="391" t="s">
        <v>608</v>
      </c>
      <c r="AA554"/>
      <c r="AB554"/>
      <c r="AC554" s="379"/>
      <c r="AD554" s="68"/>
    </row>
    <row r="555" spans="16:30" ht="10.5" customHeight="1">
      <c r="P555" s="241" t="s">
        <v>374</v>
      </c>
      <c r="Q555" s="241"/>
      <c r="R555" s="147"/>
      <c r="S555" s="236"/>
      <c r="T555" s="236" t="s">
        <v>137</v>
      </c>
      <c r="U555" s="236" t="s">
        <v>2280</v>
      </c>
      <c r="AA555"/>
      <c r="AB555"/>
      <c r="AC555" s="68"/>
      <c r="AD555" s="68"/>
    </row>
    <row r="556" spans="16:30" ht="10.5" customHeight="1">
      <c r="P556" s="241" t="s">
        <v>376</v>
      </c>
      <c r="Q556" s="241"/>
      <c r="R556" s="147"/>
      <c r="S556" s="236"/>
      <c r="T556" s="236" t="s">
        <v>2382</v>
      </c>
      <c r="U556" s="236" t="s">
        <v>1244</v>
      </c>
      <c r="AA556"/>
      <c r="AB556"/>
      <c r="AC556" s="68"/>
      <c r="AD556" s="68"/>
    </row>
    <row r="557" spans="16:30" ht="10.5" customHeight="1">
      <c r="P557" s="241" t="s">
        <v>1478</v>
      </c>
      <c r="Q557" s="241"/>
      <c r="R557" s="147"/>
      <c r="S557" s="236"/>
      <c r="T557" s="236" t="s">
        <v>1938</v>
      </c>
      <c r="U557" s="236" t="s">
        <v>2286</v>
      </c>
      <c r="AA557"/>
      <c r="AB557"/>
      <c r="AC557" s="68"/>
      <c r="AD557" s="68"/>
    </row>
    <row r="558" spans="16:30" ht="10.5" customHeight="1">
      <c r="P558" s="241" t="s">
        <v>1480</v>
      </c>
      <c r="Q558" s="241"/>
      <c r="R558" s="147"/>
      <c r="S558" s="236"/>
      <c r="T558" s="391" t="s">
        <v>702</v>
      </c>
      <c r="U558" s="391" t="s">
        <v>116</v>
      </c>
      <c r="AA558"/>
      <c r="AB558"/>
      <c r="AC558" s="379"/>
      <c r="AD558" s="68"/>
    </row>
    <row r="559" spans="16:30" ht="10.5" customHeight="1">
      <c r="P559" s="241" t="s">
        <v>1482</v>
      </c>
      <c r="Q559" s="241"/>
      <c r="R559" s="147"/>
      <c r="S559" s="236"/>
      <c r="T559" s="391" t="s">
        <v>703</v>
      </c>
      <c r="U559" s="391" t="s">
        <v>177</v>
      </c>
      <c r="AA559"/>
      <c r="AB559"/>
      <c r="AC559" s="379"/>
      <c r="AD559" s="68"/>
    </row>
    <row r="560" spans="16:30" ht="10.5" customHeight="1">
      <c r="P560" s="241" t="s">
        <v>2380</v>
      </c>
      <c r="Q560" s="241"/>
      <c r="R560" s="147"/>
      <c r="S560" s="236"/>
      <c r="T560" s="391" t="s">
        <v>657</v>
      </c>
      <c r="U560" s="391" t="s">
        <v>685</v>
      </c>
      <c r="AA560"/>
      <c r="AB560"/>
      <c r="AC560" s="379"/>
      <c r="AD560" s="68"/>
    </row>
    <row r="561" spans="16:30" ht="10.5" customHeight="1">
      <c r="P561" s="241" t="s">
        <v>2252</v>
      </c>
      <c r="Q561" s="241"/>
      <c r="R561" s="147"/>
      <c r="S561" s="236"/>
      <c r="T561" s="391" t="s">
        <v>659</v>
      </c>
      <c r="U561" s="391" t="s">
        <v>1039</v>
      </c>
      <c r="AA561"/>
      <c r="AB561"/>
      <c r="AC561" s="379"/>
      <c r="AD561" s="68"/>
    </row>
    <row r="562" spans="16:30" ht="10.5" customHeight="1">
      <c r="P562" s="241" t="s">
        <v>1689</v>
      </c>
      <c r="Q562" s="241"/>
      <c r="R562" s="147"/>
      <c r="S562" s="236"/>
      <c r="T562" s="391" t="s">
        <v>2104</v>
      </c>
      <c r="U562" s="391" t="s">
        <v>1131</v>
      </c>
      <c r="AA562"/>
      <c r="AB562"/>
      <c r="AC562" s="379"/>
      <c r="AD562" s="68"/>
    </row>
    <row r="563" spans="16:30" ht="10.5" customHeight="1">
      <c r="P563" s="241" t="s">
        <v>1691</v>
      </c>
      <c r="Q563" s="241"/>
      <c r="R563" s="147"/>
      <c r="S563" s="236"/>
      <c r="T563" s="391" t="s">
        <v>39</v>
      </c>
      <c r="U563" s="391" t="s">
        <v>1243</v>
      </c>
      <c r="AA563"/>
      <c r="AB563"/>
      <c r="AC563" s="379"/>
      <c r="AD563" s="68"/>
    </row>
    <row r="564" spans="16:30" ht="10.5" customHeight="1">
      <c r="P564" s="241" t="s">
        <v>1693</v>
      </c>
      <c r="Q564" s="241"/>
      <c r="R564" s="147"/>
      <c r="S564" s="236"/>
      <c r="T564" s="391" t="s">
        <v>2071</v>
      </c>
      <c r="U564" s="391" t="s">
        <v>1237</v>
      </c>
      <c r="AA564"/>
      <c r="AB564"/>
      <c r="AC564" s="379"/>
      <c r="AD564" s="68"/>
    </row>
    <row r="565" spans="16:30" ht="10.5" customHeight="1">
      <c r="P565" s="241" t="s">
        <v>1694</v>
      </c>
      <c r="Q565" s="241"/>
      <c r="R565" s="147"/>
      <c r="S565" s="236"/>
      <c r="T565" s="391" t="s">
        <v>772</v>
      </c>
      <c r="U565" s="391" t="s">
        <v>168</v>
      </c>
      <c r="AA565"/>
      <c r="AB565"/>
      <c r="AC565" s="379"/>
      <c r="AD565" s="68"/>
    </row>
    <row r="566" spans="16:30" ht="10.5" customHeight="1">
      <c r="P566" s="241" t="s">
        <v>1696</v>
      </c>
      <c r="Q566" s="241"/>
      <c r="R566" s="147"/>
      <c r="S566" s="236"/>
      <c r="T566" s="391" t="s">
        <v>965</v>
      </c>
      <c r="U566" s="391" t="s">
        <v>1027</v>
      </c>
      <c r="AA566"/>
      <c r="AB566"/>
      <c r="AC566" s="379"/>
      <c r="AD566" s="68"/>
    </row>
    <row r="567" spans="16:30" ht="10.5" customHeight="1">
      <c r="P567" s="241" t="s">
        <v>1698</v>
      </c>
      <c r="Q567" s="241"/>
      <c r="R567" s="147"/>
      <c r="S567" s="236"/>
      <c r="T567" s="391" t="s">
        <v>371</v>
      </c>
      <c r="U567" s="391" t="s">
        <v>2376</v>
      </c>
      <c r="AA567"/>
      <c r="AB567"/>
      <c r="AC567" s="379"/>
      <c r="AD567" s="68"/>
    </row>
    <row r="568" spans="16:30" ht="10.5" customHeight="1">
      <c r="P568" s="241" t="s">
        <v>1700</v>
      </c>
      <c r="Q568" s="241"/>
      <c r="R568" s="147"/>
      <c r="S568" s="236"/>
      <c r="T568" s="391" t="s">
        <v>373</v>
      </c>
      <c r="U568" s="391" t="s">
        <v>2005</v>
      </c>
      <c r="AA568"/>
      <c r="AB568"/>
      <c r="AC568" s="379"/>
      <c r="AD568" s="68"/>
    </row>
    <row r="569" spans="16:30" ht="10.5" customHeight="1">
      <c r="P569" s="241" t="s">
        <v>1702</v>
      </c>
      <c r="Q569" s="241"/>
      <c r="R569" s="147"/>
      <c r="S569" s="236"/>
      <c r="T569" s="391" t="s">
        <v>375</v>
      </c>
      <c r="U569" s="391" t="s">
        <v>2322</v>
      </c>
      <c r="AA569"/>
      <c r="AB569"/>
      <c r="AC569" s="379"/>
      <c r="AD569" s="68"/>
    </row>
    <row r="570" spans="16:30" ht="10.5" customHeight="1">
      <c r="P570" s="241" t="s">
        <v>1703</v>
      </c>
      <c r="Q570" s="241"/>
      <c r="R570" s="147"/>
      <c r="S570" s="236"/>
      <c r="T570" s="391" t="s">
        <v>2376</v>
      </c>
      <c r="U570" s="391" t="s">
        <v>1651</v>
      </c>
      <c r="AA570"/>
      <c r="AB570"/>
      <c r="AC570" s="379"/>
      <c r="AD570" s="68"/>
    </row>
    <row r="571" spans="16:30" ht="10.5" customHeight="1">
      <c r="P571" s="241" t="s">
        <v>1673</v>
      </c>
      <c r="Q571" s="241"/>
      <c r="R571" s="147"/>
      <c r="S571" s="236"/>
      <c r="T571" s="391" t="s">
        <v>1479</v>
      </c>
      <c r="U571" s="391" t="s">
        <v>2284</v>
      </c>
      <c r="AA571"/>
      <c r="AB571"/>
      <c r="AC571" s="379"/>
      <c r="AD571" s="68"/>
    </row>
    <row r="572" spans="16:30" ht="10.5" customHeight="1">
      <c r="P572" s="241" t="s">
        <v>1527</v>
      </c>
      <c r="Q572" s="241"/>
      <c r="R572" s="147"/>
      <c r="S572" s="236"/>
      <c r="T572" s="391" t="s">
        <v>1481</v>
      </c>
      <c r="U572" s="391" t="s">
        <v>310</v>
      </c>
      <c r="AA572"/>
      <c r="AB572"/>
      <c r="AC572" s="379"/>
      <c r="AD572" s="68"/>
    </row>
    <row r="573" spans="16:30" ht="10.5" customHeight="1">
      <c r="P573" s="241" t="s">
        <v>1528</v>
      </c>
      <c r="Q573" s="241"/>
      <c r="R573" s="147"/>
      <c r="S573" s="236"/>
      <c r="T573" s="391" t="s">
        <v>1347</v>
      </c>
      <c r="U573" s="391" t="s">
        <v>115</v>
      </c>
      <c r="AA573"/>
      <c r="AB573"/>
      <c r="AC573" s="379"/>
      <c r="AD573" s="68"/>
    </row>
    <row r="574" spans="16:30" ht="10.5" customHeight="1">
      <c r="P574" s="241" t="s">
        <v>1530</v>
      </c>
      <c r="Q574" s="241"/>
      <c r="R574" s="147"/>
      <c r="S574" s="236"/>
      <c r="T574" s="391" t="s">
        <v>2251</v>
      </c>
      <c r="U574" s="391" t="s">
        <v>2286</v>
      </c>
      <c r="AA574"/>
      <c r="AB574"/>
      <c r="AC574" s="379"/>
      <c r="AD574" s="68"/>
    </row>
    <row r="575" spans="16:30" ht="10.5" customHeight="1">
      <c r="P575" s="241" t="s">
        <v>2095</v>
      </c>
      <c r="Q575" s="241"/>
      <c r="R575" s="147"/>
      <c r="S575" s="236"/>
      <c r="T575" s="236" t="s">
        <v>1683</v>
      </c>
      <c r="U575" s="236" t="s">
        <v>2377</v>
      </c>
      <c r="AA575"/>
      <c r="AB575"/>
      <c r="AC575" s="68"/>
      <c r="AD575" s="68"/>
    </row>
    <row r="576" spans="16:30" ht="10.5" customHeight="1">
      <c r="P576" s="241" t="s">
        <v>518</v>
      </c>
      <c r="Q576" s="241"/>
      <c r="R576" s="147"/>
      <c r="S576" s="236"/>
      <c r="T576" s="391" t="s">
        <v>1690</v>
      </c>
      <c r="U576" s="391" t="s">
        <v>98</v>
      </c>
      <c r="AA576"/>
      <c r="AB576"/>
      <c r="AC576" s="379"/>
      <c r="AD576" s="68"/>
    </row>
    <row r="577" spans="16:30" ht="10.5" customHeight="1">
      <c r="P577" s="241" t="s">
        <v>520</v>
      </c>
      <c r="Q577" s="241"/>
      <c r="R577" s="147"/>
      <c r="S577" s="236"/>
      <c r="T577" s="391" t="s">
        <v>1692</v>
      </c>
      <c r="U577" s="391" t="s">
        <v>2067</v>
      </c>
      <c r="AA577"/>
      <c r="AB577"/>
      <c r="AC577" s="379"/>
      <c r="AD577" s="68"/>
    </row>
    <row r="578" spans="16:30" ht="10.5" customHeight="1">
      <c r="P578" s="241" t="s">
        <v>522</v>
      </c>
      <c r="Q578" s="241"/>
      <c r="R578" s="147"/>
      <c r="S578" s="236"/>
      <c r="T578" s="391" t="s">
        <v>1695</v>
      </c>
      <c r="U578" s="391" t="s">
        <v>2067</v>
      </c>
      <c r="AA578"/>
      <c r="AB578"/>
      <c r="AC578" s="379"/>
      <c r="AD578" s="68"/>
    </row>
    <row r="579" spans="16:30" ht="10.5" customHeight="1">
      <c r="P579" s="241" t="s">
        <v>1896</v>
      </c>
      <c r="Q579" s="241"/>
      <c r="R579" s="147"/>
      <c r="S579" s="236"/>
      <c r="T579" s="391" t="s">
        <v>1697</v>
      </c>
      <c r="U579" s="391" t="s">
        <v>298</v>
      </c>
      <c r="AA579"/>
      <c r="AB579"/>
      <c r="AC579" s="379"/>
      <c r="AD579" s="68"/>
    </row>
    <row r="580" spans="16:30" ht="10.5" customHeight="1">
      <c r="P580" s="241" t="s">
        <v>1355</v>
      </c>
      <c r="Q580" s="241"/>
      <c r="R580" s="147"/>
      <c r="S580" s="236"/>
      <c r="T580" s="391" t="s">
        <v>1699</v>
      </c>
      <c r="U580" s="391" t="s">
        <v>1550</v>
      </c>
      <c r="AA580"/>
      <c r="AB580"/>
      <c r="AC580" s="379"/>
      <c r="AD580" s="68"/>
    </row>
    <row r="581" spans="16:30" ht="10.5" customHeight="1">
      <c r="P581" s="241" t="s">
        <v>1357</v>
      </c>
      <c r="Q581" s="241"/>
      <c r="R581" s="147"/>
      <c r="S581" s="236"/>
      <c r="T581" s="391" t="s">
        <v>1701</v>
      </c>
      <c r="U581" s="391" t="s">
        <v>308</v>
      </c>
      <c r="AA581"/>
      <c r="AB581"/>
      <c r="AC581" s="379"/>
      <c r="AD581" s="68"/>
    </row>
    <row r="582" spans="16:30" ht="10.5" customHeight="1">
      <c r="P582" s="241" t="s">
        <v>1358</v>
      </c>
      <c r="Q582" s="241"/>
      <c r="R582" s="147"/>
      <c r="S582" s="236"/>
      <c r="T582" s="391" t="s">
        <v>2377</v>
      </c>
      <c r="U582" s="391" t="s">
        <v>100</v>
      </c>
      <c r="AA582"/>
      <c r="AB582"/>
      <c r="AC582" s="379"/>
      <c r="AD582" s="68"/>
    </row>
    <row r="583" spans="16:30" ht="10.5" customHeight="1">
      <c r="P583" s="241" t="s">
        <v>1476</v>
      </c>
      <c r="Q583" s="241"/>
      <c r="R583" s="147"/>
      <c r="S583" s="236"/>
      <c r="T583" s="391" t="s">
        <v>1801</v>
      </c>
      <c r="U583" s="391" t="s">
        <v>102</v>
      </c>
      <c r="AA583"/>
      <c r="AB583"/>
      <c r="AC583" s="379"/>
      <c r="AD583" s="68"/>
    </row>
    <row r="584" spans="16:30" ht="10.5" customHeight="1">
      <c r="P584" s="241" t="s">
        <v>1960</v>
      </c>
      <c r="Q584" s="241"/>
      <c r="R584" s="147"/>
      <c r="S584" s="236"/>
      <c r="T584" s="391" t="s">
        <v>1674</v>
      </c>
      <c r="U584" s="391" t="s">
        <v>1028</v>
      </c>
      <c r="AA584"/>
      <c r="AB584"/>
      <c r="AC584" s="379"/>
      <c r="AD584" s="68"/>
    </row>
    <row r="585" spans="16:30" ht="10.5" customHeight="1">
      <c r="P585" s="241" t="s">
        <v>1962</v>
      </c>
      <c r="Q585" s="241"/>
      <c r="R585" s="147"/>
      <c r="S585" s="236"/>
      <c r="T585" s="391" t="s">
        <v>2378</v>
      </c>
      <c r="U585" s="391" t="s">
        <v>1240</v>
      </c>
      <c r="AA585"/>
      <c r="AB585"/>
      <c r="AC585" s="379"/>
      <c r="AD585" s="68"/>
    </row>
    <row r="586" spans="16:30" ht="10.5" customHeight="1">
      <c r="P586" s="241" t="s">
        <v>1964</v>
      </c>
      <c r="Q586" s="241"/>
      <c r="R586" s="147"/>
      <c r="S586" s="236"/>
      <c r="T586" s="236" t="s">
        <v>1529</v>
      </c>
      <c r="U586" s="236" t="s">
        <v>2005</v>
      </c>
      <c r="AA586"/>
      <c r="AB586"/>
      <c r="AC586" s="68"/>
      <c r="AD586" s="68"/>
    </row>
    <row r="587" spans="16:30" ht="10.5" customHeight="1">
      <c r="P587" s="241" t="s">
        <v>1349</v>
      </c>
      <c r="Q587" s="241"/>
      <c r="R587" s="147"/>
      <c r="S587" s="236"/>
      <c r="T587" s="391" t="s">
        <v>773</v>
      </c>
      <c r="U587" s="391" t="s">
        <v>2012</v>
      </c>
      <c r="AA587"/>
      <c r="AB587"/>
      <c r="AC587" s="379"/>
      <c r="AD587" s="68"/>
    </row>
    <row r="588" spans="16:30" ht="10.5" customHeight="1">
      <c r="P588" s="241" t="s">
        <v>1351</v>
      </c>
      <c r="Q588" s="241"/>
      <c r="R588" s="147"/>
      <c r="S588" s="236"/>
      <c r="T588" s="391" t="s">
        <v>2094</v>
      </c>
      <c r="U588" s="391" t="s">
        <v>1552</v>
      </c>
      <c r="AA588"/>
      <c r="AB588"/>
      <c r="AC588" s="379"/>
      <c r="AD588" s="68"/>
    </row>
    <row r="589" spans="16:30" ht="10.5" customHeight="1">
      <c r="P589" s="241" t="s">
        <v>1450</v>
      </c>
      <c r="Q589" s="241"/>
      <c r="R589" s="147"/>
      <c r="S589" s="236"/>
      <c r="T589" s="391" t="s">
        <v>2096</v>
      </c>
      <c r="U589" s="391" t="s">
        <v>2009</v>
      </c>
      <c r="AA589"/>
      <c r="AB589"/>
      <c r="AC589" s="379"/>
      <c r="AD589" s="68"/>
    </row>
    <row r="590" spans="16:30" ht="10.5" customHeight="1">
      <c r="P590" s="241" t="s">
        <v>1452</v>
      </c>
      <c r="Q590" s="241"/>
      <c r="R590" s="147"/>
      <c r="S590" s="236"/>
      <c r="T590" s="391" t="s">
        <v>519</v>
      </c>
      <c r="U590" s="391" t="s">
        <v>2376</v>
      </c>
      <c r="AA590"/>
      <c r="AB590"/>
      <c r="AC590" s="379"/>
      <c r="AD590" s="68"/>
    </row>
    <row r="591" spans="16:30" ht="10.5" customHeight="1">
      <c r="P591" s="241" t="s">
        <v>1894</v>
      </c>
      <c r="Q591" s="241"/>
      <c r="R591" s="147"/>
      <c r="S591" s="236"/>
      <c r="T591" s="391" t="s">
        <v>521</v>
      </c>
      <c r="U591" s="391" t="s">
        <v>1131</v>
      </c>
      <c r="AA591"/>
      <c r="AB591"/>
      <c r="AC591" s="379"/>
      <c r="AD591" s="68"/>
    </row>
    <row r="592" spans="16:30" ht="10.5" customHeight="1">
      <c r="P592" s="241" t="s">
        <v>1729</v>
      </c>
      <c r="Q592" s="241"/>
      <c r="R592" s="147"/>
      <c r="S592" s="236"/>
      <c r="T592" s="391" t="s">
        <v>997</v>
      </c>
      <c r="U592" s="391" t="s">
        <v>584</v>
      </c>
      <c r="AA592"/>
      <c r="AB592"/>
      <c r="AC592" s="379"/>
      <c r="AD592" s="68"/>
    </row>
    <row r="593" spans="16:30" ht="10.5" customHeight="1">
      <c r="P593" s="241" t="s">
        <v>265</v>
      </c>
      <c r="Q593" s="241"/>
      <c r="R593" s="147"/>
      <c r="S593" s="236"/>
      <c r="T593" s="391" t="s">
        <v>523</v>
      </c>
      <c r="U593" s="391" t="s">
        <v>1549</v>
      </c>
      <c r="AA593"/>
      <c r="AB593"/>
      <c r="AC593" s="379"/>
      <c r="AD593" s="68"/>
    </row>
    <row r="594" spans="16:30" ht="10.5" customHeight="1">
      <c r="P594" s="241" t="s">
        <v>1563</v>
      </c>
      <c r="Q594" s="241"/>
      <c r="R594" s="147"/>
      <c r="S594" s="236"/>
      <c r="T594" s="391" t="s">
        <v>1109</v>
      </c>
      <c r="U594" s="391" t="s">
        <v>1028</v>
      </c>
      <c r="AA594"/>
      <c r="AB594"/>
      <c r="AC594" s="379"/>
      <c r="AD594" s="68"/>
    </row>
    <row r="595" spans="16:30" ht="10.5" customHeight="1">
      <c r="P595" s="241" t="s">
        <v>250</v>
      </c>
      <c r="Q595" s="241"/>
      <c r="R595" s="147"/>
      <c r="S595" s="236"/>
      <c r="T595" s="391" t="s">
        <v>1356</v>
      </c>
      <c r="U595" s="391" t="s">
        <v>1550</v>
      </c>
      <c r="AA595"/>
      <c r="AB595"/>
      <c r="AC595" s="379"/>
      <c r="AD595" s="68"/>
    </row>
    <row r="596" spans="16:30" ht="10.5" customHeight="1">
      <c r="P596" s="241" t="s">
        <v>263</v>
      </c>
      <c r="Q596" s="241"/>
      <c r="R596" s="147"/>
      <c r="S596" s="236"/>
      <c r="T596" s="391" t="s">
        <v>2537</v>
      </c>
      <c r="U596" s="391" t="s">
        <v>1239</v>
      </c>
      <c r="AA596"/>
      <c r="AB596"/>
      <c r="AC596" s="379"/>
      <c r="AD596" s="68"/>
    </row>
    <row r="597" spans="16:30" ht="10.5" customHeight="1">
      <c r="P597" s="241" t="s">
        <v>1113</v>
      </c>
      <c r="Q597" s="241"/>
      <c r="R597" s="147"/>
      <c r="S597" s="236"/>
      <c r="T597" s="391" t="s">
        <v>1359</v>
      </c>
      <c r="U597" s="391" t="s">
        <v>610</v>
      </c>
      <c r="AA597"/>
      <c r="AB597"/>
      <c r="AC597" s="379"/>
      <c r="AD597" s="68"/>
    </row>
    <row r="598" spans="16:30" ht="10.5" customHeight="1">
      <c r="P598" s="241" t="s">
        <v>691</v>
      </c>
      <c r="Q598" s="241"/>
      <c r="R598" s="147"/>
      <c r="S598" s="236"/>
      <c r="T598" s="391" t="s">
        <v>2538</v>
      </c>
      <c r="U598" s="391" t="s">
        <v>115</v>
      </c>
      <c r="AA598"/>
      <c r="AB598"/>
      <c r="AC598" s="379"/>
      <c r="AD598" s="68"/>
    </row>
    <row r="599" spans="16:30" ht="10.5" customHeight="1">
      <c r="P599" s="241" t="s">
        <v>693</v>
      </c>
      <c r="Q599" s="241"/>
      <c r="R599" s="147"/>
      <c r="S599" s="236"/>
      <c r="T599" s="391" t="s">
        <v>1477</v>
      </c>
      <c r="U599" s="391" t="s">
        <v>1647</v>
      </c>
      <c r="AA599"/>
      <c r="AB599"/>
      <c r="AC599" s="379"/>
      <c r="AD599" s="68"/>
    </row>
    <row r="600" spans="16:30" ht="10.5" customHeight="1">
      <c r="P600" s="241" t="s">
        <v>962</v>
      </c>
      <c r="Q600" s="241"/>
      <c r="R600" s="147"/>
      <c r="S600" s="236"/>
      <c r="T600" s="391" t="s">
        <v>1961</v>
      </c>
      <c r="U600" s="391" t="s">
        <v>1524</v>
      </c>
      <c r="AA600"/>
      <c r="AB600"/>
      <c r="AC600" s="379"/>
      <c r="AD600" s="68"/>
    </row>
    <row r="601" spans="16:30" ht="10.5" customHeight="1">
      <c r="P601" s="241" t="s">
        <v>964</v>
      </c>
      <c r="Q601" s="241"/>
      <c r="R601" s="147"/>
      <c r="S601" s="236"/>
      <c r="T601" s="391" t="s">
        <v>1963</v>
      </c>
      <c r="U601" s="391" t="s">
        <v>1245</v>
      </c>
      <c r="AA601"/>
      <c r="AB601"/>
      <c r="AC601" s="379"/>
      <c r="AD601" s="68"/>
    </row>
    <row r="602" spans="16:30" ht="10.5" customHeight="1">
      <c r="P602" s="241" t="s">
        <v>1678</v>
      </c>
      <c r="Q602" s="241"/>
      <c r="R602" s="147"/>
      <c r="S602" s="236"/>
      <c r="T602" s="236" t="s">
        <v>1348</v>
      </c>
      <c r="U602" s="236" t="s">
        <v>310</v>
      </c>
      <c r="AA602"/>
      <c r="AB602"/>
      <c r="AC602" s="68"/>
      <c r="AD602" s="68"/>
    </row>
    <row r="603" spans="16:30" ht="10.5" customHeight="1">
      <c r="P603" s="241" t="s">
        <v>1680</v>
      </c>
      <c r="Q603" s="241"/>
      <c r="R603" s="147"/>
      <c r="S603" s="236"/>
      <c r="T603" s="391" t="s">
        <v>2539</v>
      </c>
      <c r="U603" s="391" t="s">
        <v>317</v>
      </c>
      <c r="AA603"/>
      <c r="AB603"/>
      <c r="AC603" s="379"/>
      <c r="AD603" s="68"/>
    </row>
    <row r="604" spans="16:30" ht="10.5" customHeight="1">
      <c r="P604" s="241" t="s">
        <v>1681</v>
      </c>
      <c r="Q604" s="241"/>
      <c r="R604" s="147"/>
      <c r="S604" s="236"/>
      <c r="T604" s="391" t="s">
        <v>1350</v>
      </c>
      <c r="U604" s="391" t="s">
        <v>307</v>
      </c>
      <c r="AA604"/>
      <c r="AB604"/>
      <c r="AC604" s="379"/>
      <c r="AD604" s="68"/>
    </row>
    <row r="605" spans="16:30" ht="10.5" customHeight="1">
      <c r="P605" s="241" t="s">
        <v>1067</v>
      </c>
      <c r="Q605" s="241"/>
      <c r="R605" s="147"/>
      <c r="S605" s="236"/>
      <c r="T605" s="236" t="s">
        <v>998</v>
      </c>
      <c r="U605" s="236" t="s">
        <v>1552</v>
      </c>
      <c r="AA605"/>
      <c r="AB605"/>
      <c r="AC605" s="68"/>
      <c r="AD605" s="68"/>
    </row>
    <row r="606" spans="16:30" ht="10.5" customHeight="1">
      <c r="P606" s="241" t="s">
        <v>377</v>
      </c>
      <c r="Q606" s="241"/>
      <c r="R606" s="147"/>
      <c r="S606" s="236"/>
      <c r="T606" s="391" t="s">
        <v>1352</v>
      </c>
      <c r="U606" s="391" t="s">
        <v>584</v>
      </c>
      <c r="AA606"/>
      <c r="AB606"/>
      <c r="AC606" s="379"/>
      <c r="AD606" s="68"/>
    </row>
    <row r="607" spans="16:30" ht="10.5" customHeight="1">
      <c r="P607" s="241" t="s">
        <v>0</v>
      </c>
      <c r="Q607" s="241"/>
      <c r="R607" s="147"/>
      <c r="S607" s="236"/>
      <c r="T607" s="391" t="s">
        <v>1451</v>
      </c>
      <c r="U607" s="391" t="s">
        <v>302</v>
      </c>
      <c r="AA607"/>
      <c r="AB607"/>
      <c r="AC607" s="379"/>
      <c r="AD607" s="68"/>
    </row>
    <row r="608" spans="16:30" ht="10.5" customHeight="1">
      <c r="P608" s="241" t="s">
        <v>2</v>
      </c>
      <c r="Q608" s="241"/>
      <c r="R608" s="147"/>
      <c r="S608" s="236"/>
      <c r="T608" s="391" t="s">
        <v>1895</v>
      </c>
      <c r="U608" s="391" t="s">
        <v>891</v>
      </c>
      <c r="AA608"/>
      <c r="AB608"/>
      <c r="AC608" s="379"/>
      <c r="AD608" s="68"/>
    </row>
    <row r="609" spans="16:30" ht="10.5" customHeight="1">
      <c r="P609" s="241" t="s">
        <v>4</v>
      </c>
      <c r="Q609" s="241"/>
      <c r="R609" s="147"/>
      <c r="S609" s="236"/>
      <c r="T609" s="236" t="s">
        <v>1730</v>
      </c>
      <c r="U609" s="236" t="s">
        <v>1806</v>
      </c>
      <c r="AA609"/>
      <c r="AB609"/>
      <c r="AC609" s="68"/>
      <c r="AD609" s="68"/>
    </row>
    <row r="610" spans="16:30" ht="10.5" customHeight="1">
      <c r="P610" s="241" t="s">
        <v>6</v>
      </c>
      <c r="Q610" s="241"/>
      <c r="R610" s="147"/>
      <c r="S610" s="236"/>
      <c r="T610" s="236" t="s">
        <v>266</v>
      </c>
      <c r="U610" s="236" t="s">
        <v>1806</v>
      </c>
      <c r="AA610"/>
      <c r="AB610"/>
      <c r="AC610" s="68"/>
      <c r="AD610" s="68"/>
    </row>
    <row r="611" spans="16:30" ht="10.5" customHeight="1">
      <c r="P611" s="241" t="s">
        <v>1983</v>
      </c>
      <c r="Q611" s="241"/>
      <c r="R611" s="147"/>
      <c r="S611" s="236"/>
      <c r="T611" s="391" t="s">
        <v>1564</v>
      </c>
      <c r="U611" s="391" t="s">
        <v>2014</v>
      </c>
      <c r="AA611"/>
      <c r="AB611"/>
      <c r="AC611" s="379"/>
      <c r="AD611" s="68"/>
    </row>
    <row r="612" spans="16:30" ht="10.5" customHeight="1">
      <c r="P612" s="241" t="s">
        <v>1985</v>
      </c>
      <c r="Q612" s="241"/>
      <c r="R612" s="147"/>
      <c r="S612" s="236"/>
      <c r="T612" s="391" t="s">
        <v>251</v>
      </c>
      <c r="U612" s="391" t="s">
        <v>620</v>
      </c>
      <c r="AA612"/>
      <c r="AB612"/>
      <c r="AC612" s="379"/>
      <c r="AD612" s="68"/>
    </row>
    <row r="613" spans="16:30" ht="10.5" customHeight="1">
      <c r="P613" s="241" t="s">
        <v>1987</v>
      </c>
      <c r="Q613" s="241"/>
      <c r="R613" s="147"/>
      <c r="S613" s="236"/>
      <c r="T613" s="391" t="s">
        <v>1112</v>
      </c>
      <c r="U613" s="391" t="s">
        <v>152</v>
      </c>
      <c r="AA613"/>
      <c r="AB613"/>
      <c r="AC613" s="379"/>
      <c r="AD613" s="68"/>
    </row>
    <row r="614" spans="16:30" ht="10.5" customHeight="1">
      <c r="P614" s="241" t="s">
        <v>1989</v>
      </c>
      <c r="Q614" s="241"/>
      <c r="R614" s="147"/>
      <c r="S614" s="236"/>
      <c r="T614" s="391" t="s">
        <v>1114</v>
      </c>
      <c r="U614" s="391" t="s">
        <v>152</v>
      </c>
      <c r="AA614"/>
      <c r="AB614"/>
      <c r="AC614" s="379"/>
      <c r="AD614" s="68"/>
    </row>
    <row r="615" spans="16:30" ht="10.5" customHeight="1">
      <c r="P615" s="241" t="s">
        <v>1991</v>
      </c>
      <c r="Q615" s="241"/>
      <c r="R615" s="147"/>
      <c r="S615" s="236"/>
      <c r="T615" s="391" t="s">
        <v>692</v>
      </c>
      <c r="U615" s="391" t="s">
        <v>1247</v>
      </c>
      <c r="AA615"/>
      <c r="AB615"/>
      <c r="AC615" s="379"/>
      <c r="AD615" s="68"/>
    </row>
    <row r="616" spans="16:30" ht="10.5" customHeight="1">
      <c r="P616" s="241" t="s">
        <v>83</v>
      </c>
      <c r="Q616" s="241"/>
      <c r="R616" s="147"/>
      <c r="S616" s="236"/>
      <c r="T616" s="391" t="s">
        <v>235</v>
      </c>
      <c r="U616" s="391" t="s">
        <v>2376</v>
      </c>
      <c r="AA616"/>
      <c r="AB616"/>
      <c r="AC616" s="379"/>
      <c r="AD616" s="68"/>
    </row>
    <row r="617" spans="16:30" ht="10.5" customHeight="1">
      <c r="P617" s="241" t="s">
        <v>1865</v>
      </c>
      <c r="Q617" s="241"/>
      <c r="R617" s="147"/>
      <c r="S617" s="236"/>
      <c r="T617" s="391" t="s">
        <v>963</v>
      </c>
      <c r="U617" s="391" t="s">
        <v>2205</v>
      </c>
      <c r="AA617"/>
      <c r="AB617"/>
      <c r="AC617" s="379"/>
      <c r="AD617" s="68"/>
    </row>
    <row r="618" spans="16:30" ht="10.5" customHeight="1">
      <c r="P618" s="241" t="s">
        <v>1415</v>
      </c>
      <c r="Q618" s="241"/>
      <c r="R618" s="147"/>
      <c r="S618" s="236"/>
      <c r="T618" s="391" t="s">
        <v>1624</v>
      </c>
      <c r="U618" s="391" t="s">
        <v>2283</v>
      </c>
      <c r="AA618"/>
      <c r="AB618"/>
      <c r="AC618" s="379"/>
      <c r="AD618" s="68"/>
    </row>
    <row r="619" spans="16:30" ht="10.5" customHeight="1">
      <c r="P619" s="241" t="s">
        <v>1417</v>
      </c>
      <c r="Q619" s="241"/>
      <c r="R619" s="147"/>
      <c r="S619" s="236"/>
      <c r="T619" s="391" t="s">
        <v>1679</v>
      </c>
      <c r="U619" s="391" t="s">
        <v>104</v>
      </c>
      <c r="AA619"/>
      <c r="AB619"/>
      <c r="AC619" s="379"/>
      <c r="AD619" s="68"/>
    </row>
    <row r="620" spans="16:30" ht="10.5" customHeight="1">
      <c r="P620" s="241" t="s">
        <v>1419</v>
      </c>
      <c r="Q620" s="241"/>
      <c r="R620" s="147"/>
      <c r="S620" s="236"/>
      <c r="T620" s="391" t="s">
        <v>1033</v>
      </c>
      <c r="U620" s="391" t="s">
        <v>683</v>
      </c>
      <c r="AA620"/>
      <c r="AB620"/>
      <c r="AC620" s="379"/>
      <c r="AD620" s="68"/>
    </row>
    <row r="621" spans="16:30" ht="10.5" customHeight="1">
      <c r="P621" s="241" t="s">
        <v>57</v>
      </c>
      <c r="Q621" s="241"/>
      <c r="R621" s="147"/>
      <c r="S621" s="236"/>
      <c r="T621" s="391" t="s">
        <v>999</v>
      </c>
      <c r="U621" s="391" t="s">
        <v>893</v>
      </c>
      <c r="AA621"/>
      <c r="AB621"/>
      <c r="AC621" s="379"/>
      <c r="AD621" s="68"/>
    </row>
    <row r="622" spans="16:30" ht="10.5" customHeight="1">
      <c r="P622" s="241" t="s">
        <v>59</v>
      </c>
      <c r="Q622" s="241"/>
      <c r="R622" s="147"/>
      <c r="S622" s="236"/>
      <c r="T622" s="391" t="s">
        <v>1037</v>
      </c>
      <c r="U622" s="391" t="s">
        <v>1244</v>
      </c>
      <c r="AA622"/>
      <c r="AB622"/>
      <c r="AC622" s="379"/>
      <c r="AD622" s="68"/>
    </row>
    <row r="623" spans="16:30" ht="10.5" customHeight="1">
      <c r="P623" s="241" t="s">
        <v>61</v>
      </c>
      <c r="Q623" s="241"/>
      <c r="R623" s="147"/>
      <c r="S623" s="236"/>
      <c r="T623" s="391" t="s">
        <v>378</v>
      </c>
      <c r="U623" s="391" t="s">
        <v>620</v>
      </c>
      <c r="AA623"/>
      <c r="AB623"/>
      <c r="AC623" s="379"/>
      <c r="AD623" s="68"/>
    </row>
    <row r="624" spans="16:30" ht="10.5" customHeight="1">
      <c r="P624" s="241" t="s">
        <v>63</v>
      </c>
      <c r="Q624" s="241"/>
      <c r="R624" s="147"/>
      <c r="S624" s="236"/>
      <c r="T624" s="391" t="s">
        <v>1000</v>
      </c>
      <c r="U624" s="391" t="s">
        <v>116</v>
      </c>
      <c r="AA624"/>
      <c r="AB624"/>
      <c r="AC624" s="379"/>
      <c r="AD624" s="68"/>
    </row>
    <row r="625" spans="16:30" ht="10.5" customHeight="1">
      <c r="P625" s="241" t="s">
        <v>65</v>
      </c>
      <c r="Q625" s="241"/>
      <c r="R625" s="147"/>
      <c r="S625" s="236"/>
      <c r="T625" s="391" t="s">
        <v>1</v>
      </c>
      <c r="U625" s="391" t="s">
        <v>1237</v>
      </c>
      <c r="AA625"/>
      <c r="AB625"/>
      <c r="AC625" s="379"/>
      <c r="AD625" s="68"/>
    </row>
    <row r="626" spans="16:30" ht="10.5" customHeight="1">
      <c r="P626" s="241" t="s">
        <v>721</v>
      </c>
      <c r="Q626" s="241"/>
      <c r="R626" s="147"/>
      <c r="S626" s="236"/>
      <c r="T626" s="391" t="s">
        <v>3</v>
      </c>
      <c r="U626" s="391" t="s">
        <v>2201</v>
      </c>
      <c r="AA626"/>
      <c r="AB626"/>
      <c r="AC626" s="379"/>
      <c r="AD626" s="68"/>
    </row>
    <row r="627" spans="16:30" ht="10.5" customHeight="1">
      <c r="P627" s="241" t="s">
        <v>679</v>
      </c>
      <c r="Q627" s="241"/>
      <c r="R627" s="147"/>
      <c r="S627" s="236"/>
      <c r="T627" s="391" t="s">
        <v>5</v>
      </c>
      <c r="U627" s="391" t="s">
        <v>1772</v>
      </c>
      <c r="AA627"/>
      <c r="AB627"/>
      <c r="AC627" s="379"/>
      <c r="AD627" s="68"/>
    </row>
    <row r="628" spans="16:30" ht="10.5" customHeight="1">
      <c r="P628" s="241" t="s">
        <v>681</v>
      </c>
      <c r="Q628" s="241"/>
      <c r="R628" s="147"/>
      <c r="S628" s="236"/>
      <c r="T628" s="236" t="s">
        <v>1001</v>
      </c>
      <c r="U628" s="236" t="s">
        <v>584</v>
      </c>
      <c r="AA628"/>
      <c r="AB628"/>
      <c r="AC628" s="68"/>
      <c r="AD628" s="68"/>
    </row>
    <row r="629" spans="16:30" ht="10.5" customHeight="1">
      <c r="P629" s="241" t="s">
        <v>1110</v>
      </c>
      <c r="Q629" s="241"/>
      <c r="R629" s="147"/>
      <c r="S629" s="236"/>
      <c r="T629" s="391" t="s">
        <v>1002</v>
      </c>
      <c r="U629" s="391" t="s">
        <v>303</v>
      </c>
      <c r="AA629"/>
      <c r="AB629"/>
      <c r="AC629" s="379"/>
      <c r="AD629" s="68"/>
    </row>
    <row r="630" spans="16:30" ht="10.5" customHeight="1">
      <c r="P630" s="241" t="s">
        <v>975</v>
      </c>
      <c r="Q630" s="241"/>
      <c r="R630" s="147"/>
      <c r="S630" s="236"/>
      <c r="T630" s="391" t="s">
        <v>1982</v>
      </c>
      <c r="U630" s="391" t="s">
        <v>1247</v>
      </c>
      <c r="AA630"/>
      <c r="AB630"/>
      <c r="AC630" s="379"/>
      <c r="AD630" s="68"/>
    </row>
    <row r="631" spans="16:30" ht="10.5" customHeight="1">
      <c r="P631" s="241" t="s">
        <v>976</v>
      </c>
      <c r="Q631" s="241"/>
      <c r="R631" s="147"/>
      <c r="S631" s="236"/>
      <c r="T631" s="391" t="s">
        <v>1984</v>
      </c>
      <c r="U631" s="391" t="s">
        <v>2020</v>
      </c>
      <c r="AA631"/>
      <c r="AB631"/>
      <c r="AC631" s="379"/>
      <c r="AD631" s="68"/>
    </row>
    <row r="632" spans="16:30" ht="10.5" customHeight="1">
      <c r="P632" s="241" t="s">
        <v>978</v>
      </c>
      <c r="Q632" s="241"/>
      <c r="R632" s="147"/>
      <c r="S632" s="236"/>
      <c r="T632" s="391" t="s">
        <v>1986</v>
      </c>
      <c r="U632" s="391" t="s">
        <v>168</v>
      </c>
      <c r="AA632"/>
      <c r="AB632"/>
      <c r="AC632" s="379"/>
      <c r="AD632" s="68"/>
    </row>
    <row r="633" spans="16:30" ht="10.5" customHeight="1">
      <c r="P633" s="241" t="s">
        <v>2087</v>
      </c>
      <c r="Q633" s="241"/>
      <c r="R633" s="147"/>
      <c r="S633" s="236"/>
      <c r="T633" s="391" t="s">
        <v>1988</v>
      </c>
      <c r="U633" s="391" t="s">
        <v>1361</v>
      </c>
      <c r="AA633"/>
      <c r="AB633"/>
      <c r="AC633" s="379"/>
      <c r="AD633" s="68"/>
    </row>
    <row r="634" spans="16:30" ht="10.5" customHeight="1">
      <c r="P634" s="241" t="s">
        <v>2089</v>
      </c>
      <c r="Q634" s="241"/>
      <c r="R634" s="147"/>
      <c r="S634" s="236"/>
      <c r="T634" s="391" t="s">
        <v>1990</v>
      </c>
      <c r="U634" s="391" t="s">
        <v>620</v>
      </c>
      <c r="AA634"/>
      <c r="AB634"/>
      <c r="AC634" s="379"/>
      <c r="AD634" s="68"/>
    </row>
    <row r="635" spans="16:30" ht="10.5" customHeight="1">
      <c r="P635" s="241" t="s">
        <v>1639</v>
      </c>
      <c r="Q635" s="241"/>
      <c r="R635" s="147"/>
      <c r="S635" s="236"/>
      <c r="T635" s="391" t="s">
        <v>84</v>
      </c>
      <c r="U635" s="391" t="s">
        <v>115</v>
      </c>
      <c r="AA635"/>
      <c r="AB635"/>
      <c r="AC635" s="379"/>
      <c r="AD635" s="68"/>
    </row>
    <row r="636" spans="16:30" ht="10.5" customHeight="1">
      <c r="P636" s="241" t="s">
        <v>2311</v>
      </c>
      <c r="Q636" s="241"/>
      <c r="R636" s="147"/>
      <c r="S636" s="236"/>
      <c r="T636" s="391" t="s">
        <v>1414</v>
      </c>
      <c r="U636" s="391" t="s">
        <v>2022</v>
      </c>
      <c r="AA636"/>
      <c r="AB636"/>
      <c r="AC636" s="379"/>
      <c r="AD636" s="68"/>
    </row>
    <row r="637" spans="16:30" ht="10.5" customHeight="1">
      <c r="P637" s="241" t="s">
        <v>2002</v>
      </c>
      <c r="Q637" s="241"/>
      <c r="R637" s="147"/>
      <c r="S637" s="236"/>
      <c r="T637" s="391" t="s">
        <v>1416</v>
      </c>
      <c r="U637" s="391" t="s">
        <v>192</v>
      </c>
      <c r="AA637"/>
      <c r="AB637"/>
      <c r="AC637" s="379"/>
      <c r="AD637" s="68"/>
    </row>
    <row r="638" spans="16:30" ht="10.5" customHeight="1">
      <c r="P638" s="241" t="s">
        <v>1503</v>
      </c>
      <c r="Q638" s="241"/>
      <c r="R638" s="147"/>
      <c r="S638" s="236"/>
      <c r="T638" s="236" t="s">
        <v>1418</v>
      </c>
      <c r="U638" s="236" t="s">
        <v>1364</v>
      </c>
      <c r="AA638"/>
      <c r="AB638"/>
      <c r="AC638" s="68"/>
      <c r="AD638" s="68"/>
    </row>
    <row r="639" spans="16:30" ht="10.5" customHeight="1">
      <c r="P639" s="241" t="s">
        <v>1504</v>
      </c>
      <c r="Q639" s="241"/>
      <c r="R639" s="147"/>
      <c r="S639" s="236"/>
      <c r="T639" s="391" t="s">
        <v>1420</v>
      </c>
      <c r="U639" s="391" t="s">
        <v>2012</v>
      </c>
      <c r="AA639"/>
      <c r="AB639"/>
      <c r="AC639" s="379"/>
      <c r="AD639" s="68"/>
    </row>
    <row r="640" spans="16:30" ht="10.5" customHeight="1">
      <c r="P640" s="241" t="s">
        <v>1506</v>
      </c>
      <c r="Q640" s="241"/>
      <c r="R640" s="147"/>
      <c r="S640" s="236"/>
      <c r="T640" s="391" t="s">
        <v>58</v>
      </c>
      <c r="U640" s="391" t="s">
        <v>1245</v>
      </c>
      <c r="AA640"/>
      <c r="AB640"/>
      <c r="AC640" s="379"/>
      <c r="AD640" s="68"/>
    </row>
    <row r="641" spans="16:30" ht="10.5" customHeight="1">
      <c r="P641" s="241" t="s">
        <v>1507</v>
      </c>
      <c r="Q641" s="241"/>
      <c r="R641" s="147"/>
      <c r="S641" s="236"/>
      <c r="T641" s="236" t="s">
        <v>60</v>
      </c>
      <c r="U641" s="236" t="s">
        <v>100</v>
      </c>
      <c r="AA641"/>
      <c r="AB641"/>
      <c r="AC641" s="68"/>
      <c r="AD641" s="68"/>
    </row>
    <row r="642" spans="16:30" ht="10.5" customHeight="1">
      <c r="P642" s="241" t="s">
        <v>1509</v>
      </c>
      <c r="Q642" s="241"/>
      <c r="R642" s="147"/>
      <c r="S642" s="236"/>
      <c r="T642" s="391" t="s">
        <v>62</v>
      </c>
      <c r="U642" s="391" t="s">
        <v>818</v>
      </c>
      <c r="AA642"/>
      <c r="AB642"/>
      <c r="AC642" s="379"/>
      <c r="AD642" s="68"/>
    </row>
    <row r="643" spans="16:30" ht="10.5" customHeight="1">
      <c r="P643" s="241" t="s">
        <v>1510</v>
      </c>
      <c r="Q643" s="241"/>
      <c r="R643" s="147"/>
      <c r="S643" s="236"/>
      <c r="T643" s="391" t="s">
        <v>64</v>
      </c>
      <c r="U643" s="391" t="s">
        <v>1421</v>
      </c>
      <c r="AA643"/>
      <c r="AB643"/>
      <c r="AC643" s="379"/>
      <c r="AD643" s="68"/>
    </row>
    <row r="644" spans="16:30" ht="10.5" customHeight="1">
      <c r="P644" s="241" t="s">
        <v>1512</v>
      </c>
      <c r="Q644" s="241"/>
      <c r="R644" s="147"/>
      <c r="S644" s="236"/>
      <c r="T644" s="391" t="s">
        <v>722</v>
      </c>
      <c r="U644" s="391" t="s">
        <v>2280</v>
      </c>
      <c r="AA644"/>
      <c r="AB644"/>
      <c r="AC644" s="379"/>
      <c r="AD644" s="68"/>
    </row>
    <row r="645" spans="16:30" ht="10.5" customHeight="1">
      <c r="P645" s="241" t="s">
        <v>2219</v>
      </c>
      <c r="Q645" s="241"/>
      <c r="R645" s="147"/>
      <c r="S645" s="236"/>
      <c r="T645" s="391" t="s">
        <v>680</v>
      </c>
      <c r="U645" s="391" t="s">
        <v>2286</v>
      </c>
      <c r="AA645"/>
      <c r="AB645"/>
      <c r="AC645" s="379"/>
      <c r="AD645" s="68"/>
    </row>
    <row r="646" spans="16:30" ht="10.5" customHeight="1">
      <c r="P646" s="241" t="s">
        <v>160</v>
      </c>
      <c r="Q646" s="241"/>
      <c r="R646" s="147"/>
      <c r="S646" s="236"/>
      <c r="T646" s="391" t="s">
        <v>881</v>
      </c>
      <c r="U646" s="391" t="s">
        <v>2323</v>
      </c>
      <c r="AA646"/>
      <c r="AB646"/>
      <c r="AC646" s="379"/>
      <c r="AD646" s="68"/>
    </row>
    <row r="647" spans="16:30" ht="10.5" customHeight="1">
      <c r="P647" s="241" t="s">
        <v>923</v>
      </c>
      <c r="Q647" s="241"/>
      <c r="R647" s="147"/>
      <c r="S647" s="236"/>
      <c r="T647" s="391" t="s">
        <v>1003</v>
      </c>
      <c r="U647" s="391" t="s">
        <v>307</v>
      </c>
      <c r="AA647"/>
      <c r="AB647"/>
      <c r="AC647" s="379"/>
      <c r="AD647" s="68"/>
    </row>
    <row r="648" spans="16:30" ht="10.5" customHeight="1">
      <c r="P648" s="241" t="s">
        <v>924</v>
      </c>
      <c r="Q648" s="241"/>
      <c r="R648" s="147"/>
      <c r="S648" s="236"/>
      <c r="T648" s="391" t="s">
        <v>1111</v>
      </c>
      <c r="U648" s="391" t="s">
        <v>1806</v>
      </c>
      <c r="AA648"/>
      <c r="AB648"/>
      <c r="AC648" s="379"/>
      <c r="AD648" s="68"/>
    </row>
    <row r="649" spans="16:30" ht="10.5" customHeight="1">
      <c r="P649" s="241" t="s">
        <v>926</v>
      </c>
      <c r="Q649" s="241"/>
      <c r="R649" s="147"/>
      <c r="S649" s="236"/>
      <c r="T649" s="236" t="s">
        <v>2540</v>
      </c>
      <c r="U649" s="236" t="s">
        <v>1649</v>
      </c>
      <c r="AA649"/>
      <c r="AB649"/>
      <c r="AC649" s="68"/>
      <c r="AD649" s="68"/>
    </row>
    <row r="650" spans="16:30" ht="10.5" customHeight="1">
      <c r="P650" s="241" t="s">
        <v>2188</v>
      </c>
      <c r="Q650" s="241"/>
      <c r="R650" s="147"/>
      <c r="S650" s="236"/>
      <c r="T650" s="391" t="s">
        <v>977</v>
      </c>
      <c r="U650" s="391" t="s">
        <v>1031</v>
      </c>
      <c r="AA650"/>
      <c r="AB650"/>
      <c r="AC650" s="379"/>
      <c r="AD650" s="68"/>
    </row>
    <row r="651" spans="16:30" ht="10.5" customHeight="1">
      <c r="P651" s="241" t="s">
        <v>2316</v>
      </c>
      <c r="Q651" s="241"/>
      <c r="R651" s="147"/>
      <c r="S651" s="236"/>
      <c r="T651" s="391" t="s">
        <v>2088</v>
      </c>
      <c r="U651" s="391" t="s">
        <v>2005</v>
      </c>
      <c r="AA651"/>
      <c r="AB651"/>
      <c r="AC651" s="379"/>
      <c r="AD651" s="68"/>
    </row>
    <row r="652" spans="16:30" ht="10.5" customHeight="1">
      <c r="P652" s="241" t="s">
        <v>1850</v>
      </c>
      <c r="Q652" s="241"/>
      <c r="R652" s="147"/>
      <c r="S652" s="236"/>
      <c r="T652" s="391" t="s">
        <v>2090</v>
      </c>
      <c r="U652" s="391" t="s">
        <v>611</v>
      </c>
      <c r="AA652"/>
      <c r="AB652"/>
      <c r="AC652" s="379"/>
      <c r="AD652" s="68"/>
    </row>
    <row r="653" spans="16:30" ht="10.5" customHeight="1">
      <c r="P653" s="241" t="s">
        <v>884</v>
      </c>
      <c r="Q653" s="241"/>
      <c r="R653" s="147"/>
      <c r="S653" s="236"/>
      <c r="T653" s="391" t="s">
        <v>1640</v>
      </c>
      <c r="U653" s="391" t="s">
        <v>685</v>
      </c>
      <c r="AA653"/>
      <c r="AB653"/>
      <c r="AC653" s="379"/>
      <c r="AD653" s="68"/>
    </row>
    <row r="654" spans="16:30" ht="10.5" customHeight="1">
      <c r="P654" s="241" t="s">
        <v>718</v>
      </c>
      <c r="Q654" s="241"/>
      <c r="R654" s="147"/>
      <c r="S654" s="236"/>
      <c r="T654" s="236" t="s">
        <v>2312</v>
      </c>
      <c r="U654" s="236" t="s">
        <v>1856</v>
      </c>
      <c r="AA654"/>
      <c r="AB654"/>
      <c r="AC654" s="68"/>
      <c r="AD654" s="68"/>
    </row>
    <row r="655" spans="16:30" ht="10.5" customHeight="1">
      <c r="P655" s="241" t="s">
        <v>1374</v>
      </c>
      <c r="Q655" s="241"/>
      <c r="R655" s="147"/>
      <c r="S655" s="236"/>
      <c r="T655" s="391" t="s">
        <v>2003</v>
      </c>
      <c r="U655" s="391" t="s">
        <v>1131</v>
      </c>
      <c r="AA655"/>
      <c r="AB655"/>
      <c r="AC655" s="379"/>
      <c r="AD655" s="68"/>
    </row>
    <row r="656" spans="16:30" ht="10.5" customHeight="1">
      <c r="P656" s="241" t="s">
        <v>1376</v>
      </c>
      <c r="Q656" s="241"/>
      <c r="R656" s="147"/>
      <c r="S656" s="236"/>
      <c r="T656" s="391" t="s">
        <v>1505</v>
      </c>
      <c r="U656" s="391" t="s">
        <v>613</v>
      </c>
      <c r="AA656"/>
      <c r="AB656"/>
      <c r="AC656" s="379"/>
      <c r="AD656" s="68"/>
    </row>
    <row r="657" spans="16:30" ht="10.5" customHeight="1">
      <c r="P657" s="241" t="s">
        <v>1378</v>
      </c>
      <c r="Q657" s="241"/>
      <c r="R657" s="147"/>
      <c r="S657" s="236"/>
      <c r="T657" s="391" t="s">
        <v>774</v>
      </c>
      <c r="U657" s="391" t="s">
        <v>1233</v>
      </c>
      <c r="AA657"/>
      <c r="AB657"/>
      <c r="AC657" s="379"/>
      <c r="AD657" s="68"/>
    </row>
    <row r="658" spans="16:30" ht="10.5" customHeight="1">
      <c r="P658" s="241" t="s">
        <v>1225</v>
      </c>
      <c r="Q658" s="241"/>
      <c r="R658" s="147"/>
      <c r="S658" s="236"/>
      <c r="T658" s="391" t="s">
        <v>1508</v>
      </c>
      <c r="U658" s="391" t="s">
        <v>2371</v>
      </c>
      <c r="AA658"/>
      <c r="AB658"/>
      <c r="AC658" s="379"/>
      <c r="AD658" s="68"/>
    </row>
    <row r="659" spans="16:30" ht="10.5" customHeight="1">
      <c r="P659" s="241" t="s">
        <v>1227</v>
      </c>
      <c r="Q659" s="241"/>
      <c r="R659" s="147"/>
      <c r="S659" s="236"/>
      <c r="T659" s="391" t="s">
        <v>1511</v>
      </c>
      <c r="U659" s="391" t="s">
        <v>1524</v>
      </c>
      <c r="AA659"/>
      <c r="AB659"/>
      <c r="AC659" s="379"/>
      <c r="AD659" s="68"/>
    </row>
    <row r="660" spans="16:30" ht="10.5" customHeight="1">
      <c r="P660" s="241" t="s">
        <v>1843</v>
      </c>
      <c r="Q660" s="241"/>
      <c r="R660" s="147"/>
      <c r="S660" s="236"/>
      <c r="T660" s="236" t="s">
        <v>1005</v>
      </c>
      <c r="U660" s="236" t="s">
        <v>1421</v>
      </c>
      <c r="AA660"/>
      <c r="AB660"/>
      <c r="AC660" s="68"/>
      <c r="AD660" s="68"/>
    </row>
    <row r="661" spans="16:30" ht="10.5" customHeight="1">
      <c r="P661" s="241" t="s">
        <v>686</v>
      </c>
      <c r="Q661" s="241"/>
      <c r="R661" s="147"/>
      <c r="S661" s="236"/>
      <c r="T661" s="391" t="s">
        <v>2218</v>
      </c>
      <c r="U661" s="391" t="s">
        <v>100</v>
      </c>
      <c r="AA661"/>
      <c r="AB661"/>
      <c r="AC661" s="379"/>
      <c r="AD661" s="68"/>
    </row>
    <row r="662" spans="16:30" ht="10.5" customHeight="1">
      <c r="P662" s="241" t="s">
        <v>1188</v>
      </c>
      <c r="Q662" s="241"/>
      <c r="R662" s="147"/>
      <c r="S662" s="236"/>
      <c r="T662" s="391" t="s">
        <v>757</v>
      </c>
      <c r="U662" s="391" t="s">
        <v>1131</v>
      </c>
      <c r="AA662"/>
      <c r="AB662"/>
      <c r="AC662" s="379"/>
      <c r="AD662" s="68"/>
    </row>
    <row r="663" spans="16:30" ht="10.5" customHeight="1">
      <c r="P663" s="241" t="s">
        <v>1737</v>
      </c>
      <c r="Q663" s="241"/>
      <c r="R663" s="147"/>
      <c r="S663" s="236"/>
      <c r="T663" s="391" t="s">
        <v>1224</v>
      </c>
      <c r="U663" s="391" t="s">
        <v>1764</v>
      </c>
      <c r="AA663"/>
      <c r="AB663"/>
      <c r="AC663" s="379"/>
      <c r="AD663" s="68"/>
    </row>
    <row r="664" spans="16:30" ht="10.5" customHeight="1">
      <c r="P664" s="241" t="s">
        <v>1738</v>
      </c>
      <c r="Q664" s="241"/>
      <c r="R664" s="147"/>
      <c r="S664" s="236"/>
      <c r="T664" s="391" t="s">
        <v>161</v>
      </c>
      <c r="U664" s="391" t="s">
        <v>1249</v>
      </c>
      <c r="AA664"/>
      <c r="AB664"/>
      <c r="AC664" s="379"/>
      <c r="AD664" s="68"/>
    </row>
    <row r="665" spans="16:30" ht="10.5" customHeight="1">
      <c r="P665" s="241" t="s">
        <v>1740</v>
      </c>
      <c r="Q665" s="241"/>
      <c r="R665" s="147"/>
      <c r="S665" s="236"/>
      <c r="T665" s="391" t="s">
        <v>925</v>
      </c>
      <c r="U665" s="391" t="s">
        <v>1549</v>
      </c>
      <c r="AA665"/>
      <c r="AB665"/>
      <c r="AC665" s="379"/>
      <c r="AD665" s="68"/>
    </row>
    <row r="666" spans="16:30" ht="10.5" customHeight="1">
      <c r="P666" s="241" t="s">
        <v>1742</v>
      </c>
      <c r="Q666" s="241"/>
      <c r="R666" s="147"/>
      <c r="S666" s="236"/>
      <c r="T666" s="391" t="s">
        <v>2541</v>
      </c>
      <c r="U666" s="391" t="s">
        <v>313</v>
      </c>
      <c r="AA666"/>
      <c r="AB666"/>
      <c r="AC666" s="379"/>
      <c r="AD666" s="68"/>
    </row>
    <row r="667" spans="16:30" ht="10.5" customHeight="1">
      <c r="P667" s="241" t="s">
        <v>1744</v>
      </c>
      <c r="Q667" s="241"/>
      <c r="R667" s="147"/>
      <c r="S667" s="236"/>
      <c r="T667" s="391" t="s">
        <v>2542</v>
      </c>
      <c r="U667" s="391" t="s">
        <v>108</v>
      </c>
      <c r="AA667"/>
      <c r="AB667"/>
      <c r="AC667" s="379"/>
      <c r="AD667" s="68"/>
    </row>
    <row r="668" spans="16:30" ht="10.5" customHeight="1">
      <c r="P668" s="241" t="s">
        <v>470</v>
      </c>
      <c r="Q668" s="241"/>
      <c r="R668" s="147"/>
      <c r="S668" s="236"/>
      <c r="T668" s="391" t="s">
        <v>1246</v>
      </c>
      <c r="U668" s="391" t="s">
        <v>152</v>
      </c>
      <c r="AA668"/>
      <c r="AB668"/>
      <c r="AC668" s="379"/>
      <c r="AD668" s="68"/>
    </row>
    <row r="669" spans="16:30" ht="10.5" customHeight="1">
      <c r="P669" s="241" t="s">
        <v>2326</v>
      </c>
      <c r="Q669" s="241"/>
      <c r="R669" s="147"/>
      <c r="S669" s="236"/>
      <c r="T669" s="391" t="s">
        <v>2317</v>
      </c>
      <c r="U669" s="391" t="s">
        <v>812</v>
      </c>
      <c r="AA669"/>
      <c r="AB669"/>
      <c r="AC669" s="379"/>
      <c r="AD669" s="68"/>
    </row>
    <row r="670" spans="16:30" ht="10.5" customHeight="1">
      <c r="P670" s="241" t="s">
        <v>2328</v>
      </c>
      <c r="Q670" s="241"/>
      <c r="R670" s="147"/>
      <c r="S670" s="236"/>
      <c r="T670" s="391" t="s">
        <v>1006</v>
      </c>
      <c r="U670" s="391" t="s">
        <v>584</v>
      </c>
      <c r="AA670"/>
      <c r="AB670"/>
      <c r="AC670" s="379"/>
      <c r="AD670" s="68"/>
    </row>
    <row r="671" spans="16:30" ht="10.5" customHeight="1">
      <c r="P671" s="241" t="s">
        <v>1085</v>
      </c>
      <c r="Q671" s="241"/>
      <c r="R671" s="147"/>
      <c r="S671" s="236"/>
      <c r="T671" s="236" t="s">
        <v>2005</v>
      </c>
      <c r="U671" s="236" t="s">
        <v>102</v>
      </c>
      <c r="AA671"/>
      <c r="AB671"/>
      <c r="AC671" s="68"/>
      <c r="AD671" s="68"/>
    </row>
    <row r="672" spans="16:30" ht="10.5" customHeight="1">
      <c r="P672" s="241" t="s">
        <v>2307</v>
      </c>
      <c r="Q672" s="241"/>
      <c r="R672" s="147"/>
      <c r="S672" s="236"/>
      <c r="T672" s="391" t="s">
        <v>1375</v>
      </c>
      <c r="U672" s="391" t="s">
        <v>2322</v>
      </c>
      <c r="AA672"/>
      <c r="AB672"/>
      <c r="AC672" s="379"/>
      <c r="AD672" s="68"/>
    </row>
    <row r="673" spans="16:30" ht="10.5" customHeight="1">
      <c r="P673" s="241" t="s">
        <v>2309</v>
      </c>
      <c r="Q673" s="241"/>
      <c r="R673" s="147"/>
      <c r="S673" s="236"/>
      <c r="T673" s="391" t="s">
        <v>2543</v>
      </c>
      <c r="U673" s="391" t="s">
        <v>1806</v>
      </c>
      <c r="AA673"/>
      <c r="AB673"/>
      <c r="AC673" s="379"/>
      <c r="AD673" s="68"/>
    </row>
    <row r="674" spans="16:30" ht="10.5" customHeight="1">
      <c r="P674" s="241" t="s">
        <v>1431</v>
      </c>
      <c r="Q674" s="241"/>
      <c r="R674" s="147"/>
      <c r="S674" s="236"/>
      <c r="T674" s="391" t="s">
        <v>1377</v>
      </c>
      <c r="U674" s="391" t="s">
        <v>312</v>
      </c>
      <c r="AA674"/>
      <c r="AB674"/>
      <c r="AC674" s="379"/>
      <c r="AD674" s="68"/>
    </row>
    <row r="675" spans="16:30" ht="10.5" customHeight="1">
      <c r="P675" s="241" t="s">
        <v>1432</v>
      </c>
      <c r="Q675" s="241"/>
      <c r="R675" s="147"/>
      <c r="S675" s="236"/>
      <c r="T675" s="391" t="s">
        <v>1007</v>
      </c>
      <c r="U675" s="391" t="s">
        <v>611</v>
      </c>
      <c r="AA675"/>
      <c r="AB675"/>
      <c r="AC675" s="379"/>
      <c r="AD675" s="68"/>
    </row>
    <row r="676" spans="16:30" ht="10.5" customHeight="1">
      <c r="P676" s="241" t="s">
        <v>1943</v>
      </c>
      <c r="Q676" s="241"/>
      <c r="R676" s="147"/>
      <c r="S676" s="236"/>
      <c r="T676" s="391" t="s">
        <v>1226</v>
      </c>
      <c r="U676" s="391" t="s">
        <v>2018</v>
      </c>
      <c r="AA676"/>
      <c r="AB676"/>
      <c r="AC676" s="379"/>
      <c r="AD676" s="68"/>
    </row>
    <row r="677" spans="16:30" ht="10.5" customHeight="1">
      <c r="P677" s="241" t="s">
        <v>1944</v>
      </c>
      <c r="Q677" s="241"/>
      <c r="R677" s="147"/>
      <c r="S677" s="236"/>
      <c r="T677" s="391" t="s">
        <v>1228</v>
      </c>
      <c r="U677" s="391" t="s">
        <v>2322</v>
      </c>
      <c r="AA677"/>
      <c r="AB677"/>
      <c r="AC677" s="379"/>
      <c r="AD677" s="68"/>
    </row>
    <row r="678" spans="16:30" ht="10.5" customHeight="1">
      <c r="P678" s="241" t="s">
        <v>1513</v>
      </c>
      <c r="Q678" s="241"/>
      <c r="R678" s="147"/>
      <c r="S678" s="236"/>
      <c r="T678" s="391" t="s">
        <v>1844</v>
      </c>
      <c r="U678" s="391" t="s">
        <v>1041</v>
      </c>
      <c r="AA678"/>
      <c r="AB678"/>
      <c r="AC678" s="379"/>
      <c r="AD678" s="68"/>
    </row>
    <row r="679" spans="16:30" ht="10.5" customHeight="1">
      <c r="P679" s="241" t="s">
        <v>1515</v>
      </c>
      <c r="Q679" s="241"/>
      <c r="R679" s="147"/>
      <c r="S679" s="236"/>
      <c r="T679" s="391" t="s">
        <v>687</v>
      </c>
      <c r="U679" s="391" t="s">
        <v>302</v>
      </c>
      <c r="AA679"/>
      <c r="AB679"/>
      <c r="AC679" s="379"/>
      <c r="AD679" s="68"/>
    </row>
    <row r="680" spans="16:30" ht="10.5" customHeight="1">
      <c r="P680" s="241" t="s">
        <v>876</v>
      </c>
      <c r="Q680" s="241"/>
      <c r="R680" s="147"/>
      <c r="S680" s="236"/>
      <c r="T680" s="391" t="s">
        <v>1189</v>
      </c>
      <c r="U680" s="391" t="s">
        <v>624</v>
      </c>
      <c r="AA680"/>
      <c r="AB680"/>
      <c r="AC680" s="379"/>
      <c r="AD680" s="68"/>
    </row>
    <row r="681" spans="16:30" ht="10.5" customHeight="1">
      <c r="P681" s="241" t="s">
        <v>878</v>
      </c>
      <c r="Q681" s="241"/>
      <c r="R681" s="147"/>
      <c r="S681" s="236"/>
      <c r="T681" s="391" t="s">
        <v>1008</v>
      </c>
      <c r="U681" s="391" t="s">
        <v>152</v>
      </c>
      <c r="AA681"/>
      <c r="AB681"/>
      <c r="AC681" s="379"/>
      <c r="AD681" s="68"/>
    </row>
    <row r="682" spans="16:30" ht="10.5" customHeight="1">
      <c r="P682" s="241" t="s">
        <v>880</v>
      </c>
      <c r="Q682" s="241"/>
      <c r="R682" s="147"/>
      <c r="S682" s="236"/>
      <c r="T682" s="391" t="s">
        <v>1739</v>
      </c>
      <c r="U682" s="391" t="s">
        <v>1039</v>
      </c>
      <c r="AA682"/>
      <c r="AB682"/>
      <c r="AC682" s="379"/>
      <c r="AD682" s="68"/>
    </row>
    <row r="683" spans="16:30" ht="10.5" customHeight="1">
      <c r="P683" s="241" t="s">
        <v>2295</v>
      </c>
      <c r="Q683" s="241"/>
      <c r="R683" s="147"/>
      <c r="S683" s="236"/>
      <c r="T683" s="236" t="s">
        <v>1741</v>
      </c>
      <c r="U683" s="236" t="s">
        <v>1363</v>
      </c>
      <c r="AA683"/>
      <c r="AB683"/>
      <c r="AC683" s="68"/>
      <c r="AD683" s="68"/>
    </row>
    <row r="684" spans="16:30" ht="10.5" customHeight="1">
      <c r="P684" s="241" t="s">
        <v>2297</v>
      </c>
      <c r="Q684" s="241"/>
      <c r="R684" s="147"/>
      <c r="S684" s="236"/>
      <c r="T684" s="236" t="s">
        <v>1743</v>
      </c>
      <c r="U684" s="236" t="s">
        <v>2283</v>
      </c>
      <c r="AA684"/>
      <c r="AB684"/>
      <c r="AC684" s="68"/>
      <c r="AD684" s="68"/>
    </row>
    <row r="685" spans="16:30" ht="10.5" customHeight="1">
      <c r="P685" s="241" t="s">
        <v>2298</v>
      </c>
      <c r="Q685" s="241"/>
      <c r="R685" s="147"/>
      <c r="S685" s="236"/>
      <c r="T685" s="391" t="s">
        <v>1745</v>
      </c>
      <c r="U685" s="391" t="s">
        <v>115</v>
      </c>
      <c r="AA685"/>
      <c r="AB685"/>
      <c r="AC685" s="379"/>
      <c r="AD685" s="68"/>
    </row>
    <row r="686" spans="16:30" ht="10.5" customHeight="1">
      <c r="P686" s="241" t="s">
        <v>1756</v>
      </c>
      <c r="Q686" s="241"/>
      <c r="R686" s="147"/>
      <c r="S686" s="236"/>
      <c r="T686" s="391" t="s">
        <v>471</v>
      </c>
      <c r="U686" s="391" t="s">
        <v>1857</v>
      </c>
      <c r="AA686"/>
      <c r="AB686"/>
      <c r="AC686" s="379"/>
      <c r="AD686" s="68"/>
    </row>
    <row r="687" spans="16:30" ht="10.5" customHeight="1">
      <c r="P687" s="241" t="s">
        <v>1757</v>
      </c>
      <c r="Q687" s="241"/>
      <c r="R687" s="147"/>
      <c r="S687" s="236"/>
      <c r="T687" s="391" t="s">
        <v>2327</v>
      </c>
      <c r="U687" s="391" t="s">
        <v>1768</v>
      </c>
      <c r="AA687"/>
      <c r="AB687"/>
      <c r="AC687" s="379"/>
      <c r="AD687" s="68"/>
    </row>
    <row r="688" spans="16:30" ht="10.5" customHeight="1">
      <c r="P688" s="241" t="s">
        <v>1759</v>
      </c>
      <c r="Q688" s="241"/>
      <c r="R688" s="147"/>
      <c r="S688" s="236"/>
      <c r="T688" s="391" t="s">
        <v>3656</v>
      </c>
      <c r="U688" s="391" t="s">
        <v>1131</v>
      </c>
      <c r="AA688"/>
      <c r="AB688"/>
      <c r="AC688" s="379"/>
      <c r="AD688" s="68"/>
    </row>
    <row r="689" spans="16:30" ht="10.5" customHeight="1">
      <c r="P689" s="241" t="s">
        <v>596</v>
      </c>
      <c r="Q689" s="241"/>
      <c r="R689" s="147"/>
      <c r="S689" s="236"/>
      <c r="T689" s="391" t="s">
        <v>2329</v>
      </c>
      <c r="U689" s="391" t="s">
        <v>2320</v>
      </c>
      <c r="AA689"/>
      <c r="AB689"/>
      <c r="AC689" s="379"/>
      <c r="AD689" s="68"/>
    </row>
    <row r="690" spans="16:30" ht="10.5" customHeight="1">
      <c r="P690" s="241" t="s">
        <v>598</v>
      </c>
      <c r="Q690" s="241"/>
      <c r="R690" s="147"/>
      <c r="S690" s="236"/>
      <c r="T690" s="391" t="s">
        <v>1086</v>
      </c>
      <c r="U690" s="391" t="s">
        <v>299</v>
      </c>
      <c r="AA690"/>
      <c r="AB690"/>
      <c r="AC690" s="379"/>
      <c r="AD690" s="68"/>
    </row>
    <row r="691" spans="16:30" ht="10.5" customHeight="1">
      <c r="P691" s="241" t="s">
        <v>599</v>
      </c>
      <c r="Q691" s="241"/>
      <c r="R691" s="147"/>
      <c r="S691" s="236"/>
      <c r="T691" s="391" t="s">
        <v>2308</v>
      </c>
      <c r="U691" s="391" t="s">
        <v>818</v>
      </c>
      <c r="AA691"/>
      <c r="AB691"/>
      <c r="AC691" s="379"/>
      <c r="AD691" s="68"/>
    </row>
    <row r="692" spans="16:30" ht="10.5" customHeight="1">
      <c r="P692" s="241" t="s">
        <v>2122</v>
      </c>
      <c r="Q692" s="241"/>
      <c r="R692" s="147"/>
      <c r="S692" s="236"/>
      <c r="T692" s="391" t="s">
        <v>758</v>
      </c>
      <c r="U692" s="391" t="s">
        <v>1254</v>
      </c>
      <c r="AA692"/>
      <c r="AB692"/>
      <c r="AC692" s="379"/>
      <c r="AD692" s="68"/>
    </row>
    <row r="693" spans="16:30" ht="10.5" customHeight="1">
      <c r="P693" s="241" t="s">
        <v>66</v>
      </c>
      <c r="Q693" s="241"/>
      <c r="R693" s="147"/>
      <c r="S693" s="236"/>
      <c r="T693" s="391" t="s">
        <v>1004</v>
      </c>
      <c r="U693" s="391" t="s">
        <v>619</v>
      </c>
      <c r="AA693"/>
      <c r="AB693"/>
      <c r="AC693" s="379"/>
      <c r="AD693" s="68"/>
    </row>
    <row r="694" spans="16:30" ht="10.5" customHeight="1">
      <c r="P694" s="241" t="s">
        <v>1331</v>
      </c>
      <c r="Q694" s="241"/>
      <c r="R694" s="147"/>
      <c r="S694" s="236"/>
      <c r="T694" s="391" t="s">
        <v>1433</v>
      </c>
      <c r="U694" s="391" t="s">
        <v>315</v>
      </c>
      <c r="AA694"/>
      <c r="AB694"/>
      <c r="AC694" s="379"/>
      <c r="AD694" s="68"/>
    </row>
    <row r="695" spans="16:30" ht="10.5" customHeight="1">
      <c r="P695" s="241" t="s">
        <v>2079</v>
      </c>
      <c r="Q695" s="241"/>
      <c r="R695" s="147"/>
      <c r="S695" s="236"/>
      <c r="T695" s="391" t="s">
        <v>2544</v>
      </c>
      <c r="U695" s="391" t="s">
        <v>817</v>
      </c>
      <c r="AA695"/>
      <c r="AB695"/>
      <c r="AC695" s="379"/>
      <c r="AD695" s="68"/>
    </row>
    <row r="696" spans="16:30" ht="10.5" customHeight="1">
      <c r="P696" s="241" t="s">
        <v>2081</v>
      </c>
      <c r="Q696" s="241"/>
      <c r="R696" s="147"/>
      <c r="S696" s="236"/>
      <c r="T696" s="391" t="s">
        <v>1945</v>
      </c>
      <c r="U696" s="391" t="s">
        <v>1247</v>
      </c>
      <c r="AA696"/>
      <c r="AB696"/>
      <c r="AC696" s="379"/>
      <c r="AD696" s="68"/>
    </row>
    <row r="697" spans="16:30" ht="10.5" customHeight="1">
      <c r="P697" s="241" t="s">
        <v>1669</v>
      </c>
      <c r="Q697" s="241"/>
      <c r="R697" s="147"/>
      <c r="S697" s="236"/>
      <c r="T697" s="391" t="s">
        <v>1514</v>
      </c>
      <c r="U697" s="391" t="s">
        <v>1233</v>
      </c>
      <c r="AA697"/>
      <c r="AB697"/>
      <c r="AC697" s="379"/>
      <c r="AD697" s="68"/>
    </row>
    <row r="698" spans="16:30" ht="10.5" customHeight="1">
      <c r="P698" s="241" t="s">
        <v>1051</v>
      </c>
      <c r="Q698" s="241"/>
      <c r="R698" s="147"/>
      <c r="S698" s="236"/>
      <c r="T698" s="391" t="s">
        <v>877</v>
      </c>
      <c r="U698" s="391" t="s">
        <v>2067</v>
      </c>
      <c r="AA698"/>
      <c r="AB698"/>
      <c r="AC698" s="379"/>
      <c r="AD698" s="68"/>
    </row>
    <row r="699" spans="16:30" ht="10.5" customHeight="1">
      <c r="P699" s="241" t="s">
        <v>1891</v>
      </c>
      <c r="Q699" s="241"/>
      <c r="R699" s="147"/>
      <c r="S699" s="236"/>
      <c r="T699" s="391" t="s">
        <v>879</v>
      </c>
      <c r="U699" s="391" t="s">
        <v>306</v>
      </c>
      <c r="AA699"/>
      <c r="AB699"/>
      <c r="AC699" s="379"/>
      <c r="AD699" s="68"/>
    </row>
    <row r="700" spans="16:30" ht="10.5" customHeight="1">
      <c r="P700" s="241" t="s">
        <v>1822</v>
      </c>
      <c r="Q700" s="241"/>
      <c r="R700" s="147"/>
      <c r="S700" s="236"/>
      <c r="T700" s="391" t="s">
        <v>2296</v>
      </c>
      <c r="U700" s="391" t="s">
        <v>584</v>
      </c>
      <c r="AA700"/>
      <c r="AB700"/>
      <c r="AC700" s="379"/>
      <c r="AD700" s="68"/>
    </row>
    <row r="701" spans="16:30" ht="10.5" customHeight="1">
      <c r="P701" s="241" t="s">
        <v>1824</v>
      </c>
      <c r="Q701" s="241"/>
      <c r="R701" s="147"/>
      <c r="S701" s="236"/>
      <c r="T701" s="391" t="s">
        <v>3657</v>
      </c>
      <c r="U701" s="391" t="s">
        <v>584</v>
      </c>
      <c r="AA701"/>
      <c r="AB701"/>
      <c r="AC701" s="379"/>
      <c r="AD701" s="68"/>
    </row>
    <row r="702" spans="16:30" ht="10.5" customHeight="1">
      <c r="P702" s="241" t="s">
        <v>1826</v>
      </c>
      <c r="Q702" s="241"/>
      <c r="R702" s="147"/>
      <c r="S702" s="236"/>
      <c r="T702" s="391" t="s">
        <v>1755</v>
      </c>
      <c r="U702" s="391" t="s">
        <v>115</v>
      </c>
      <c r="AA702"/>
      <c r="AB702"/>
      <c r="AC702" s="379"/>
      <c r="AD702" s="68"/>
    </row>
    <row r="703" spans="16:30" ht="10.5" customHeight="1">
      <c r="P703" s="241" t="s">
        <v>463</v>
      </c>
      <c r="Q703" s="241"/>
      <c r="R703" s="147"/>
      <c r="S703" s="236"/>
      <c r="T703" s="391" t="s">
        <v>1758</v>
      </c>
      <c r="U703" s="391" t="s">
        <v>2067</v>
      </c>
      <c r="AA703"/>
      <c r="AB703"/>
      <c r="AC703" s="379"/>
      <c r="AD703" s="68"/>
    </row>
    <row r="704" spans="16:30" ht="10.5" customHeight="1">
      <c r="P704" s="241" t="s">
        <v>426</v>
      </c>
      <c r="Q704" s="241"/>
      <c r="R704" s="147"/>
      <c r="S704" s="236"/>
      <c r="T704" s="391" t="s">
        <v>1760</v>
      </c>
      <c r="U704" s="391" t="s">
        <v>155</v>
      </c>
      <c r="AA704"/>
      <c r="AB704"/>
      <c r="AC704" s="379"/>
      <c r="AD704" s="68"/>
    </row>
    <row r="705" spans="16:30" ht="10.5" customHeight="1">
      <c r="P705" s="241" t="s">
        <v>1940</v>
      </c>
      <c r="Q705" s="241"/>
      <c r="R705" s="147"/>
      <c r="S705" s="236"/>
      <c r="T705" s="391" t="s">
        <v>597</v>
      </c>
      <c r="U705" s="391" t="s">
        <v>2205</v>
      </c>
      <c r="AA705"/>
      <c r="AB705"/>
      <c r="AC705" s="379"/>
      <c r="AD705" s="68"/>
    </row>
    <row r="706" spans="16:30" ht="10.5" customHeight="1">
      <c r="P706" s="241" t="s">
        <v>1965</v>
      </c>
      <c r="Q706" s="738"/>
      <c r="R706" s="738"/>
      <c r="S706" s="739"/>
      <c r="T706" s="391" t="s">
        <v>759</v>
      </c>
      <c r="U706" s="391" t="s">
        <v>2009</v>
      </c>
      <c r="AA706"/>
      <c r="AB706"/>
      <c r="AC706" s="379"/>
      <c r="AD706" s="68"/>
    </row>
    <row r="707" spans="16:30" ht="10.5" customHeight="1">
      <c r="P707" s="737"/>
      <c r="Q707" s="370"/>
      <c r="R707" s="144"/>
      <c r="S707" s="145"/>
      <c r="T707" s="391" t="s">
        <v>1009</v>
      </c>
      <c r="U707" s="391" t="s">
        <v>1766</v>
      </c>
      <c r="AA707"/>
      <c r="AB707"/>
      <c r="AC707" s="379"/>
      <c r="AD707" s="68"/>
    </row>
    <row r="708" spans="16:30" ht="10.5" customHeight="1">
      <c r="P708" s="436"/>
      <c r="Q708" s="145"/>
      <c r="R708" s="145"/>
      <c r="S708" s="145"/>
      <c r="T708" s="391" t="s">
        <v>1010</v>
      </c>
      <c r="U708" s="391" t="s">
        <v>1854</v>
      </c>
      <c r="AA708"/>
      <c r="AB708"/>
      <c r="AC708" s="379"/>
      <c r="AD708" s="68"/>
    </row>
    <row r="709" spans="16:30" ht="10.5" customHeight="1">
      <c r="P709" s="145"/>
      <c r="Q709" s="145"/>
      <c r="R709" s="145"/>
      <c r="S709" s="145"/>
      <c r="T709" s="391" t="s">
        <v>1371</v>
      </c>
      <c r="U709" s="391" t="s">
        <v>1135</v>
      </c>
      <c r="AA709"/>
      <c r="AB709"/>
      <c r="AC709" s="379"/>
      <c r="AD709" s="68"/>
    </row>
    <row r="710" spans="16:30" ht="10.5" customHeight="1">
      <c r="P710" s="145"/>
      <c r="Q710" s="145"/>
      <c r="R710" s="145"/>
      <c r="S710" s="145"/>
      <c r="T710" s="391" t="s">
        <v>2123</v>
      </c>
      <c r="U710" s="391" t="s">
        <v>115</v>
      </c>
      <c r="AA710"/>
      <c r="AB710"/>
      <c r="AC710" s="379"/>
      <c r="AD710" s="68"/>
    </row>
    <row r="711" spans="16:30" ht="10.5" customHeight="1">
      <c r="P711" s="145"/>
      <c r="Q711" s="145"/>
      <c r="R711" s="145"/>
      <c r="S711" s="145"/>
      <c r="T711" s="391" t="s">
        <v>1330</v>
      </c>
      <c r="U711" s="391" t="s">
        <v>2067</v>
      </c>
      <c r="AA711"/>
      <c r="AB711"/>
      <c r="AC711" s="379"/>
      <c r="AD711" s="68"/>
    </row>
    <row r="712" spans="16:30" ht="10.5" customHeight="1">
      <c r="P712" s="145"/>
      <c r="Q712" s="145"/>
      <c r="R712" s="145"/>
      <c r="S712" s="145"/>
      <c r="T712" s="236" t="s">
        <v>2078</v>
      </c>
      <c r="U712" s="236" t="s">
        <v>1772</v>
      </c>
      <c r="AA712"/>
      <c r="AB712"/>
      <c r="AC712" s="68"/>
      <c r="AD712" s="68"/>
    </row>
    <row r="713" spans="16:30" ht="10.5" customHeight="1">
      <c r="P713" s="145"/>
      <c r="Q713" s="145"/>
      <c r="R713" s="145"/>
      <c r="S713" s="145"/>
      <c r="T713" s="391" t="s">
        <v>2080</v>
      </c>
      <c r="U713" s="391" t="s">
        <v>2005</v>
      </c>
      <c r="AA713"/>
      <c r="AB713"/>
      <c r="AC713" s="379"/>
      <c r="AD713" s="68"/>
    </row>
    <row r="714" spans="16:30" ht="10.5" customHeight="1">
      <c r="P714" s="145"/>
      <c r="Q714" s="145"/>
      <c r="R714" s="145"/>
      <c r="S714" s="145"/>
      <c r="T714" s="391" t="s">
        <v>2082</v>
      </c>
      <c r="U714" s="391" t="s">
        <v>2205</v>
      </c>
      <c r="AA714"/>
      <c r="AB714"/>
      <c r="AC714" s="379"/>
      <c r="AD714" s="68"/>
    </row>
    <row r="715" spans="16:30" ht="10.5" customHeight="1">
      <c r="P715" s="145"/>
      <c r="Q715" s="145"/>
      <c r="R715" s="145"/>
      <c r="S715" s="145"/>
      <c r="T715" s="391" t="s">
        <v>2545</v>
      </c>
      <c r="U715" s="391" t="s">
        <v>152</v>
      </c>
      <c r="AA715"/>
      <c r="AB715"/>
      <c r="AC715" s="379"/>
      <c r="AD715" s="68"/>
    </row>
    <row r="716" spans="16:30" ht="10.5" customHeight="1">
      <c r="P716" s="145"/>
      <c r="Q716" s="145"/>
      <c r="R716" s="145"/>
      <c r="S716" s="145"/>
      <c r="T716" s="391" t="s">
        <v>1050</v>
      </c>
      <c r="U716" s="391" t="s">
        <v>2016</v>
      </c>
      <c r="AA716"/>
      <c r="AB716"/>
      <c r="AC716" s="379"/>
      <c r="AD716" s="68"/>
    </row>
    <row r="717" spans="16:30" ht="10.5" customHeight="1">
      <c r="P717" s="145"/>
      <c r="Q717" s="145"/>
      <c r="R717" s="145"/>
      <c r="S717" s="145"/>
      <c r="T717" s="391" t="s">
        <v>1052</v>
      </c>
      <c r="U717" s="391" t="s">
        <v>1027</v>
      </c>
      <c r="AA717"/>
      <c r="AB717"/>
      <c r="AC717" s="379"/>
      <c r="AD717" s="68"/>
    </row>
    <row r="718" spans="16:30" ht="10.5" customHeight="1">
      <c r="P718" s="145"/>
      <c r="Q718" s="145"/>
      <c r="R718" s="145"/>
      <c r="S718" s="145"/>
      <c r="T718" s="391" t="s">
        <v>1892</v>
      </c>
      <c r="U718" s="391" t="s">
        <v>301</v>
      </c>
      <c r="AA718"/>
      <c r="AB718"/>
      <c r="AC718" s="379"/>
      <c r="AD718" s="68"/>
    </row>
    <row r="719" spans="16:30" ht="10.5" customHeight="1">
      <c r="P719" s="145"/>
      <c r="Q719" s="145"/>
      <c r="R719" s="145"/>
      <c r="S719" s="145"/>
      <c r="T719" s="391" t="s">
        <v>1823</v>
      </c>
      <c r="U719" s="391" t="s">
        <v>116</v>
      </c>
      <c r="AA719"/>
      <c r="AB719"/>
      <c r="AC719" s="379"/>
      <c r="AD719" s="68"/>
    </row>
    <row r="720" spans="16:30" ht="10.5" customHeight="1">
      <c r="P720" s="145"/>
      <c r="Q720" s="145"/>
      <c r="R720" s="145"/>
      <c r="S720" s="145"/>
      <c r="T720" s="391" t="s">
        <v>1825</v>
      </c>
      <c r="U720" s="391" t="s">
        <v>310</v>
      </c>
      <c r="AA720"/>
      <c r="AB720"/>
      <c r="AC720" s="379"/>
      <c r="AD720" s="68"/>
    </row>
    <row r="721" spans="16:30" ht="10.5" customHeight="1">
      <c r="P721" s="145"/>
      <c r="Q721" s="145"/>
      <c r="R721" s="145"/>
      <c r="S721" s="145"/>
      <c r="T721" s="391" t="s">
        <v>1827</v>
      </c>
      <c r="U721" s="391" t="s">
        <v>177</v>
      </c>
      <c r="AA721"/>
      <c r="AB721"/>
      <c r="AC721" s="379"/>
      <c r="AD721" s="68"/>
    </row>
    <row r="722" spans="16:30" ht="10.5" customHeight="1">
      <c r="P722" s="145"/>
      <c r="Q722" s="145"/>
      <c r="R722" s="145"/>
      <c r="S722" s="145"/>
      <c r="T722" s="236" t="s">
        <v>2546</v>
      </c>
      <c r="U722" s="236" t="s">
        <v>1766</v>
      </c>
      <c r="AA722"/>
      <c r="AB722"/>
      <c r="AC722" s="68"/>
      <c r="AD722" s="68"/>
    </row>
    <row r="723" spans="16:30" ht="10.5" customHeight="1">
      <c r="P723" s="145"/>
      <c r="Q723" s="145"/>
      <c r="R723" s="145"/>
      <c r="S723" s="145"/>
      <c r="T723" s="391" t="s">
        <v>427</v>
      </c>
      <c r="U723" s="391" t="s">
        <v>1234</v>
      </c>
      <c r="AA723"/>
      <c r="AB723"/>
      <c r="AC723" s="379"/>
      <c r="AD723" s="68"/>
    </row>
    <row r="724" spans="16:30" ht="10.5" customHeight="1">
      <c r="P724" s="145"/>
      <c r="Q724" s="145"/>
      <c r="R724" s="145"/>
      <c r="S724" s="145"/>
      <c r="T724" s="391" t="s">
        <v>1941</v>
      </c>
      <c r="U724" s="391" t="s">
        <v>685</v>
      </c>
      <c r="AA724"/>
      <c r="AB724"/>
      <c r="AC724" s="379"/>
      <c r="AD724" s="68"/>
    </row>
    <row r="725" spans="16:30" ht="10.5" customHeight="1">
      <c r="P725" s="145"/>
      <c r="Q725" s="145"/>
      <c r="R725" s="145"/>
      <c r="S725" s="145"/>
      <c r="T725" s="391" t="s">
        <v>1966</v>
      </c>
      <c r="U725" s="391" t="s">
        <v>100</v>
      </c>
      <c r="AA725"/>
      <c r="AB725"/>
      <c r="AC725" s="379"/>
      <c r="AD725" s="68"/>
    </row>
    <row r="726" spans="16:30" ht="10.5" customHeight="1">
      <c r="P726" s="145"/>
      <c r="Q726" s="145"/>
      <c r="R726" s="145"/>
      <c r="S726" s="145"/>
      <c r="T726" s="391" t="s">
        <v>775</v>
      </c>
      <c r="U726" s="391" t="s">
        <v>1854</v>
      </c>
      <c r="AA726"/>
      <c r="AB726"/>
      <c r="AC726" s="379"/>
      <c r="AD726" s="68"/>
    </row>
    <row r="727" spans="16:30" ht="10.5" customHeight="1">
      <c r="P727" s="145"/>
      <c r="Q727" s="145"/>
      <c r="R727" s="145"/>
      <c r="S727" s="145"/>
      <c r="T727" s="391" t="s">
        <v>1967</v>
      </c>
      <c r="U727" s="391" t="s">
        <v>1854</v>
      </c>
      <c r="AA727"/>
      <c r="AB727"/>
      <c r="AC727" s="379"/>
      <c r="AD727" s="68"/>
    </row>
    <row r="728" spans="16:30" ht="10.5" customHeight="1">
      <c r="P728" s="145"/>
      <c r="Q728" s="145"/>
      <c r="R728" s="145"/>
      <c r="S728" s="145"/>
      <c r="T728" s="391" t="s">
        <v>1968</v>
      </c>
      <c r="U728" s="391" t="s">
        <v>1550</v>
      </c>
      <c r="AA728"/>
      <c r="AB728"/>
      <c r="AC728" s="379"/>
      <c r="AD728" s="68"/>
    </row>
    <row r="729" spans="16:30" ht="10.5" customHeight="1">
      <c r="P729" s="145"/>
      <c r="Q729" s="145"/>
      <c r="R729" s="145"/>
      <c r="S729" s="145"/>
      <c r="T729" s="391" t="s">
        <v>2145</v>
      </c>
      <c r="U729" s="391" t="s">
        <v>1732</v>
      </c>
      <c r="AA729"/>
      <c r="AB729"/>
      <c r="AC729" s="379"/>
      <c r="AD729" s="68"/>
    </row>
    <row r="730" spans="16:30" ht="10.5" customHeight="1">
      <c r="P730" s="145"/>
      <c r="Q730" s="145"/>
      <c r="R730" s="145"/>
      <c r="S730" s="145"/>
      <c r="T730" s="391" t="s">
        <v>2146</v>
      </c>
      <c r="U730" s="391" t="s">
        <v>152</v>
      </c>
      <c r="AA730"/>
      <c r="AB730"/>
      <c r="AC730" s="379"/>
      <c r="AD730" s="68"/>
    </row>
    <row r="731" spans="16:30" ht="10.5" customHeight="1">
      <c r="P731" s="145"/>
      <c r="Q731" s="145"/>
      <c r="R731" s="145"/>
      <c r="S731" s="145"/>
      <c r="T731" s="236" t="s">
        <v>2147</v>
      </c>
      <c r="U731" s="236" t="s">
        <v>1552</v>
      </c>
      <c r="AA731"/>
      <c r="AB731"/>
      <c r="AC731" s="68"/>
      <c r="AD731" s="68"/>
    </row>
    <row r="732" spans="16:30" ht="10.5" customHeight="1">
      <c r="P732" s="145"/>
      <c r="Q732" s="145"/>
      <c r="R732" s="145"/>
      <c r="S732" s="145"/>
      <c r="T732" s="391" t="s">
        <v>2148</v>
      </c>
      <c r="U732" s="391" t="s">
        <v>1039</v>
      </c>
      <c r="AA732"/>
      <c r="AB732"/>
      <c r="AC732" s="379"/>
      <c r="AD732" s="68"/>
    </row>
    <row r="733" spans="16:30" ht="10.5" customHeight="1">
      <c r="P733" s="145"/>
      <c r="Q733" s="145"/>
      <c r="R733" s="145"/>
      <c r="S733" s="145"/>
      <c r="T733" s="391" t="s">
        <v>2149</v>
      </c>
      <c r="U733" s="391" t="s">
        <v>2201</v>
      </c>
      <c r="AA733"/>
      <c r="AB733"/>
      <c r="AC733" s="379"/>
      <c r="AD733" s="68"/>
    </row>
    <row r="734" spans="16:30" ht="10.5" customHeight="1">
      <c r="P734" s="145"/>
      <c r="Q734" s="145"/>
      <c r="R734" s="145"/>
      <c r="S734" s="145"/>
      <c r="T734" s="391" t="s">
        <v>2083</v>
      </c>
      <c r="U734" s="391" t="s">
        <v>2010</v>
      </c>
      <c r="AA734"/>
      <c r="AB734"/>
      <c r="AC734" s="379"/>
      <c r="AD734" s="68"/>
    </row>
    <row r="735" spans="16:30" ht="10.5" customHeight="1">
      <c r="P735" s="145"/>
      <c r="Q735" s="145"/>
      <c r="R735" s="145"/>
      <c r="S735" s="145"/>
      <c r="T735" s="391" t="s">
        <v>1517</v>
      </c>
      <c r="U735" s="391" t="s">
        <v>2203</v>
      </c>
      <c r="AA735"/>
      <c r="AB735"/>
      <c r="AC735" s="379"/>
      <c r="AD735" s="68"/>
    </row>
    <row r="736" spans="16:30" ht="10.5" customHeight="1">
      <c r="P736" s="145"/>
      <c r="Q736" s="145"/>
      <c r="R736" s="145"/>
      <c r="S736" s="145"/>
      <c r="T736" s="391" t="s">
        <v>1518</v>
      </c>
      <c r="U736" s="391" t="s">
        <v>187</v>
      </c>
      <c r="AA736"/>
      <c r="AB736"/>
      <c r="AC736" s="379"/>
      <c r="AD736" s="68"/>
    </row>
    <row r="737" spans="16:30" ht="10.5" customHeight="1">
      <c r="P737" s="145"/>
      <c r="Q737" s="145"/>
      <c r="R737" s="145"/>
      <c r="S737" s="145"/>
      <c r="T737" s="391" t="s">
        <v>1565</v>
      </c>
      <c r="U737" s="391" t="s">
        <v>155</v>
      </c>
      <c r="AA737"/>
      <c r="AB737"/>
      <c r="AC737" s="379"/>
      <c r="AD737" s="68"/>
    </row>
    <row r="738" spans="16:30" ht="10.5" customHeight="1">
      <c r="P738" s="145"/>
      <c r="Q738" s="145"/>
      <c r="R738" s="145"/>
      <c r="S738" s="145"/>
      <c r="T738" s="391" t="s">
        <v>1011</v>
      </c>
      <c r="U738" s="391" t="s">
        <v>584</v>
      </c>
      <c r="AA738"/>
      <c r="AB738"/>
      <c r="AC738" s="379"/>
      <c r="AD738" s="68"/>
    </row>
    <row r="739" spans="16:30" ht="10.5" customHeight="1">
      <c r="P739" s="145"/>
      <c r="Q739" s="145"/>
      <c r="R739" s="145"/>
      <c r="S739" s="145"/>
      <c r="T739" s="391" t="s">
        <v>760</v>
      </c>
      <c r="U739" s="391" t="s">
        <v>1805</v>
      </c>
      <c r="AA739"/>
      <c r="AB739"/>
      <c r="AC739" s="379"/>
      <c r="AD739" s="68"/>
    </row>
    <row r="740" spans="16:30" ht="10.5" customHeight="1">
      <c r="P740" s="145"/>
      <c r="Q740" s="145"/>
      <c r="R740" s="145"/>
      <c r="S740" s="145"/>
      <c r="T740" s="391" t="s">
        <v>1566</v>
      </c>
      <c r="U740" s="391" t="s">
        <v>2322</v>
      </c>
      <c r="AA740"/>
      <c r="AB740"/>
      <c r="AC740" s="379"/>
      <c r="AD740" s="68"/>
    </row>
    <row r="741" spans="16:30" ht="10.5" customHeight="1">
      <c r="P741" s="145"/>
      <c r="Q741" s="145"/>
      <c r="R741" s="145"/>
      <c r="S741" s="145"/>
      <c r="T741" s="391" t="s">
        <v>1567</v>
      </c>
      <c r="U741" s="391" t="s">
        <v>2067</v>
      </c>
      <c r="AA741"/>
      <c r="AB741"/>
      <c r="AC741" s="379"/>
      <c r="AD741" s="68"/>
    </row>
    <row r="742" spans="16:30" ht="10.5" customHeight="1">
      <c r="P742" s="145"/>
      <c r="Q742" s="145"/>
      <c r="R742" s="145"/>
      <c r="S742" s="145"/>
      <c r="T742" s="391" t="s">
        <v>1568</v>
      </c>
      <c r="U742" s="391" t="s">
        <v>1552</v>
      </c>
      <c r="AA742"/>
      <c r="AB742"/>
      <c r="AC742" s="379"/>
      <c r="AD742" s="68"/>
    </row>
    <row r="743" spans="16:30" ht="10.5" customHeight="1">
      <c r="P743" s="145"/>
      <c r="Q743" s="145"/>
      <c r="R743" s="145"/>
      <c r="S743" s="145"/>
      <c r="T743" s="391" t="s">
        <v>1569</v>
      </c>
      <c r="U743" s="391" t="s">
        <v>152</v>
      </c>
      <c r="AA743"/>
      <c r="AB743"/>
      <c r="AC743" s="379"/>
      <c r="AD743" s="68"/>
    </row>
    <row r="744" spans="16:30" ht="10.5" customHeight="1">
      <c r="P744" s="145"/>
      <c r="Q744" s="145"/>
      <c r="R744" s="145"/>
      <c r="S744" s="145"/>
      <c r="T744" s="391" t="s">
        <v>1570</v>
      </c>
      <c r="U744" s="391" t="s">
        <v>610</v>
      </c>
      <c r="AA744"/>
      <c r="AB744"/>
      <c r="AC744" s="379"/>
      <c r="AD744" s="68"/>
    </row>
    <row r="745" spans="16:30" ht="10.5" customHeight="1">
      <c r="P745" s="145"/>
      <c r="Q745" s="145"/>
      <c r="R745" s="145"/>
      <c r="S745" s="145"/>
      <c r="T745" s="391" t="s">
        <v>1571</v>
      </c>
      <c r="U745" s="391" t="s">
        <v>891</v>
      </c>
      <c r="AA745"/>
      <c r="AB745"/>
      <c r="AC745" s="379"/>
      <c r="AD745" s="68"/>
    </row>
    <row r="746" spans="16:30" ht="10.5" customHeight="1">
      <c r="P746" s="145"/>
      <c r="Q746" s="145"/>
      <c r="R746" s="145"/>
      <c r="S746" s="145"/>
      <c r="T746" s="391" t="s">
        <v>1572</v>
      </c>
      <c r="U746" s="391" t="s">
        <v>1131</v>
      </c>
      <c r="AA746"/>
      <c r="AB746"/>
      <c r="AC746" s="379"/>
      <c r="AD746" s="68"/>
    </row>
    <row r="747" spans="16:30" ht="10.5" customHeight="1">
      <c r="P747" s="145"/>
      <c r="Q747" s="145"/>
      <c r="R747" s="145"/>
      <c r="S747" s="145"/>
      <c r="T747" s="391" t="s">
        <v>1573</v>
      </c>
      <c r="U747" s="391" t="s">
        <v>624</v>
      </c>
      <c r="AA747"/>
      <c r="AB747"/>
      <c r="AC747" s="379"/>
      <c r="AD747" s="68"/>
    </row>
    <row r="748" spans="16:30" ht="10.5" customHeight="1">
      <c r="P748" s="145"/>
      <c r="Q748" s="145"/>
      <c r="R748" s="145"/>
      <c r="S748" s="145"/>
      <c r="T748" s="391" t="s">
        <v>1012</v>
      </c>
      <c r="U748" s="391" t="s">
        <v>1552</v>
      </c>
      <c r="AA748"/>
      <c r="AB748"/>
      <c r="AC748" s="379"/>
      <c r="AD748" s="68"/>
    </row>
    <row r="749" spans="16:30" ht="10.5" customHeight="1">
      <c r="P749" s="145"/>
      <c r="Q749" s="145"/>
      <c r="R749" s="145"/>
      <c r="S749" s="145"/>
      <c r="T749" s="391" t="s">
        <v>1574</v>
      </c>
      <c r="U749" s="391" t="s">
        <v>177</v>
      </c>
      <c r="AA749"/>
      <c r="AB749"/>
      <c r="AC749" s="379"/>
      <c r="AD749" s="68"/>
    </row>
    <row r="750" spans="16:30" ht="10.5" customHeight="1">
      <c r="P750" s="145"/>
      <c r="Q750" s="145"/>
      <c r="R750" s="145"/>
      <c r="S750" s="145"/>
      <c r="T750" s="391" t="s">
        <v>1575</v>
      </c>
      <c r="U750" s="391" t="s">
        <v>168</v>
      </c>
      <c r="AA750"/>
      <c r="AB750"/>
      <c r="AC750" s="379"/>
      <c r="AD750" s="68"/>
    </row>
    <row r="751" spans="16:30" ht="10.5" customHeight="1">
      <c r="P751" s="145"/>
      <c r="Q751" s="145"/>
      <c r="R751" s="145"/>
      <c r="S751" s="145"/>
      <c r="T751" s="236" t="s">
        <v>1576</v>
      </c>
      <c r="U751" s="236" t="s">
        <v>1805</v>
      </c>
      <c r="AA751"/>
      <c r="AB751"/>
      <c r="AC751" s="68"/>
      <c r="AD751" s="68"/>
    </row>
    <row r="752" spans="16:30" ht="10.5" customHeight="1">
      <c r="P752" s="145"/>
      <c r="Q752" s="145"/>
      <c r="R752" s="145"/>
      <c r="S752" s="145"/>
      <c r="T752" s="391" t="s">
        <v>1577</v>
      </c>
      <c r="U752" s="391" t="s">
        <v>152</v>
      </c>
      <c r="AA752"/>
      <c r="AB752"/>
      <c r="AC752" s="379"/>
      <c r="AD752" s="68"/>
    </row>
    <row r="753" spans="16:30" ht="10.5" customHeight="1">
      <c r="P753" s="145"/>
      <c r="Q753" s="145"/>
      <c r="R753" s="145"/>
      <c r="S753" s="145"/>
      <c r="T753" s="391" t="s">
        <v>1578</v>
      </c>
      <c r="U753" s="391" t="s">
        <v>1764</v>
      </c>
      <c r="AA753"/>
      <c r="AB753"/>
      <c r="AC753" s="379"/>
      <c r="AD753" s="68"/>
    </row>
    <row r="754" spans="16:30" ht="10.5" customHeight="1">
      <c r="P754" s="145"/>
      <c r="Q754" s="145"/>
      <c r="R754" s="145"/>
      <c r="S754" s="145"/>
      <c r="T754" s="391" t="s">
        <v>1579</v>
      </c>
      <c r="U754" s="391" t="s">
        <v>1249</v>
      </c>
      <c r="AA754"/>
      <c r="AB754"/>
      <c r="AC754" s="379"/>
      <c r="AD754" s="68"/>
    </row>
    <row r="755" spans="16:30" ht="10.5" customHeight="1">
      <c r="P755" s="145"/>
      <c r="Q755" s="145"/>
      <c r="R755" s="145"/>
      <c r="S755" s="145"/>
      <c r="T755" s="236" t="s">
        <v>1580</v>
      </c>
      <c r="U755" s="236" t="s">
        <v>891</v>
      </c>
      <c r="AA755"/>
      <c r="AB755"/>
      <c r="AC755" s="68"/>
      <c r="AD755" s="68"/>
    </row>
    <row r="756" spans="16:30" ht="10.5" customHeight="1">
      <c r="P756" s="145"/>
      <c r="Q756" s="145"/>
      <c r="R756" s="145"/>
      <c r="S756" s="145"/>
      <c r="T756" s="391" t="s">
        <v>1581</v>
      </c>
      <c r="U756" s="391" t="s">
        <v>685</v>
      </c>
      <c r="AA756"/>
      <c r="AB756"/>
      <c r="AC756" s="379"/>
      <c r="AD756" s="68"/>
    </row>
    <row r="757" spans="16:30" ht="10.5" customHeight="1">
      <c r="P757" s="145"/>
      <c r="Q757" s="145"/>
      <c r="R757" s="145"/>
      <c r="S757" s="145"/>
      <c r="T757" s="391" t="s">
        <v>1013</v>
      </c>
      <c r="U757" s="391" t="s">
        <v>2283</v>
      </c>
      <c r="AA757"/>
      <c r="AB757"/>
      <c r="AC757" s="379"/>
      <c r="AD757" s="68"/>
    </row>
    <row r="758" spans="16:30" ht="10.5" customHeight="1">
      <c r="P758" s="145"/>
      <c r="Q758" s="145"/>
      <c r="R758" s="145"/>
      <c r="S758" s="145"/>
      <c r="T758" s="391" t="s">
        <v>1582</v>
      </c>
      <c r="U758" s="391" t="s">
        <v>301</v>
      </c>
      <c r="AA758"/>
      <c r="AB758"/>
      <c r="AC758" s="379"/>
      <c r="AD758" s="68"/>
    </row>
    <row r="759" spans="16:30" ht="10.5" customHeight="1">
      <c r="P759" s="145"/>
      <c r="Q759" s="145"/>
      <c r="R759" s="145"/>
      <c r="S759" s="145"/>
      <c r="T759" s="391" t="s">
        <v>1583</v>
      </c>
      <c r="U759" s="391" t="s">
        <v>315</v>
      </c>
      <c r="AA759"/>
      <c r="AB759"/>
      <c r="AC759" s="379"/>
      <c r="AD759" s="68"/>
    </row>
    <row r="760" spans="16:30" ht="10.5" customHeight="1">
      <c r="P760" s="145"/>
      <c r="Q760" s="145"/>
      <c r="R760" s="145"/>
      <c r="S760" s="145"/>
      <c r="T760" s="391" t="s">
        <v>1584</v>
      </c>
      <c r="U760" s="391" t="s">
        <v>157</v>
      </c>
      <c r="AA760"/>
      <c r="AB760"/>
      <c r="AC760" s="379"/>
      <c r="AD760" s="68"/>
    </row>
    <row r="761" spans="16:30" ht="10.5" customHeight="1">
      <c r="P761" s="145"/>
      <c r="Q761" s="145"/>
      <c r="R761" s="145"/>
      <c r="S761" s="145"/>
      <c r="T761" s="391" t="s">
        <v>1585</v>
      </c>
      <c r="U761" s="391" t="s">
        <v>1857</v>
      </c>
      <c r="AA761"/>
      <c r="AB761"/>
      <c r="AC761" s="379"/>
      <c r="AD761" s="68"/>
    </row>
    <row r="762" spans="16:30" ht="10.5" customHeight="1">
      <c r="P762" s="145"/>
      <c r="Q762" s="145"/>
      <c r="R762" s="145"/>
      <c r="S762" s="145"/>
      <c r="T762" s="391" t="s">
        <v>1586</v>
      </c>
      <c r="U762" s="391" t="s">
        <v>1364</v>
      </c>
      <c r="AA762"/>
      <c r="AB762"/>
      <c r="AC762" s="379"/>
      <c r="AD762" s="68"/>
    </row>
    <row r="763" spans="16:30" ht="10.5" customHeight="1">
      <c r="P763" s="145"/>
      <c r="Q763" s="145"/>
      <c r="R763" s="145"/>
      <c r="S763" s="145"/>
      <c r="T763" s="391" t="s">
        <v>1587</v>
      </c>
      <c r="U763" s="391" t="s">
        <v>1734</v>
      </c>
      <c r="AA763"/>
      <c r="AB763"/>
      <c r="AC763" s="379"/>
      <c r="AD763" s="68"/>
    </row>
    <row r="764" spans="16:30" ht="10.5" customHeight="1">
      <c r="P764" s="145"/>
      <c r="Q764" s="145"/>
      <c r="R764" s="145"/>
      <c r="S764" s="145"/>
      <c r="T764" s="391" t="s">
        <v>1588</v>
      </c>
      <c r="U764" s="391" t="s">
        <v>307</v>
      </c>
      <c r="AA764"/>
      <c r="AB764"/>
      <c r="AC764" s="379"/>
      <c r="AD764" s="68"/>
    </row>
    <row r="765" spans="16:30" ht="10.5" customHeight="1">
      <c r="P765" s="145"/>
      <c r="Q765" s="145"/>
      <c r="R765" s="145"/>
      <c r="S765" s="145"/>
      <c r="T765" s="391" t="s">
        <v>1589</v>
      </c>
      <c r="U765" s="391" t="s">
        <v>98</v>
      </c>
      <c r="AA765"/>
      <c r="AB765"/>
      <c r="AC765" s="379"/>
      <c r="AD765" s="68"/>
    </row>
    <row r="766" spans="16:30" ht="10.5" customHeight="1">
      <c r="P766" s="145"/>
      <c r="Q766" s="145"/>
      <c r="R766" s="145"/>
      <c r="S766" s="145"/>
      <c r="T766" s="391" t="s">
        <v>281</v>
      </c>
      <c r="U766" s="391" t="s">
        <v>2205</v>
      </c>
      <c r="AA766"/>
      <c r="AB766"/>
      <c r="AC766" s="379"/>
      <c r="AD766" s="68"/>
    </row>
    <row r="767" spans="16:30" ht="10.5" customHeight="1">
      <c r="P767" s="145"/>
      <c r="Q767" s="145"/>
      <c r="R767" s="145"/>
      <c r="S767" s="145"/>
      <c r="T767" s="391" t="s">
        <v>100</v>
      </c>
      <c r="U767" s="391" t="s">
        <v>2201</v>
      </c>
      <c r="AA767"/>
      <c r="AB767"/>
      <c r="AC767" s="379"/>
      <c r="AD767" s="68"/>
    </row>
    <row r="768" spans="16:30" ht="10.5" customHeight="1">
      <c r="P768" s="145"/>
      <c r="Q768" s="145"/>
      <c r="R768" s="145"/>
      <c r="S768" s="145"/>
      <c r="T768" s="391" t="s">
        <v>282</v>
      </c>
      <c r="U768" s="391" t="s">
        <v>2377</v>
      </c>
      <c r="AA768"/>
      <c r="AB768"/>
      <c r="AC768" s="379"/>
      <c r="AD768" s="68"/>
    </row>
    <row r="769" spans="16:30" ht="10.5" customHeight="1">
      <c r="P769" s="145"/>
      <c r="Q769" s="145"/>
      <c r="R769" s="145"/>
      <c r="S769" s="145"/>
      <c r="T769" s="236" t="s">
        <v>283</v>
      </c>
      <c r="U769" s="236" t="s">
        <v>302</v>
      </c>
      <c r="AA769"/>
      <c r="AB769"/>
      <c r="AC769" s="68"/>
      <c r="AD769" s="68"/>
    </row>
    <row r="770" spans="16:30" ht="10.5" customHeight="1">
      <c r="P770" s="145"/>
      <c r="Q770" s="145"/>
      <c r="R770" s="145"/>
      <c r="S770" s="145"/>
      <c r="T770" s="391" t="s">
        <v>284</v>
      </c>
      <c r="U770" s="391" t="s">
        <v>1858</v>
      </c>
      <c r="AA770"/>
      <c r="AB770"/>
      <c r="AC770" s="379"/>
      <c r="AD770" s="68"/>
    </row>
    <row r="771" spans="16:30" ht="13.8">
      <c r="P771" s="145"/>
      <c r="Q771" s="145"/>
      <c r="R771" s="145"/>
      <c r="S771" s="145"/>
      <c r="T771" s="391" t="s">
        <v>285</v>
      </c>
      <c r="U771" s="236" t="s">
        <v>1249</v>
      </c>
      <c r="AA771"/>
      <c r="AB771"/>
      <c r="AC771" s="379"/>
      <c r="AD771" s="68"/>
    </row>
    <row r="772" spans="16:30" ht="13.8">
      <c r="P772" s="145"/>
      <c r="Q772" s="145"/>
      <c r="R772" s="145"/>
      <c r="S772" s="145"/>
      <c r="T772" s="236" t="s">
        <v>286</v>
      </c>
      <c r="U772" s="236" t="s">
        <v>1770</v>
      </c>
      <c r="AA772"/>
      <c r="AB772"/>
      <c r="AC772" s="68"/>
      <c r="AD772" s="68"/>
    </row>
    <row r="773" spans="16:30" ht="13.8">
      <c r="P773" s="145"/>
      <c r="Q773" s="145"/>
      <c r="R773" s="145"/>
      <c r="S773" s="145"/>
      <c r="T773" s="236" t="s">
        <v>287</v>
      </c>
      <c r="U773" s="236" t="s">
        <v>104</v>
      </c>
      <c r="AA773"/>
      <c r="AB773"/>
      <c r="AC773" s="68"/>
      <c r="AD773" s="68"/>
    </row>
    <row r="774" spans="16:30" ht="13.8">
      <c r="P774" s="145"/>
      <c r="Q774" s="145"/>
      <c r="R774" s="145"/>
      <c r="S774" s="145"/>
      <c r="T774" s="236" t="s">
        <v>288</v>
      </c>
      <c r="U774" s="236" t="s">
        <v>622</v>
      </c>
      <c r="AA774"/>
      <c r="AB774"/>
      <c r="AC774" s="68"/>
      <c r="AD774" s="68"/>
    </row>
    <row r="775" spans="16:30" ht="13.8">
      <c r="P775" s="145"/>
      <c r="Q775" s="145"/>
      <c r="R775" s="145"/>
      <c r="S775" s="145"/>
      <c r="T775" s="236" t="s">
        <v>108</v>
      </c>
      <c r="U775" s="236" t="s">
        <v>1234</v>
      </c>
      <c r="AA775"/>
      <c r="AB775"/>
      <c r="AC775" s="68"/>
      <c r="AD775" s="68"/>
    </row>
    <row r="776" spans="16:30" ht="13.8">
      <c r="P776" s="145"/>
      <c r="Q776" s="145"/>
      <c r="R776" s="145"/>
      <c r="S776" s="145"/>
      <c r="T776" s="236" t="s">
        <v>1436</v>
      </c>
      <c r="U776" s="236" t="s">
        <v>624</v>
      </c>
      <c r="AA776"/>
      <c r="AB776"/>
      <c r="AC776" s="68"/>
      <c r="AD776" s="68"/>
    </row>
    <row r="777" spans="16:30" ht="13.8">
      <c r="P777" s="145"/>
      <c r="Q777" s="145"/>
      <c r="R777" s="145"/>
      <c r="S777" s="145"/>
      <c r="T777" s="236" t="s">
        <v>1014</v>
      </c>
      <c r="U777" s="236" t="s">
        <v>152</v>
      </c>
      <c r="AA777"/>
      <c r="AB777"/>
      <c r="AC777" s="68"/>
      <c r="AD777" s="68"/>
    </row>
    <row r="778" spans="16:30" ht="13.8">
      <c r="P778" s="145"/>
      <c r="Q778" s="145"/>
      <c r="R778" s="145"/>
      <c r="S778" s="145"/>
      <c r="T778" s="236" t="s">
        <v>1437</v>
      </c>
      <c r="U778" s="236" t="s">
        <v>685</v>
      </c>
      <c r="AA778"/>
      <c r="AB778"/>
      <c r="AC778" s="68"/>
      <c r="AD778" s="68"/>
    </row>
    <row r="779" spans="16:30" ht="13.8">
      <c r="P779" s="145"/>
      <c r="Q779" s="145"/>
      <c r="R779" s="145"/>
      <c r="S779" s="145"/>
      <c r="T779" s="236" t="s">
        <v>1438</v>
      </c>
      <c r="U779" s="236" t="s">
        <v>1647</v>
      </c>
      <c r="AA779"/>
      <c r="AB779"/>
      <c r="AC779" s="68"/>
      <c r="AD779" s="68"/>
    </row>
    <row r="780" spans="16:30" ht="13.8">
      <c r="P780" s="145"/>
      <c r="Q780" s="145"/>
      <c r="R780" s="145"/>
      <c r="S780" s="145"/>
      <c r="T780" s="236" t="s">
        <v>1439</v>
      </c>
      <c r="U780" s="236" t="s">
        <v>1030</v>
      </c>
      <c r="AA780"/>
      <c r="AB780"/>
      <c r="AC780" s="68"/>
      <c r="AD780" s="68"/>
    </row>
    <row r="781" spans="16:30" ht="13.8">
      <c r="P781" s="145"/>
      <c r="Q781" s="145"/>
      <c r="R781" s="145"/>
      <c r="S781" s="145"/>
      <c r="T781" s="236" t="s">
        <v>1015</v>
      </c>
      <c r="U781" s="236" t="s">
        <v>152</v>
      </c>
      <c r="AA781"/>
      <c r="AB781"/>
      <c r="AC781" s="68"/>
      <c r="AD781" s="68"/>
    </row>
    <row r="782" spans="16:30" ht="13.8">
      <c r="P782" s="145"/>
      <c r="Q782" s="145"/>
      <c r="R782" s="145"/>
      <c r="S782" s="145"/>
      <c r="T782" s="236" t="s">
        <v>1440</v>
      </c>
      <c r="U782" s="236" t="s">
        <v>1233</v>
      </c>
      <c r="AA782"/>
      <c r="AB782"/>
      <c r="AC782" s="68"/>
      <c r="AD782" s="68"/>
    </row>
    <row r="783" spans="16:30" ht="13.8">
      <c r="P783" s="145"/>
      <c r="Q783" s="145"/>
      <c r="R783" s="145"/>
      <c r="S783" s="145"/>
      <c r="T783" s="236" t="s">
        <v>1441</v>
      </c>
      <c r="U783" s="236" t="s">
        <v>158</v>
      </c>
      <c r="AA783"/>
      <c r="AB783"/>
      <c r="AC783" s="68"/>
      <c r="AD783" s="68"/>
    </row>
    <row r="784" spans="16:30" ht="13.8">
      <c r="P784" s="145"/>
      <c r="Q784" s="145"/>
      <c r="R784" s="145"/>
      <c r="S784" s="145"/>
      <c r="T784" s="236" t="s">
        <v>1442</v>
      </c>
      <c r="U784" s="236" t="s">
        <v>1254</v>
      </c>
      <c r="AA784"/>
      <c r="AB784"/>
      <c r="AC784" s="68"/>
      <c r="AD784" s="68"/>
    </row>
    <row r="785" spans="16:30" ht="13.8">
      <c r="P785" s="145"/>
      <c r="Q785" s="145"/>
      <c r="R785" s="145"/>
      <c r="S785" s="145"/>
      <c r="T785" s="236" t="s">
        <v>1443</v>
      </c>
      <c r="U785" s="236" t="s">
        <v>1734</v>
      </c>
      <c r="AA785"/>
      <c r="AB785"/>
      <c r="AC785" s="68"/>
      <c r="AD785" s="68"/>
    </row>
    <row r="786" spans="16:30" ht="13.8">
      <c r="P786" s="145"/>
      <c r="Q786" s="145"/>
      <c r="R786" s="145"/>
      <c r="S786" s="145"/>
      <c r="T786" s="236" t="s">
        <v>1444</v>
      </c>
      <c r="U786" s="236" t="s">
        <v>2016</v>
      </c>
      <c r="AA786"/>
      <c r="AB786"/>
      <c r="AC786" s="68"/>
      <c r="AD786" s="68"/>
    </row>
    <row r="787" spans="16:30" ht="13.8">
      <c r="P787" s="145"/>
      <c r="Q787" s="145"/>
      <c r="R787" s="145"/>
      <c r="S787" s="145"/>
      <c r="T787" s="236" t="s">
        <v>1445</v>
      </c>
      <c r="U787" s="236" t="s">
        <v>157</v>
      </c>
      <c r="AA787"/>
      <c r="AB787"/>
      <c r="AC787" s="68"/>
      <c r="AD787" s="68"/>
    </row>
    <row r="788" spans="16:30" ht="13.8">
      <c r="P788" s="145"/>
      <c r="Q788" s="145"/>
      <c r="R788" s="145"/>
      <c r="S788" s="145"/>
      <c r="T788" s="236" t="s">
        <v>2189</v>
      </c>
      <c r="U788" s="236" t="s">
        <v>624</v>
      </c>
      <c r="AA788"/>
      <c r="AB788"/>
      <c r="AC788" s="68"/>
      <c r="AD788" s="68"/>
    </row>
    <row r="789" spans="16:30" ht="13.8">
      <c r="P789" s="145"/>
      <c r="Q789" s="145"/>
      <c r="R789" s="145"/>
      <c r="S789" s="145"/>
      <c r="T789" s="236" t="s">
        <v>2190</v>
      </c>
      <c r="U789" s="236" t="s">
        <v>610</v>
      </c>
      <c r="AA789"/>
      <c r="AB789"/>
      <c r="AC789" s="68"/>
      <c r="AD789" s="68"/>
    </row>
    <row r="790" spans="16:30" ht="13.8">
      <c r="P790" s="145"/>
      <c r="Q790" s="145"/>
      <c r="R790" s="145"/>
      <c r="S790" s="145"/>
      <c r="T790" s="236" t="s">
        <v>2191</v>
      </c>
      <c r="U790" s="236" t="s">
        <v>315</v>
      </c>
      <c r="AA790"/>
      <c r="AB790"/>
      <c r="AC790" s="68"/>
      <c r="AD790" s="68"/>
    </row>
    <row r="791" spans="16:30" ht="13.8">
      <c r="P791" s="145"/>
      <c r="Q791" s="145"/>
      <c r="R791" s="145"/>
      <c r="S791" s="145"/>
      <c r="T791" s="236" t="s">
        <v>776</v>
      </c>
      <c r="U791" s="236" t="s">
        <v>319</v>
      </c>
      <c r="AA791"/>
      <c r="AB791"/>
      <c r="AC791" s="68"/>
      <c r="AD791" s="68"/>
    </row>
    <row r="792" spans="16:30" ht="13.8">
      <c r="P792" s="145"/>
      <c r="Q792" s="145"/>
      <c r="R792" s="145"/>
      <c r="S792" s="145"/>
      <c r="T792" s="236" t="s">
        <v>777</v>
      </c>
      <c r="U792" s="236" t="s">
        <v>1854</v>
      </c>
      <c r="AA792"/>
      <c r="AB792"/>
      <c r="AC792" s="68"/>
      <c r="AD792" s="68"/>
    </row>
    <row r="793" spans="16:30" ht="13.8">
      <c r="P793" s="145"/>
      <c r="Q793" s="145"/>
      <c r="R793" s="145"/>
      <c r="S793" s="145"/>
      <c r="T793" s="236" t="s">
        <v>2547</v>
      </c>
      <c r="U793" s="236" t="s">
        <v>108</v>
      </c>
      <c r="AA793"/>
      <c r="AB793"/>
      <c r="AC793" s="68"/>
      <c r="AD793" s="68"/>
    </row>
    <row r="794" spans="16:30" ht="13.8">
      <c r="P794" s="145"/>
      <c r="Q794" s="145"/>
      <c r="R794" s="145"/>
      <c r="S794" s="145"/>
      <c r="T794" s="236" t="s">
        <v>778</v>
      </c>
      <c r="U794" s="236" t="s">
        <v>1766</v>
      </c>
      <c r="AA794"/>
      <c r="AB794"/>
      <c r="AC794" s="68"/>
      <c r="AD794" s="68"/>
    </row>
    <row r="795" spans="16:30" ht="13.8">
      <c r="P795" s="145"/>
      <c r="Q795" s="145"/>
      <c r="R795" s="145"/>
      <c r="S795" s="145"/>
      <c r="T795" s="236" t="s">
        <v>779</v>
      </c>
      <c r="U795" s="236" t="s">
        <v>1030</v>
      </c>
      <c r="AA795"/>
      <c r="AB795"/>
      <c r="AC795" s="68"/>
      <c r="AD795" s="68"/>
    </row>
    <row r="796" spans="16:30" ht="13.8">
      <c r="P796" s="145"/>
      <c r="Q796" s="145"/>
      <c r="R796" s="145"/>
      <c r="S796" s="145"/>
      <c r="T796" s="236"/>
      <c r="U796" s="236"/>
      <c r="AA796"/>
      <c r="AB796"/>
      <c r="AC796" s="68"/>
      <c r="AD796" s="68"/>
    </row>
    <row r="797" spans="16:30" ht="13.8">
      <c r="P797" s="145"/>
      <c r="Q797" s="145"/>
      <c r="R797" s="145"/>
      <c r="S797" s="145"/>
      <c r="T797" s="236"/>
      <c r="U797" s="236"/>
      <c r="AA797"/>
      <c r="AB797"/>
      <c r="AC797" s="68"/>
      <c r="AD797" s="68"/>
    </row>
    <row r="798" spans="16:30" ht="13.8">
      <c r="P798" s="145"/>
      <c r="T798" s="236"/>
      <c r="U798" s="236"/>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T802" s="44"/>
      <c r="U802" s="44"/>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B830"/>
      <c r="AC830" s="68"/>
      <c r="AD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2" spans="27:29">
      <c r="AA872"/>
      <c r="AC872" s="68"/>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9:R119"/>
    <mergeCell ref="Q93:R93"/>
    <mergeCell ref="Q94:R94"/>
    <mergeCell ref="Q95:R95"/>
    <mergeCell ref="Q96:R96"/>
    <mergeCell ref="Q97:R97"/>
    <mergeCell ref="Q98:R98"/>
    <mergeCell ref="Q99:R99"/>
    <mergeCell ref="Q106:R106"/>
    <mergeCell ref="Q114:R114"/>
    <mergeCell ref="Q115:R115"/>
    <mergeCell ref="Q118:R118"/>
    <mergeCell ref="S126:T126"/>
    <mergeCell ref="Q127:R127"/>
    <mergeCell ref="S127:T127"/>
    <mergeCell ref="Q129:R129"/>
    <mergeCell ref="Q130:R130"/>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A152:B155"/>
    <mergeCell ref="D152:D154"/>
    <mergeCell ref="H154:H155"/>
    <mergeCell ref="C163:C165"/>
    <mergeCell ref="J137:K13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09375" defaultRowHeight="13.2"/>
  <cols>
    <col min="1" max="8" width="9.33203125" style="356" bestFit="1" customWidth="1"/>
    <col min="9" max="9" width="14.44140625" style="356" bestFit="1" customWidth="1"/>
    <col min="10" max="10" width="9.33203125" style="356" bestFit="1" customWidth="1"/>
    <col min="11" max="11" width="9.44140625" style="356" bestFit="1" customWidth="1"/>
    <col min="12" max="15" width="9.33203125" style="356" bestFit="1" customWidth="1"/>
    <col min="16" max="16" width="9.5546875" style="356" bestFit="1" customWidth="1"/>
    <col min="17" max="21" width="9.33203125" style="356" bestFit="1" customWidth="1"/>
    <col min="22" max="22" width="9.5546875" style="356" customWidth="1"/>
    <col min="23" max="23" width="9.33203125" style="356" bestFit="1" customWidth="1"/>
    <col min="24" max="24" width="11.44140625" style="356" customWidth="1"/>
    <col min="25" max="394" width="9.33203125" style="356" bestFit="1" customWidth="1"/>
    <col min="395" max="415" width="9.109375" style="356"/>
    <col min="416" max="416" width="9.33203125" style="356" bestFit="1" customWidth="1"/>
    <col min="417" max="16384" width="9.109375" style="356"/>
  </cols>
  <sheetData>
    <row r="1" spans="1:16" ht="13.8">
      <c r="A1" s="2542" t="str">
        <f>CONCATENATE("Part I-Project Identification"," - ",$O$7," ",$F$26,", ",$F$27,", ",J26," County")</f>
        <v>Part I-Project Identification -  Decatur, Unincorporated County, DeKalb County</v>
      </c>
      <c r="B1" s="2542"/>
      <c r="C1" s="2542"/>
      <c r="D1" s="2542"/>
      <c r="E1" s="2542"/>
      <c r="F1" s="2542"/>
      <c r="G1" s="2542"/>
      <c r="H1" s="2542"/>
      <c r="I1" s="2542"/>
      <c r="J1" s="2542"/>
      <c r="K1" s="2542"/>
      <c r="L1" s="2542"/>
      <c r="M1" s="2542"/>
      <c r="N1" s="2542"/>
      <c r="O1" s="2542"/>
      <c r="P1" s="2542"/>
    </row>
    <row r="2" spans="1:16" ht="13.8">
      <c r="A2" s="2543"/>
      <c r="B2" s="2543"/>
      <c r="C2" s="2543"/>
      <c r="D2" s="2543"/>
      <c r="E2" s="2543"/>
      <c r="F2" s="2543"/>
      <c r="G2" s="2543"/>
      <c r="H2" s="2543"/>
      <c r="I2" s="2543"/>
      <c r="J2" s="2543"/>
      <c r="K2" s="2543"/>
      <c r="L2" s="2543"/>
      <c r="M2" s="2543"/>
      <c r="N2" s="2543"/>
      <c r="O2" s="2543"/>
      <c r="P2" s="2543"/>
    </row>
    <row r="3" spans="1:16" ht="12.75" customHeight="1">
      <c r="A3" s="2542" t="s">
        <v>5115</v>
      </c>
      <c r="B3" s="2542"/>
      <c r="C3" s="2542"/>
      <c r="D3" s="2542"/>
      <c r="E3" s="2542"/>
      <c r="F3" s="2542"/>
      <c r="G3" s="2542"/>
      <c r="H3" s="2542"/>
      <c r="I3" s="2542"/>
      <c r="J3" s="2542"/>
      <c r="K3" s="2542"/>
      <c r="L3" s="2542"/>
      <c r="M3" s="2542"/>
      <c r="N3" s="2542"/>
      <c r="O3" s="2542"/>
      <c r="P3" s="2542"/>
    </row>
    <row r="4" spans="1:16" ht="13.8">
      <c r="A4" s="2543"/>
      <c r="B4" s="2543"/>
      <c r="C4" s="2543"/>
      <c r="D4" s="2543"/>
      <c r="E4" s="2543"/>
      <c r="F4" s="2543"/>
      <c r="G4" s="2543"/>
      <c r="H4" s="2543"/>
      <c r="I4" s="2543"/>
      <c r="J4" s="2543"/>
      <c r="K4" s="2543"/>
      <c r="L4" s="2543"/>
      <c r="M4" s="2543"/>
      <c r="N4" s="2543"/>
      <c r="O4" s="2543"/>
      <c r="P4" s="2543"/>
    </row>
    <row r="5" spans="1:16" ht="14.25" customHeight="1">
      <c r="A5" s="2544" t="str">
        <f>'Part I-Project Identification'!$A$6</f>
        <v>May 31, 2025</v>
      </c>
      <c r="B5" s="2544"/>
      <c r="C5" s="2544"/>
      <c r="D5" s="2544"/>
      <c r="E5" s="1711"/>
      <c r="F5" s="2543"/>
      <c r="G5" s="2545" t="s">
        <v>5116</v>
      </c>
      <c r="H5" s="1711"/>
      <c r="I5" s="1711"/>
      <c r="J5" s="1711"/>
      <c r="K5" s="1711"/>
      <c r="L5" s="2543"/>
      <c r="M5" s="1711"/>
      <c r="N5" s="1711"/>
      <c r="O5" s="1711"/>
      <c r="P5" s="2546" t="s">
        <v>3203</v>
      </c>
    </row>
    <row r="6" spans="1:16" ht="14.25" customHeight="1">
      <c r="A6" s="2544"/>
      <c r="B6" s="2544"/>
      <c r="C6" s="2544"/>
      <c r="D6" s="2544"/>
      <c r="E6" s="358"/>
      <c r="F6" s="2543"/>
      <c r="G6" s="2545" t="s">
        <v>5117</v>
      </c>
      <c r="H6" s="1524"/>
      <c r="I6" s="1524"/>
      <c r="J6" s="1524"/>
      <c r="K6" s="1711"/>
      <c r="L6" s="1711"/>
      <c r="M6" s="1711"/>
      <c r="N6" s="1711"/>
      <c r="O6" s="2542" t="str">
        <f>'Part I-Project Identification'!O7</f>
        <v>2025-0</v>
      </c>
      <c r="P6" s="2542"/>
    </row>
    <row r="7" spans="1:16" ht="12.75" customHeight="1">
      <c r="A7" s="2544"/>
      <c r="B7" s="2544"/>
      <c r="C7" s="2544"/>
      <c r="D7" s="2544"/>
      <c r="E7" s="358"/>
      <c r="F7" s="2542"/>
      <c r="G7" s="2547" t="s">
        <v>2891</v>
      </c>
      <c r="H7" s="1524"/>
      <c r="I7" s="1524"/>
      <c r="J7" s="1524"/>
      <c r="K7" s="1711"/>
      <c r="L7" s="1711"/>
      <c r="M7" s="1711"/>
      <c r="N7" s="1711"/>
      <c r="O7" s="1711"/>
      <c r="P7" s="1711"/>
    </row>
    <row r="8" spans="1:16" ht="13.8">
      <c r="A8" s="2543"/>
      <c r="B8" s="1711"/>
      <c r="C8" s="1711"/>
      <c r="D8" s="1711"/>
      <c r="E8" s="1524"/>
      <c r="F8" s="1711"/>
      <c r="G8" s="1711"/>
      <c r="H8" s="1524"/>
      <c r="I8" s="1524"/>
      <c r="J8" s="1711"/>
      <c r="K8" s="1711"/>
      <c r="L8" s="1711"/>
      <c r="M8" s="1524"/>
      <c r="N8" s="1711"/>
      <c r="O8" s="1711"/>
      <c r="P8" s="1711"/>
    </row>
    <row r="9" spans="1:16" ht="13.8">
      <c r="A9" s="2542" t="s">
        <v>572</v>
      </c>
      <c r="B9" s="2542" t="s">
        <v>2185</v>
      </c>
      <c r="C9" s="1711"/>
      <c r="D9" s="377"/>
      <c r="E9" s="1524"/>
      <c r="F9" s="2548" t="s">
        <v>3181</v>
      </c>
      <c r="G9" s="1711"/>
      <c r="H9" s="1711"/>
      <c r="I9" s="2549">
        <f>'Part III-A-Uses of Funds'!$J$192</f>
        <v>1386902</v>
      </c>
      <c r="J9" s="2549"/>
      <c r="K9" s="1711"/>
      <c r="L9" s="1711" t="s">
        <v>3182</v>
      </c>
      <c r="M9" s="1711"/>
      <c r="N9" s="1711"/>
      <c r="O9" s="2550">
        <f>'Part II-Sources of Funds'!$H$6</f>
        <v>0</v>
      </c>
      <c r="P9" s="2550"/>
    </row>
    <row r="10" spans="1:16" ht="13.8">
      <c r="A10" s="2542"/>
      <c r="B10" s="2542"/>
      <c r="C10" s="1711"/>
      <c r="D10" s="377"/>
      <c r="E10" s="1524"/>
      <c r="F10" s="1524"/>
      <c r="G10" s="1711"/>
      <c r="H10" s="1711"/>
      <c r="I10" s="2551"/>
      <c r="J10" s="1711"/>
      <c r="K10" s="1711"/>
      <c r="L10" s="1711"/>
      <c r="M10" s="1711"/>
      <c r="N10" s="2552"/>
      <c r="O10" s="1711"/>
      <c r="P10" s="1711"/>
    </row>
    <row r="11" spans="1:16" ht="13.8">
      <c r="A11" s="2551" t="s">
        <v>688</v>
      </c>
      <c r="B11" s="2542" t="s">
        <v>1885</v>
      </c>
      <c r="C11" s="1711"/>
      <c r="D11" s="1711"/>
      <c r="E11" s="1711"/>
      <c r="F11" s="2412" t="str">
        <f>'Part I-Project Identification'!F12</f>
        <v>4% Credit/TE Bond</v>
      </c>
      <c r="G11" s="2412"/>
      <c r="H11" s="2412"/>
      <c r="I11" s="2553" t="s">
        <v>5118</v>
      </c>
      <c r="J11" s="2412" t="s">
        <v>5119</v>
      </c>
      <c r="K11" s="2542"/>
      <c r="L11" s="1524"/>
      <c r="M11" s="1711"/>
      <c r="N11" s="1711"/>
      <c r="O11" s="1711" t="str">
        <f>'Part I-Project Identification'!O12</f>
        <v>2025PA-138</v>
      </c>
      <c r="P11" s="1711"/>
    </row>
    <row r="12" spans="1:16" ht="13.8">
      <c r="A12" s="2554"/>
      <c r="B12" s="2416"/>
      <c r="C12" s="2555"/>
      <c r="D12" s="2555"/>
      <c r="E12" s="2555"/>
      <c r="F12" s="2556" t="s">
        <v>4797</v>
      </c>
      <c r="G12" s="2416"/>
      <c r="H12" s="2557"/>
      <c r="I12" s="2557"/>
      <c r="J12" s="2557"/>
      <c r="K12" s="2557"/>
      <c r="L12" s="2557"/>
      <c r="M12" s="2557"/>
      <c r="N12" s="2557"/>
      <c r="O12" s="2557"/>
      <c r="P12" s="2418" t="str">
        <f>'Part I-Project Identification'!P13</f>
        <v>Yes</v>
      </c>
    </row>
    <row r="13" spans="1:16" ht="13.8">
      <c r="A13" s="2543"/>
      <c r="B13" s="377"/>
      <c r="C13" s="377"/>
      <c r="D13" s="377"/>
      <c r="E13" s="377"/>
      <c r="F13" s="1711"/>
      <c r="G13" s="1711"/>
      <c r="H13" s="1524"/>
      <c r="I13" s="1711"/>
      <c r="J13" s="2548"/>
      <c r="K13" s="2551"/>
      <c r="L13" s="1711"/>
      <c r="M13" s="1524"/>
      <c r="N13" s="1711"/>
      <c r="O13" s="1711"/>
      <c r="P13" s="1711"/>
    </row>
    <row r="14" spans="1:16" ht="13.8">
      <c r="A14" s="2551" t="s">
        <v>690</v>
      </c>
      <c r="B14" s="2542" t="s">
        <v>3550</v>
      </c>
      <c r="C14" s="1711"/>
      <c r="D14" s="2548"/>
      <c r="E14" s="1524"/>
      <c r="F14" s="1711"/>
      <c r="G14" s="1524"/>
      <c r="H14" s="1524"/>
      <c r="I14" s="2558" t="s">
        <v>3208</v>
      </c>
      <c r="J14" s="1711"/>
      <c r="K14" s="1711"/>
      <c r="L14" s="2552"/>
      <c r="M14" s="1711"/>
      <c r="N14" s="1711"/>
      <c r="O14" s="1711"/>
      <c r="P14" s="1711"/>
    </row>
    <row r="15" spans="1:16" ht="13.8">
      <c r="A15" s="1711"/>
      <c r="B15" s="1711" t="s">
        <v>3209</v>
      </c>
      <c r="C15" s="1711"/>
      <c r="D15" s="1711"/>
      <c r="E15" s="1711"/>
      <c r="F15" s="1711" t="str">
        <f>'Part I-Project Identification'!F16</f>
        <v>One Street Development</v>
      </c>
      <c r="G15" s="1711"/>
      <c r="H15" s="1711"/>
      <c r="I15" s="1711" t="s">
        <v>1665</v>
      </c>
      <c r="J15" s="1711" t="str">
        <f>'Part I-Project Identification'!J16</f>
        <v>Brendan Barr</v>
      </c>
      <c r="K15" s="1711"/>
      <c r="L15" s="1711"/>
      <c r="M15" s="2548" t="s">
        <v>1833</v>
      </c>
      <c r="N15" s="1711" t="str">
        <f>'Part I-Project Identification'!N16</f>
        <v>COO/Managing Partner</v>
      </c>
      <c r="O15" s="1711"/>
      <c r="P15" s="1711"/>
    </row>
    <row r="16" spans="1:16" ht="13.8">
      <c r="A16" s="1711"/>
      <c r="B16" s="2548" t="s">
        <v>1597</v>
      </c>
      <c r="C16" s="1711"/>
      <c r="D16" s="1711"/>
      <c r="E16" s="1711"/>
      <c r="F16" s="2559">
        <f>'Part I-Project Identification'!F17</f>
        <v>7708508280</v>
      </c>
      <c r="G16" s="2559"/>
      <c r="H16" s="2559"/>
      <c r="I16" s="2548" t="s">
        <v>1596</v>
      </c>
      <c r="J16" s="1524">
        <f>'Part I-Project Identification'!J17</f>
        <v>0</v>
      </c>
      <c r="K16" s="1711"/>
      <c r="L16" s="1711"/>
      <c r="M16" s="2548" t="s">
        <v>1598</v>
      </c>
      <c r="N16" s="2559">
        <f>'Part I-Project Identification'!N17</f>
        <v>6784602869</v>
      </c>
      <c r="O16" s="2559"/>
      <c r="P16" s="2559"/>
    </row>
    <row r="17" spans="1:16" ht="13.8">
      <c r="A17" s="1711"/>
      <c r="B17" s="2548" t="s">
        <v>1836</v>
      </c>
      <c r="C17" s="1711"/>
      <c r="D17" s="1711"/>
      <c r="E17" s="1711"/>
      <c r="F17" s="1711" t="str">
        <f>'Part I-Project Identification'!F18</f>
        <v>brendan@onestreetres.com</v>
      </c>
      <c r="G17" s="1711"/>
      <c r="H17" s="1711"/>
      <c r="I17" s="1711"/>
      <c r="J17" s="1711"/>
      <c r="K17" s="1711"/>
      <c r="L17" s="1711"/>
      <c r="M17" s="2548" t="s">
        <v>1832</v>
      </c>
      <c r="N17" s="2559">
        <f>'Part I-Project Identification'!N18</f>
        <v>6782093079</v>
      </c>
      <c r="O17" s="2559"/>
      <c r="P17" s="2559"/>
    </row>
    <row r="18" spans="1:16" ht="13.8">
      <c r="A18" s="2543"/>
      <c r="B18" s="2542" t="s">
        <v>3549</v>
      </c>
      <c r="C18" s="377"/>
      <c r="D18" s="1711"/>
      <c r="E18" s="1711"/>
      <c r="F18" s="1711"/>
      <c r="G18" s="1711"/>
      <c r="H18" s="1524"/>
      <c r="I18" s="1711"/>
      <c r="J18" s="377"/>
      <c r="K18" s="1711"/>
      <c r="L18" s="1711"/>
      <c r="M18" s="1711"/>
      <c r="N18" s="1711"/>
      <c r="O18" s="1711"/>
      <c r="P18" s="1524"/>
    </row>
    <row r="19" spans="1:16" ht="13.8">
      <c r="A19" s="1711"/>
      <c r="B19" s="1711" t="s">
        <v>3209</v>
      </c>
      <c r="C19" s="1711"/>
      <c r="D19" s="1711"/>
      <c r="E19" s="1711"/>
      <c r="F19" s="1711" t="str">
        <f>'Part I-Project Identification'!F20</f>
        <v>One Street Development</v>
      </c>
      <c r="G19" s="1711"/>
      <c r="H19" s="1711"/>
      <c r="I19" s="1711" t="s">
        <v>1665</v>
      </c>
      <c r="J19" s="1711" t="str">
        <f>'Part I-Project Identification'!J20</f>
        <v>Thurston Cooke</v>
      </c>
      <c r="K19" s="1711"/>
      <c r="L19" s="1711"/>
      <c r="M19" s="2548" t="s">
        <v>1833</v>
      </c>
      <c r="N19" s="1711" t="str">
        <f>'Part I-Project Identification'!N20</f>
        <v>CFO/Managing Partner</v>
      </c>
      <c r="O19" s="1711"/>
      <c r="P19" s="1711"/>
    </row>
    <row r="20" spans="1:16" ht="13.8">
      <c r="A20" s="1711"/>
      <c r="B20" s="2548" t="s">
        <v>1597</v>
      </c>
      <c r="C20" s="1711"/>
      <c r="D20" s="1711"/>
      <c r="E20" s="1711"/>
      <c r="F20" s="2559">
        <f>'Part I-Project Identification'!F21</f>
        <v>7708508280</v>
      </c>
      <c r="G20" s="2559"/>
      <c r="H20" s="2559"/>
      <c r="I20" s="2548" t="s">
        <v>1596</v>
      </c>
      <c r="J20" s="1524">
        <f>'Part I-Project Identification'!J21</f>
        <v>0</v>
      </c>
      <c r="K20" s="1711"/>
      <c r="L20" s="1711"/>
      <c r="M20" s="2548" t="s">
        <v>1598</v>
      </c>
      <c r="N20" s="2559">
        <f>'Part I-Project Identification'!N21</f>
        <v>6784602862</v>
      </c>
      <c r="O20" s="2559"/>
      <c r="P20" s="2559"/>
    </row>
    <row r="21" spans="1:16" ht="13.8">
      <c r="A21" s="1711"/>
      <c r="B21" s="2548" t="s">
        <v>1836</v>
      </c>
      <c r="C21" s="1711"/>
      <c r="D21" s="1711"/>
      <c r="E21" s="1711"/>
      <c r="F21" s="1711" t="str">
        <f>'Part I-Project Identification'!F22</f>
        <v>thurston@onestreetres.com</v>
      </c>
      <c r="G21" s="1711"/>
      <c r="H21" s="1711"/>
      <c r="I21" s="1711"/>
      <c r="J21" s="1711"/>
      <c r="K21" s="1711"/>
      <c r="L21" s="1711"/>
      <c r="M21" s="2548" t="s">
        <v>1832</v>
      </c>
      <c r="N21" s="2559">
        <f>'Part I-Project Identification'!N22</f>
        <v>4043178953</v>
      </c>
      <c r="O21" s="2559"/>
      <c r="P21" s="2559"/>
    </row>
    <row r="22" spans="1:16" ht="13.8">
      <c r="A22" s="1711"/>
      <c r="B22" s="1711"/>
      <c r="C22" s="1711"/>
      <c r="D22" s="1711"/>
      <c r="E22" s="1711"/>
      <c r="F22" s="1711"/>
      <c r="G22" s="1711"/>
      <c r="H22" s="1711"/>
      <c r="I22" s="377"/>
      <c r="J22" s="377"/>
      <c r="K22" s="377"/>
      <c r="L22" s="377"/>
      <c r="M22" s="377"/>
      <c r="N22" s="377"/>
      <c r="O22" s="377"/>
      <c r="P22" s="377"/>
    </row>
    <row r="23" spans="1:16" ht="13.8">
      <c r="A23" s="2551" t="s">
        <v>1661</v>
      </c>
      <c r="B23" s="2542" t="s">
        <v>1379</v>
      </c>
      <c r="C23" s="1711"/>
      <c r="D23" s="377"/>
      <c r="E23" s="1524"/>
      <c r="F23" s="1524"/>
      <c r="G23" s="2548"/>
      <c r="H23" s="1524"/>
      <c r="I23" s="1524"/>
      <c r="J23" s="1524"/>
      <c r="K23" s="1711"/>
      <c r="L23" s="1711"/>
      <c r="M23" s="1711"/>
      <c r="N23" s="1711"/>
      <c r="O23" s="1711"/>
      <c r="P23" s="1711"/>
    </row>
    <row r="24" spans="1:16" ht="13.8">
      <c r="A24" s="2551"/>
      <c r="B24" s="2542"/>
      <c r="C24" s="1711"/>
      <c r="D24" s="377"/>
      <c r="E24" s="1524"/>
      <c r="F24" s="1524"/>
      <c r="G24" s="2548"/>
      <c r="H24" s="1524"/>
      <c r="I24" s="1524"/>
      <c r="J24" s="1524"/>
      <c r="K24" s="1711"/>
      <c r="L24" s="2552"/>
      <c r="M24" s="2552"/>
      <c r="N24" s="1711"/>
      <c r="O24" s="1711"/>
      <c r="P24" s="1711"/>
    </row>
    <row r="25" spans="1:16" ht="13.8">
      <c r="A25" s="2542"/>
      <c r="B25" s="1711" t="s">
        <v>573</v>
      </c>
      <c r="C25" s="1711"/>
      <c r="D25" s="2542"/>
      <c r="E25" s="1711"/>
      <c r="F25" s="1711" t="str">
        <f>'Part I-Project Identification'!F26</f>
        <v>Retreat at Madison Place</v>
      </c>
      <c r="G25" s="1711"/>
      <c r="H25" s="1711"/>
      <c r="I25" s="1711"/>
      <c r="J25" s="1711"/>
      <c r="K25" s="1711"/>
      <c r="L25" s="1711"/>
      <c r="M25" s="2548" t="s">
        <v>424</v>
      </c>
      <c r="N25" s="1711"/>
      <c r="O25" s="1711"/>
      <c r="P25" s="2560" t="str">
        <f>'Part I-Project Identification'!P26</f>
        <v>Yes</v>
      </c>
    </row>
    <row r="26" spans="1:16" ht="13.8">
      <c r="A26" s="2543"/>
      <c r="B26" s="1711" t="s">
        <v>574</v>
      </c>
      <c r="C26" s="1711"/>
      <c r="D26" s="1711"/>
      <c r="E26" s="1711"/>
      <c r="F26" s="1711" t="str">
        <f>'Part I-Project Identification'!F27</f>
        <v>Decatur</v>
      </c>
      <c r="G26" s="1711"/>
      <c r="H26" s="1711"/>
      <c r="I26" s="2561" t="s">
        <v>575</v>
      </c>
      <c r="J26" s="1711" t="str">
        <f>'Part I-Project Identification'!J27</f>
        <v>DeKalb</v>
      </c>
      <c r="K26" s="1711"/>
      <c r="L26" s="1711"/>
      <c r="M26" s="2548" t="s">
        <v>425</v>
      </c>
      <c r="N26" s="1711"/>
      <c r="O26" s="1711"/>
      <c r="P26" s="2560" t="str">
        <f>'Part I-Project Identification'!P27</f>
        <v>No</v>
      </c>
    </row>
    <row r="27" spans="1:16" ht="13.8">
      <c r="A27" s="2543"/>
      <c r="B27" s="1711" t="s">
        <v>3778</v>
      </c>
      <c r="C27" s="2562"/>
      <c r="D27" s="1583"/>
      <c r="E27" s="1583"/>
      <c r="F27" s="1711" t="str">
        <f>'Part I-Project Identification'!F28</f>
        <v>Unincorporated County</v>
      </c>
      <c r="G27" s="1711"/>
      <c r="H27" s="1711"/>
      <c r="I27" s="1524"/>
      <c r="J27" s="378" t="s">
        <v>4605</v>
      </c>
      <c r="K27" s="1524"/>
      <c r="L27" s="1711"/>
      <c r="M27" s="2548" t="s">
        <v>4548</v>
      </c>
      <c r="N27" s="1711"/>
      <c r="O27" s="2563">
        <f>'Part I-Project Identification'!O28</f>
        <v>5.48</v>
      </c>
      <c r="P27" s="2563"/>
    </row>
    <row r="28" spans="1:16" ht="13.8">
      <c r="A28" s="2543"/>
      <c r="B28" s="1711" t="s">
        <v>1453</v>
      </c>
      <c r="C28" s="1711"/>
      <c r="D28" s="1711"/>
      <c r="E28" s="1711"/>
      <c r="F28" s="2548" t="str">
        <f>'Part I-Project Identification'!F29</f>
        <v>No</v>
      </c>
      <c r="G28" s="1711"/>
      <c r="H28" s="1711"/>
      <c r="I28" s="1524"/>
      <c r="J28" s="1524" t="s">
        <v>2491</v>
      </c>
      <c r="K28" s="1524" t="str">
        <f>'Part I-Project Identification'!K29</f>
        <v>Urban</v>
      </c>
      <c r="L28" s="1711"/>
      <c r="M28" s="2548" t="s">
        <v>2392</v>
      </c>
      <c r="N28" s="2543" t="str">
        <f>'Part I-Project Identification'!N29</f>
        <v>MSA</v>
      </c>
      <c r="O28" s="1711" t="str">
        <f>'Part I-Project Identification'!O29</f>
        <v>Atlanta-Sandy Springs-Marietta</v>
      </c>
      <c r="P28" s="1711"/>
    </row>
    <row r="29" spans="1:16" ht="13.8">
      <c r="A29" s="2543"/>
      <c r="B29" s="2543"/>
      <c r="C29" s="2562"/>
      <c r="D29" s="1583"/>
      <c r="E29" s="1583"/>
      <c r="F29" s="1524"/>
      <c r="G29" s="1524"/>
      <c r="H29" s="1524"/>
      <c r="I29" s="1524"/>
      <c r="J29" s="1583"/>
      <c r="K29" s="1524"/>
      <c r="L29" s="1524"/>
      <c r="M29" s="1711"/>
      <c r="N29" s="1711"/>
      <c r="O29" s="1711"/>
      <c r="P29" s="1524"/>
    </row>
    <row r="30" spans="1:16" ht="13.8">
      <c r="A30" s="2551" t="s">
        <v>1663</v>
      </c>
      <c r="B30" s="2551" t="s">
        <v>4537</v>
      </c>
      <c r="C30" s="1711"/>
      <c r="D30" s="376"/>
      <c r="E30" s="376"/>
      <c r="F30" s="376"/>
      <c r="G30" s="1524"/>
      <c r="H30" s="1524"/>
      <c r="I30" s="1524"/>
      <c r="J30" s="1583"/>
      <c r="K30" s="1524"/>
      <c r="L30" s="1524"/>
      <c r="M30" s="1711"/>
      <c r="N30" s="1711"/>
      <c r="O30" s="1711"/>
      <c r="P30" s="1524"/>
    </row>
    <row r="31" spans="1:16" ht="13.8">
      <c r="A31" s="2543"/>
      <c r="B31" s="2543"/>
      <c r="C31" s="1711"/>
      <c r="D31" s="1711"/>
      <c r="E31" s="1711"/>
      <c r="F31" s="1711"/>
      <c r="G31" s="1711"/>
      <c r="H31" s="1711"/>
      <c r="I31" s="1711"/>
      <c r="J31" s="1711"/>
      <c r="K31" s="1711"/>
      <c r="L31" s="1711"/>
      <c r="M31" s="2548"/>
      <c r="N31" s="2564"/>
      <c r="O31" s="2564"/>
      <c r="P31" s="2565"/>
    </row>
    <row r="32" spans="1:16" ht="13.8">
      <c r="A32" s="2543"/>
      <c r="B32" s="2551" t="s">
        <v>4536</v>
      </c>
      <c r="C32" s="1711"/>
      <c r="D32" s="2566"/>
      <c r="E32" s="2566"/>
      <c r="F32" s="2566"/>
      <c r="G32" s="2566"/>
      <c r="H32" s="1524"/>
      <c r="I32" s="1711"/>
      <c r="J32" s="377"/>
      <c r="K32" s="1583"/>
      <c r="L32" s="1711"/>
      <c r="M32" s="1711"/>
      <c r="N32" s="1711"/>
      <c r="O32" s="1711"/>
      <c r="P32" s="1524"/>
    </row>
    <row r="33" spans="1:17" ht="13.8">
      <c r="A33" s="2543"/>
      <c r="B33" s="2543"/>
      <c r="C33" s="2551"/>
      <c r="D33" s="2566"/>
      <c r="E33" s="2566"/>
      <c r="F33" s="2566"/>
      <c r="G33" s="2566"/>
      <c r="H33" s="1524"/>
      <c r="I33" s="1711"/>
      <c r="J33" s="377"/>
      <c r="K33" s="1583"/>
      <c r="L33" s="1711"/>
      <c r="M33" s="1711"/>
      <c r="N33" s="1711"/>
      <c r="O33" s="1711"/>
      <c r="P33" s="1524"/>
    </row>
    <row r="34" spans="1:17" ht="13.8">
      <c r="A34" s="2543"/>
      <c r="B34" s="2543"/>
      <c r="C34" s="1711"/>
      <c r="D34" s="2412"/>
      <c r="E34" s="1711"/>
      <c r="F34" s="1711"/>
      <c r="G34" s="1711"/>
      <c r="H34" s="1711"/>
      <c r="J34" s="1711"/>
      <c r="K34" s="2542"/>
      <c r="L34" s="1711"/>
      <c r="M34" s="1711"/>
      <c r="N34" s="1711"/>
      <c r="O34" s="1711"/>
      <c r="P34" s="1583"/>
    </row>
    <row r="35" spans="1:17" ht="13.8">
      <c r="A35" s="2543"/>
      <c r="B35" s="2542"/>
      <c r="C35" s="1711"/>
      <c r="D35" s="1711"/>
      <c r="E35" s="1711"/>
      <c r="F35" s="1711"/>
      <c r="G35" s="1711"/>
      <c r="H35" s="1711"/>
      <c r="I35" s="1583"/>
      <c r="J35" s="2561"/>
      <c r="K35" s="1711"/>
      <c r="L35" s="1711"/>
      <c r="M35" s="1711"/>
      <c r="N35" s="1711"/>
      <c r="O35" s="2567"/>
      <c r="P35" s="2567"/>
    </row>
    <row r="36" spans="1:17" ht="13.8">
      <c r="A36" s="2543"/>
      <c r="B36" s="2542"/>
      <c r="C36" s="1711" t="s">
        <v>1671</v>
      </c>
      <c r="D36" s="1711"/>
      <c r="E36" s="1711"/>
      <c r="F36" s="1711"/>
      <c r="G36" s="1711"/>
      <c r="H36" s="1711"/>
      <c r="I36" s="1583" t="str">
        <f>'Part I-Project Identification'!I37</f>
        <v>No</v>
      </c>
      <c r="J36" s="2561" t="s">
        <v>2475</v>
      </c>
      <c r="K36" s="1711"/>
      <c r="L36" s="1711"/>
      <c r="M36" s="1711"/>
      <c r="N36" s="1711"/>
      <c r="O36" s="2567">
        <f>'Part I-Project Identification'!O37</f>
        <v>0</v>
      </c>
      <c r="P36" s="2567"/>
    </row>
    <row r="37" spans="1:17" ht="13.8">
      <c r="A37" s="2543"/>
      <c r="B37" s="2543"/>
      <c r="C37" s="1711" t="s">
        <v>2566</v>
      </c>
      <c r="D37" s="1711"/>
      <c r="E37" s="1711"/>
      <c r="F37" s="1711"/>
      <c r="G37" s="1711"/>
      <c r="H37" s="1711"/>
      <c r="I37" s="1583" t="str">
        <f>'Part I-Project Identification'!I38</f>
        <v>No</v>
      </c>
      <c r="J37" s="2561" t="s">
        <v>2475</v>
      </c>
      <c r="K37" s="1711"/>
      <c r="L37" s="1711"/>
      <c r="M37" s="1711"/>
      <c r="N37" s="1711"/>
      <c r="O37" s="2567">
        <f>'Part I-Project Identification'!O38</f>
        <v>0</v>
      </c>
      <c r="P37" s="2567"/>
    </row>
    <row r="38" spans="1:17" ht="13.8">
      <c r="A38" s="2543"/>
      <c r="B38" s="2543"/>
      <c r="C38" s="1711"/>
      <c r="D38" s="1711"/>
      <c r="E38" s="1711"/>
      <c r="F38" s="1711"/>
      <c r="G38" s="1711"/>
      <c r="H38" s="1711"/>
      <c r="I38" s="1711"/>
      <c r="J38" s="1711"/>
      <c r="K38" s="1711"/>
      <c r="L38" s="1711"/>
      <c r="M38" s="1711"/>
      <c r="N38" s="1711"/>
      <c r="O38" s="1711"/>
      <c r="P38" s="377"/>
    </row>
    <row r="39" spans="1:17" ht="13.8">
      <c r="A39" s="1711"/>
      <c r="B39" s="2542"/>
      <c r="C39" s="1711"/>
      <c r="D39" s="1711"/>
      <c r="E39" s="1711"/>
      <c r="F39" s="1711"/>
      <c r="G39" s="1711"/>
      <c r="H39" s="1711"/>
      <c r="I39" s="1711"/>
      <c r="J39" s="1711"/>
      <c r="K39" s="1711"/>
      <c r="L39" s="377"/>
      <c r="M39" s="377"/>
      <c r="N39" s="377"/>
      <c r="O39" s="377"/>
      <c r="P39" s="2552"/>
    </row>
    <row r="40" spans="1:17" ht="13.8">
      <c r="A40" s="2551" t="s">
        <v>495</v>
      </c>
      <c r="B40" s="376"/>
      <c r="C40" s="376" t="s">
        <v>529</v>
      </c>
      <c r="D40" s="377"/>
      <c r="E40" s="377"/>
      <c r="F40" s="377"/>
      <c r="G40" s="377"/>
      <c r="H40" s="377"/>
      <c r="I40" s="377"/>
      <c r="J40" s="377"/>
      <c r="K40" s="377"/>
      <c r="L40" s="377"/>
      <c r="M40" s="2551" t="s">
        <v>719</v>
      </c>
      <c r="N40" s="376" t="s">
        <v>74</v>
      </c>
      <c r="O40" s="377"/>
      <c r="P40" s="377"/>
    </row>
    <row r="41" spans="1:17" ht="13.8">
      <c r="A41" s="2551"/>
      <c r="B41" s="376"/>
      <c r="C41" s="376"/>
      <c r="D41" s="377"/>
      <c r="E41" s="377"/>
      <c r="F41" s="377"/>
      <c r="G41" s="377"/>
      <c r="H41" s="377"/>
      <c r="I41" s="377"/>
      <c r="J41" s="377"/>
      <c r="K41" s="377"/>
      <c r="L41" s="377"/>
      <c r="M41" s="2551"/>
      <c r="N41" s="376"/>
      <c r="O41" s="377"/>
      <c r="P41" s="377"/>
    </row>
    <row r="42" spans="1:17">
      <c r="A42" s="2568" t="str">
        <f>'Part I-Project Identification'!A43</f>
        <v>The project team is a joint venture between the DeKalb County Housing Authority, OneStreet Residential, and Hunt Capitcal Partners. The full qualifications package for this partnership and the Qualification Determination letter is included in folder "06CompliancePerf".</v>
      </c>
      <c r="B42" s="2568"/>
      <c r="C42" s="2568"/>
      <c r="D42" s="2568"/>
      <c r="E42" s="2568"/>
      <c r="F42" s="2568"/>
      <c r="G42" s="2568"/>
      <c r="H42" s="2568"/>
      <c r="I42" s="2568"/>
      <c r="J42" s="2568"/>
      <c r="K42" s="2568"/>
      <c r="L42" s="2568"/>
      <c r="M42" s="2568"/>
      <c r="N42" s="2568"/>
      <c r="O42" s="2568"/>
      <c r="P42" s="2568"/>
    </row>
    <row r="46" spans="1:17" ht="13.8">
      <c r="A46" s="2542" t="str">
        <f>CONCATENATE("PART TWO - SOURCES OF FUNDS (Proposed)","  -  ",'Part I-Project Identification'!$O$7," ",'Part I-Project Identification'!$F$26,", ",'Part I-Project Identification'!$F$27,", ",'Part I-Project Identification'!$J$27," County")</f>
        <v>PART TWO - SOURCES OF FUNDS (Proposed)  -  2025-0 Retreat at Madison Place, Decatur, DeKalb County</v>
      </c>
      <c r="B46" s="2542"/>
      <c r="C46" s="2542"/>
      <c r="D46" s="2542"/>
      <c r="E46" s="2542"/>
      <c r="F46" s="2542"/>
      <c r="G46" s="2542"/>
      <c r="H46" s="2542"/>
      <c r="I46" s="2542"/>
      <c r="J46" s="2542"/>
      <c r="K46" s="2542"/>
      <c r="L46" s="2542"/>
      <c r="M46" s="2542"/>
      <c r="N46" s="2542"/>
      <c r="O46" s="2542"/>
      <c r="P46" s="2542"/>
      <c r="Q46" s="2542"/>
    </row>
    <row r="47" spans="1:17" ht="13.8">
      <c r="A47" s="377"/>
      <c r="B47" s="377"/>
      <c r="C47" s="377"/>
      <c r="D47" s="377"/>
      <c r="E47" s="377"/>
      <c r="F47" s="377"/>
      <c r="G47" s="358"/>
      <c r="H47" s="358"/>
      <c r="I47" s="358"/>
      <c r="J47" s="358"/>
      <c r="K47" s="358"/>
      <c r="L47" s="358"/>
      <c r="M47" s="2410"/>
      <c r="N47" s="2410"/>
      <c r="O47" s="2410"/>
      <c r="P47" s="2410"/>
      <c r="Q47" s="2410"/>
    </row>
    <row r="48" spans="1:17" ht="13.8">
      <c r="A48" s="2542" t="s">
        <v>572</v>
      </c>
      <c r="B48" s="2542" t="s">
        <v>2287</v>
      </c>
      <c r="C48" s="1711"/>
      <c r="D48" s="1711"/>
      <c r="E48" s="1711"/>
      <c r="F48" s="1711"/>
      <c r="G48" s="1711"/>
      <c r="H48" s="2411"/>
      <c r="I48" s="2411"/>
      <c r="J48" s="2411"/>
      <c r="K48" s="2411"/>
      <c r="L48" s="2569" t="str">
        <f>'Part I-Project Identification'!$A$6</f>
        <v>May 31, 2025</v>
      </c>
      <c r="M48" s="2569"/>
      <c r="N48" s="2569"/>
      <c r="O48" s="2569"/>
      <c r="P48" s="2569"/>
      <c r="Q48" s="2411"/>
    </row>
    <row r="49" spans="1:17" ht="13.8">
      <c r="A49" s="376"/>
      <c r="B49" s="2543"/>
      <c r="C49" s="376"/>
      <c r="D49" s="1711"/>
      <c r="E49" s="1711"/>
      <c r="F49" s="1711"/>
      <c r="G49" s="1711"/>
      <c r="H49" s="2411"/>
      <c r="I49" s="2411"/>
      <c r="J49" s="2411"/>
      <c r="K49" s="2411"/>
      <c r="L49" s="2411"/>
      <c r="M49" s="2411"/>
      <c r="N49" s="2411"/>
      <c r="O49" s="2411"/>
      <c r="P49" s="2411"/>
      <c r="Q49" s="2411"/>
    </row>
    <row r="50" spans="1:17" ht="13.8">
      <c r="A50" s="2543"/>
      <c r="B50" s="1524" t="str">
        <f>'Part II-Sources of Funds'!B6</f>
        <v>Yes</v>
      </c>
      <c r="C50" s="2545" t="s">
        <v>2212</v>
      </c>
      <c r="D50" s="1711"/>
      <c r="E50" s="1524" t="str">
        <f>'Part II-Sources of Funds'!E6</f>
        <v>No</v>
      </c>
      <c r="F50" s="2545" t="s">
        <v>5092</v>
      </c>
      <c r="G50" s="1711"/>
      <c r="H50" s="2570">
        <f>'Part II-Sources of Funds'!H6</f>
        <v>0</v>
      </c>
      <c r="I50" s="2411"/>
      <c r="J50" s="2411"/>
      <c r="K50" s="2411"/>
      <c r="L50" s="1524" t="str">
        <f>'Part II-Sources of Funds'!L6</f>
        <v>No</v>
      </c>
      <c r="M50" s="2545" t="s">
        <v>5062</v>
      </c>
      <c r="N50" s="2411"/>
      <c r="O50" s="1524" t="str">
        <f>'Part II-Sources of Funds'!O6</f>
        <v>No</v>
      </c>
      <c r="P50" s="2545" t="s">
        <v>5110</v>
      </c>
      <c r="Q50" s="2411"/>
    </row>
    <row r="51" spans="1:17" ht="13.8">
      <c r="A51" s="2543"/>
      <c r="B51" s="1524" t="str">
        <f>'Part II-Sources of Funds'!B7</f>
        <v>No</v>
      </c>
      <c r="C51" s="2545" t="s">
        <v>3751</v>
      </c>
      <c r="D51" s="1711"/>
      <c r="E51" s="1524" t="str">
        <f>'Part II-Sources of Funds'!E7</f>
        <v>No</v>
      </c>
      <c r="F51" s="2545" t="s">
        <v>5093</v>
      </c>
      <c r="G51" s="2411"/>
      <c r="H51" s="2570">
        <f>'Part II-Sources of Funds'!H7</f>
        <v>0</v>
      </c>
      <c r="I51" s="2411"/>
      <c r="J51" s="2411"/>
      <c r="K51" s="2411"/>
      <c r="L51" s="1524" t="str">
        <f>'Part II-Sources of Funds'!L7</f>
        <v>No</v>
      </c>
      <c r="M51" s="2545" t="s">
        <v>5063</v>
      </c>
      <c r="N51" s="2411"/>
      <c r="O51" s="2411"/>
      <c r="P51" s="2411"/>
      <c r="Q51" s="2411"/>
    </row>
    <row r="52" spans="1:17" ht="13.8">
      <c r="A52" s="1711"/>
      <c r="B52" s="1524" t="str">
        <f>'Part II-Sources of Funds'!B8</f>
        <v>No</v>
      </c>
      <c r="C52" s="2545" t="s">
        <v>4544</v>
      </c>
      <c r="D52" s="2411"/>
      <c r="E52" s="2411"/>
      <c r="F52" s="2411" t="s">
        <v>5094</v>
      </c>
      <c r="G52" s="2411"/>
      <c r="H52" s="2411" t="str">
        <f>'Part II-Sources of Funds'!H8</f>
        <v>Specify Other HOME Source here</v>
      </c>
      <c r="I52" s="2411"/>
      <c r="J52" s="2411"/>
      <c r="K52" s="2411"/>
      <c r="L52" s="1524" t="str">
        <f>'Part II-Sources of Funds'!L8</f>
        <v>No</v>
      </c>
      <c r="M52" s="2568" t="s">
        <v>1435</v>
      </c>
      <c r="N52" s="2411"/>
      <c r="O52" s="2411"/>
      <c r="P52" s="2411"/>
      <c r="Q52" s="2411"/>
    </row>
    <row r="53" spans="1:17" ht="13.8">
      <c r="A53" s="2543"/>
      <c r="B53" s="1524" t="str">
        <f>'Part II-Sources of Funds'!B9</f>
        <v>No</v>
      </c>
      <c r="C53" s="2411" t="s">
        <v>3214</v>
      </c>
      <c r="D53" s="2411"/>
      <c r="E53" s="1524" t="str">
        <f>'Part II-Sources of Funds'!E9</f>
        <v>No</v>
      </c>
      <c r="F53" s="2545" t="s">
        <v>5109</v>
      </c>
      <c r="G53" s="2411"/>
      <c r="H53" s="2570">
        <f>'Part II-Sources of Funds'!H9</f>
        <v>0</v>
      </c>
      <c r="I53" s="1712"/>
      <c r="J53" s="2411"/>
      <c r="K53" s="2411"/>
      <c r="L53" s="1524" t="str">
        <f>'Part II-Sources of Funds'!L9</f>
        <v>No</v>
      </c>
      <c r="M53" s="2568" t="s">
        <v>513</v>
      </c>
      <c r="N53" s="2411"/>
      <c r="O53" s="2411"/>
      <c r="P53" s="2411"/>
      <c r="Q53" s="2568"/>
    </row>
    <row r="54" spans="1:17" ht="13.8">
      <c r="A54" s="2543"/>
      <c r="B54" s="1524" t="str">
        <f>'Part II-Sources of Funds'!B10</f>
        <v>No</v>
      </c>
      <c r="C54" s="2545" t="s">
        <v>2387</v>
      </c>
      <c r="D54" s="2411"/>
      <c r="E54" s="2411"/>
      <c r="F54" s="2411"/>
      <c r="G54" s="2411"/>
      <c r="H54" s="2411"/>
      <c r="I54" s="2411"/>
      <c r="J54" s="2411"/>
      <c r="K54" s="2411"/>
      <c r="L54" s="1524" t="str">
        <f>'Part II-Sources of Funds'!L10</f>
        <v>No</v>
      </c>
      <c r="M54" s="2545" t="s">
        <v>4547</v>
      </c>
      <c r="N54" s="2411"/>
      <c r="O54" s="2411"/>
      <c r="P54" s="2411"/>
      <c r="Q54" s="2568"/>
    </row>
    <row r="55" spans="1:17" ht="13.8">
      <c r="A55" s="2543"/>
      <c r="B55" s="1524" t="str">
        <f>'Part II-Sources of Funds'!B11</f>
        <v>No</v>
      </c>
      <c r="C55" s="2545" t="s">
        <v>2388</v>
      </c>
      <c r="D55" s="2411"/>
      <c r="E55" s="1524" t="str">
        <f>'Part II-Sources of Funds'!E11</f>
        <v>No</v>
      </c>
      <c r="F55" s="2411" t="str">
        <f>'Part II-Sources of Funds'!F11</f>
        <v>Other Type of FEDERAL Funding * - describe type/program here</v>
      </c>
      <c r="G55" s="2411"/>
      <c r="H55" s="2411"/>
      <c r="I55" s="2411"/>
      <c r="J55" s="2411"/>
      <c r="K55" s="2411"/>
      <c r="L55" s="1524" t="str">
        <f>'Part II-Sources of Funds'!L11</f>
        <v>No</v>
      </c>
      <c r="M55" s="2545" t="s">
        <v>3752</v>
      </c>
      <c r="N55" s="2411"/>
      <c r="O55" s="2411"/>
      <c r="P55" s="2411"/>
      <c r="Q55" s="2411"/>
    </row>
    <row r="56" spans="1:17" ht="13.8">
      <c r="A56" s="2543"/>
      <c r="B56" s="1524" t="str">
        <f>'Part II-Sources of Funds'!B12</f>
        <v>No</v>
      </c>
      <c r="C56" s="2545" t="s">
        <v>3107</v>
      </c>
      <c r="D56" s="2411"/>
      <c r="E56" s="2411"/>
      <c r="F56" s="2411" t="str">
        <f>'Part II-Sources of Funds'!F12</f>
        <v>Specify Source/Administrator of Other FEDERAL Funding here</v>
      </c>
      <c r="G56" s="2411"/>
      <c r="H56" s="2411"/>
      <c r="I56" s="2411"/>
      <c r="J56" s="2411"/>
      <c r="K56" s="2411"/>
      <c r="L56" s="1524" t="str">
        <f>'Part II-Sources of Funds'!L12</f>
        <v>No</v>
      </c>
      <c r="M56" s="2545" t="s">
        <v>3106</v>
      </c>
      <c r="N56" s="2411"/>
      <c r="O56" s="2411"/>
      <c r="P56" s="2411"/>
      <c r="Q56" s="2411"/>
    </row>
    <row r="57" spans="1:17" ht="13.8">
      <c r="A57" s="2543"/>
      <c r="B57" s="1524" t="str">
        <f>'Part II-Sources of Funds'!B13</f>
        <v>No</v>
      </c>
      <c r="C57" s="2545" t="s">
        <v>4546</v>
      </c>
      <c r="D57" s="2411"/>
      <c r="E57" s="1524" t="str">
        <f>'Part II-Sources of Funds'!E13</f>
        <v>No</v>
      </c>
      <c r="F57" s="2411" t="str">
        <f>'Part II-Sources of Funds'!F13</f>
        <v>Other Type of STATE/LOCAL Funding * - describe type/program here</v>
      </c>
      <c r="G57" s="2411"/>
      <c r="H57" s="2411"/>
      <c r="I57" s="2411"/>
      <c r="J57" s="2411"/>
      <c r="K57" s="2411"/>
      <c r="L57" s="1524" t="str">
        <f>'Part II-Sources of Funds'!L13</f>
        <v>No</v>
      </c>
      <c r="M57" s="2411" t="s">
        <v>2391</v>
      </c>
      <c r="N57" s="2411"/>
      <c r="O57" s="2411"/>
      <c r="P57" s="2411"/>
      <c r="Q57" s="2411"/>
    </row>
    <row r="58" spans="1:17" ht="13.8">
      <c r="A58" s="2543"/>
      <c r="B58" s="1524" t="str">
        <f>'Part II-Sources of Funds'!B14</f>
        <v>No</v>
      </c>
      <c r="C58" s="2411" t="s">
        <v>2390</v>
      </c>
      <c r="D58" s="2411"/>
      <c r="E58" s="2411"/>
      <c r="F58" s="2411" t="str">
        <f>'Part II-Sources of Funds'!F14</f>
        <v>Specify Source/Administrator of Other STATE/LOCAL Funding here</v>
      </c>
      <c r="G58" s="2411"/>
      <c r="H58" s="2411"/>
      <c r="I58" s="2411"/>
      <c r="J58" s="2411"/>
      <c r="K58" s="2411"/>
      <c r="L58" s="1524" t="str">
        <f>'Part II-Sources of Funds'!L14</f>
        <v>No</v>
      </c>
      <c r="M58" s="2411" t="s">
        <v>3133</v>
      </c>
      <c r="N58" s="2411"/>
      <c r="O58" s="2411"/>
      <c r="P58" s="2411"/>
      <c r="Q58" s="2411"/>
    </row>
    <row r="59" spans="1:17" ht="13.8">
      <c r="A59" s="2543"/>
      <c r="B59" s="1524" t="str">
        <f>'Part II-Sources of Funds'!B15</f>
        <v>No</v>
      </c>
      <c r="C59" s="2411" t="s">
        <v>3132</v>
      </c>
      <c r="D59" s="2411"/>
      <c r="E59" s="1524" t="str">
        <f>'Part II-Sources of Funds'!E15</f>
        <v>No</v>
      </c>
      <c r="F59" s="2545" t="s">
        <v>5095</v>
      </c>
      <c r="G59" s="2411"/>
      <c r="H59" s="2411" t="str">
        <f>'Part II-Sources of Funds'!H15</f>
        <v>Specify Other PBRA Source here</v>
      </c>
      <c r="I59" s="2411"/>
      <c r="J59" s="2411"/>
      <c r="K59" s="2411"/>
      <c r="L59" s="1524" t="str">
        <f>'Part II-Sources of Funds'!L15</f>
        <v>No</v>
      </c>
      <c r="M59" s="2411" t="s">
        <v>3976</v>
      </c>
      <c r="N59" s="2411"/>
      <c r="O59" s="2411"/>
      <c r="P59" s="2411"/>
      <c r="Q59" s="2411"/>
    </row>
    <row r="60" spans="1:17" ht="13.8">
      <c r="A60" s="2543"/>
      <c r="B60" s="1524" t="str">
        <f>'Part II-Sources of Funds'!B16</f>
        <v>No</v>
      </c>
      <c r="C60" s="2545" t="s">
        <v>1668</v>
      </c>
      <c r="D60" s="2411"/>
      <c r="E60" s="1524" t="str">
        <f>'Part II-Sources of Funds'!E16</f>
        <v>No</v>
      </c>
      <c r="F60" s="2545" t="s">
        <v>3213</v>
      </c>
      <c r="G60" s="2411"/>
      <c r="H60" s="2411"/>
      <c r="I60" s="2411"/>
      <c r="J60" s="2411"/>
      <c r="K60" s="2411"/>
      <c r="L60" s="1524" t="str">
        <f>'Part II-Sources of Funds'!L16</f>
        <v>No</v>
      </c>
      <c r="M60" s="2411" t="s">
        <v>4592</v>
      </c>
      <c r="N60" s="2411"/>
      <c r="O60" s="2411"/>
      <c r="P60" s="2411"/>
      <c r="Q60" s="2411"/>
    </row>
    <row r="61" spans="1:17" ht="13.8">
      <c r="A61" s="2543"/>
      <c r="B61" s="1524" t="str">
        <f>'Part II-Sources of Funds'!B17</f>
        <v>Yes</v>
      </c>
      <c r="C61" s="2545" t="s">
        <v>5107</v>
      </c>
      <c r="D61" s="2411"/>
      <c r="E61" s="1524" t="str">
        <f>'Part II-Sources of Funds'!E17</f>
        <v>No</v>
      </c>
      <c r="F61" s="2545" t="s">
        <v>3977</v>
      </c>
      <c r="G61" s="2411"/>
      <c r="H61" s="2411"/>
      <c r="I61" s="2411"/>
      <c r="J61" s="2411"/>
      <c r="K61" s="2411"/>
      <c r="L61" s="1524" t="str">
        <f>'Part II-Sources of Funds'!L17</f>
        <v>Yes</v>
      </c>
      <c r="M61" s="2568" t="s">
        <v>3978</v>
      </c>
      <c r="N61" s="2411"/>
      <c r="O61" s="2411"/>
      <c r="P61" s="2411"/>
      <c r="Q61" s="2411"/>
    </row>
    <row r="62" spans="1:17" ht="13.8">
      <c r="A62" s="2543"/>
      <c r="B62" s="2545" t="s">
        <v>5108</v>
      </c>
      <c r="C62" s="2411"/>
      <c r="D62" s="1712">
        <f>'Part II-Sources of Funds'!D18</f>
        <v>13500000</v>
      </c>
      <c r="E62" s="1712"/>
      <c r="F62" s="2545"/>
      <c r="G62" s="2411"/>
      <c r="H62" s="2411"/>
      <c r="I62" s="2411"/>
      <c r="J62" s="2411"/>
      <c r="K62" s="2411"/>
      <c r="L62" s="1524" t="str">
        <f>'Part II-Sources of Funds'!L18</f>
        <v>No</v>
      </c>
      <c r="M62" s="2568" t="s">
        <v>3975</v>
      </c>
      <c r="N62" s="2411"/>
      <c r="O62" s="2411"/>
      <c r="P62" s="2411"/>
      <c r="Q62" s="2411"/>
    </row>
    <row r="63" spans="1:17" ht="13.8">
      <c r="A63" s="2543"/>
      <c r="B63" s="2411" t="s">
        <v>3753</v>
      </c>
      <c r="C63" s="1711"/>
      <c r="D63" s="1711"/>
      <c r="E63" s="1711"/>
      <c r="F63" s="1711"/>
      <c r="G63" s="1711"/>
      <c r="H63" s="1711"/>
      <c r="I63" s="1711"/>
      <c r="J63" s="1711"/>
      <c r="K63" s="1711"/>
      <c r="L63" s="1711"/>
      <c r="M63" s="2410"/>
      <c r="N63" s="1711"/>
      <c r="O63" s="1711"/>
      <c r="P63" s="1711"/>
      <c r="Q63" s="1711"/>
    </row>
    <row r="64" spans="1:17" ht="13.8">
      <c r="A64" s="2543"/>
      <c r="B64" s="2411"/>
      <c r="C64" s="2411"/>
      <c r="D64" s="2411"/>
      <c r="E64" s="2411"/>
      <c r="F64" s="2411"/>
      <c r="G64" s="2411"/>
      <c r="H64" s="2411"/>
      <c r="I64" s="2411"/>
      <c r="J64" s="2411"/>
      <c r="K64" s="2411"/>
      <c r="L64" s="1711"/>
      <c r="M64" s="377"/>
      <c r="N64" s="1711"/>
      <c r="O64" s="1711"/>
      <c r="P64" s="1711"/>
      <c r="Q64" s="1711"/>
    </row>
    <row r="65" spans="1:17" ht="13.8">
      <c r="A65" s="2542" t="s">
        <v>688</v>
      </c>
      <c r="B65" s="2551" t="s">
        <v>2158</v>
      </c>
      <c r="C65" s="1711"/>
      <c r="D65" s="1711"/>
      <c r="E65" s="1711"/>
      <c r="F65" s="1711"/>
      <c r="G65" s="1711"/>
      <c r="H65" s="2412"/>
      <c r="I65" s="2412"/>
      <c r="J65" s="2412"/>
      <c r="K65" s="2412"/>
      <c r="L65" s="1711"/>
      <c r="M65" s="1711"/>
      <c r="N65" s="1711"/>
      <c r="O65" s="1711"/>
      <c r="P65" s="1711"/>
      <c r="Q65" s="1711"/>
    </row>
    <row r="66" spans="1:17" ht="13.8">
      <c r="A66" s="2542"/>
      <c r="B66" s="2551"/>
      <c r="C66" s="1711"/>
      <c r="D66" s="2412"/>
      <c r="E66" s="2412"/>
      <c r="F66" s="2412"/>
      <c r="G66" s="2412"/>
      <c r="H66" s="2412"/>
      <c r="I66" s="2412"/>
      <c r="J66" s="2412"/>
      <c r="K66" s="1711"/>
      <c r="L66" s="1711"/>
      <c r="M66" s="1711"/>
      <c r="N66" s="1524"/>
      <c r="O66" s="1524"/>
      <c r="P66" s="1711"/>
      <c r="Q66" s="1711"/>
    </row>
    <row r="67" spans="1:17" ht="13.8">
      <c r="A67" s="1711"/>
      <c r="B67" s="2548" t="s">
        <v>1728</v>
      </c>
      <c r="C67" s="1711"/>
      <c r="D67" s="1711"/>
      <c r="E67" s="1711"/>
      <c r="F67" s="1711"/>
      <c r="G67" s="1711" t="s">
        <v>1218</v>
      </c>
      <c r="H67" s="1711"/>
      <c r="I67" s="1711"/>
      <c r="J67" s="1711"/>
      <c r="K67" s="1711"/>
      <c r="L67" s="1711" t="s">
        <v>3719</v>
      </c>
      <c r="M67" s="1711"/>
      <c r="N67" s="1711" t="s">
        <v>1408</v>
      </c>
      <c r="O67" s="1711"/>
      <c r="P67" s="1711" t="s">
        <v>1521</v>
      </c>
      <c r="Q67" s="1711"/>
    </row>
    <row r="68" spans="1:17" ht="13.8">
      <c r="A68" s="1711"/>
      <c r="B68" s="1711" t="s">
        <v>1484</v>
      </c>
      <c r="C68" s="1711"/>
      <c r="D68" s="1711"/>
      <c r="E68" s="1711"/>
      <c r="F68" s="1711"/>
      <c r="G68" s="1711" t="str">
        <f>'Part II-Sources of Funds'!G24</f>
        <v>Bank OZK</v>
      </c>
      <c r="H68" s="1711"/>
      <c r="I68" s="1711"/>
      <c r="J68" s="1711"/>
      <c r="K68" s="1711"/>
      <c r="L68" s="2571">
        <f>'Part II-Sources of Funds'!L24</f>
        <v>26500000</v>
      </c>
      <c r="M68" s="2571"/>
      <c r="N68" s="2572">
        <f>'Part II-Sources of Funds'!N24</f>
        <v>7.2999999999999995E-2</v>
      </c>
      <c r="O68" s="2572"/>
      <c r="P68" s="2573">
        <f>'Part II-Sources of Funds'!P24</f>
        <v>24</v>
      </c>
      <c r="Q68" s="2573"/>
    </row>
    <row r="69" spans="1:17" ht="13.8">
      <c r="A69" s="1711"/>
      <c r="B69" s="1711" t="s">
        <v>1485</v>
      </c>
      <c r="C69" s="1711"/>
      <c r="D69" s="1711"/>
      <c r="E69" s="1711"/>
      <c r="F69" s="1711"/>
      <c r="G69" s="1711" t="str">
        <f>'Part II-Sources of Funds'!G25</f>
        <v>Mercy Housing</v>
      </c>
      <c r="H69" s="1711"/>
      <c r="I69" s="1711"/>
      <c r="J69" s="1711"/>
      <c r="K69" s="1711"/>
      <c r="L69" s="2571">
        <f>'Part II-Sources of Funds'!L25</f>
        <v>1000000</v>
      </c>
      <c r="M69" s="2571"/>
      <c r="N69" s="2572">
        <f>'Part II-Sources of Funds'!N25</f>
        <v>4.6399999999999997E-2</v>
      </c>
      <c r="O69" s="2572"/>
      <c r="P69" s="2573">
        <f>'Part II-Sources of Funds'!P25</f>
        <v>24</v>
      </c>
      <c r="Q69" s="1712"/>
    </row>
    <row r="70" spans="1:17" ht="13.8">
      <c r="A70" s="1711"/>
      <c r="B70" s="1711" t="s">
        <v>1486</v>
      </c>
      <c r="C70" s="1711"/>
      <c r="D70" s="1711"/>
      <c r="E70" s="1711"/>
      <c r="F70" s="1711"/>
      <c r="G70" s="1711">
        <f>'Part II-Sources of Funds'!G26</f>
        <v>0</v>
      </c>
      <c r="H70" s="1711"/>
      <c r="I70" s="1711"/>
      <c r="J70" s="1711"/>
      <c r="K70" s="1711"/>
      <c r="L70" s="2571">
        <f>'Part II-Sources of Funds'!L26</f>
        <v>0</v>
      </c>
      <c r="M70" s="2571"/>
      <c r="N70" s="2572">
        <f>'Part II-Sources of Funds'!N26</f>
        <v>0</v>
      </c>
      <c r="O70" s="2572"/>
      <c r="P70" s="2573">
        <f>'Part II-Sources of Funds'!P26</f>
        <v>0</v>
      </c>
      <c r="Q70" s="1712"/>
    </row>
    <row r="71" spans="1:17" ht="13.8">
      <c r="A71" s="1711"/>
      <c r="B71" s="1711" t="s">
        <v>2041</v>
      </c>
      <c r="C71" s="1711"/>
      <c r="D71" s="1711"/>
      <c r="E71" s="1711"/>
      <c r="F71" s="1711"/>
      <c r="G71" s="1711">
        <f>'Part II-Sources of Funds'!G27</f>
        <v>0</v>
      </c>
      <c r="H71" s="1711"/>
      <c r="I71" s="1711"/>
      <c r="J71" s="1711"/>
      <c r="K71" s="1711"/>
      <c r="L71" s="2571">
        <f>'Part II-Sources of Funds'!L27</f>
        <v>0</v>
      </c>
      <c r="M71" s="2571"/>
      <c r="N71" s="2572"/>
      <c r="O71" s="2572"/>
      <c r="P71" s="1711"/>
      <c r="Q71" s="1711"/>
    </row>
    <row r="72" spans="1:17" ht="13.8">
      <c r="A72" s="1711"/>
      <c r="B72" s="1711" t="s">
        <v>744</v>
      </c>
      <c r="C72" s="1711"/>
      <c r="D72" s="1711"/>
      <c r="E72" s="1711"/>
      <c r="F72" s="2411"/>
      <c r="G72" s="1711">
        <f>'Part II-Sources of Funds'!G28</f>
        <v>0</v>
      </c>
      <c r="H72" s="1711"/>
      <c r="I72" s="1711"/>
      <c r="J72" s="1711"/>
      <c r="K72" s="1711"/>
      <c r="L72" s="2571">
        <f>'Part II-Sources of Funds'!L28</f>
        <v>0</v>
      </c>
      <c r="M72" s="2571"/>
      <c r="N72" s="2572"/>
      <c r="O72" s="2572"/>
      <c r="P72" s="1711"/>
      <c r="Q72" s="1711"/>
    </row>
    <row r="73" spans="1:17" ht="13.8">
      <c r="A73" s="1711"/>
      <c r="B73" s="1711" t="s">
        <v>594</v>
      </c>
      <c r="C73" s="1711"/>
      <c r="D73" s="1711"/>
      <c r="E73" s="1711"/>
      <c r="F73" s="2411"/>
      <c r="G73" s="1711">
        <f>'Part II-Sources of Funds'!G29</f>
        <v>0</v>
      </c>
      <c r="H73" s="1711"/>
      <c r="I73" s="1711"/>
      <c r="J73" s="1711"/>
      <c r="K73" s="1711"/>
      <c r="L73" s="2571">
        <f>'Part II-Sources of Funds'!L29</f>
        <v>0</v>
      </c>
      <c r="M73" s="2571"/>
      <c r="N73" s="2572"/>
      <c r="O73" s="2572"/>
      <c r="P73" s="1711"/>
      <c r="Q73" s="1711"/>
    </row>
    <row r="74" spans="1:17" ht="13.8">
      <c r="A74" s="1711"/>
      <c r="B74" s="1711" t="s">
        <v>745</v>
      </c>
      <c r="C74" s="1711"/>
      <c r="D74" s="1711"/>
      <c r="E74" s="1711"/>
      <c r="F74" s="2411"/>
      <c r="G74" s="1711" t="str">
        <f>'Part II-Sources of Funds'!G30</f>
        <v>Hunt Capital Partners</v>
      </c>
      <c r="H74" s="1711"/>
      <c r="I74" s="1711"/>
      <c r="J74" s="1711"/>
      <c r="K74" s="1711"/>
      <c r="L74" s="2571">
        <f>'Part II-Sources of Funds'!L30</f>
        <v>1206605</v>
      </c>
      <c r="M74" s="2571"/>
      <c r="N74" s="1711"/>
      <c r="O74" s="2411"/>
      <c r="P74" s="2411"/>
      <c r="Q74" s="1711"/>
    </row>
    <row r="75" spans="1:17" ht="13.8">
      <c r="A75" s="1711"/>
      <c r="B75" s="1711" t="s">
        <v>746</v>
      </c>
      <c r="C75" s="1711"/>
      <c r="D75" s="1711"/>
      <c r="E75" s="1711"/>
      <c r="F75" s="2411"/>
      <c r="G75" s="1711" t="str">
        <f>'Part II-Sources of Funds'!G31</f>
        <v>Hunt Capital Partners</v>
      </c>
      <c r="H75" s="1711"/>
      <c r="I75" s="1711"/>
      <c r="J75" s="1711"/>
      <c r="K75" s="1711"/>
      <c r="L75" s="2571">
        <f>'Part II-Sources of Funds'!L31</f>
        <v>735058</v>
      </c>
      <c r="M75" s="2571"/>
      <c r="N75" s="1711"/>
      <c r="O75" s="2411"/>
      <c r="P75" s="2411"/>
      <c r="Q75" s="1711"/>
    </row>
    <row r="76" spans="1:17" ht="13.8">
      <c r="A76" s="1711"/>
      <c r="B76" s="1711" t="s">
        <v>232</v>
      </c>
      <c r="C76" s="1711"/>
      <c r="D76" s="1711">
        <f>'Part II-Sources of Funds'!D32</f>
        <v>0</v>
      </c>
      <c r="E76" s="1711"/>
      <c r="F76" s="1711"/>
      <c r="G76" s="1711">
        <f>'Part II-Sources of Funds'!G32</f>
        <v>0</v>
      </c>
      <c r="H76" s="1711"/>
      <c r="I76" s="1711"/>
      <c r="J76" s="1711"/>
      <c r="K76" s="1711"/>
      <c r="L76" s="2571">
        <f>'Part II-Sources of Funds'!L32</f>
        <v>0</v>
      </c>
      <c r="M76" s="2571"/>
      <c r="N76" s="1711"/>
      <c r="O76" s="2411"/>
      <c r="P76" s="2411"/>
      <c r="Q76" s="1711"/>
    </row>
    <row r="77" spans="1:17" ht="13.8">
      <c r="A77" s="1711"/>
      <c r="B77" s="1711" t="s">
        <v>232</v>
      </c>
      <c r="C77" s="1711"/>
      <c r="D77" s="1711">
        <f>'Part II-Sources of Funds'!D33</f>
        <v>0</v>
      </c>
      <c r="E77" s="1711"/>
      <c r="F77" s="1711"/>
      <c r="G77" s="1711">
        <f>'Part II-Sources of Funds'!G33</f>
        <v>0</v>
      </c>
      <c r="H77" s="1711"/>
      <c r="I77" s="1711"/>
      <c r="J77" s="1711"/>
      <c r="K77" s="1711"/>
      <c r="L77" s="2571">
        <f>'Part II-Sources of Funds'!L33</f>
        <v>0</v>
      </c>
      <c r="M77" s="2571"/>
      <c r="N77" s="1711"/>
      <c r="O77" s="2411"/>
      <c r="P77" s="2411"/>
      <c r="Q77" s="2411"/>
    </row>
    <row r="78" spans="1:17" ht="13.8">
      <c r="A78" s="1711"/>
      <c r="B78" s="1711" t="s">
        <v>232</v>
      </c>
      <c r="C78" s="1711"/>
      <c r="D78" s="1711">
        <f>'Part II-Sources of Funds'!D34</f>
        <v>0</v>
      </c>
      <c r="E78" s="1711"/>
      <c r="F78" s="1711"/>
      <c r="G78" s="1711">
        <f>'Part II-Sources of Funds'!G34</f>
        <v>0</v>
      </c>
      <c r="H78" s="1711"/>
      <c r="I78" s="1711"/>
      <c r="J78" s="1711"/>
      <c r="K78" s="1711"/>
      <c r="L78" s="2571">
        <f>'Part II-Sources of Funds'!L34</f>
        <v>0</v>
      </c>
      <c r="M78" s="2571"/>
      <c r="N78" s="1711"/>
      <c r="O78" s="2411"/>
      <c r="P78" s="2411"/>
      <c r="Q78" s="2411"/>
    </row>
    <row r="79" spans="1:17" ht="13.8">
      <c r="A79" s="1711"/>
      <c r="B79" s="2551" t="s">
        <v>1219</v>
      </c>
      <c r="C79" s="1711"/>
      <c r="D79" s="1711"/>
      <c r="E79" s="1711"/>
      <c r="F79" s="1711"/>
      <c r="G79" s="1711"/>
      <c r="H79" s="1711"/>
      <c r="I79" s="1711"/>
      <c r="J79" s="2411"/>
      <c r="K79" s="2411"/>
      <c r="L79" s="2574">
        <f>SUM(L68:L78)</f>
        <v>29441663</v>
      </c>
      <c r="M79" s="2574"/>
      <c r="N79" s="377"/>
      <c r="O79" s="2411"/>
      <c r="P79" s="2411"/>
      <c r="Q79" s="2411"/>
    </row>
    <row r="80" spans="1:17" ht="13.8">
      <c r="A80" s="1711"/>
      <c r="B80" s="2548" t="s">
        <v>1220</v>
      </c>
      <c r="C80" s="1711"/>
      <c r="D80" s="1711"/>
      <c r="E80" s="1711"/>
      <c r="F80" s="1711"/>
      <c r="G80" s="1711"/>
      <c r="H80" s="1711"/>
      <c r="I80" s="1711"/>
      <c r="J80" s="2411"/>
      <c r="K80" s="2411"/>
      <c r="L80" s="2574">
        <f>'Part II-Sources of Funds'!L36</f>
        <v>29129746</v>
      </c>
      <c r="M80" s="2574"/>
      <c r="N80" s="377"/>
      <c r="O80" s="2411"/>
      <c r="P80" s="2411"/>
      <c r="Q80" s="2411"/>
    </row>
    <row r="81" spans="1:17" ht="13.8">
      <c r="A81" s="1711"/>
      <c r="B81" s="2548" t="s">
        <v>1996</v>
      </c>
      <c r="C81" s="1711"/>
      <c r="D81" s="1711"/>
      <c r="E81" s="1711"/>
      <c r="F81" s="1711"/>
      <c r="G81" s="1711"/>
      <c r="H81" s="1711"/>
      <c r="I81" s="1711"/>
      <c r="J81" s="2411"/>
      <c r="K81" s="2411"/>
      <c r="L81" s="2575">
        <f>L79-L80</f>
        <v>311917</v>
      </c>
      <c r="M81" s="2575"/>
      <c r="N81" s="377"/>
      <c r="O81" s="2411"/>
      <c r="P81" s="2411"/>
      <c r="Q81" s="2411"/>
    </row>
    <row r="82" spans="1:17" ht="13.8">
      <c r="A82" s="376"/>
      <c r="B82" s="2551"/>
      <c r="C82" s="377"/>
      <c r="D82" s="377"/>
      <c r="E82" s="377"/>
      <c r="F82" s="377"/>
      <c r="G82" s="377"/>
      <c r="H82" s="377"/>
      <c r="I82" s="377"/>
      <c r="J82" s="377"/>
      <c r="K82" s="377"/>
      <c r="L82" s="377"/>
      <c r="M82" s="1524"/>
      <c r="N82" s="1524"/>
      <c r="O82" s="2410"/>
      <c r="P82" s="2410"/>
      <c r="Q82" s="2410"/>
    </row>
    <row r="83" spans="1:17" ht="13.8">
      <c r="A83" s="2542" t="s">
        <v>690</v>
      </c>
      <c r="B83" s="2551" t="s">
        <v>743</v>
      </c>
      <c r="C83" s="377"/>
      <c r="D83" s="377"/>
      <c r="E83" s="377"/>
      <c r="F83" s="377"/>
      <c r="G83" s="377"/>
      <c r="H83" s="377"/>
      <c r="I83" s="377"/>
      <c r="J83" s="377"/>
      <c r="K83" s="377"/>
      <c r="L83" s="377"/>
      <c r="M83" s="1524"/>
      <c r="N83" s="1524"/>
      <c r="O83" s="377"/>
      <c r="P83" s="2410"/>
      <c r="Q83" s="2410"/>
    </row>
    <row r="84" spans="1:17" ht="13.5" customHeight="1">
      <c r="A84" s="1711"/>
      <c r="B84" s="1711"/>
      <c r="C84" s="1711"/>
      <c r="D84" s="1711"/>
      <c r="E84" s="1711"/>
      <c r="F84" s="1524"/>
      <c r="G84" s="1524"/>
      <c r="H84" s="1711"/>
      <c r="I84" s="1711"/>
      <c r="J84" s="2411"/>
      <c r="K84" s="1583" t="s">
        <v>1942</v>
      </c>
      <c r="L84" s="1524" t="s">
        <v>1216</v>
      </c>
      <c r="M84" s="1524" t="s">
        <v>1221</v>
      </c>
      <c r="N84" s="2411"/>
      <c r="O84" s="2411"/>
      <c r="P84" s="377" t="s">
        <v>31</v>
      </c>
      <c r="Q84" s="377"/>
    </row>
    <row r="85" spans="1:17" ht="13.8">
      <c r="A85" s="1711"/>
      <c r="B85" s="2548" t="s">
        <v>1728</v>
      </c>
      <c r="C85" s="1711"/>
      <c r="D85" s="1711"/>
      <c r="E85" s="1711" t="s">
        <v>1218</v>
      </c>
      <c r="F85" s="1711"/>
      <c r="G85" s="1711"/>
      <c r="H85" s="1711"/>
      <c r="I85" s="1711" t="s">
        <v>3718</v>
      </c>
      <c r="J85" s="1711"/>
      <c r="K85" s="1524" t="s">
        <v>1670</v>
      </c>
      <c r="L85" s="1524" t="s">
        <v>2040</v>
      </c>
      <c r="M85" s="1524" t="s">
        <v>2040</v>
      </c>
      <c r="N85" s="1711" t="s">
        <v>69</v>
      </c>
      <c r="O85" s="1711"/>
      <c r="P85" s="377"/>
      <c r="Q85" s="377"/>
    </row>
    <row r="86" spans="1:17" ht="13.8">
      <c r="A86" s="1711"/>
      <c r="B86" s="1711" t="s">
        <v>2395</v>
      </c>
      <c r="C86" s="1711"/>
      <c r="D86" s="1711"/>
      <c r="E86" s="1711" t="str">
        <f>'Part II-Sources of Funds'!E42</f>
        <v>Grandbridge</v>
      </c>
      <c r="F86" s="1711"/>
      <c r="G86" s="1711"/>
      <c r="H86" s="1711"/>
      <c r="I86" s="2576">
        <f>'Part II-Sources of Funds'!I42</f>
        <v>13500000</v>
      </c>
      <c r="J86" s="2576"/>
      <c r="K86" s="2577">
        <f>'Part II-Sources of Funds'!K42</f>
        <v>6.0499999999999998E-2</v>
      </c>
      <c r="L86" s="1524">
        <f>'Part II-Sources of Funds'!L42</f>
        <v>15</v>
      </c>
      <c r="M86" s="1524">
        <f>'Part II-Sources of Funds'!M42</f>
        <v>40</v>
      </c>
      <c r="N86" s="1711" t="str">
        <f>'Part II-Sources of Funds'!N42</f>
        <v>Amortizing</v>
      </c>
      <c r="O86" s="1711"/>
      <c r="P86" s="2578">
        <f>'Part II-Sources of Funds'!P42</f>
        <v>896999.03843217005</v>
      </c>
      <c r="Q86" s="2578"/>
    </row>
    <row r="87" spans="1:17" ht="13.8">
      <c r="A87" s="1711"/>
      <c r="B87" s="1711" t="s">
        <v>2396</v>
      </c>
      <c r="C87" s="1711"/>
      <c r="D87" s="1711"/>
      <c r="E87" s="1711" t="str">
        <f>'Part II-Sources of Funds'!E43</f>
        <v xml:space="preserve">Mercy Housing </v>
      </c>
      <c r="F87" s="1711"/>
      <c r="G87" s="1711"/>
      <c r="H87" s="1711"/>
      <c r="I87" s="2576">
        <f>'Part II-Sources of Funds'!I43</f>
        <v>1000000</v>
      </c>
      <c r="J87" s="2576"/>
      <c r="K87" s="2577">
        <f>'Part II-Sources of Funds'!K43</f>
        <v>4.6399999999999997E-2</v>
      </c>
      <c r="L87" s="1524">
        <f>'Part II-Sources of Funds'!L43</f>
        <v>15</v>
      </c>
      <c r="M87" s="1524">
        <f>'Part II-Sources of Funds'!M43</f>
        <v>35</v>
      </c>
      <c r="N87" s="1711" t="str">
        <f>'Part II-Sources of Funds'!N43</f>
        <v>Amortizing</v>
      </c>
      <c r="O87" s="1711"/>
      <c r="P87" s="2578">
        <f>'Part II-Sources of Funds'!P43</f>
        <v>57835.669412132156</v>
      </c>
      <c r="Q87" s="2578"/>
    </row>
    <row r="88" spans="1:17" ht="13.8">
      <c r="A88" s="1711"/>
      <c r="B88" s="1711" t="s">
        <v>2397</v>
      </c>
      <c r="C88" s="1711"/>
      <c r="D88" s="1711"/>
      <c r="E88" s="1711">
        <f>'Part II-Sources of Funds'!E44</f>
        <v>0</v>
      </c>
      <c r="F88" s="1711"/>
      <c r="G88" s="1711"/>
      <c r="H88" s="1711"/>
      <c r="I88" s="2576">
        <f>'Part II-Sources of Funds'!I44</f>
        <v>0</v>
      </c>
      <c r="J88" s="2576"/>
      <c r="K88" s="2577">
        <f>'Part II-Sources of Funds'!K44</f>
        <v>0</v>
      </c>
      <c r="L88" s="1524">
        <f>'Part II-Sources of Funds'!L44</f>
        <v>0</v>
      </c>
      <c r="M88" s="1524">
        <f>'Part II-Sources of Funds'!M44</f>
        <v>0</v>
      </c>
      <c r="N88" s="1711">
        <f>'Part II-Sources of Funds'!N44</f>
        <v>0</v>
      </c>
      <c r="O88" s="1711"/>
      <c r="P88" s="2578" t="str">
        <f>'Part II-Sources of Funds'!P44</f>
        <v/>
      </c>
      <c r="Q88" s="2578"/>
    </row>
    <row r="89" spans="1:17" ht="13.8">
      <c r="A89" s="1711"/>
      <c r="B89" s="1711" t="s">
        <v>689</v>
      </c>
      <c r="C89" s="1711">
        <f>'Part II-Sources of Funds'!C45</f>
        <v>0</v>
      </c>
      <c r="D89" s="1711"/>
      <c r="E89" s="1711">
        <f>'Part II-Sources of Funds'!E45</f>
        <v>0</v>
      </c>
      <c r="F89" s="1711"/>
      <c r="G89" s="1711"/>
      <c r="H89" s="1711"/>
      <c r="I89" s="2576">
        <f>'Part II-Sources of Funds'!I45</f>
        <v>0</v>
      </c>
      <c r="J89" s="2576"/>
      <c r="K89" s="2577">
        <f>'Part II-Sources of Funds'!K45</f>
        <v>0</v>
      </c>
      <c r="L89" s="1524">
        <f>'Part II-Sources of Funds'!L45</f>
        <v>0</v>
      </c>
      <c r="M89" s="1524">
        <f>'Part II-Sources of Funds'!M45</f>
        <v>0</v>
      </c>
      <c r="N89" s="1711">
        <f>'Part II-Sources of Funds'!N45</f>
        <v>0</v>
      </c>
      <c r="O89" s="1711"/>
      <c r="P89" s="2578" t="str">
        <f>'Part II-Sources of Funds'!P45</f>
        <v/>
      </c>
      <c r="Q89" s="2578"/>
    </row>
    <row r="90" spans="1:17" ht="13.8">
      <c r="A90" s="1711"/>
      <c r="B90" s="1711" t="s">
        <v>3815</v>
      </c>
      <c r="C90" s="1711"/>
      <c r="D90" s="1711"/>
      <c r="E90" s="1711">
        <f>'Part II-Sources of Funds'!E46</f>
        <v>0</v>
      </c>
      <c r="F90" s="1711"/>
      <c r="G90" s="1711"/>
      <c r="H90" s="1711"/>
      <c r="I90" s="2576">
        <f>'Part II-Sources of Funds'!I46</f>
        <v>0</v>
      </c>
      <c r="J90" s="2576"/>
      <c r="K90" s="2577"/>
      <c r="L90" s="1524"/>
      <c r="M90" s="1524"/>
      <c r="N90" s="1711"/>
      <c r="O90" s="1711"/>
      <c r="P90" s="2578"/>
      <c r="Q90" s="2578"/>
    </row>
    <row r="91" spans="1:17" ht="13.8">
      <c r="A91" s="1711"/>
      <c r="B91" s="1711" t="s">
        <v>220</v>
      </c>
      <c r="C91" s="1711"/>
      <c r="D91" s="2579">
        <f>'Part II-Sources of Funds'!D47</f>
        <v>0.24292939393939394</v>
      </c>
      <c r="E91" s="1711" t="str">
        <f>'Part II-Sources of Funds'!E47</f>
        <v>One Street Residential</v>
      </c>
      <c r="F91" s="1711"/>
      <c r="G91" s="1711"/>
      <c r="H91" s="1711"/>
      <c r="I91" s="2576">
        <f>'Part II-Sources of Funds'!I47</f>
        <v>801667</v>
      </c>
      <c r="J91" s="1712"/>
      <c r="K91" s="2577">
        <f>'Part II-Sources of Funds'!K47</f>
        <v>0</v>
      </c>
      <c r="L91" s="1524">
        <f>'Part II-Sources of Funds'!L47</f>
        <v>15</v>
      </c>
      <c r="M91" s="1524">
        <f>'Part II-Sources of Funds'!M47</f>
        <v>15</v>
      </c>
      <c r="N91" s="1711" t="str">
        <f>'Part II-Sources of Funds'!N47</f>
        <v>Cash Flow</v>
      </c>
      <c r="O91" s="1711"/>
      <c r="P91" s="2578">
        <f>'Part II-Sources of Funds'!P47</f>
        <v>0</v>
      </c>
      <c r="Q91" s="2578"/>
    </row>
    <row r="92" spans="1:17" ht="13.8">
      <c r="A92" s="1711"/>
      <c r="B92" s="1711"/>
      <c r="C92" s="1711"/>
      <c r="D92" s="1711"/>
      <c r="E92" s="1711"/>
      <c r="F92" s="1711"/>
      <c r="G92" s="1711"/>
      <c r="H92" s="1711"/>
      <c r="I92" s="2580"/>
      <c r="J92" s="2581"/>
      <c r="K92" s="2577"/>
      <c r="L92" s="1524"/>
      <c r="M92" s="1524"/>
      <c r="N92" s="2582"/>
      <c r="O92" s="2582"/>
      <c r="P92" s="1524"/>
      <c r="Q92" s="1524"/>
    </row>
    <row r="93" spans="1:17" ht="13.8">
      <c r="A93" s="1711"/>
      <c r="B93" s="2411" t="s">
        <v>3315</v>
      </c>
      <c r="C93" s="1711"/>
      <c r="D93" s="2411"/>
      <c r="E93" s="2411" t="s">
        <v>3273</v>
      </c>
      <c r="F93" s="2583">
        <f>'Part II-Sources of Funds'!F49</f>
        <v>4685048.2050296655</v>
      </c>
      <c r="G93" s="2583"/>
      <c r="H93" s="2584" t="s">
        <v>3314</v>
      </c>
      <c r="I93" s="2583">
        <f>'Part II-Sources of Funds'!I49</f>
        <v>801667</v>
      </c>
      <c r="J93" s="2583"/>
      <c r="K93" s="2584" t="s">
        <v>3316</v>
      </c>
      <c r="L93" s="2585">
        <f>'Part II-Sources of Funds'!L49</f>
        <v>0.17111179328728462</v>
      </c>
      <c r="M93" s="2585"/>
      <c r="N93" s="2578" t="s">
        <v>3722</v>
      </c>
      <c r="O93" s="2578"/>
      <c r="P93" s="1712">
        <f>'Part II-Sources of Funds'!P49</f>
        <v>0</v>
      </c>
      <c r="Q93" s="1712"/>
    </row>
    <row r="94" spans="1:17" ht="13.8">
      <c r="A94" s="1711"/>
      <c r="B94" s="1711"/>
      <c r="C94" s="1711"/>
      <c r="D94" s="1711"/>
      <c r="E94" s="1711"/>
      <c r="F94" s="1711"/>
      <c r="G94" s="1711"/>
      <c r="H94" s="1711"/>
      <c r="I94" s="2580"/>
      <c r="J94" s="2581"/>
      <c r="K94" s="2577"/>
      <c r="L94" s="1524"/>
      <c r="M94" s="1524"/>
      <c r="N94" s="2582"/>
      <c r="O94" s="2582"/>
      <c r="P94" s="1524"/>
      <c r="Q94" s="1524"/>
    </row>
    <row r="95" spans="1:17" ht="13.8">
      <c r="A95" s="1711"/>
      <c r="B95" s="1711" t="s">
        <v>2041</v>
      </c>
      <c r="C95" s="1711"/>
      <c r="D95" s="1711"/>
      <c r="E95" s="1711">
        <f>'Part II-Sources of Funds'!E51</f>
        <v>0</v>
      </c>
      <c r="F95" s="1711"/>
      <c r="G95" s="1711"/>
      <c r="H95" s="1711"/>
      <c r="I95" s="2576">
        <f>'Part II-Sources of Funds'!I51</f>
        <v>0</v>
      </c>
      <c r="J95" s="2576"/>
      <c r="K95" s="1711"/>
      <c r="L95" s="1711"/>
      <c r="M95" s="1711"/>
      <c r="N95" s="1711"/>
      <c r="O95" s="1711"/>
      <c r="P95" s="1524" t="s">
        <v>482</v>
      </c>
      <c r="Q95" s="1711"/>
    </row>
    <row r="96" spans="1:17" ht="13.8">
      <c r="A96" s="1711"/>
      <c r="B96" s="1711" t="s">
        <v>744</v>
      </c>
      <c r="C96" s="1711"/>
      <c r="D96" s="1711"/>
      <c r="E96" s="1711">
        <f>'Part II-Sources of Funds'!E52</f>
        <v>0</v>
      </c>
      <c r="F96" s="1711"/>
      <c r="G96" s="1711"/>
      <c r="H96" s="1711"/>
      <c r="I96" s="2576">
        <f>'Part II-Sources of Funds'!I52</f>
        <v>0</v>
      </c>
      <c r="J96" s="2576"/>
      <c r="K96" s="2411"/>
      <c r="L96" s="2586" t="s">
        <v>483</v>
      </c>
      <c r="M96" s="2586"/>
      <c r="N96" s="2587" t="s">
        <v>484</v>
      </c>
      <c r="O96" s="2587"/>
      <c r="P96" s="2588" t="s">
        <v>2350</v>
      </c>
      <c r="Q96" s="1711"/>
    </row>
    <row r="97" spans="1:17" ht="13.8">
      <c r="A97" s="1711"/>
      <c r="B97" s="1711" t="s">
        <v>745</v>
      </c>
      <c r="C97" s="1711"/>
      <c r="D97" s="1711"/>
      <c r="E97" s="1711" t="str">
        <f>'Part II-Sources of Funds'!E53</f>
        <v>Hunt Capital Partners</v>
      </c>
      <c r="F97" s="1711"/>
      <c r="G97" s="1711"/>
      <c r="H97" s="1711"/>
      <c r="I97" s="2576">
        <f>'Part II-Sources of Funds'!I53</f>
        <v>12066047.4</v>
      </c>
      <c r="J97" s="2576"/>
      <c r="K97" s="2411"/>
      <c r="L97" s="2589">
        <f>'Part III-A-Uses of Funds'!$J$192*10*'Part III-A-Uses of Funds'!$N$183</f>
        <v>12066047.4</v>
      </c>
      <c r="M97" s="2589"/>
      <c r="N97" s="2590">
        <f>I97-L97</f>
        <v>0</v>
      </c>
      <c r="O97" s="2590"/>
      <c r="P97" s="2591">
        <f>I97/I107</f>
        <v>0.34754147491310017</v>
      </c>
      <c r="Q97" s="1711"/>
    </row>
    <row r="98" spans="1:17" ht="13.8">
      <c r="A98" s="1711"/>
      <c r="B98" s="1711" t="s">
        <v>746</v>
      </c>
      <c r="C98" s="1711"/>
      <c r="D98" s="1711"/>
      <c r="E98" s="1711" t="str">
        <f>'Part II-Sources of Funds'!E54</f>
        <v>Hunt Capital Partners</v>
      </c>
      <c r="F98" s="1711"/>
      <c r="G98" s="1711"/>
      <c r="H98" s="1711"/>
      <c r="I98" s="2576">
        <f>'Part II-Sources of Funds'!I54</f>
        <v>7350580.5999999996</v>
      </c>
      <c r="J98" s="2576"/>
      <c r="K98" s="2411"/>
      <c r="L98" s="2589">
        <f>'Part III-A-Uses of Funds'!$J$192*10*'Part III-A-Uses of Funds'!$Q$183</f>
        <v>7350580.6000000006</v>
      </c>
      <c r="M98" s="2589"/>
      <c r="N98" s="2590">
        <f>I98-L98</f>
        <v>0</v>
      </c>
      <c r="O98" s="2590"/>
      <c r="P98" s="2591">
        <f>I98/I107</f>
        <v>0.21172066862522193</v>
      </c>
      <c r="Q98" s="1711"/>
    </row>
    <row r="99" spans="1:17" ht="13.8">
      <c r="A99" s="1711"/>
      <c r="B99" s="1711" t="s">
        <v>1329</v>
      </c>
      <c r="C99" s="1711"/>
      <c r="D99" s="1711"/>
      <c r="E99" s="1711">
        <f>'Part II-Sources of Funds'!E55</f>
        <v>0</v>
      </c>
      <c r="F99" s="1711"/>
      <c r="G99" s="1711"/>
      <c r="H99" s="1711"/>
      <c r="I99" s="2576">
        <f>'Part II-Sources of Funds'!I55</f>
        <v>0</v>
      </c>
      <c r="J99" s="2576"/>
      <c r="K99" s="2411"/>
      <c r="L99" s="2411"/>
      <c r="M99" s="2411"/>
      <c r="N99" s="2411"/>
      <c r="O99" s="2411"/>
      <c r="P99" s="2591">
        <f>SUM(P97:P98)</f>
        <v>0.55926214353832204</v>
      </c>
      <c r="Q99" s="1711"/>
    </row>
    <row r="100" spans="1:17" ht="13.8">
      <c r="A100" s="1711"/>
      <c r="B100" s="1711" t="s">
        <v>496</v>
      </c>
      <c r="C100" s="1711"/>
      <c r="D100" s="1711"/>
      <c r="E100" s="1711">
        <f>'Part II-Sources of Funds'!E56</f>
        <v>0</v>
      </c>
      <c r="F100" s="1711"/>
      <c r="G100" s="1711"/>
      <c r="H100" s="1711"/>
      <c r="I100" s="2576">
        <f>'Part II-Sources of Funds'!I56</f>
        <v>0</v>
      </c>
      <c r="J100" s="2576"/>
      <c r="K100" s="1711"/>
      <c r="L100" s="2411"/>
      <c r="M100" s="2411"/>
      <c r="N100" s="2411"/>
      <c r="O100" s="2411"/>
      <c r="P100" s="2411"/>
      <c r="Q100" s="1711"/>
    </row>
    <row r="101" spans="1:17" ht="13.8">
      <c r="A101" s="1711"/>
      <c r="B101" s="1711" t="s">
        <v>1726</v>
      </c>
      <c r="C101" s="1711"/>
      <c r="D101" s="1711"/>
      <c r="E101" s="1711">
        <f>'Part II-Sources of Funds'!E57</f>
        <v>0</v>
      </c>
      <c r="F101" s="1711"/>
      <c r="G101" s="1711"/>
      <c r="H101" s="1711"/>
      <c r="I101" s="2576">
        <f>'Part II-Sources of Funds'!I57</f>
        <v>0</v>
      </c>
      <c r="J101" s="2576"/>
      <c r="K101" s="2411"/>
      <c r="L101" s="2411"/>
      <c r="M101" s="2411"/>
      <c r="N101" s="1711"/>
      <c r="O101" s="1711"/>
      <c r="P101" s="1711"/>
      <c r="Q101" s="1711"/>
    </row>
    <row r="102" spans="1:17" ht="13.8">
      <c r="A102" s="1711"/>
      <c r="B102" s="1711" t="s">
        <v>1727</v>
      </c>
      <c r="C102" s="1711"/>
      <c r="D102" s="1711"/>
      <c r="E102" s="1711">
        <f>'Part II-Sources of Funds'!E58</f>
        <v>0</v>
      </c>
      <c r="F102" s="1711"/>
      <c r="G102" s="1711"/>
      <c r="H102" s="1711"/>
      <c r="I102" s="2576">
        <f>'Part II-Sources of Funds'!I58</f>
        <v>0</v>
      </c>
      <c r="J102" s="2576"/>
      <c r="K102" s="2411"/>
      <c r="L102" s="2411"/>
      <c r="M102" s="1711"/>
      <c r="N102" s="1711"/>
      <c r="O102" s="1711"/>
      <c r="P102" s="1711"/>
      <c r="Q102" s="1711"/>
    </row>
    <row r="103" spans="1:17" ht="13.8">
      <c r="A103" s="1711"/>
      <c r="B103" s="1711" t="s">
        <v>689</v>
      </c>
      <c r="C103" s="1711">
        <f>'Part II-Sources of Funds'!C59</f>
        <v>0</v>
      </c>
      <c r="D103" s="1711"/>
      <c r="E103" s="1711">
        <f>'Part II-Sources of Funds'!E59</f>
        <v>0</v>
      </c>
      <c r="F103" s="1711"/>
      <c r="G103" s="1711"/>
      <c r="H103" s="1711"/>
      <c r="I103" s="2576">
        <f>'Part II-Sources of Funds'!I59</f>
        <v>0</v>
      </c>
      <c r="J103" s="2576"/>
      <c r="K103" s="2411"/>
      <c r="L103" s="2411"/>
      <c r="M103" s="1711"/>
      <c r="N103" s="1711"/>
      <c r="O103" s="1711"/>
      <c r="P103" s="1711"/>
      <c r="Q103" s="1711"/>
    </row>
    <row r="104" spans="1:17" ht="13.8">
      <c r="A104" s="1711"/>
      <c r="B104" s="1711" t="s">
        <v>689</v>
      </c>
      <c r="C104" s="1711">
        <f>'Part II-Sources of Funds'!C60</f>
        <v>0</v>
      </c>
      <c r="D104" s="1711"/>
      <c r="E104" s="1711">
        <f>'Part II-Sources of Funds'!E60</f>
        <v>0</v>
      </c>
      <c r="F104" s="1711"/>
      <c r="G104" s="1711"/>
      <c r="H104" s="1711"/>
      <c r="I104" s="2576">
        <f>'Part II-Sources of Funds'!I60</f>
        <v>0</v>
      </c>
      <c r="J104" s="2576"/>
      <c r="K104" s="1711"/>
      <c r="L104" s="1524"/>
      <c r="M104" s="1711"/>
      <c r="N104" s="1711"/>
      <c r="O104" s="1711"/>
      <c r="P104" s="1711"/>
      <c r="Q104" s="1711"/>
    </row>
    <row r="105" spans="1:17" ht="13.8">
      <c r="A105" s="1711"/>
      <c r="B105" s="1711" t="s">
        <v>689</v>
      </c>
      <c r="C105" s="1711">
        <f>'Part II-Sources of Funds'!C61</f>
        <v>0</v>
      </c>
      <c r="D105" s="1711"/>
      <c r="E105" s="1711">
        <f>'Part II-Sources of Funds'!E61</f>
        <v>0</v>
      </c>
      <c r="F105" s="1711"/>
      <c r="G105" s="1711"/>
      <c r="H105" s="1711"/>
      <c r="I105" s="2576">
        <f>'Part II-Sources of Funds'!I61</f>
        <v>0</v>
      </c>
      <c r="J105" s="2576"/>
      <c r="K105" s="1711"/>
      <c r="L105" s="1524"/>
      <c r="M105" s="1711"/>
      <c r="N105" s="1711"/>
      <c r="O105" s="1711"/>
      <c r="P105" s="1711"/>
      <c r="Q105" s="1711"/>
    </row>
    <row r="106" spans="1:17" ht="13.8">
      <c r="A106" s="1711"/>
      <c r="B106" s="2548" t="s">
        <v>2042</v>
      </c>
      <c r="C106" s="1711"/>
      <c r="D106" s="1711"/>
      <c r="E106" s="1711"/>
      <c r="F106" s="1711"/>
      <c r="G106" s="1711"/>
      <c r="H106" s="2411"/>
      <c r="I106" s="2574">
        <f>SUM(I86:J91)+SUM(I95:J105)</f>
        <v>34718295</v>
      </c>
      <c r="J106" s="2574"/>
      <c r="K106" s="1711"/>
      <c r="L106" s="1524"/>
      <c r="M106" s="1711"/>
      <c r="N106" s="1711"/>
      <c r="O106" s="1711"/>
      <c r="P106" s="1711"/>
      <c r="Q106" s="1711"/>
    </row>
    <row r="107" spans="1:17" ht="13.8">
      <c r="A107" s="1711"/>
      <c r="B107" s="2548" t="s">
        <v>2043</v>
      </c>
      <c r="C107" s="1711"/>
      <c r="D107" s="1711"/>
      <c r="E107" s="1711"/>
      <c r="F107" s="1711"/>
      <c r="G107" s="1711"/>
      <c r="H107" s="2411"/>
      <c r="I107" s="2574">
        <f>'Part III-A-Uses of Funds'!$G$147</f>
        <v>34718294.853922151</v>
      </c>
      <c r="J107" s="2574"/>
      <c r="K107" s="1711"/>
      <c r="L107" s="1524"/>
      <c r="M107" s="1711"/>
      <c r="N107" s="1711"/>
      <c r="O107" s="1711"/>
      <c r="P107" s="1711"/>
      <c r="Q107" s="1711"/>
    </row>
    <row r="108" spans="1:17" ht="13.8">
      <c r="A108" s="1711"/>
      <c r="B108" s="2548" t="s">
        <v>1426</v>
      </c>
      <c r="C108" s="1711"/>
      <c r="D108" s="1711"/>
      <c r="E108" s="1711"/>
      <c r="F108" s="1711"/>
      <c r="G108" s="1711"/>
      <c r="H108" s="2411"/>
      <c r="I108" s="2575">
        <f>I106-I107</f>
        <v>0.14607784897089005</v>
      </c>
      <c r="J108" s="2575"/>
      <c r="K108" s="1711"/>
      <c r="L108" s="1524"/>
      <c r="M108" s="1711"/>
      <c r="N108" s="1711"/>
      <c r="O108" s="1711"/>
      <c r="P108" s="1711"/>
      <c r="Q108" s="1711"/>
    </row>
    <row r="109" spans="1:17" ht="13.8">
      <c r="A109" s="1711" t="s">
        <v>3816</v>
      </c>
      <c r="B109" s="2548"/>
      <c r="C109" s="1711"/>
      <c r="D109" s="1711"/>
      <c r="E109" s="1711"/>
      <c r="F109" s="1711"/>
      <c r="G109" s="1711"/>
      <c r="H109" s="2581"/>
      <c r="I109" s="2581"/>
      <c r="J109" s="377"/>
      <c r="K109" s="1711"/>
      <c r="L109" s="1524"/>
      <c r="M109" s="1711"/>
      <c r="N109" s="1711"/>
      <c r="O109" s="1711"/>
      <c r="P109" s="1711"/>
      <c r="Q109" s="1711"/>
    </row>
    <row r="110" spans="1:17" ht="13.8">
      <c r="A110" s="377"/>
      <c r="B110" s="377"/>
      <c r="C110" s="377"/>
      <c r="D110" s="377"/>
      <c r="E110" s="377"/>
      <c r="F110" s="377"/>
      <c r="G110" s="377"/>
      <c r="H110" s="377"/>
      <c r="I110" s="377"/>
      <c r="J110" s="377"/>
      <c r="K110" s="377"/>
      <c r="L110" s="377"/>
      <c r="M110" s="377"/>
      <c r="N110" s="377"/>
      <c r="O110" s="377"/>
      <c r="P110" s="377"/>
      <c r="Q110" s="377"/>
    </row>
    <row r="111" spans="1:17" ht="13.8">
      <c r="A111" s="2542" t="s">
        <v>1661</v>
      </c>
      <c r="B111" s="2542" t="s">
        <v>529</v>
      </c>
      <c r="C111" s="377"/>
      <c r="D111" s="377"/>
      <c r="E111" s="377"/>
      <c r="F111" s="377"/>
      <c r="G111" s="377"/>
      <c r="H111" s="377"/>
      <c r="I111" s="377"/>
      <c r="J111" s="377"/>
      <c r="K111" s="2410"/>
      <c r="L111" s="2410"/>
      <c r="M111" s="2542" t="s">
        <v>1661</v>
      </c>
      <c r="N111" s="2542" t="s">
        <v>74</v>
      </c>
      <c r="O111" s="377"/>
      <c r="P111" s="377"/>
      <c r="Q111" s="377"/>
    </row>
    <row r="112" spans="1:17">
      <c r="A112" s="2568" t="str">
        <f>'Part II-Sources of Funds'!A68</f>
        <v>The Applicant is requesting a bond allocation of $13,500,000 which is equal to the amount of the maximun supportable permanent debt which is greater than 30% of the aggregate basis. The bond inducement resolution has been included in the 52Addldoc folder. Favorable financing from Mercy Loan Funds is included in 05FavorFinan.</v>
      </c>
      <c r="B112" s="2568"/>
      <c r="C112" s="2568"/>
      <c r="D112" s="2568"/>
      <c r="E112" s="2568"/>
      <c r="F112" s="2568"/>
      <c r="G112" s="2568"/>
      <c r="H112" s="2568"/>
      <c r="I112" s="2568"/>
      <c r="J112" s="2568"/>
      <c r="K112" s="2568"/>
      <c r="L112" s="2568"/>
      <c r="M112" s="2568"/>
      <c r="N112" s="2568"/>
      <c r="O112" s="2568"/>
      <c r="P112" s="2568"/>
      <c r="Q112" s="2568"/>
    </row>
    <row r="116" spans="1:35" ht="13.8">
      <c r="A116" s="2542" t="str">
        <f>CONCATENATE("PART THREE (A):  USES OF FUNDS","  -  ",'Part I-Project Identification'!$O$7," ",'Part I-Project Identification'!$F$26,", ",'Part I-Project Identification'!F141,", ",'Part I-Project Identification'!J141," County")</f>
        <v>PART THREE (A):  USES OF FUNDS  -  2025-0 Retreat at Madison Place, ,  County</v>
      </c>
      <c r="B116" s="2542"/>
      <c r="C116" s="2542"/>
      <c r="D116" s="2542"/>
      <c r="E116" s="2542"/>
      <c r="F116" s="2542"/>
      <c r="G116" s="2542"/>
      <c r="H116" s="2542"/>
      <c r="I116" s="2542"/>
      <c r="J116" s="2542"/>
      <c r="K116" s="2542"/>
      <c r="L116" s="2542"/>
      <c r="M116" s="2542"/>
      <c r="N116" s="2542"/>
      <c r="O116" s="2542"/>
      <c r="P116" s="2542"/>
      <c r="Q116" s="2542"/>
      <c r="R116" s="2542"/>
      <c r="S116" s="2542"/>
      <c r="T116" s="2542"/>
      <c r="U116" s="1711"/>
      <c r="V116" s="1711"/>
      <c r="W116" s="2542" t="str">
        <f>A116</f>
        <v>PART THREE (A):  USES OF FUNDS  -  2025-0 Retreat at Madison Place, ,  County</v>
      </c>
      <c r="X116" s="2542"/>
      <c r="Y116" s="1711"/>
      <c r="Z116" s="1711"/>
      <c r="AA116" s="1711"/>
      <c r="AB116" s="1711"/>
      <c r="AC116" s="1711"/>
      <c r="AD116" s="1711"/>
      <c r="AE116" s="1711"/>
      <c r="AF116" s="1711"/>
      <c r="AG116" s="1711"/>
      <c r="AH116" s="1711"/>
      <c r="AI116" s="1711"/>
    </row>
    <row r="117" spans="1:35" ht="13.8">
      <c r="A117" s="377"/>
      <c r="B117" s="377"/>
      <c r="C117" s="377"/>
      <c r="D117" s="377"/>
      <c r="E117" s="377"/>
      <c r="F117" s="377"/>
      <c r="G117" s="377"/>
      <c r="H117" s="377"/>
      <c r="I117" s="377"/>
      <c r="J117" s="377"/>
      <c r="K117" s="377"/>
      <c r="L117" s="377"/>
      <c r="M117" s="377"/>
      <c r="N117" s="377"/>
      <c r="O117" s="377"/>
      <c r="P117" s="377"/>
      <c r="Q117" s="377"/>
      <c r="R117" s="377"/>
      <c r="S117" s="377"/>
      <c r="T117" s="377"/>
      <c r="U117" s="377"/>
      <c r="V117" s="377"/>
      <c r="W117" s="377"/>
      <c r="X117" s="377"/>
      <c r="Y117" s="377"/>
      <c r="Z117" s="377"/>
      <c r="AA117" s="377"/>
      <c r="AB117" s="377"/>
      <c r="AC117" s="377"/>
      <c r="AD117" s="377"/>
      <c r="AE117" s="377"/>
      <c r="AF117" s="377"/>
      <c r="AG117" s="377"/>
      <c r="AH117" s="377"/>
      <c r="AI117" s="377"/>
    </row>
    <row r="118" spans="1:35" ht="13.8">
      <c r="A118" s="2542"/>
      <c r="B118" s="2542"/>
      <c r="C118" s="2542"/>
      <c r="D118" s="2542"/>
      <c r="E118" s="2542"/>
      <c r="F118" s="2542"/>
      <c r="G118" s="2542"/>
      <c r="H118" s="2542"/>
      <c r="I118" s="2542"/>
      <c r="J118" s="2542"/>
      <c r="K118" s="2542"/>
      <c r="L118" s="2542"/>
      <c r="M118" s="2542"/>
      <c r="N118" s="2542"/>
      <c r="O118" s="2542"/>
      <c r="P118" s="2542"/>
      <c r="Q118" s="2542"/>
      <c r="R118" s="2542"/>
      <c r="S118" s="2542"/>
      <c r="T118" s="2542"/>
      <c r="U118" s="1711"/>
      <c r="V118" s="1711"/>
      <c r="W118" s="1711"/>
      <c r="X118" s="1711"/>
      <c r="Y118" s="1711"/>
      <c r="Z118" s="1711"/>
      <c r="AA118" s="1711"/>
      <c r="AB118" s="1711"/>
      <c r="AC118" s="1711"/>
      <c r="AD118" s="1711"/>
      <c r="AE118" s="1711"/>
      <c r="AF118" s="1711"/>
      <c r="AG118" s="1711"/>
      <c r="AH118" s="1711"/>
      <c r="AI118" s="1711"/>
    </row>
    <row r="119" spans="1:35" ht="13.8">
      <c r="A119" s="2543"/>
      <c r="B119" s="2543"/>
      <c r="C119" s="2543"/>
      <c r="D119" s="2592"/>
      <c r="E119" s="2592"/>
      <c r="F119" s="2592"/>
      <c r="G119" s="2592"/>
      <c r="H119" s="2592"/>
      <c r="I119" s="2542"/>
      <c r="J119" s="2543"/>
      <c r="K119" s="2543"/>
      <c r="L119" s="2543"/>
      <c r="M119" s="2543"/>
      <c r="N119" s="2543"/>
      <c r="O119" s="2543"/>
      <c r="P119" s="2543"/>
      <c r="Q119" s="2543"/>
      <c r="R119" s="2543"/>
      <c r="S119" s="2543"/>
      <c r="T119" s="2543"/>
      <c r="U119" s="1711"/>
      <c r="V119" s="1711"/>
      <c r="W119" s="1711"/>
      <c r="X119" s="1711"/>
      <c r="Y119" s="1711"/>
      <c r="Z119" s="1711"/>
      <c r="AA119" s="1711"/>
      <c r="AB119" s="1711"/>
      <c r="AC119" s="1711"/>
      <c r="AD119" s="1711"/>
      <c r="AE119" s="1711"/>
      <c r="AF119" s="1711"/>
      <c r="AG119" s="1711"/>
      <c r="AH119" s="1711"/>
      <c r="AI119" s="1711"/>
    </row>
    <row r="120" spans="1:35" ht="17.25" customHeight="1">
      <c r="A120" s="2592" t="s">
        <v>572</v>
      </c>
      <c r="B120" s="2592" t="s">
        <v>841</v>
      </c>
      <c r="C120" s="1711"/>
      <c r="D120" s="2544" t="str">
        <f>'Part I-Project Identification'!$A$6</f>
        <v>May 31, 2025</v>
      </c>
      <c r="E120" s="2544"/>
      <c r="F120" s="2544"/>
      <c r="G120" s="2544"/>
      <c r="H120" s="2544"/>
      <c r="I120" s="2592"/>
      <c r="J120" s="2542" t="s">
        <v>259</v>
      </c>
      <c r="K120" s="2542"/>
      <c r="L120" s="2571"/>
      <c r="M120" s="2593" t="s">
        <v>459</v>
      </c>
      <c r="N120" s="2593"/>
      <c r="O120" s="1711"/>
      <c r="P120" s="2542" t="s">
        <v>260</v>
      </c>
      <c r="Q120" s="2542"/>
      <c r="R120" s="1711"/>
      <c r="S120" s="2542" t="s">
        <v>261</v>
      </c>
      <c r="T120" s="2542"/>
      <c r="U120" s="1711"/>
      <c r="V120" s="2594" t="str">
        <f>B120</f>
        <v>DEVELOPMENT BUDGET</v>
      </c>
      <c r="W120" s="1711"/>
      <c r="X120" s="1711"/>
      <c r="Y120" s="1711"/>
      <c r="Z120" s="1711"/>
      <c r="AA120" s="1711"/>
      <c r="AB120" s="1711"/>
      <c r="AC120" s="1711"/>
      <c r="AD120" s="1711"/>
      <c r="AE120" s="1711"/>
      <c r="AF120" s="1711"/>
      <c r="AG120" s="1711"/>
      <c r="AH120" s="1711"/>
      <c r="AI120" s="1711"/>
    </row>
    <row r="121" spans="1:35" ht="13.8">
      <c r="A121" s="1711"/>
      <c r="B121" s="1711"/>
      <c r="C121" s="1711"/>
      <c r="D121" s="2544"/>
      <c r="E121" s="2544"/>
      <c r="F121" s="2544"/>
      <c r="G121" s="2542" t="s">
        <v>95</v>
      </c>
      <c r="H121" s="2542"/>
      <c r="I121" s="1711"/>
      <c r="J121" s="2542"/>
      <c r="K121" s="2542"/>
      <c r="L121" s="2571"/>
      <c r="M121" s="2593"/>
      <c r="N121" s="2593"/>
      <c r="O121" s="1711"/>
      <c r="P121" s="2542"/>
      <c r="Q121" s="2542"/>
      <c r="R121" s="1711"/>
      <c r="S121" s="2542"/>
      <c r="T121" s="2542"/>
      <c r="U121" s="1711"/>
      <c r="V121" s="376" t="s">
        <v>2440</v>
      </c>
      <c r="W121" s="1711"/>
      <c r="X121" s="376"/>
      <c r="Y121" s="1711"/>
      <c r="Z121" s="1711"/>
      <c r="AA121" s="1711"/>
      <c r="AB121" s="1711"/>
      <c r="AC121" s="1711"/>
      <c r="AD121" s="1711"/>
      <c r="AE121" s="1711"/>
      <c r="AF121" s="1711"/>
      <c r="AG121" s="1711"/>
      <c r="AH121" s="1711"/>
      <c r="AI121" s="1711"/>
    </row>
    <row r="122" spans="1:35" ht="13.8">
      <c r="A122" s="1711"/>
      <c r="B122" s="2542" t="s">
        <v>96</v>
      </c>
      <c r="C122" s="1711"/>
      <c r="D122" s="1711"/>
      <c r="E122" s="1711"/>
      <c r="F122" s="1711"/>
      <c r="G122" s="1711"/>
      <c r="H122" s="1711"/>
      <c r="I122" s="1711"/>
      <c r="J122" s="1711"/>
      <c r="K122" s="1711"/>
      <c r="L122" s="1711"/>
      <c r="M122" s="1711"/>
      <c r="N122" s="1711"/>
      <c r="O122" s="2543" t="str">
        <f>B122</f>
        <v>PRE-DEVELOPMENT COSTS</v>
      </c>
      <c r="P122" s="1711"/>
      <c r="Q122" s="1711"/>
      <c r="R122" s="1711"/>
      <c r="S122" s="1711"/>
      <c r="T122" s="1711"/>
      <c r="U122" s="1711"/>
      <c r="V122" s="1711"/>
      <c r="W122" s="1711" t="str">
        <f>B122</f>
        <v>PRE-DEVELOPMENT COSTS</v>
      </c>
      <c r="X122" s="1711"/>
      <c r="Y122" s="1711"/>
      <c r="Z122" s="1711"/>
      <c r="AA122" s="1711"/>
      <c r="AB122" s="1711"/>
      <c r="AC122" s="1711"/>
      <c r="AD122" s="1711"/>
      <c r="AE122" s="1711"/>
      <c r="AF122" s="1711"/>
      <c r="AG122" s="1711"/>
      <c r="AH122" s="1711"/>
      <c r="AI122" s="1711"/>
    </row>
    <row r="123" spans="1:35" ht="13.8">
      <c r="A123" s="1711"/>
      <c r="B123" s="1711" t="s">
        <v>1849</v>
      </c>
      <c r="C123" s="1711"/>
      <c r="D123" s="1711"/>
      <c r="E123" s="1711"/>
      <c r="F123" s="1711"/>
      <c r="G123" s="2571">
        <f>'Part III-A-Uses of Funds'!G9</f>
        <v>10000</v>
      </c>
      <c r="H123" s="2571"/>
      <c r="I123" s="1711"/>
      <c r="J123" s="2571">
        <f>'Part III-A-Uses of Funds'!J9</f>
        <v>0</v>
      </c>
      <c r="K123" s="2571"/>
      <c r="L123" s="2560"/>
      <c r="M123" s="2571">
        <f>'Part III-A-Uses of Funds'!M9</f>
        <v>0</v>
      </c>
      <c r="N123" s="2571"/>
      <c r="O123" s="1711"/>
      <c r="P123" s="2571">
        <f>'Part III-A-Uses of Funds'!P9</f>
        <v>10000</v>
      </c>
      <c r="Q123" s="2571"/>
      <c r="R123" s="1711"/>
      <c r="S123" s="2571">
        <f>'Part III-A-Uses of Funds'!S9</f>
        <v>0</v>
      </c>
      <c r="T123" s="2571"/>
      <c r="U123" s="1711"/>
      <c r="V123" s="2595"/>
      <c r="W123" s="2596"/>
      <c r="X123" s="2596"/>
      <c r="Y123" s="1711"/>
      <c r="Z123" s="1711"/>
      <c r="AA123" s="1711"/>
      <c r="AB123" s="1711"/>
      <c r="AC123" s="1711"/>
      <c r="AD123" s="1711"/>
      <c r="AE123" s="1711"/>
      <c r="AF123" s="1711"/>
      <c r="AG123" s="1711"/>
      <c r="AH123" s="1711"/>
      <c r="AI123" s="1711"/>
    </row>
    <row r="124" spans="1:35" ht="13.8">
      <c r="A124" s="1711"/>
      <c r="B124" s="1711" t="s">
        <v>430</v>
      </c>
      <c r="C124" s="1711"/>
      <c r="D124" s="1711"/>
      <c r="E124" s="1711"/>
      <c r="F124" s="1711"/>
      <c r="G124" s="2571">
        <f>'Part III-A-Uses of Funds'!G10</f>
        <v>7500</v>
      </c>
      <c r="H124" s="2571"/>
      <c r="I124" s="1711"/>
      <c r="J124" s="2571">
        <f>'Part III-A-Uses of Funds'!J10</f>
        <v>0</v>
      </c>
      <c r="K124" s="2571"/>
      <c r="L124" s="2560"/>
      <c r="M124" s="2571">
        <f>'Part III-A-Uses of Funds'!M10</f>
        <v>0</v>
      </c>
      <c r="N124" s="2571"/>
      <c r="O124" s="1711"/>
      <c r="P124" s="2571">
        <f>'Part III-A-Uses of Funds'!P10</f>
        <v>7500</v>
      </c>
      <c r="Q124" s="2571"/>
      <c r="R124" s="1711"/>
      <c r="S124" s="2571">
        <f>'Part III-A-Uses of Funds'!S10</f>
        <v>0</v>
      </c>
      <c r="T124" s="2571"/>
      <c r="U124" s="1711"/>
      <c r="V124" s="2595"/>
      <c r="W124" s="2596"/>
      <c r="X124" s="2596"/>
      <c r="Y124" s="1711"/>
      <c r="Z124" s="1711"/>
      <c r="AA124" s="1711"/>
      <c r="AB124" s="1711"/>
      <c r="AC124" s="1711"/>
      <c r="AD124" s="1711"/>
      <c r="AE124" s="1711"/>
      <c r="AF124" s="1711"/>
      <c r="AG124" s="1711"/>
      <c r="AH124" s="1711"/>
      <c r="AI124" s="1711"/>
    </row>
    <row r="125" spans="1:35" ht="13.8">
      <c r="A125" s="1711"/>
      <c r="B125" s="1711" t="s">
        <v>457</v>
      </c>
      <c r="C125" s="1711"/>
      <c r="D125" s="1711"/>
      <c r="E125" s="1711"/>
      <c r="F125" s="1711"/>
      <c r="G125" s="2571">
        <f>'Part III-A-Uses of Funds'!G11</f>
        <v>8200</v>
      </c>
      <c r="H125" s="2571"/>
      <c r="I125" s="1711"/>
      <c r="J125" s="2571">
        <f>'Part III-A-Uses of Funds'!J11</f>
        <v>0</v>
      </c>
      <c r="K125" s="2571"/>
      <c r="L125" s="2560"/>
      <c r="M125" s="2571">
        <f>'Part III-A-Uses of Funds'!M11</f>
        <v>0</v>
      </c>
      <c r="N125" s="2571"/>
      <c r="O125" s="1711"/>
      <c r="P125" s="2571">
        <f>'Part III-A-Uses of Funds'!P11</f>
        <v>8200</v>
      </c>
      <c r="Q125" s="2571"/>
      <c r="R125" s="1711"/>
      <c r="S125" s="2571">
        <f>'Part III-A-Uses of Funds'!S11</f>
        <v>0</v>
      </c>
      <c r="T125" s="2571"/>
      <c r="U125" s="1711"/>
      <c r="V125" s="2595"/>
      <c r="W125" s="2596"/>
      <c r="X125" s="2596"/>
      <c r="Y125" s="1711"/>
      <c r="Z125" s="1711"/>
      <c r="AA125" s="1711"/>
      <c r="AB125" s="1711"/>
      <c r="AC125" s="1711"/>
      <c r="AD125" s="1711"/>
      <c r="AE125" s="1711"/>
      <c r="AF125" s="1711"/>
      <c r="AG125" s="1711"/>
      <c r="AH125" s="1711"/>
      <c r="AI125" s="1711"/>
    </row>
    <row r="126" spans="1:35" ht="13.8">
      <c r="A126" s="1711"/>
      <c r="B126" s="1711" t="s">
        <v>458</v>
      </c>
      <c r="C126" s="1711"/>
      <c r="D126" s="1711"/>
      <c r="E126" s="1711"/>
      <c r="F126" s="1711"/>
      <c r="G126" s="2571">
        <f>'Part III-A-Uses of Funds'!G12</f>
        <v>0</v>
      </c>
      <c r="H126" s="2571"/>
      <c r="I126" s="1711"/>
      <c r="J126" s="2571">
        <f>'Part III-A-Uses of Funds'!J12</f>
        <v>0</v>
      </c>
      <c r="K126" s="2571"/>
      <c r="L126" s="2560"/>
      <c r="M126" s="2571">
        <f>'Part III-A-Uses of Funds'!M12</f>
        <v>0</v>
      </c>
      <c r="N126" s="2571"/>
      <c r="O126" s="1711"/>
      <c r="P126" s="2571">
        <f>'Part III-A-Uses of Funds'!P12</f>
        <v>0</v>
      </c>
      <c r="Q126" s="2571"/>
      <c r="R126" s="1711"/>
      <c r="S126" s="2571">
        <f>'Part III-A-Uses of Funds'!S12</f>
        <v>0</v>
      </c>
      <c r="T126" s="2571"/>
      <c r="U126" s="1711"/>
      <c r="V126" s="2595"/>
      <c r="W126" s="2596"/>
      <c r="X126" s="2596"/>
      <c r="Y126" s="1711"/>
      <c r="Z126" s="1711"/>
      <c r="AA126" s="1711"/>
      <c r="AB126" s="1711"/>
      <c r="AC126" s="1711"/>
      <c r="AD126" s="1711"/>
      <c r="AE126" s="1711"/>
      <c r="AF126" s="1711"/>
      <c r="AG126" s="1711"/>
      <c r="AH126" s="1711"/>
      <c r="AI126" s="1711"/>
    </row>
    <row r="127" spans="1:35" ht="13.8">
      <c r="A127" s="1711"/>
      <c r="B127" s="1711" t="s">
        <v>2294</v>
      </c>
      <c r="C127" s="1711"/>
      <c r="D127" s="1711"/>
      <c r="E127" s="1711"/>
      <c r="F127" s="1711"/>
      <c r="G127" s="2571">
        <f>'Part III-A-Uses of Funds'!G13</f>
        <v>15000</v>
      </c>
      <c r="H127" s="2571"/>
      <c r="I127" s="1711"/>
      <c r="J127" s="2571">
        <f>'Part III-A-Uses of Funds'!J13</f>
        <v>0</v>
      </c>
      <c r="K127" s="2571"/>
      <c r="L127" s="2560"/>
      <c r="M127" s="2571">
        <f>'Part III-A-Uses of Funds'!M13</f>
        <v>0</v>
      </c>
      <c r="N127" s="2571"/>
      <c r="O127" s="1711"/>
      <c r="P127" s="2571">
        <f>'Part III-A-Uses of Funds'!P13</f>
        <v>15000</v>
      </c>
      <c r="Q127" s="2571"/>
      <c r="R127" s="1711"/>
      <c r="S127" s="2571">
        <f>'Part III-A-Uses of Funds'!S13</f>
        <v>0</v>
      </c>
      <c r="T127" s="2571"/>
      <c r="U127" s="1711"/>
      <c r="V127" s="2595"/>
      <c r="W127" s="2596"/>
      <c r="X127" s="2596"/>
      <c r="Y127" s="1711"/>
      <c r="Z127" s="1711"/>
      <c r="AA127" s="1711"/>
      <c r="AB127" s="1711"/>
      <c r="AC127" s="1711"/>
      <c r="AD127" s="1711"/>
      <c r="AE127" s="1711"/>
      <c r="AF127" s="1711"/>
      <c r="AG127" s="1711"/>
      <c r="AH127" s="1711"/>
      <c r="AI127" s="1711"/>
    </row>
    <row r="128" spans="1:35" ht="13.8">
      <c r="A128" s="1711"/>
      <c r="B128" s="1711" t="s">
        <v>183</v>
      </c>
      <c r="C128" s="1711"/>
      <c r="D128" s="1711"/>
      <c r="E128" s="1711"/>
      <c r="F128" s="1711"/>
      <c r="G128" s="2571">
        <f>'Part III-A-Uses of Funds'!G14</f>
        <v>0</v>
      </c>
      <c r="H128" s="2571"/>
      <c r="I128" s="1711"/>
      <c r="J128" s="2571">
        <f>'Part III-A-Uses of Funds'!J14</f>
        <v>0</v>
      </c>
      <c r="K128" s="2571"/>
      <c r="L128" s="2560"/>
      <c r="M128" s="2571">
        <f>'Part III-A-Uses of Funds'!M14</f>
        <v>0</v>
      </c>
      <c r="N128" s="2571"/>
      <c r="O128" s="1711"/>
      <c r="P128" s="2571">
        <f>'Part III-A-Uses of Funds'!P14</f>
        <v>0</v>
      </c>
      <c r="Q128" s="2571"/>
      <c r="R128" s="1711"/>
      <c r="S128" s="2571">
        <f>'Part III-A-Uses of Funds'!S14</f>
        <v>0</v>
      </c>
      <c r="T128" s="2571"/>
      <c r="U128" s="1711"/>
      <c r="V128" s="2595"/>
      <c r="W128" s="2596"/>
      <c r="X128" s="2596"/>
      <c r="Y128" s="1711"/>
      <c r="Z128" s="1711"/>
      <c r="AA128" s="1711"/>
      <c r="AB128" s="1711"/>
      <c r="AC128" s="1711"/>
      <c r="AD128" s="1711"/>
      <c r="AE128" s="1711"/>
      <c r="AF128" s="1711"/>
      <c r="AG128" s="1711"/>
      <c r="AH128" s="1711"/>
      <c r="AI128" s="1711"/>
    </row>
    <row r="129" spans="1:35" ht="15.75" customHeight="1">
      <c r="A129" s="2597" t="str">
        <f>IF(AND(G129&gt;0,OR(C129="",C129="&lt;Enter detailed description here; use Comments section if needed&gt;")),"X","")</f>
        <v/>
      </c>
      <c r="B129" s="2547" t="s">
        <v>4163</v>
      </c>
      <c r="C129" s="2411" t="str">
        <f>'Part III-A-Uses of Funds'!C15</f>
        <v>Physical Needs Assessment</v>
      </c>
      <c r="D129" s="2411"/>
      <c r="E129" s="2411"/>
      <c r="F129" s="2411"/>
      <c r="G129" s="2571">
        <f>'Part III-A-Uses of Funds'!G15</f>
        <v>15000</v>
      </c>
      <c r="H129" s="2571"/>
      <c r="I129" s="1711"/>
      <c r="J129" s="2571">
        <f>'Part III-A-Uses of Funds'!J15</f>
        <v>0</v>
      </c>
      <c r="K129" s="2571"/>
      <c r="L129" s="2560"/>
      <c r="M129" s="2571">
        <f>'Part III-A-Uses of Funds'!M15</f>
        <v>0</v>
      </c>
      <c r="N129" s="2571"/>
      <c r="O129" s="1711"/>
      <c r="P129" s="2571">
        <f>'Part III-A-Uses of Funds'!P15</f>
        <v>15000</v>
      </c>
      <c r="Q129" s="2571"/>
      <c r="R129" s="1711"/>
      <c r="S129" s="2571">
        <f>'Part III-A-Uses of Funds'!S15</f>
        <v>0</v>
      </c>
      <c r="T129" s="2571"/>
      <c r="U129" s="2551" t="str">
        <f>IF(AND(G129&gt;0,OR(C129="",C129="&lt;Enter detailed description here; use Comments section if needed&gt;")),"NO DESCRIPTION PROVIDED - please enter detailed description in Other box at left; use Comments section below if needed.","")</f>
        <v/>
      </c>
      <c r="V129" s="2598"/>
      <c r="W129" s="2596"/>
      <c r="X129" s="2596"/>
      <c r="Y129" s="1711"/>
      <c r="Z129" s="1711"/>
      <c r="AA129" s="1711"/>
      <c r="AB129" s="1711"/>
      <c r="AC129" s="1711"/>
      <c r="AD129" s="1711"/>
      <c r="AE129" s="1711"/>
      <c r="AF129" s="1711"/>
      <c r="AG129" s="1711"/>
      <c r="AH129" s="1711"/>
      <c r="AI129" s="1711"/>
    </row>
    <row r="130" spans="1:35" ht="15.75" customHeight="1">
      <c r="A130" s="2597" t="str">
        <f>IF(AND(G130&gt;0,OR(C130="",C130="&lt;Enter detailed description here; use Comments section if needed&gt;")),"X","")</f>
        <v/>
      </c>
      <c r="B130" s="2547" t="s">
        <v>4164</v>
      </c>
      <c r="C130" s="2411" t="str">
        <f>'Part III-A-Uses of Funds'!C16</f>
        <v>&lt;&lt; Enter description here; provide detail &amp; justification in tab Part III-b &gt;&gt;</v>
      </c>
      <c r="D130" s="2411"/>
      <c r="E130" s="2411"/>
      <c r="F130" s="2411"/>
      <c r="G130" s="2571">
        <f>'Part III-A-Uses of Funds'!G16</f>
        <v>0</v>
      </c>
      <c r="H130" s="2571"/>
      <c r="I130" s="1711"/>
      <c r="J130" s="2571">
        <f>'Part III-A-Uses of Funds'!J16</f>
        <v>0</v>
      </c>
      <c r="K130" s="2571"/>
      <c r="L130" s="2560"/>
      <c r="M130" s="2571">
        <f>'Part III-A-Uses of Funds'!M16</f>
        <v>0</v>
      </c>
      <c r="N130" s="2571"/>
      <c r="O130" s="1711"/>
      <c r="P130" s="2571">
        <f>'Part III-A-Uses of Funds'!P16</f>
        <v>0</v>
      </c>
      <c r="Q130" s="2571"/>
      <c r="R130" s="1711"/>
      <c r="S130" s="2571">
        <f>'Part III-A-Uses of Funds'!S16</f>
        <v>0</v>
      </c>
      <c r="T130" s="2571"/>
      <c r="U130" s="2551" t="str">
        <f>IF(AND(G130&gt;0,OR(C130="",C130="&lt;Enter detailed description here; use Comments section if needed&gt;")),"NO DESCRIPTION PROVIDED - please enter detailed description in Other box at left; use Comments section below if needed.","")</f>
        <v/>
      </c>
      <c r="V130" s="2598"/>
      <c r="W130" s="2596"/>
      <c r="X130" s="2596"/>
      <c r="Y130" s="1711"/>
      <c r="Z130" s="1711"/>
      <c r="AA130" s="1711"/>
      <c r="AB130" s="1711"/>
      <c r="AC130" s="1711"/>
      <c r="AD130" s="1711"/>
      <c r="AE130" s="1711"/>
      <c r="AF130" s="1711"/>
      <c r="AG130" s="1711"/>
      <c r="AH130" s="1711"/>
      <c r="AI130" s="1711"/>
    </row>
    <row r="131" spans="1:35" ht="16.5" customHeight="1">
      <c r="A131" s="2597" t="str">
        <f>IF(AND(G131&gt;0,OR(C131="",C131="&lt;Enter detailed description here; use Comments section if needed&gt;")),"X","")</f>
        <v/>
      </c>
      <c r="B131" s="2547" t="s">
        <v>4165</v>
      </c>
      <c r="C131" s="2411" t="str">
        <f>'Part III-A-Uses of Funds'!C17</f>
        <v>&lt;&lt; Enter description here; provide detail &amp; justification in tab Part III-b &gt;&gt;</v>
      </c>
      <c r="D131" s="2411"/>
      <c r="E131" s="2411"/>
      <c r="F131" s="2411"/>
      <c r="G131" s="2571">
        <f>'Part III-A-Uses of Funds'!G17</f>
        <v>0</v>
      </c>
      <c r="H131" s="2571"/>
      <c r="I131" s="1711"/>
      <c r="J131" s="2571">
        <f>'Part III-A-Uses of Funds'!J17</f>
        <v>0</v>
      </c>
      <c r="K131" s="2571"/>
      <c r="L131" s="2560"/>
      <c r="M131" s="2571">
        <f>'Part III-A-Uses of Funds'!M17</f>
        <v>0</v>
      </c>
      <c r="N131" s="2571"/>
      <c r="O131" s="1711"/>
      <c r="P131" s="2571">
        <f>'Part III-A-Uses of Funds'!P17</f>
        <v>0</v>
      </c>
      <c r="Q131" s="2571"/>
      <c r="R131" s="1711"/>
      <c r="S131" s="2571">
        <f>'Part III-A-Uses of Funds'!S17</f>
        <v>0</v>
      </c>
      <c r="T131" s="2571"/>
      <c r="U131" s="2551" t="str">
        <f>IF(AND(G131&gt;0,OR(C131="",C131="&lt;Enter detailed description here; use Comments section if needed&gt;")),"NO DESCRIPTION PROVIDED - please enter detailed description in Other box at left; use Comments section below if needed.","")</f>
        <v/>
      </c>
      <c r="V131" s="2598"/>
      <c r="W131" s="2596"/>
      <c r="X131" s="2596"/>
      <c r="Y131" s="1711"/>
      <c r="Z131" s="1711"/>
      <c r="AA131" s="1711"/>
      <c r="AB131" s="1711"/>
      <c r="AC131" s="1711"/>
      <c r="AD131" s="1711"/>
      <c r="AE131" s="1711"/>
      <c r="AF131" s="1711"/>
      <c r="AG131" s="1711"/>
      <c r="AH131" s="1711"/>
      <c r="AI131" s="1711"/>
    </row>
    <row r="132" spans="1:35" ht="13.8">
      <c r="A132" s="1711"/>
      <c r="B132" s="1711"/>
      <c r="C132" s="1711"/>
      <c r="D132" s="1711"/>
      <c r="E132" s="1711"/>
      <c r="F132" s="2599" t="s">
        <v>184</v>
      </c>
      <c r="G132" s="2571">
        <f>SUM(G123:G131)</f>
        <v>55700</v>
      </c>
      <c r="H132" s="2571"/>
      <c r="I132" s="1711"/>
      <c r="J132" s="2571">
        <f>SUM(J123:J131)</f>
        <v>0</v>
      </c>
      <c r="K132" s="2571"/>
      <c r="L132" s="2560"/>
      <c r="M132" s="2571">
        <f>SUM(M123:M131)</f>
        <v>0</v>
      </c>
      <c r="N132" s="2571"/>
      <c r="O132" s="1711"/>
      <c r="P132" s="2571">
        <f>SUM(P123:P131)</f>
        <v>55700</v>
      </c>
      <c r="Q132" s="2571"/>
      <c r="R132" s="1711"/>
      <c r="S132" s="2571">
        <f>SUM(S123:S131)</f>
        <v>0</v>
      </c>
      <c r="T132" s="2571"/>
      <c r="U132" s="1711"/>
      <c r="V132" s="2595">
        <f>SUM(V123:V131)</f>
        <v>0</v>
      </c>
      <c r="W132" s="2596"/>
      <c r="X132" s="2596"/>
      <c r="Y132" s="1711"/>
      <c r="Z132" s="1711"/>
      <c r="AA132" s="1711"/>
      <c r="AB132" s="1711"/>
      <c r="AC132" s="1711"/>
      <c r="AD132" s="1711"/>
      <c r="AE132" s="1711"/>
      <c r="AF132" s="1711"/>
      <c r="AG132" s="1711"/>
      <c r="AH132" s="1711"/>
      <c r="AI132" s="1711"/>
    </row>
    <row r="133" spans="1:35" ht="13.8">
      <c r="A133" s="1711"/>
      <c r="B133" s="2542" t="s">
        <v>2031</v>
      </c>
      <c r="C133" s="1711"/>
      <c r="D133" s="1711"/>
      <c r="E133" s="1711"/>
      <c r="F133" s="1711"/>
      <c r="G133" s="1711"/>
      <c r="H133" s="1711"/>
      <c r="I133" s="1711"/>
      <c r="J133" s="2571"/>
      <c r="K133" s="2571"/>
      <c r="L133" s="1711"/>
      <c r="M133" s="2571"/>
      <c r="N133" s="2571"/>
      <c r="O133" s="2600" t="str">
        <f>B133</f>
        <v>ACQUISITION</v>
      </c>
      <c r="P133" s="2571"/>
      <c r="Q133" s="2571"/>
      <c r="R133" s="1711"/>
      <c r="S133" s="2571"/>
      <c r="T133" s="2571"/>
      <c r="U133" s="1711"/>
      <c r="V133" s="2595"/>
      <c r="W133" s="1711" t="str">
        <f>B133</f>
        <v>ACQUISITION</v>
      </c>
      <c r="X133" s="1711"/>
      <c r="Y133" s="1711"/>
      <c r="Z133" s="1711"/>
      <c r="AA133" s="1711"/>
      <c r="AB133" s="1711"/>
      <c r="AC133" s="1711"/>
      <c r="AD133" s="1711"/>
      <c r="AE133" s="1711"/>
      <c r="AF133" s="1711"/>
      <c r="AG133" s="1711"/>
      <c r="AH133" s="1711"/>
      <c r="AI133" s="1711"/>
    </row>
    <row r="134" spans="1:35" ht="13.8">
      <c r="A134" s="1711"/>
      <c r="B134" s="1711" t="s">
        <v>2032</v>
      </c>
      <c r="C134" s="1711"/>
      <c r="D134" s="1711"/>
      <c r="E134" s="2601" t="s">
        <v>3134</v>
      </c>
      <c r="F134" s="2602">
        <f>IF('Part I-Project Identification'!$O$28="","",G134/'Part I-Project Identification'!$O$28)</f>
        <v>264598.54014598537</v>
      </c>
      <c r="G134" s="2571">
        <f>'Part III-A-Uses of Funds'!G20</f>
        <v>1450000</v>
      </c>
      <c r="H134" s="2571"/>
      <c r="I134" s="1711"/>
      <c r="J134" s="2560"/>
      <c r="K134" s="2571"/>
      <c r="L134" s="2560"/>
      <c r="M134" s="2560"/>
      <c r="N134" s="2571"/>
      <c r="O134" s="1711"/>
      <c r="P134" s="2560"/>
      <c r="Q134" s="2571"/>
      <c r="R134" s="1711"/>
      <c r="S134" s="2571">
        <f>'Part III-A-Uses of Funds'!S20</f>
        <v>1450000</v>
      </c>
      <c r="T134" s="2571"/>
      <c r="U134" s="1711"/>
      <c r="V134" s="2595"/>
      <c r="W134" s="2596"/>
      <c r="X134" s="2596"/>
      <c r="Y134" s="1711"/>
      <c r="Z134" s="1711"/>
      <c r="AA134" s="1711"/>
      <c r="AB134" s="1711"/>
      <c r="AC134" s="1711"/>
      <c r="AD134" s="1711"/>
      <c r="AE134" s="1711"/>
      <c r="AF134" s="1711"/>
      <c r="AG134" s="1711"/>
      <c r="AH134" s="1711"/>
      <c r="AI134" s="1711"/>
    </row>
    <row r="135" spans="1:35" ht="13.8">
      <c r="A135" s="1711"/>
      <c r="B135" s="1711" t="s">
        <v>1053</v>
      </c>
      <c r="C135" s="1711"/>
      <c r="D135" s="1711"/>
      <c r="E135" s="1711"/>
      <c r="F135" s="1711"/>
      <c r="G135" s="2571">
        <f>'Part III-A-Uses of Funds'!G21</f>
        <v>0</v>
      </c>
      <c r="H135" s="2571"/>
      <c r="I135" s="1711"/>
      <c r="J135" s="2560"/>
      <c r="K135" s="2571"/>
      <c r="L135" s="2560"/>
      <c r="M135" s="2560"/>
      <c r="N135" s="2571"/>
      <c r="O135" s="1711"/>
      <c r="P135" s="2560"/>
      <c r="Q135" s="2571"/>
      <c r="R135" s="1711"/>
      <c r="S135" s="2571">
        <f>'Part III-A-Uses of Funds'!S21</f>
        <v>0</v>
      </c>
      <c r="T135" s="2571"/>
      <c r="U135" s="1711"/>
      <c r="V135" s="2595"/>
      <c r="W135" s="2596"/>
      <c r="X135" s="2596"/>
      <c r="Y135" s="1711"/>
      <c r="Z135" s="1711"/>
      <c r="AA135" s="1711"/>
      <c r="AB135" s="1711"/>
      <c r="AC135" s="1711"/>
      <c r="AD135" s="1711"/>
      <c r="AE135" s="1711"/>
      <c r="AF135" s="1711"/>
      <c r="AG135" s="1711"/>
      <c r="AH135" s="1711"/>
      <c r="AI135" s="1711"/>
    </row>
    <row r="136" spans="1:35" ht="13.8">
      <c r="A136" s="1711"/>
      <c r="B136" s="1711" t="s">
        <v>431</v>
      </c>
      <c r="C136" s="1711"/>
      <c r="D136" s="1711"/>
      <c r="E136" s="1711"/>
      <c r="F136" s="1711"/>
      <c r="G136" s="2571">
        <f>'Part III-A-Uses of Funds'!G22</f>
        <v>0</v>
      </c>
      <c r="H136" s="2571"/>
      <c r="I136" s="1711"/>
      <c r="J136" s="2560"/>
      <c r="K136" s="2571"/>
      <c r="L136" s="2560"/>
      <c r="M136" s="2571">
        <f>'Part III-A-Uses of Funds'!M22</f>
        <v>0</v>
      </c>
      <c r="N136" s="2571"/>
      <c r="O136" s="1711"/>
      <c r="P136" s="2560"/>
      <c r="Q136" s="2571"/>
      <c r="R136" s="1711"/>
      <c r="S136" s="2571">
        <f>'Part III-A-Uses of Funds'!S22</f>
        <v>0</v>
      </c>
      <c r="T136" s="2571"/>
      <c r="U136" s="1711"/>
      <c r="V136" s="2595"/>
      <c r="W136" s="2596"/>
      <c r="X136" s="2596"/>
      <c r="Y136" s="1711"/>
      <c r="Z136" s="1711"/>
      <c r="AA136" s="1711"/>
      <c r="AB136" s="1711"/>
      <c r="AC136" s="1711"/>
      <c r="AD136" s="1711"/>
      <c r="AE136" s="1711"/>
      <c r="AF136" s="1711"/>
      <c r="AG136" s="1711"/>
      <c r="AH136" s="1711"/>
      <c r="AI136" s="1711"/>
    </row>
    <row r="137" spans="1:35" ht="13.8">
      <c r="A137" s="1711"/>
      <c r="B137" s="1711" t="s">
        <v>404</v>
      </c>
      <c r="C137" s="1711"/>
      <c r="D137" s="1711"/>
      <c r="E137" s="1711"/>
      <c r="F137" s="1711"/>
      <c r="G137" s="2571">
        <f>'Part III-A-Uses of Funds'!G23</f>
        <v>13050000</v>
      </c>
      <c r="H137" s="2571"/>
      <c r="I137" s="1711"/>
      <c r="J137" s="2560"/>
      <c r="K137" s="2571"/>
      <c r="L137" s="2560"/>
      <c r="M137" s="2571">
        <f>'Part III-A-Uses of Funds'!M23</f>
        <v>13050000</v>
      </c>
      <c r="N137" s="2571"/>
      <c r="O137" s="1711"/>
      <c r="P137" s="2560"/>
      <c r="Q137" s="2571"/>
      <c r="R137" s="1711"/>
      <c r="S137" s="2571">
        <f>'Part III-A-Uses of Funds'!S23</f>
        <v>0</v>
      </c>
      <c r="T137" s="2571"/>
      <c r="U137" s="1711"/>
      <c r="V137" s="2595"/>
      <c r="W137" s="2596"/>
      <c r="X137" s="2596"/>
      <c r="Y137" s="1711"/>
      <c r="Z137" s="1711"/>
      <c r="AA137" s="1711"/>
      <c r="AB137" s="1711"/>
      <c r="AC137" s="1711"/>
      <c r="AD137" s="1711"/>
      <c r="AE137" s="1711"/>
      <c r="AF137" s="1711"/>
      <c r="AG137" s="1711"/>
      <c r="AH137" s="1711"/>
      <c r="AI137" s="1711"/>
    </row>
    <row r="138" spans="1:35" ht="13.8">
      <c r="A138" s="1711"/>
      <c r="B138" s="1711"/>
      <c r="C138" s="1711"/>
      <c r="D138" s="1711"/>
      <c r="E138" s="1711"/>
      <c r="F138" s="2599" t="s">
        <v>184</v>
      </c>
      <c r="G138" s="2571">
        <f>SUM(G134:G137)</f>
        <v>14500000</v>
      </c>
      <c r="H138" s="2571"/>
      <c r="I138" s="1711"/>
      <c r="J138" s="2560"/>
      <c r="K138" s="2571"/>
      <c r="L138" s="2560"/>
      <c r="M138" s="2571">
        <f>SUM(M136:M137)</f>
        <v>13050000</v>
      </c>
      <c r="N138" s="2571"/>
      <c r="O138" s="1711"/>
      <c r="P138" s="2560"/>
      <c r="Q138" s="2571"/>
      <c r="R138" s="1711"/>
      <c r="S138" s="2571">
        <f>SUM(S134:S137)</f>
        <v>1450000</v>
      </c>
      <c r="T138" s="2571"/>
      <c r="U138" s="1711"/>
      <c r="V138" s="2595">
        <f>SUM(V134:V137)</f>
        <v>0</v>
      </c>
      <c r="W138" s="2596"/>
      <c r="X138" s="2596"/>
      <c r="Y138" s="1711"/>
      <c r="Z138" s="1711"/>
      <c r="AA138" s="1711"/>
      <c r="AB138" s="1711"/>
      <c r="AC138" s="1711"/>
      <c r="AD138" s="1711"/>
      <c r="AE138" s="1711"/>
      <c r="AF138" s="1711"/>
      <c r="AG138" s="1711"/>
      <c r="AH138" s="1711"/>
      <c r="AI138" s="1711"/>
    </row>
    <row r="139" spans="1:35" ht="13.8">
      <c r="A139" s="1711"/>
      <c r="B139" s="2542" t="s">
        <v>1054</v>
      </c>
      <c r="C139" s="1711"/>
      <c r="D139" s="1711"/>
      <c r="E139" s="1711"/>
      <c r="F139" s="1711"/>
      <c r="G139" s="1711"/>
      <c r="H139" s="1711"/>
      <c r="I139" s="1711"/>
      <c r="J139" s="2560"/>
      <c r="K139" s="2571"/>
      <c r="L139" s="1711"/>
      <c r="M139" s="2560"/>
      <c r="N139" s="2571"/>
      <c r="O139" s="2600" t="str">
        <f>B139</f>
        <v>LAND IMPROVEMENTS</v>
      </c>
      <c r="P139" s="2560"/>
      <c r="Q139" s="2571"/>
      <c r="R139" s="1711"/>
      <c r="S139" s="2560"/>
      <c r="T139" s="2571"/>
      <c r="U139" s="1711"/>
      <c r="V139" s="2595"/>
      <c r="W139" s="1711" t="str">
        <f>B139</f>
        <v>LAND IMPROVEMENTS</v>
      </c>
      <c r="X139" s="1711"/>
      <c r="Y139" s="1711"/>
      <c r="Z139" s="1711"/>
      <c r="AA139" s="1711"/>
      <c r="AB139" s="1711"/>
      <c r="AC139" s="1711"/>
      <c r="AD139" s="1711"/>
      <c r="AE139" s="1711"/>
      <c r="AF139" s="1711"/>
      <c r="AG139" s="1711"/>
      <c r="AH139" s="1711"/>
      <c r="AI139" s="1711"/>
    </row>
    <row r="140" spans="1:35" ht="13.8">
      <c r="A140" s="1711"/>
      <c r="B140" s="1711" t="s">
        <v>1055</v>
      </c>
      <c r="C140" s="1711"/>
      <c r="D140" s="1711"/>
      <c r="E140" s="2601" t="s">
        <v>3134</v>
      </c>
      <c r="F140" s="2602">
        <f>IF('Part I-Project Identification'!$O$28="","",G140/'Part I-Project Identification'!$O$28)</f>
        <v>0</v>
      </c>
      <c r="G140" s="2571">
        <f>'Part III-A-Uses of Funds'!G26</f>
        <v>0</v>
      </c>
      <c r="H140" s="2571"/>
      <c r="I140" s="1711"/>
      <c r="J140" s="2571">
        <f>'Part III-A-Uses of Funds'!J26</f>
        <v>0</v>
      </c>
      <c r="K140" s="2571"/>
      <c r="L140" s="2560"/>
      <c r="M140" s="2571">
        <f>'Part III-A-Uses of Funds'!M26</f>
        <v>0</v>
      </c>
      <c r="N140" s="2571"/>
      <c r="O140" s="1711"/>
      <c r="P140" s="2571">
        <f>'Part III-A-Uses of Funds'!P26</f>
        <v>0</v>
      </c>
      <c r="Q140" s="2571"/>
      <c r="R140" s="1711"/>
      <c r="S140" s="2571">
        <f>'Part III-A-Uses of Funds'!S26</f>
        <v>0</v>
      </c>
      <c r="T140" s="2571"/>
      <c r="U140" s="1711"/>
      <c r="V140" s="2595"/>
      <c r="W140" s="2596"/>
      <c r="X140" s="2596"/>
      <c r="Y140" s="1711"/>
      <c r="Z140" s="1711"/>
      <c r="AA140" s="1711"/>
      <c r="AB140" s="1711"/>
      <c r="AC140" s="1711"/>
      <c r="AD140" s="1711"/>
      <c r="AE140" s="1711"/>
      <c r="AF140" s="1711"/>
      <c r="AG140" s="1711"/>
      <c r="AH140" s="1711"/>
      <c r="AI140" s="1711"/>
    </row>
    <row r="141" spans="1:35" ht="13.8">
      <c r="A141" s="1711"/>
      <c r="B141" s="1711" t="s">
        <v>1056</v>
      </c>
      <c r="C141" s="1711"/>
      <c r="D141" s="1711"/>
      <c r="E141" s="1711"/>
      <c r="F141" s="1711"/>
      <c r="G141" s="2571">
        <f>'Part III-A-Uses of Funds'!G27</f>
        <v>0</v>
      </c>
      <c r="H141" s="2571"/>
      <c r="I141" s="1711"/>
      <c r="J141" s="2571">
        <f>'Part III-A-Uses of Funds'!J27</f>
        <v>0</v>
      </c>
      <c r="K141" s="2571"/>
      <c r="L141" s="2603"/>
      <c r="M141" s="2571"/>
      <c r="N141" s="2571"/>
      <c r="O141" s="1711"/>
      <c r="P141" s="2571"/>
      <c r="Q141" s="2571"/>
      <c r="R141" s="1711"/>
      <c r="S141" s="2571">
        <f>'Part III-A-Uses of Funds'!S27</f>
        <v>0</v>
      </c>
      <c r="T141" s="2571"/>
      <c r="U141" s="1711"/>
      <c r="V141" s="2595"/>
      <c r="W141" s="2596"/>
      <c r="X141" s="2596"/>
      <c r="Y141" s="1711"/>
      <c r="Z141" s="1711"/>
      <c r="AA141" s="1711"/>
      <c r="AB141" s="1711"/>
      <c r="AC141" s="1711"/>
      <c r="AD141" s="1711"/>
      <c r="AE141" s="1711"/>
      <c r="AF141" s="1711"/>
      <c r="AG141" s="1711"/>
      <c r="AH141" s="1711"/>
      <c r="AI141" s="1711"/>
    </row>
    <row r="142" spans="1:35" ht="13.8">
      <c r="A142" s="1711"/>
      <c r="B142" s="1711"/>
      <c r="C142" s="1711"/>
      <c r="D142" s="1711"/>
      <c r="E142" s="1711"/>
      <c r="F142" s="2599" t="s">
        <v>184</v>
      </c>
      <c r="G142" s="2571">
        <f>SUM(G140:G141)</f>
        <v>0</v>
      </c>
      <c r="H142" s="2571"/>
      <c r="I142" s="1711"/>
      <c r="J142" s="2571">
        <f>SUM(J140:J141)</f>
        <v>0</v>
      </c>
      <c r="K142" s="2571"/>
      <c r="L142" s="2560"/>
      <c r="M142" s="2571">
        <f>M140</f>
        <v>0</v>
      </c>
      <c r="N142" s="2571"/>
      <c r="O142" s="1711"/>
      <c r="P142" s="2571">
        <f>P140</f>
        <v>0</v>
      </c>
      <c r="Q142" s="2571"/>
      <c r="R142" s="1711"/>
      <c r="S142" s="2571">
        <f>SUM(S140:S141)</f>
        <v>0</v>
      </c>
      <c r="T142" s="2571"/>
      <c r="U142" s="1711"/>
      <c r="V142" s="2595">
        <f>SUM(V140:V141)</f>
        <v>0</v>
      </c>
      <c r="W142" s="2596"/>
      <c r="X142" s="2596"/>
      <c r="Y142" s="1711"/>
      <c r="Z142" s="1711"/>
      <c r="AA142" s="1711"/>
      <c r="AB142" s="1711"/>
      <c r="AC142" s="1711"/>
      <c r="AD142" s="1711"/>
      <c r="AE142" s="1711"/>
      <c r="AF142" s="1711"/>
      <c r="AG142" s="1711"/>
      <c r="AH142" s="1711"/>
      <c r="AI142" s="1711"/>
    </row>
    <row r="143" spans="1:35" ht="13.8">
      <c r="A143" s="1711"/>
      <c r="B143" s="2542" t="s">
        <v>1057</v>
      </c>
      <c r="C143" s="1711"/>
      <c r="D143" s="1711"/>
      <c r="E143" s="1711"/>
      <c r="F143" s="1711"/>
      <c r="G143" s="1711"/>
      <c r="H143" s="1711"/>
      <c r="I143" s="1711"/>
      <c r="J143" s="2560"/>
      <c r="K143" s="2571"/>
      <c r="L143" s="1711"/>
      <c r="M143" s="2560"/>
      <c r="N143" s="2571"/>
      <c r="O143" s="2600" t="str">
        <f>B143</f>
        <v>STRUCTURES</v>
      </c>
      <c r="P143" s="2560"/>
      <c r="Q143" s="2571"/>
      <c r="R143" s="1711"/>
      <c r="S143" s="2560"/>
      <c r="T143" s="2571"/>
      <c r="U143" s="1711"/>
      <c r="V143" s="2595"/>
      <c r="W143" s="1711" t="str">
        <f>B143</f>
        <v>STRUCTURES</v>
      </c>
      <c r="X143" s="1711"/>
      <c r="Y143" s="1711"/>
      <c r="Z143" s="1711"/>
      <c r="AA143" s="1711"/>
      <c r="AB143" s="1711"/>
      <c r="AC143" s="1711"/>
      <c r="AD143" s="1711"/>
      <c r="AE143" s="1711"/>
      <c r="AF143" s="1711"/>
      <c r="AG143" s="1711"/>
      <c r="AH143" s="1711"/>
      <c r="AI143" s="1711"/>
    </row>
    <row r="144" spans="1:35" ht="13.8">
      <c r="A144" s="1711"/>
      <c r="B144" s="1711" t="s">
        <v>1058</v>
      </c>
      <c r="C144" s="1711"/>
      <c r="D144" s="1711"/>
      <c r="E144" s="1711"/>
      <c r="F144" s="1711"/>
      <c r="G144" s="2571">
        <f>'Part III-A-Uses of Funds'!G30</f>
        <v>0</v>
      </c>
      <c r="H144" s="2571"/>
      <c r="I144" s="1711"/>
      <c r="J144" s="2571">
        <f>'Part III-A-Uses of Funds'!J30</f>
        <v>0</v>
      </c>
      <c r="K144" s="2571"/>
      <c r="L144" s="2560"/>
      <c r="M144" s="2571">
        <f>'Part III-A-Uses of Funds'!M30</f>
        <v>0</v>
      </c>
      <c r="N144" s="2571"/>
      <c r="O144" s="1711"/>
      <c r="P144" s="2571">
        <f>'Part III-A-Uses of Funds'!P30</f>
        <v>0</v>
      </c>
      <c r="Q144" s="2571"/>
      <c r="R144" s="1711"/>
      <c r="S144" s="2571">
        <f>'Part III-A-Uses of Funds'!S30</f>
        <v>0</v>
      </c>
      <c r="T144" s="2571"/>
      <c r="U144" s="1711"/>
      <c r="V144" s="2595"/>
      <c r="W144" s="2596"/>
      <c r="X144" s="2596"/>
      <c r="Y144" s="1711"/>
      <c r="Z144" s="1711"/>
      <c r="AA144" s="1711"/>
      <c r="AB144" s="1711"/>
      <c r="AC144" s="1711"/>
      <c r="AD144" s="1711"/>
      <c r="AE144" s="1711"/>
      <c r="AF144" s="1711"/>
      <c r="AG144" s="1711"/>
      <c r="AH144" s="1711"/>
      <c r="AI144" s="1711"/>
    </row>
    <row r="145" spans="1:35" ht="13.8">
      <c r="A145" s="1711"/>
      <c r="B145" s="1711" t="s">
        <v>1059</v>
      </c>
      <c r="C145" s="1711"/>
      <c r="D145" s="1711"/>
      <c r="E145" s="1711"/>
      <c r="F145" s="1711"/>
      <c r="G145" s="2571">
        <f>'Part III-A-Uses of Funds'!G31</f>
        <v>8000000</v>
      </c>
      <c r="H145" s="2571"/>
      <c r="I145" s="1711"/>
      <c r="J145" s="2571">
        <f>'Part III-A-Uses of Funds'!J31</f>
        <v>0</v>
      </c>
      <c r="K145" s="2571"/>
      <c r="L145" s="2560"/>
      <c r="M145" s="2571">
        <f>'Part III-A-Uses of Funds'!M31</f>
        <v>0</v>
      </c>
      <c r="N145" s="2571"/>
      <c r="O145" s="1711"/>
      <c r="P145" s="2571">
        <f>'Part III-A-Uses of Funds'!P31</f>
        <v>8000000</v>
      </c>
      <c r="Q145" s="2571"/>
      <c r="R145" s="1711"/>
      <c r="S145" s="2571">
        <f>'Part III-A-Uses of Funds'!S31</f>
        <v>0</v>
      </c>
      <c r="T145" s="2571"/>
      <c r="U145" s="1711"/>
      <c r="V145" s="2595"/>
      <c r="W145" s="2596"/>
      <c r="X145" s="2596"/>
      <c r="Y145" s="1711"/>
      <c r="Z145" s="1711"/>
      <c r="AA145" s="1711"/>
      <c r="AB145" s="1711"/>
      <c r="AC145" s="1711"/>
      <c r="AD145" s="1711"/>
      <c r="AE145" s="1711"/>
      <c r="AF145" s="1711"/>
      <c r="AG145" s="1711"/>
      <c r="AH145" s="1711"/>
      <c r="AI145" s="1711"/>
    </row>
    <row r="146" spans="1:35" ht="13.8">
      <c r="A146" s="1711"/>
      <c r="B146" s="1711" t="s">
        <v>3984</v>
      </c>
      <c r="C146" s="1711"/>
      <c r="D146" s="1711"/>
      <c r="E146" s="1711"/>
      <c r="F146" s="1711"/>
      <c r="G146" s="2571">
        <f>'Part III-A-Uses of Funds'!G32</f>
        <v>0</v>
      </c>
      <c r="H146" s="2571"/>
      <c r="I146" s="1711"/>
      <c r="J146" s="2571">
        <f>'Part III-A-Uses of Funds'!J32</f>
        <v>0</v>
      </c>
      <c r="K146" s="2571"/>
      <c r="L146" s="2560"/>
      <c r="M146" s="2571">
        <f>'Part III-A-Uses of Funds'!M32</f>
        <v>0</v>
      </c>
      <c r="N146" s="2571"/>
      <c r="O146" s="1711"/>
      <c r="P146" s="2571">
        <f>'Part III-A-Uses of Funds'!P32</f>
        <v>0</v>
      </c>
      <c r="Q146" s="2571"/>
      <c r="R146" s="1711"/>
      <c r="S146" s="2571">
        <f>'Part III-A-Uses of Funds'!S32</f>
        <v>0</v>
      </c>
      <c r="T146" s="2571"/>
      <c r="U146" s="1711"/>
      <c r="V146" s="2595"/>
      <c r="W146" s="2596"/>
      <c r="X146" s="2596"/>
      <c r="Y146" s="1711"/>
      <c r="Z146" s="1711"/>
      <c r="AA146" s="1711"/>
      <c r="AB146" s="1711"/>
      <c r="AC146" s="1711"/>
      <c r="AD146" s="1711"/>
      <c r="AE146" s="1711"/>
      <c r="AF146" s="1711"/>
      <c r="AG146" s="1711"/>
      <c r="AH146" s="1711"/>
      <c r="AI146" s="1711"/>
    </row>
    <row r="147" spans="1:35" ht="13.8">
      <c r="A147" s="1711"/>
      <c r="B147" s="1711" t="s">
        <v>3982</v>
      </c>
      <c r="C147" s="1711"/>
      <c r="D147" s="1711"/>
      <c r="E147" s="1711"/>
      <c r="F147" s="1711"/>
      <c r="G147" s="2571">
        <f>'Part III-A-Uses of Funds'!G33</f>
        <v>0</v>
      </c>
      <c r="H147" s="2571"/>
      <c r="I147" s="1711"/>
      <c r="J147" s="2571">
        <f>'Part III-A-Uses of Funds'!J33</f>
        <v>0</v>
      </c>
      <c r="K147" s="2571"/>
      <c r="L147" s="2560"/>
      <c r="M147" s="2571">
        <f>'Part III-A-Uses of Funds'!M33</f>
        <v>0</v>
      </c>
      <c r="N147" s="2571"/>
      <c r="O147" s="1711"/>
      <c r="P147" s="2571">
        <f>'Part III-A-Uses of Funds'!P33</f>
        <v>0</v>
      </c>
      <c r="Q147" s="2571"/>
      <c r="R147" s="1711"/>
      <c r="S147" s="2571">
        <f>'Part III-A-Uses of Funds'!S33</f>
        <v>0</v>
      </c>
      <c r="T147" s="2571"/>
      <c r="U147" s="1711"/>
      <c r="V147" s="2595"/>
      <c r="W147" s="2596"/>
      <c r="X147" s="2596"/>
      <c r="Y147" s="1711"/>
      <c r="Z147" s="1711"/>
      <c r="AA147" s="1711"/>
      <c r="AB147" s="1711"/>
      <c r="AC147" s="1711"/>
      <c r="AD147" s="1711"/>
      <c r="AE147" s="1711"/>
      <c r="AF147" s="1711"/>
      <c r="AG147" s="1711"/>
      <c r="AH147" s="1711"/>
      <c r="AI147" s="1711"/>
    </row>
    <row r="148" spans="1:35" ht="13.8">
      <c r="A148" s="377"/>
      <c r="B148" s="1711" t="s">
        <v>2486</v>
      </c>
      <c r="C148" s="377"/>
      <c r="D148" s="377"/>
      <c r="E148" s="377"/>
      <c r="F148" s="377"/>
      <c r="G148" s="2571">
        <f>'Part III-A-Uses of Funds'!G34</f>
        <v>0</v>
      </c>
      <c r="H148" s="2571"/>
      <c r="I148" s="1711"/>
      <c r="J148" s="2571">
        <f>'Part III-A-Uses of Funds'!J34</f>
        <v>0</v>
      </c>
      <c r="K148" s="2571"/>
      <c r="L148" s="2560"/>
      <c r="M148" s="2571">
        <f>'Part III-A-Uses of Funds'!M34</f>
        <v>0</v>
      </c>
      <c r="N148" s="2571"/>
      <c r="O148" s="1711"/>
      <c r="P148" s="2571">
        <f>'Part III-A-Uses of Funds'!P34</f>
        <v>0</v>
      </c>
      <c r="Q148" s="2571"/>
      <c r="R148" s="1711"/>
      <c r="S148" s="2571">
        <f>'Part III-A-Uses of Funds'!S34</f>
        <v>0</v>
      </c>
      <c r="T148" s="2571"/>
      <c r="U148" s="377"/>
      <c r="V148" s="2595"/>
      <c r="W148" s="2596"/>
      <c r="X148" s="2596"/>
      <c r="Y148" s="377"/>
      <c r="Z148" s="377"/>
      <c r="AA148" s="377"/>
      <c r="AB148" s="377"/>
      <c r="AC148" s="377"/>
      <c r="AD148" s="377"/>
      <c r="AE148" s="377"/>
      <c r="AF148" s="377"/>
      <c r="AG148" s="377"/>
      <c r="AH148" s="377"/>
      <c r="AI148" s="377"/>
    </row>
    <row r="149" spans="1:35" ht="13.8">
      <c r="A149" s="377"/>
      <c r="B149" s="1711" t="s">
        <v>3983</v>
      </c>
      <c r="C149" s="377"/>
      <c r="D149" s="377"/>
      <c r="E149" s="377"/>
      <c r="F149" s="377"/>
      <c r="G149" s="2571">
        <f>'Part III-A-Uses of Funds'!G35</f>
        <v>0</v>
      </c>
      <c r="H149" s="2571"/>
      <c r="I149" s="1711"/>
      <c r="J149" s="2571">
        <f>'Part III-A-Uses of Funds'!J35</f>
        <v>0</v>
      </c>
      <c r="K149" s="2571"/>
      <c r="L149" s="2560"/>
      <c r="M149" s="2571">
        <f>'Part III-A-Uses of Funds'!M35</f>
        <v>0</v>
      </c>
      <c r="N149" s="2571"/>
      <c r="O149" s="1711"/>
      <c r="P149" s="2571">
        <f>'Part III-A-Uses of Funds'!P35</f>
        <v>0</v>
      </c>
      <c r="Q149" s="2571"/>
      <c r="R149" s="1711"/>
      <c r="S149" s="2571">
        <f>'Part III-A-Uses of Funds'!S35</f>
        <v>0</v>
      </c>
      <c r="T149" s="2571"/>
      <c r="U149" s="377"/>
      <c r="V149" s="2595"/>
      <c r="W149" s="2596"/>
      <c r="X149" s="2596"/>
      <c r="Y149" s="377"/>
      <c r="Z149" s="377"/>
      <c r="AA149" s="377"/>
      <c r="AB149" s="377"/>
      <c r="AC149" s="377"/>
      <c r="AD149" s="377"/>
      <c r="AE149" s="377"/>
      <c r="AF149" s="377"/>
      <c r="AG149" s="377"/>
      <c r="AH149" s="377"/>
      <c r="AI149" s="377"/>
    </row>
    <row r="150" spans="1:35" ht="13.8">
      <c r="A150" s="1711"/>
      <c r="B150" s="1711"/>
      <c r="C150" s="2604"/>
      <c r="D150" s="2604"/>
      <c r="E150" s="2605"/>
      <c r="F150" s="2599" t="s">
        <v>184</v>
      </c>
      <c r="G150" s="2571">
        <f>SUM(G144:G149)</f>
        <v>8000000</v>
      </c>
      <c r="H150" s="2571"/>
      <c r="I150" s="1711"/>
      <c r="J150" s="2571">
        <f>SUM(J144:J149)</f>
        <v>0</v>
      </c>
      <c r="K150" s="2571"/>
      <c r="L150" s="2560"/>
      <c r="M150" s="2571">
        <f>SUM(M144:M149)</f>
        <v>0</v>
      </c>
      <c r="N150" s="2571"/>
      <c r="O150" s="1711"/>
      <c r="P150" s="2571">
        <f>SUM(P144:P149)</f>
        <v>8000000</v>
      </c>
      <c r="Q150" s="2571"/>
      <c r="R150" s="1711"/>
      <c r="S150" s="2571">
        <f>SUM(S144:S149)</f>
        <v>0</v>
      </c>
      <c r="T150" s="2571"/>
      <c r="U150" s="1711"/>
      <c r="V150" s="2595">
        <f>SUM(V144:V149)</f>
        <v>0</v>
      </c>
      <c r="W150" s="2596"/>
      <c r="X150" s="2596"/>
      <c r="Y150" s="1711"/>
      <c r="Z150" s="1711"/>
      <c r="AA150" s="1711"/>
      <c r="AB150" s="1711"/>
      <c r="AC150" s="1711"/>
      <c r="AD150" s="1711"/>
      <c r="AE150" s="1711"/>
      <c r="AF150" s="1711"/>
      <c r="AG150" s="1711"/>
      <c r="AH150" s="1711"/>
      <c r="AI150" s="1711"/>
    </row>
    <row r="151" spans="1:35" ht="13.8">
      <c r="A151" s="1711"/>
      <c r="B151" s="2542" t="s">
        <v>2156</v>
      </c>
      <c r="C151" s="1711"/>
      <c r="D151" s="2412" t="s">
        <v>3138</v>
      </c>
      <c r="E151" s="2412"/>
      <c r="F151" s="2606">
        <f>SUM(F152:F154)</f>
        <v>0</v>
      </c>
      <c r="G151" s="2607" t="str">
        <f>IF(G152&gt;E152,"Proposed Builder Profit exceeds DCA Maximum!!!",IF(G153&gt;E153,"Proposed Builder Overhead exceeds DCA Maximum!!!",IF(G154&gt;E154,"Proposed General Requirements exceeds DCA Maximum!!!",IF(G155&gt;E155,"Proposed Contractor Services amount exceeds DCA Maximum!!!",""))))</f>
        <v/>
      </c>
      <c r="H151" s="377"/>
      <c r="I151" s="377"/>
      <c r="J151" s="2560"/>
      <c r="K151" s="2571"/>
      <c r="L151" s="1711"/>
      <c r="M151" s="2560"/>
      <c r="N151" s="2571"/>
      <c r="O151" s="2600" t="str">
        <f>B151</f>
        <v>CONTRACTOR SERVICES</v>
      </c>
      <c r="P151" s="2560"/>
      <c r="Q151" s="2571"/>
      <c r="R151" s="1711"/>
      <c r="S151" s="2560"/>
      <c r="T151" s="2571"/>
      <c r="U151" s="1711"/>
      <c r="V151" s="2595"/>
      <c r="W151" s="1711" t="str">
        <f>B151</f>
        <v>CONTRACTOR SERVICES</v>
      </c>
      <c r="X151" s="1711"/>
      <c r="Y151" s="1711"/>
      <c r="Z151" s="1711"/>
      <c r="AA151" s="1711"/>
      <c r="AB151" s="1711"/>
      <c r="AC151" s="1711"/>
      <c r="AD151" s="1711"/>
      <c r="AE151" s="1711"/>
      <c r="AF151" s="1711"/>
      <c r="AG151" s="1711"/>
      <c r="AH151" s="1711"/>
      <c r="AI151" s="1711"/>
    </row>
    <row r="152" spans="1:35" ht="13.8">
      <c r="A152" s="1711"/>
      <c r="B152" s="1711" t="s">
        <v>2157</v>
      </c>
      <c r="C152" s="1711"/>
      <c r="D152" s="2608">
        <f>'DCA Underwriting Assumptions'!$R$52</f>
        <v>0.06</v>
      </c>
      <c r="E152" s="2609">
        <f>ROUNDDOWN(D152*(G142+G150),0)</f>
        <v>480000</v>
      </c>
      <c r="F152" s="2608">
        <f>IF(($G$28+$G$36)=0,0,G152/($G$28+$G$36))</f>
        <v>0</v>
      </c>
      <c r="G152" s="2571">
        <f>'Part III-A-Uses of Funds'!G38</f>
        <v>480000</v>
      </c>
      <c r="H152" s="2571"/>
      <c r="I152" s="1711"/>
      <c r="J152" s="2571">
        <f>'Part III-A-Uses of Funds'!J38</f>
        <v>0</v>
      </c>
      <c r="K152" s="2571"/>
      <c r="L152" s="2560"/>
      <c r="M152" s="2571">
        <f>'Part III-A-Uses of Funds'!M38</f>
        <v>0</v>
      </c>
      <c r="N152" s="2571"/>
      <c r="O152" s="1711"/>
      <c r="P152" s="2571">
        <f>'Part III-A-Uses of Funds'!P38</f>
        <v>480000</v>
      </c>
      <c r="Q152" s="2571"/>
      <c r="R152" s="1711"/>
      <c r="S152" s="2571">
        <f>'Part III-A-Uses of Funds'!S38</f>
        <v>0</v>
      </c>
      <c r="T152" s="2571"/>
      <c r="U152" s="1711"/>
      <c r="V152" s="2595"/>
      <c r="W152" s="2596"/>
      <c r="X152" s="2596"/>
      <c r="Y152" s="1711"/>
      <c r="Z152" s="1711"/>
      <c r="AA152" s="1711"/>
      <c r="AB152" s="1711"/>
      <c r="AC152" s="1711"/>
      <c r="AD152" s="1711"/>
      <c r="AE152" s="1711"/>
      <c r="AF152" s="1711"/>
      <c r="AG152" s="1711"/>
      <c r="AH152" s="1711"/>
      <c r="AI152" s="1711"/>
    </row>
    <row r="153" spans="1:35" ht="13.8">
      <c r="A153" s="1711"/>
      <c r="B153" s="1711" t="s">
        <v>2467</v>
      </c>
      <c r="C153" s="1711"/>
      <c r="D153" s="2608">
        <f>'DCA Underwriting Assumptions'!$R$53</f>
        <v>0.02</v>
      </c>
      <c r="E153" s="2609">
        <f>ROUNDDOWN(D153*(G142+G150),0)</f>
        <v>160000</v>
      </c>
      <c r="F153" s="2608">
        <f>IF(($G$28+$G$36)=0,0,G153/($G$28+$G$36))</f>
        <v>0</v>
      </c>
      <c r="G153" s="2571">
        <f>'Part III-A-Uses of Funds'!G39</f>
        <v>160000</v>
      </c>
      <c r="H153" s="2571"/>
      <c r="I153" s="1711"/>
      <c r="J153" s="2571">
        <f>'Part III-A-Uses of Funds'!J39</f>
        <v>0</v>
      </c>
      <c r="K153" s="2571"/>
      <c r="L153" s="2560"/>
      <c r="M153" s="2571">
        <f>'Part III-A-Uses of Funds'!M39</f>
        <v>0</v>
      </c>
      <c r="N153" s="2571"/>
      <c r="O153" s="1711"/>
      <c r="P153" s="2571">
        <f>'Part III-A-Uses of Funds'!P39</f>
        <v>160000</v>
      </c>
      <c r="Q153" s="2571"/>
      <c r="R153" s="1711"/>
      <c r="S153" s="2571">
        <f>'Part III-A-Uses of Funds'!S39</f>
        <v>0</v>
      </c>
      <c r="T153" s="2571"/>
      <c r="U153" s="1711"/>
      <c r="V153" s="2595"/>
      <c r="W153" s="2596"/>
      <c r="X153" s="2596"/>
      <c r="Y153" s="1711"/>
      <c r="Z153" s="1711"/>
      <c r="AA153" s="1711"/>
      <c r="AB153" s="1711"/>
      <c r="AC153" s="1711"/>
      <c r="AD153" s="1711"/>
      <c r="AE153" s="1711"/>
      <c r="AF153" s="1711"/>
      <c r="AG153" s="1711"/>
      <c r="AH153" s="1711"/>
      <c r="AI153" s="1711"/>
    </row>
    <row r="154" spans="1:35" ht="13.8">
      <c r="A154" s="1711"/>
      <c r="B154" s="1711" t="s">
        <v>2468</v>
      </c>
      <c r="C154" s="1711"/>
      <c r="D154" s="2608">
        <f>'DCA Underwriting Assumptions'!$R$54</f>
        <v>0.06</v>
      </c>
      <c r="E154" s="2609">
        <f>ROUNDDOWN(D154*(G142+G150),0)</f>
        <v>480000</v>
      </c>
      <c r="F154" s="2608">
        <f>IF(($G$28+$G$36)=0,0,G154/($G$28+$G$36))</f>
        <v>0</v>
      </c>
      <c r="G154" s="2571">
        <f>'Part III-A-Uses of Funds'!G40</f>
        <v>480000</v>
      </c>
      <c r="H154" s="2571"/>
      <c r="I154" s="1711"/>
      <c r="J154" s="2571">
        <f>'Part III-A-Uses of Funds'!J40</f>
        <v>0</v>
      </c>
      <c r="K154" s="2571"/>
      <c r="L154" s="2560"/>
      <c r="M154" s="2571">
        <f>'Part III-A-Uses of Funds'!M40</f>
        <v>0</v>
      </c>
      <c r="N154" s="2571"/>
      <c r="O154" s="1711"/>
      <c r="P154" s="2571">
        <f>'Part III-A-Uses of Funds'!P40</f>
        <v>480000</v>
      </c>
      <c r="Q154" s="2571"/>
      <c r="R154" s="1711"/>
      <c r="S154" s="2571">
        <f>'Part III-A-Uses of Funds'!S40</f>
        <v>0</v>
      </c>
      <c r="T154" s="2571"/>
      <c r="U154" s="1711"/>
      <c r="V154" s="2595"/>
      <c r="W154" s="2596"/>
      <c r="X154" s="2596"/>
      <c r="Y154" s="1711"/>
      <c r="Z154" s="1711"/>
      <c r="AA154" s="1711"/>
      <c r="AB154" s="1711"/>
      <c r="AC154" s="1711"/>
      <c r="AD154" s="1711"/>
      <c r="AE154" s="1711"/>
      <c r="AF154" s="1711"/>
      <c r="AG154" s="1711"/>
      <c r="AH154" s="1711"/>
      <c r="AI154" s="1711"/>
    </row>
    <row r="155" spans="1:35" ht="13.8">
      <c r="A155" s="1711"/>
      <c r="B155" s="2547" t="s">
        <v>3139</v>
      </c>
      <c r="C155" s="1711"/>
      <c r="D155" s="2606">
        <f>SUM(D152:D154)</f>
        <v>0.14000000000000001</v>
      </c>
      <c r="E155" s="2610">
        <f>SUM(E152:E154)</f>
        <v>1120000</v>
      </c>
      <c r="F155" s="2599" t="s">
        <v>184</v>
      </c>
      <c r="G155" s="2571">
        <f>SUM(G152:G154)</f>
        <v>1120000</v>
      </c>
      <c r="H155" s="2571"/>
      <c r="I155" s="1711"/>
      <c r="J155" s="2571">
        <f>SUM(J152:J154)</f>
        <v>0</v>
      </c>
      <c r="K155" s="2571"/>
      <c r="L155" s="2560"/>
      <c r="M155" s="2571">
        <f>SUM(M152:M154)</f>
        <v>0</v>
      </c>
      <c r="N155" s="2571"/>
      <c r="O155" s="1711"/>
      <c r="P155" s="2571">
        <f>SUM(P152:P154)</f>
        <v>1120000</v>
      </c>
      <c r="Q155" s="2571"/>
      <c r="R155" s="1711"/>
      <c r="S155" s="2571">
        <f>SUM(S152:S154)</f>
        <v>0</v>
      </c>
      <c r="T155" s="2571"/>
      <c r="U155" s="1711"/>
      <c r="V155" s="2595">
        <f>SUM(V152:V154)</f>
        <v>0</v>
      </c>
      <c r="W155" s="2596"/>
      <c r="X155" s="2596"/>
      <c r="Y155" s="1711"/>
      <c r="Z155" s="1711"/>
      <c r="AA155" s="1711"/>
      <c r="AB155" s="1711"/>
      <c r="AC155" s="1711"/>
      <c r="AD155" s="1711"/>
      <c r="AE155" s="1711"/>
      <c r="AF155" s="1711"/>
      <c r="AG155" s="1711"/>
      <c r="AH155" s="1711"/>
      <c r="AI155" s="1711"/>
    </row>
    <row r="156" spans="1:35" ht="13.8">
      <c r="A156" s="2543"/>
      <c r="B156" s="2543"/>
      <c r="C156" s="2543"/>
      <c r="D156" s="2543"/>
      <c r="E156" s="2543"/>
      <c r="F156" s="2543"/>
      <c r="G156" s="2543"/>
      <c r="H156" s="2543"/>
      <c r="I156" s="2543"/>
      <c r="J156" s="2543"/>
      <c r="K156" s="2543"/>
      <c r="L156" s="2543"/>
      <c r="M156" s="2543"/>
      <c r="N156" s="2543"/>
      <c r="O156" s="2543"/>
      <c r="P156" s="2543"/>
      <c r="Q156" s="2543"/>
      <c r="R156" s="2543"/>
      <c r="S156" s="2543"/>
      <c r="T156" s="2543"/>
      <c r="U156" s="1711"/>
      <c r="V156" s="2595"/>
      <c r="W156" s="1711"/>
      <c r="X156" s="1711"/>
      <c r="Y156" s="1711"/>
      <c r="Z156" s="1711"/>
      <c r="AA156" s="1711"/>
      <c r="AB156" s="1711"/>
      <c r="AC156" s="1711"/>
      <c r="AD156" s="1711"/>
      <c r="AE156" s="1711"/>
      <c r="AF156" s="1711"/>
      <c r="AG156" s="1711"/>
      <c r="AH156" s="1711"/>
      <c r="AI156" s="1711"/>
    </row>
    <row r="157" spans="1:35" ht="13.8">
      <c r="A157" s="2543"/>
      <c r="B157" s="1711"/>
      <c r="C157" s="2611" t="s">
        <v>4381</v>
      </c>
      <c r="D157" s="1711"/>
      <c r="E157" s="2543"/>
      <c r="F157" s="2543"/>
      <c r="G157" s="2612">
        <f>G142+G150+G155</f>
        <v>9120000</v>
      </c>
      <c r="H157" s="2612"/>
      <c r="I157" s="2543"/>
      <c r="J157" s="2543"/>
      <c r="K157" s="2543"/>
      <c r="L157" s="2543"/>
      <c r="M157" s="2543"/>
      <c r="N157" s="2543"/>
      <c r="O157" s="2543"/>
      <c r="P157" s="2543"/>
      <c r="Q157" s="2543"/>
      <c r="R157" s="2543"/>
      <c r="S157" s="2543"/>
      <c r="T157" s="2543"/>
      <c r="U157" s="1711"/>
      <c r="V157" s="2595"/>
      <c r="W157" s="1711"/>
      <c r="X157" s="1711"/>
      <c r="Y157" s="1711"/>
      <c r="Z157" s="1711"/>
      <c r="AA157" s="1711"/>
      <c r="AB157" s="1711"/>
      <c r="AC157" s="1711"/>
      <c r="AD157" s="1711"/>
      <c r="AE157" s="1711"/>
      <c r="AF157" s="1711"/>
      <c r="AG157" s="1711"/>
      <c r="AH157" s="1711"/>
      <c r="AI157" s="1711"/>
    </row>
    <row r="158" spans="1:35" ht="13.8">
      <c r="A158" s="2542"/>
      <c r="B158" s="2542"/>
      <c r="C158" s="2542"/>
      <c r="D158" s="2542"/>
      <c r="E158" s="2542"/>
      <c r="F158" s="2542"/>
      <c r="G158" s="2542"/>
      <c r="H158" s="2542"/>
      <c r="I158" s="2542"/>
      <c r="J158" s="2542"/>
      <c r="K158" s="2542"/>
      <c r="L158" s="2542"/>
      <c r="M158" s="2542"/>
      <c r="N158" s="2542"/>
      <c r="O158" s="2542"/>
      <c r="P158" s="2542"/>
      <c r="Q158" s="2542"/>
      <c r="R158" s="2542"/>
      <c r="S158" s="2542"/>
      <c r="T158" s="2542"/>
      <c r="U158" s="1711"/>
      <c r="V158" s="1711"/>
      <c r="W158" s="1711"/>
      <c r="X158" s="1711"/>
      <c r="Y158" s="1711"/>
      <c r="Z158" s="1711"/>
      <c r="AA158" s="1711"/>
      <c r="AB158" s="1711"/>
      <c r="AC158" s="1711"/>
      <c r="AD158" s="1711"/>
      <c r="AE158" s="1711"/>
      <c r="AF158" s="1711"/>
      <c r="AG158" s="1711"/>
      <c r="AH158" s="1711"/>
      <c r="AI158" s="1711"/>
    </row>
    <row r="159" spans="1:35" ht="13.8">
      <c r="A159" s="1711"/>
      <c r="B159" s="2542" t="s">
        <v>5120</v>
      </c>
      <c r="C159" s="1711"/>
      <c r="D159" s="1711"/>
      <c r="E159" s="1711"/>
      <c r="F159" s="1711"/>
      <c r="G159" s="1711"/>
      <c r="H159" s="1711"/>
      <c r="I159" s="1711"/>
      <c r="J159" s="2560"/>
      <c r="K159" s="2571"/>
      <c r="L159" s="1711"/>
      <c r="M159" s="2560"/>
      <c r="N159" s="2571"/>
      <c r="O159" s="2600" t="str">
        <f>B159</f>
        <v>OTHER CONSTRUCTION HARD COSTS (Non-GC work scope items done by Owner)</v>
      </c>
      <c r="P159" s="2560"/>
      <c r="Q159" s="2571"/>
      <c r="R159" s="1711"/>
      <c r="S159" s="2560"/>
      <c r="T159" s="2571"/>
      <c r="U159" s="1711"/>
      <c r="V159" s="2595"/>
      <c r="W159" s="1711" t="str">
        <f>B159</f>
        <v>OTHER CONSTRUCTION HARD COSTS (Non-GC work scope items done by Owner)</v>
      </c>
      <c r="X159" s="1711"/>
      <c r="Y159" s="1711"/>
      <c r="Z159" s="1711"/>
      <c r="AA159" s="1711"/>
      <c r="AB159" s="1711"/>
      <c r="AC159" s="1711"/>
      <c r="AD159" s="1711"/>
      <c r="AE159" s="1711"/>
      <c r="AF159" s="1711"/>
      <c r="AG159" s="1711"/>
      <c r="AH159" s="1711"/>
      <c r="AI159" s="1711"/>
    </row>
    <row r="160" spans="1:35" ht="12.75" customHeight="1">
      <c r="A160" s="377"/>
      <c r="B160" s="2547" t="s">
        <v>4166</v>
      </c>
      <c r="C160" s="2411" t="str">
        <f>'Part III-A-Uses of Funds'!C46</f>
        <v>&lt;&lt; Enter description here; provide detail &amp; justification in tab Part III-b &gt;&gt;</v>
      </c>
      <c r="D160" s="359"/>
      <c r="E160" s="359"/>
      <c r="F160" s="359"/>
      <c r="G160" s="2571">
        <f>'Part III-A-Uses of Funds'!G46</f>
        <v>0</v>
      </c>
      <c r="H160" s="2571"/>
      <c r="I160" s="1711"/>
      <c r="J160" s="2571">
        <f>'Part III-A-Uses of Funds'!J46</f>
        <v>0</v>
      </c>
      <c r="K160" s="2571"/>
      <c r="L160" s="2560"/>
      <c r="M160" s="2571">
        <f>'Part III-A-Uses of Funds'!M46</f>
        <v>0</v>
      </c>
      <c r="N160" s="2571"/>
      <c r="O160" s="1711"/>
      <c r="P160" s="2571">
        <f>'Part III-A-Uses of Funds'!P46</f>
        <v>0</v>
      </c>
      <c r="Q160" s="2571"/>
      <c r="R160" s="1711"/>
      <c r="S160" s="2571">
        <f>'Part III-A-Uses of Funds'!S46</f>
        <v>0</v>
      </c>
      <c r="T160" s="2571"/>
      <c r="U160" s="377"/>
      <c r="V160" s="2595"/>
      <c r="W160" s="2596"/>
      <c r="X160" s="2596"/>
      <c r="Y160" s="377"/>
      <c r="Z160" s="377"/>
      <c r="AA160" s="377"/>
      <c r="AB160" s="377"/>
      <c r="AC160" s="377"/>
      <c r="AD160" s="377"/>
      <c r="AE160" s="377"/>
      <c r="AF160" s="377"/>
      <c r="AG160" s="377"/>
      <c r="AH160" s="377"/>
      <c r="AI160" s="377"/>
    </row>
    <row r="161" spans="1:35" ht="13.8">
      <c r="A161" s="2543"/>
      <c r="B161" s="2543"/>
      <c r="C161" s="2543"/>
      <c r="D161" s="2543"/>
      <c r="E161" s="2543"/>
      <c r="F161" s="2543"/>
      <c r="G161" s="2543"/>
      <c r="H161" s="2543"/>
      <c r="I161" s="2543"/>
      <c r="J161" s="2543"/>
      <c r="K161" s="2543"/>
      <c r="L161" s="2543"/>
      <c r="M161" s="2543"/>
      <c r="N161" s="2543"/>
      <c r="O161" s="2543"/>
      <c r="P161" s="2543"/>
      <c r="Q161" s="2543"/>
      <c r="R161" s="2543"/>
      <c r="S161" s="2543"/>
      <c r="T161" s="2543"/>
      <c r="U161" s="1711"/>
      <c r="V161" s="2595"/>
      <c r="W161" s="2596"/>
      <c r="X161" s="2596"/>
      <c r="Y161" s="1711"/>
      <c r="Z161" s="1711"/>
      <c r="AA161" s="1711"/>
      <c r="AB161" s="1711"/>
      <c r="AC161" s="1711"/>
      <c r="AD161" s="1711"/>
      <c r="AE161" s="1711"/>
      <c r="AF161" s="1711"/>
      <c r="AG161" s="1711"/>
      <c r="AH161" s="1711"/>
      <c r="AI161" s="1711"/>
    </row>
    <row r="162" spans="1:35" ht="12.75" customHeight="1">
      <c r="A162" s="1711"/>
      <c r="B162" s="2613" t="s">
        <v>5121</v>
      </c>
      <c r="C162" s="2614"/>
      <c r="D162" s="1711"/>
      <c r="E162" s="2542" t="s">
        <v>2470</v>
      </c>
      <c r="F162" s="2615">
        <f>C163/'Part V-Revenues &amp; Expenses'!$P$74</f>
        <v>57000</v>
      </c>
      <c r="G162" s="2616" t="s">
        <v>5122</v>
      </c>
      <c r="H162" s="1711"/>
      <c r="I162" s="1711"/>
      <c r="J162" s="2617">
        <f>C163/'Part V-Revenues &amp; Expenses'!$P$76</f>
        <v>57000</v>
      </c>
      <c r="K162" s="2617"/>
      <c r="L162" s="1711"/>
      <c r="M162" s="2618" t="s">
        <v>4367</v>
      </c>
      <c r="N162" s="2618"/>
      <c r="O162" s="1711"/>
      <c r="P162" s="2617">
        <f>C163/'Part V-Revenues &amp; Expenses'!$K$197</f>
        <v>63.087991145545104</v>
      </c>
      <c r="Q162" s="2617"/>
      <c r="R162" s="1711"/>
      <c r="S162" s="2619" t="s">
        <v>4369</v>
      </c>
      <c r="T162" s="2619"/>
      <c r="U162" s="1711"/>
      <c r="V162" s="2595"/>
      <c r="W162" s="2596"/>
      <c r="X162" s="2596"/>
      <c r="Y162" s="1711"/>
      <c r="Z162" s="1711"/>
      <c r="AA162" s="1711"/>
      <c r="AB162" s="1711"/>
      <c r="AC162" s="1711"/>
      <c r="AD162" s="1711"/>
      <c r="AE162" s="1711"/>
      <c r="AF162" s="1711"/>
      <c r="AG162" s="1711"/>
      <c r="AH162" s="1711"/>
      <c r="AI162" s="1711"/>
    </row>
    <row r="163" spans="1:35" ht="13.8">
      <c r="A163" s="1711"/>
      <c r="B163" s="2620" t="s">
        <v>4380</v>
      </c>
      <c r="C163" s="2621">
        <f>G142+G150+G155+G160</f>
        <v>9120000</v>
      </c>
      <c r="D163" s="1711"/>
      <c r="E163" s="2542"/>
      <c r="F163" s="2615">
        <f>C163/'Part V-Revenues &amp; Expenses'!$P$188</f>
        <v>63.087991145545104</v>
      </c>
      <c r="G163" s="2619" t="s">
        <v>5123</v>
      </c>
      <c r="H163" s="1711"/>
      <c r="I163" s="1711"/>
      <c r="J163" s="2617">
        <f>C163/'Part V-Revenues &amp; Expenses'!$P$190</f>
        <v>63.087991145545104</v>
      </c>
      <c r="K163" s="2617"/>
      <c r="L163" s="1711"/>
      <c r="M163" s="2619" t="s">
        <v>4368</v>
      </c>
      <c r="N163" s="2619"/>
      <c r="O163" s="1711"/>
      <c r="P163" s="1711"/>
      <c r="Q163" s="1711"/>
      <c r="R163" s="1711"/>
      <c r="S163" s="1711"/>
      <c r="T163" s="1711"/>
      <c r="U163" s="1711"/>
      <c r="V163" s="2595"/>
      <c r="W163" s="2596"/>
      <c r="X163" s="2596"/>
      <c r="Y163" s="1711"/>
      <c r="Z163" s="1711"/>
      <c r="AA163" s="1711"/>
      <c r="AB163" s="1711"/>
      <c r="AC163" s="1711"/>
      <c r="AD163" s="1711"/>
      <c r="AE163" s="1711"/>
      <c r="AF163" s="1711"/>
      <c r="AG163" s="1711"/>
      <c r="AH163" s="1711"/>
      <c r="AI163" s="1711"/>
    </row>
    <row r="164" spans="1:35" ht="13.8">
      <c r="A164" s="2543"/>
      <c r="B164" s="2543"/>
      <c r="C164" s="2543"/>
      <c r="D164" s="2543"/>
      <c r="E164" s="2543"/>
      <c r="F164" s="2543"/>
      <c r="G164" s="2543"/>
      <c r="H164" s="2543"/>
      <c r="I164" s="2543"/>
      <c r="J164" s="2543"/>
      <c r="K164" s="2543"/>
      <c r="L164" s="2543"/>
      <c r="M164" s="2543"/>
      <c r="N164" s="2543"/>
      <c r="O164" s="2543"/>
      <c r="P164" s="2543"/>
      <c r="Q164" s="2543"/>
      <c r="R164" s="2543"/>
      <c r="S164" s="2543"/>
      <c r="T164" s="2543"/>
      <c r="U164" s="1711"/>
      <c r="V164" s="2595"/>
      <c r="W164" s="1711"/>
      <c r="X164" s="1711"/>
      <c r="Y164" s="1711"/>
      <c r="Z164" s="1711"/>
      <c r="AA164" s="1711"/>
      <c r="AB164" s="1711"/>
      <c r="AC164" s="1711"/>
      <c r="AD164" s="1711"/>
      <c r="AE164" s="1711"/>
      <c r="AF164" s="1711"/>
      <c r="AG164" s="1711"/>
      <c r="AH164" s="1711"/>
      <c r="AI164" s="1711"/>
    </row>
    <row r="165" spans="1:35" ht="17.25" customHeight="1">
      <c r="A165" s="2592" t="s">
        <v>572</v>
      </c>
      <c r="B165" s="2592" t="s">
        <v>5124</v>
      </c>
      <c r="C165" s="1711"/>
      <c r="D165" s="1711"/>
      <c r="E165" s="1711"/>
      <c r="F165" s="1711"/>
      <c r="G165" s="1711"/>
      <c r="H165" s="1711"/>
      <c r="I165" s="1711"/>
      <c r="J165" s="2542" t="s">
        <v>259</v>
      </c>
      <c r="K165" s="2542"/>
      <c r="L165" s="2571"/>
      <c r="M165" s="2593" t="s">
        <v>459</v>
      </c>
      <c r="N165" s="2593"/>
      <c r="O165" s="1711"/>
      <c r="P165" s="2542" t="s">
        <v>260</v>
      </c>
      <c r="Q165" s="2542"/>
      <c r="R165" s="1711"/>
      <c r="S165" s="2542" t="s">
        <v>261</v>
      </c>
      <c r="T165" s="2542"/>
      <c r="U165" s="1711"/>
      <c r="V165" s="2595"/>
      <c r="W165" s="2594" t="str">
        <f>B165</f>
        <v>DEVELOPMENT BUDGET (cont'd)</v>
      </c>
      <c r="X165" s="1711"/>
      <c r="Y165" s="1711"/>
      <c r="Z165" s="1711"/>
      <c r="AA165" s="1711"/>
      <c r="AB165" s="1711"/>
      <c r="AC165" s="1711"/>
      <c r="AD165" s="1711"/>
      <c r="AE165" s="1711"/>
      <c r="AF165" s="1711"/>
      <c r="AG165" s="1711"/>
      <c r="AH165" s="1711"/>
      <c r="AI165" s="1711"/>
    </row>
    <row r="166" spans="1:35" ht="13.8">
      <c r="A166" s="1711"/>
      <c r="B166" s="1711"/>
      <c r="C166" s="1711"/>
      <c r="D166" s="1711"/>
      <c r="E166" s="1711"/>
      <c r="F166" s="1711"/>
      <c r="G166" s="2542" t="s">
        <v>95</v>
      </c>
      <c r="H166" s="2542"/>
      <c r="I166" s="1711"/>
      <c r="J166" s="2542"/>
      <c r="K166" s="2542"/>
      <c r="L166" s="2571"/>
      <c r="M166" s="2593"/>
      <c r="N166" s="2593"/>
      <c r="O166" s="1711"/>
      <c r="P166" s="2542"/>
      <c r="Q166" s="2542"/>
      <c r="R166" s="1711"/>
      <c r="S166" s="2542"/>
      <c r="T166" s="2542"/>
      <c r="U166" s="1711"/>
      <c r="V166" s="2595"/>
      <c r="W166" s="376" t="s">
        <v>2440</v>
      </c>
      <c r="X166" s="376"/>
      <c r="Y166" s="1711"/>
      <c r="Z166" s="1711"/>
      <c r="AA166" s="1711"/>
      <c r="AB166" s="1711"/>
      <c r="AC166" s="1711"/>
      <c r="AD166" s="1711"/>
      <c r="AE166" s="1711"/>
      <c r="AF166" s="1711"/>
      <c r="AG166" s="1711"/>
      <c r="AH166" s="1711"/>
      <c r="AI166" s="1711"/>
    </row>
    <row r="167" spans="1:35" ht="13.8">
      <c r="A167" s="2543"/>
      <c r="B167" s="2543"/>
      <c r="C167" s="2543"/>
      <c r="D167" s="2543"/>
      <c r="E167" s="2543"/>
      <c r="F167" s="2543"/>
      <c r="G167" s="2543"/>
      <c r="H167" s="2543"/>
      <c r="I167" s="2543"/>
      <c r="J167" s="2543"/>
      <c r="K167" s="2543"/>
      <c r="L167" s="2543"/>
      <c r="M167" s="2543"/>
      <c r="N167" s="2543"/>
      <c r="O167" s="2543"/>
      <c r="P167" s="2543"/>
      <c r="Q167" s="2543"/>
      <c r="R167" s="2543"/>
      <c r="S167" s="2543"/>
      <c r="T167" s="2543"/>
      <c r="U167" s="1711"/>
      <c r="V167" s="2595"/>
      <c r="W167" s="1711"/>
      <c r="X167" s="1711"/>
      <c r="Y167" s="1711"/>
      <c r="Z167" s="1711"/>
      <c r="AA167" s="1711"/>
      <c r="AB167" s="1711"/>
      <c r="AC167" s="1711"/>
      <c r="AD167" s="1711"/>
      <c r="AE167" s="1711"/>
      <c r="AF167" s="1711"/>
      <c r="AG167" s="1711"/>
      <c r="AH167" s="1711"/>
      <c r="AI167" s="1711"/>
    </row>
    <row r="168" spans="1:35" ht="13.8">
      <c r="A168" s="1711"/>
      <c r="B168" s="2542" t="s">
        <v>4188</v>
      </c>
      <c r="C168" s="1711"/>
      <c r="D168" s="1711"/>
      <c r="E168" s="1711"/>
      <c r="F168" s="1248" t="s">
        <v>3320</v>
      </c>
      <c r="G168" s="2542" t="str">
        <f>IF(G169&gt;E169,"Check Contingency Amount!!!!","")</f>
        <v/>
      </c>
      <c r="H168" s="1711"/>
      <c r="I168" s="1711"/>
      <c r="J168" s="2560"/>
      <c r="K168" s="2571"/>
      <c r="L168" s="1711"/>
      <c r="M168" s="2560"/>
      <c r="N168" s="2571"/>
      <c r="O168" s="2600" t="str">
        <f>B168</f>
        <v>CONSTRUCTION CONTINGENCY (CC)</v>
      </c>
      <c r="P168" s="2560"/>
      <c r="Q168" s="2571"/>
      <c r="R168" s="1711"/>
      <c r="S168" s="2560"/>
      <c r="T168" s="2571"/>
      <c r="U168" s="1711"/>
      <c r="V168" s="2595"/>
      <c r="W168" s="1711" t="str">
        <f>B168</f>
        <v>CONSTRUCTION CONTINGENCY (CC)</v>
      </c>
      <c r="X168" s="1711"/>
      <c r="Y168" s="1711"/>
      <c r="Z168" s="1711"/>
      <c r="AA168" s="1711"/>
      <c r="AB168" s="1711"/>
      <c r="AC168" s="1711"/>
      <c r="AD168" s="1711"/>
      <c r="AE168" s="1711"/>
      <c r="AF168" s="1711"/>
      <c r="AG168" s="1711"/>
      <c r="AH168" s="1711"/>
      <c r="AI168" s="1711"/>
    </row>
    <row r="169" spans="1:35" ht="13.8">
      <c r="A169" s="377"/>
      <c r="B169" s="1711" t="s">
        <v>1815</v>
      </c>
      <c r="C169" s="377"/>
      <c r="D169" s="2601" t="s">
        <v>3319</v>
      </c>
      <c r="E169" s="2622">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912000</v>
      </c>
      <c r="F169" s="2579">
        <f>G169/C163</f>
        <v>0.1</v>
      </c>
      <c r="G169" s="2571">
        <f>'Part III-A-Uses of Funds'!G55</f>
        <v>912000</v>
      </c>
      <c r="H169" s="2571"/>
      <c r="I169" s="1711"/>
      <c r="J169" s="2571">
        <f>'Part III-A-Uses of Funds'!J55</f>
        <v>0</v>
      </c>
      <c r="K169" s="2571"/>
      <c r="L169" s="2560"/>
      <c r="M169" s="2571">
        <f>'Part III-A-Uses of Funds'!M55</f>
        <v>0</v>
      </c>
      <c r="N169" s="2571"/>
      <c r="O169" s="1711"/>
      <c r="P169" s="2571">
        <f>'Part III-A-Uses of Funds'!P55</f>
        <v>912000</v>
      </c>
      <c r="Q169" s="2571"/>
      <c r="R169" s="1711"/>
      <c r="S169" s="2571">
        <f>'Part III-A-Uses of Funds'!S55</f>
        <v>0</v>
      </c>
      <c r="T169" s="2571"/>
      <c r="U169" s="377"/>
      <c r="V169" s="2595"/>
      <c r="W169" s="2596"/>
      <c r="X169" s="2596"/>
      <c r="Y169" s="377"/>
      <c r="Z169" s="377"/>
      <c r="AA169" s="377"/>
      <c r="AB169" s="377"/>
      <c r="AC169" s="377"/>
      <c r="AD169" s="377"/>
      <c r="AE169" s="377"/>
      <c r="AF169" s="377"/>
      <c r="AG169" s="377"/>
      <c r="AH169" s="377"/>
      <c r="AI169" s="377"/>
    </row>
    <row r="170" spans="1:35" ht="13.8">
      <c r="A170" s="2543"/>
      <c r="B170" s="2543"/>
      <c r="C170" s="2543"/>
      <c r="D170" s="2543"/>
      <c r="E170" s="2543"/>
      <c r="F170" s="2543"/>
      <c r="G170" s="2543"/>
      <c r="H170" s="2543"/>
      <c r="I170" s="2543"/>
      <c r="J170" s="2543"/>
      <c r="K170" s="2543"/>
      <c r="L170" s="2543"/>
      <c r="M170" s="2543"/>
      <c r="N170" s="2543"/>
      <c r="O170" s="2543"/>
      <c r="P170" s="2543"/>
      <c r="Q170" s="2543"/>
      <c r="R170" s="2543"/>
      <c r="S170" s="2543"/>
      <c r="T170" s="2543"/>
      <c r="U170" s="1711"/>
      <c r="V170" s="2595"/>
      <c r="W170" s="2596"/>
      <c r="X170" s="2596"/>
      <c r="Y170" s="1711"/>
      <c r="Z170" s="1711"/>
      <c r="AA170" s="1711"/>
      <c r="AB170" s="1711"/>
      <c r="AC170" s="1711"/>
      <c r="AD170" s="1711"/>
      <c r="AE170" s="1711"/>
      <c r="AF170" s="1711"/>
      <c r="AG170" s="1711"/>
      <c r="AH170" s="1711"/>
      <c r="AI170" s="1711"/>
    </row>
    <row r="171" spans="1:35" ht="12.75" customHeight="1">
      <c r="A171" s="1711"/>
      <c r="B171" s="2623" t="s">
        <v>4189</v>
      </c>
      <c r="C171" s="2614"/>
      <c r="D171" s="1711"/>
      <c r="E171" s="2542" t="s">
        <v>4190</v>
      </c>
      <c r="F171" s="2615">
        <f>B172/'Part V-Revenues &amp; Expenses'!$P$74</f>
        <v>62700</v>
      </c>
      <c r="G171" s="2616" t="s">
        <v>5122</v>
      </c>
      <c r="H171" s="1711"/>
      <c r="I171" s="1711"/>
      <c r="J171" s="2617">
        <f>B172/'Part V-Revenues &amp; Expenses'!$P$76</f>
        <v>62700</v>
      </c>
      <c r="K171" s="2617"/>
      <c r="L171" s="1711"/>
      <c r="M171" s="2618" t="s">
        <v>4367</v>
      </c>
      <c r="N171" s="2618"/>
      <c r="O171" s="1711"/>
      <c r="P171" s="2617">
        <f>B172/'Part V-Revenues &amp; Expenses'!$K$197</f>
        <v>69.396790260099607</v>
      </c>
      <c r="Q171" s="2617"/>
      <c r="R171" s="1711"/>
      <c r="S171" s="2619" t="s">
        <v>4369</v>
      </c>
      <c r="T171" s="2619"/>
      <c r="U171" s="1711"/>
      <c r="V171" s="2595"/>
      <c r="W171" s="2596"/>
      <c r="X171" s="2596"/>
      <c r="Y171" s="1711"/>
      <c r="Z171" s="1711"/>
      <c r="AA171" s="1711"/>
      <c r="AB171" s="1711"/>
      <c r="AC171" s="1711"/>
      <c r="AD171" s="1711"/>
      <c r="AE171" s="1711"/>
      <c r="AF171" s="1711"/>
      <c r="AG171" s="1711"/>
      <c r="AH171" s="1711"/>
      <c r="AI171" s="1711"/>
    </row>
    <row r="172" spans="1:35" ht="13.8">
      <c r="A172" s="1711"/>
      <c r="B172" s="2621">
        <f>C163+G169</f>
        <v>10032000</v>
      </c>
      <c r="C172" s="2621"/>
      <c r="D172" s="1711"/>
      <c r="E172" s="2542"/>
      <c r="F172" s="2615">
        <f>B172/'Part V-Revenues &amp; Expenses'!$P$188</f>
        <v>69.396790260099607</v>
      </c>
      <c r="G172" s="2619" t="s">
        <v>5123</v>
      </c>
      <c r="H172" s="1711"/>
      <c r="I172" s="1711"/>
      <c r="J172" s="2617">
        <f>B172/'Part V-Revenues &amp; Expenses'!$P$190</f>
        <v>69.396790260099607</v>
      </c>
      <c r="K172" s="2617"/>
      <c r="L172" s="1711"/>
      <c r="M172" s="2619" t="s">
        <v>4368</v>
      </c>
      <c r="N172" s="2619"/>
      <c r="O172" s="1711"/>
      <c r="P172" s="1711"/>
      <c r="Q172" s="1711"/>
      <c r="R172" s="1711"/>
      <c r="S172" s="1711"/>
      <c r="T172" s="1711"/>
      <c r="U172" s="1711"/>
      <c r="V172" s="2595"/>
      <c r="W172" s="2596"/>
      <c r="X172" s="2596"/>
      <c r="Y172" s="1711"/>
      <c r="Z172" s="1711"/>
      <c r="AA172" s="1711"/>
      <c r="AB172" s="1711"/>
      <c r="AC172" s="1711"/>
      <c r="AD172" s="1711"/>
      <c r="AE172" s="1711"/>
      <c r="AF172" s="1711"/>
      <c r="AG172" s="1711"/>
      <c r="AH172" s="1711"/>
      <c r="AI172" s="1711"/>
    </row>
    <row r="173" spans="1:35" ht="13.8">
      <c r="A173" s="2543"/>
      <c r="B173" s="2543"/>
      <c r="C173" s="2543"/>
      <c r="D173" s="2543"/>
      <c r="E173" s="2543"/>
      <c r="F173" s="2543"/>
      <c r="G173" s="2543"/>
      <c r="H173" s="2543"/>
      <c r="I173" s="2543"/>
      <c r="J173" s="2543"/>
      <c r="K173" s="2543"/>
      <c r="L173" s="2543"/>
      <c r="M173" s="2543"/>
      <c r="N173" s="2543"/>
      <c r="O173" s="2543"/>
      <c r="P173" s="2543"/>
      <c r="Q173" s="2543"/>
      <c r="R173" s="2543"/>
      <c r="S173" s="2543"/>
      <c r="T173" s="2543"/>
      <c r="U173" s="1711"/>
      <c r="V173" s="2595"/>
      <c r="W173" s="2596"/>
      <c r="X173" s="2596"/>
      <c r="Y173" s="1711"/>
      <c r="Z173" s="1711"/>
      <c r="AA173" s="1711"/>
      <c r="AB173" s="1711"/>
      <c r="AC173" s="1711"/>
      <c r="AD173" s="1711"/>
      <c r="AE173" s="1711"/>
      <c r="AF173" s="1711"/>
      <c r="AG173" s="1711"/>
      <c r="AH173" s="1711"/>
      <c r="AI173" s="1711"/>
    </row>
    <row r="174" spans="1:35" ht="13.8">
      <c r="A174" s="1711"/>
      <c r="B174" s="2542" t="s">
        <v>674</v>
      </c>
      <c r="C174" s="1711"/>
      <c r="D174" s="1711"/>
      <c r="E174" s="1711"/>
      <c r="F174" s="1711"/>
      <c r="G174" s="1711"/>
      <c r="H174" s="1711"/>
      <c r="I174" s="1711"/>
      <c r="J174" s="2560"/>
      <c r="K174" s="2571"/>
      <c r="L174" s="1711"/>
      <c r="M174" s="2560"/>
      <c r="N174" s="2571"/>
      <c r="O174" s="2600" t="str">
        <f>B174</f>
        <v>CONSTRUCTION PERIOD FINANCING</v>
      </c>
      <c r="P174" s="2560"/>
      <c r="Q174" s="2571"/>
      <c r="R174" s="1711"/>
      <c r="S174" s="2560"/>
      <c r="T174" s="2571"/>
      <c r="U174" s="1711"/>
      <c r="V174" s="2595"/>
      <c r="W174" s="1711" t="str">
        <f>B174</f>
        <v>CONSTRUCTION PERIOD FINANCING</v>
      </c>
      <c r="X174" s="1711"/>
      <c r="Y174" s="1711"/>
      <c r="Z174" s="1711"/>
      <c r="AA174" s="1711"/>
      <c r="AB174" s="1711"/>
      <c r="AC174" s="1711"/>
      <c r="AD174" s="1711"/>
      <c r="AE174" s="1711"/>
      <c r="AF174" s="1711"/>
      <c r="AG174" s="1711"/>
      <c r="AH174" s="1711"/>
      <c r="AI174" s="1711"/>
    </row>
    <row r="175" spans="1:35" ht="13.8">
      <c r="A175" s="1711"/>
      <c r="B175" s="1711" t="s">
        <v>3140</v>
      </c>
      <c r="C175" s="1711"/>
      <c r="D175" s="1711"/>
      <c r="E175" s="1711"/>
      <c r="F175" s="1711"/>
      <c r="G175" s="2571">
        <f>'Part III-A-Uses of Funds'!G61</f>
        <v>0</v>
      </c>
      <c r="H175" s="2571"/>
      <c r="I175" s="1711"/>
      <c r="J175" s="2571">
        <f>'Part III-A-Uses of Funds'!J61</f>
        <v>0</v>
      </c>
      <c r="K175" s="2571"/>
      <c r="L175" s="2560"/>
      <c r="M175" s="2571">
        <f>'Part III-A-Uses of Funds'!M61</f>
        <v>0</v>
      </c>
      <c r="N175" s="2571"/>
      <c r="O175" s="1711"/>
      <c r="P175" s="2571">
        <f>'Part III-A-Uses of Funds'!P61</f>
        <v>0</v>
      </c>
      <c r="Q175" s="2571"/>
      <c r="R175" s="1711"/>
      <c r="S175" s="2571">
        <f>'Part III-A-Uses of Funds'!S61</f>
        <v>0</v>
      </c>
      <c r="T175" s="2571"/>
      <c r="U175" s="1711"/>
      <c r="V175" s="2595"/>
      <c r="W175" s="2596"/>
      <c r="X175" s="2596"/>
      <c r="Y175" s="1711"/>
      <c r="Z175" s="1711"/>
      <c r="AA175" s="1711"/>
      <c r="AB175" s="1711"/>
      <c r="AC175" s="1711"/>
      <c r="AD175" s="1711"/>
      <c r="AE175" s="1711"/>
      <c r="AF175" s="1711"/>
      <c r="AG175" s="1711"/>
      <c r="AH175" s="1711"/>
      <c r="AI175" s="1711"/>
    </row>
    <row r="176" spans="1:35" ht="13.8">
      <c r="A176" s="1711"/>
      <c r="B176" s="1711" t="s">
        <v>3141</v>
      </c>
      <c r="C176" s="1711"/>
      <c r="D176" s="1711"/>
      <c r="E176" s="1711"/>
      <c r="F176" s="1711"/>
      <c r="G176" s="2571">
        <f>'Part III-A-Uses of Funds'!G62</f>
        <v>0</v>
      </c>
      <c r="H176" s="2571"/>
      <c r="I176" s="1711"/>
      <c r="J176" s="2571">
        <f>'Part III-A-Uses of Funds'!J62</f>
        <v>0</v>
      </c>
      <c r="K176" s="2571"/>
      <c r="L176" s="2560"/>
      <c r="M176" s="2571">
        <f>'Part III-A-Uses of Funds'!M62</f>
        <v>0</v>
      </c>
      <c r="N176" s="2571"/>
      <c r="O176" s="1711"/>
      <c r="P176" s="2571">
        <f>'Part III-A-Uses of Funds'!P62</f>
        <v>0</v>
      </c>
      <c r="Q176" s="2571"/>
      <c r="R176" s="1711"/>
      <c r="S176" s="2571">
        <f>'Part III-A-Uses of Funds'!S62</f>
        <v>0</v>
      </c>
      <c r="T176" s="2571"/>
      <c r="U176" s="1711"/>
      <c r="V176" s="2595"/>
      <c r="W176" s="2596"/>
      <c r="X176" s="2596"/>
      <c r="Y176" s="1711"/>
      <c r="Z176" s="1711"/>
      <c r="AA176" s="1711"/>
      <c r="AB176" s="1711"/>
      <c r="AC176" s="1711"/>
      <c r="AD176" s="1711"/>
      <c r="AE176" s="1711"/>
      <c r="AF176" s="1711"/>
      <c r="AG176" s="1711"/>
      <c r="AH176" s="1711"/>
      <c r="AI176" s="1711"/>
    </row>
    <row r="177" spans="1:35" ht="13.8">
      <c r="A177" s="1711"/>
      <c r="B177" s="1711" t="s">
        <v>2159</v>
      </c>
      <c r="C177" s="1711"/>
      <c r="D177" s="1711"/>
      <c r="E177" s="1711"/>
      <c r="F177" s="1711"/>
      <c r="G177" s="2571">
        <f>'Part III-A-Uses of Funds'!G63</f>
        <v>280000</v>
      </c>
      <c r="H177" s="2571"/>
      <c r="I177" s="1711"/>
      <c r="J177" s="2571">
        <f>'Part III-A-Uses of Funds'!J63</f>
        <v>0</v>
      </c>
      <c r="K177" s="2571"/>
      <c r="L177" s="2560"/>
      <c r="M177" s="2571">
        <f>'Part III-A-Uses of Funds'!M63</f>
        <v>0</v>
      </c>
      <c r="N177" s="2571"/>
      <c r="O177" s="1711"/>
      <c r="P177" s="2571">
        <f>'Part III-A-Uses of Funds'!P63</f>
        <v>280000</v>
      </c>
      <c r="Q177" s="2571"/>
      <c r="R177" s="1711"/>
      <c r="S177" s="2571">
        <f>'Part III-A-Uses of Funds'!S63</f>
        <v>0</v>
      </c>
      <c r="T177" s="2571"/>
      <c r="U177" s="1711"/>
      <c r="V177" s="2595"/>
      <c r="W177" s="2596"/>
      <c r="X177" s="2596"/>
      <c r="Y177" s="1711"/>
      <c r="Z177" s="1711"/>
      <c r="AA177" s="1711"/>
      <c r="AB177" s="1711"/>
      <c r="AC177" s="1711"/>
      <c r="AD177" s="1711"/>
      <c r="AE177" s="1711"/>
      <c r="AF177" s="1711"/>
      <c r="AG177" s="1711"/>
      <c r="AH177" s="1711"/>
      <c r="AI177" s="1711"/>
    </row>
    <row r="178" spans="1:35" ht="13.8">
      <c r="A178" s="1711"/>
      <c r="B178" s="1711" t="s">
        <v>2160</v>
      </c>
      <c r="C178" s="1711"/>
      <c r="D178" s="1711"/>
      <c r="E178" s="1711"/>
      <c r="F178" s="1711"/>
      <c r="G178" s="2571">
        <f>'Part III-A-Uses of Funds'!G64</f>
        <v>2366983</v>
      </c>
      <c r="H178" s="2571"/>
      <c r="I178" s="1711"/>
      <c r="J178" s="2571">
        <f>'Part III-A-Uses of Funds'!J64</f>
        <v>0</v>
      </c>
      <c r="K178" s="2571"/>
      <c r="L178" s="2560"/>
      <c r="M178" s="2571">
        <f>'Part III-A-Uses of Funds'!M64</f>
        <v>0</v>
      </c>
      <c r="N178" s="2571"/>
      <c r="O178" s="1711"/>
      <c r="P178" s="2571">
        <f>'Part III-A-Uses of Funds'!P64</f>
        <v>2011935.55</v>
      </c>
      <c r="Q178" s="2571"/>
      <c r="R178" s="1711"/>
      <c r="S178" s="2571">
        <f>'Part III-A-Uses of Funds'!S64</f>
        <v>355047.44999999995</v>
      </c>
      <c r="T178" s="2571"/>
      <c r="U178" s="1711"/>
      <c r="V178" s="2595"/>
      <c r="W178" s="2596"/>
      <c r="X178" s="2596"/>
      <c r="Y178" s="1711"/>
      <c r="Z178" s="1711"/>
      <c r="AA178" s="1711"/>
      <c r="AB178" s="1711"/>
      <c r="AC178" s="1711"/>
      <c r="AD178" s="1711"/>
      <c r="AE178" s="1711"/>
      <c r="AF178" s="1711"/>
      <c r="AG178" s="1711"/>
      <c r="AH178" s="1711"/>
      <c r="AI178" s="1711"/>
    </row>
    <row r="179" spans="1:35" ht="13.8">
      <c r="A179" s="1711"/>
      <c r="B179" s="1711" t="s">
        <v>2161</v>
      </c>
      <c r="C179" s="1711"/>
      <c r="D179" s="1711"/>
      <c r="E179" s="1711"/>
      <c r="F179" s="1711"/>
      <c r="G179" s="2571">
        <f>'Part III-A-Uses of Funds'!G65</f>
        <v>50000</v>
      </c>
      <c r="H179" s="2571"/>
      <c r="I179" s="1711"/>
      <c r="J179" s="2571">
        <f>'Part III-A-Uses of Funds'!J65</f>
        <v>0</v>
      </c>
      <c r="K179" s="2571"/>
      <c r="L179" s="2560"/>
      <c r="M179" s="2571">
        <f>'Part III-A-Uses of Funds'!M65</f>
        <v>0</v>
      </c>
      <c r="N179" s="2571"/>
      <c r="O179" s="1711"/>
      <c r="P179" s="2571">
        <f>'Part III-A-Uses of Funds'!P65</f>
        <v>50000</v>
      </c>
      <c r="Q179" s="2571"/>
      <c r="R179" s="1711"/>
      <c r="S179" s="2571">
        <f>'Part III-A-Uses of Funds'!S65</f>
        <v>0</v>
      </c>
      <c r="T179" s="2571"/>
      <c r="U179" s="1711"/>
      <c r="V179" s="2595"/>
      <c r="W179" s="2596"/>
      <c r="X179" s="2596"/>
      <c r="Y179" s="1711"/>
      <c r="Z179" s="1711"/>
      <c r="AA179" s="1711"/>
      <c r="AB179" s="1711"/>
      <c r="AC179" s="1711"/>
      <c r="AD179" s="1711"/>
      <c r="AE179" s="1711"/>
      <c r="AF179" s="1711"/>
      <c r="AG179" s="1711"/>
      <c r="AH179" s="1711"/>
      <c r="AI179" s="1711"/>
    </row>
    <row r="180" spans="1:35" ht="13.8">
      <c r="A180" s="1711"/>
      <c r="B180" s="1711" t="s">
        <v>2442</v>
      </c>
      <c r="C180" s="1711"/>
      <c r="D180" s="1711"/>
      <c r="E180" s="1711"/>
      <c r="F180" s="1711"/>
      <c r="G180" s="2571">
        <f>'Part III-A-Uses of Funds'!G66</f>
        <v>55000</v>
      </c>
      <c r="H180" s="2571"/>
      <c r="I180" s="1711"/>
      <c r="J180" s="2571">
        <f>'Part III-A-Uses of Funds'!J66</f>
        <v>0</v>
      </c>
      <c r="K180" s="2571"/>
      <c r="L180" s="2560"/>
      <c r="M180" s="2571">
        <f>'Part III-A-Uses of Funds'!M66</f>
        <v>0</v>
      </c>
      <c r="N180" s="2571"/>
      <c r="O180" s="1711"/>
      <c r="P180" s="2571">
        <f>'Part III-A-Uses of Funds'!P66</f>
        <v>55000</v>
      </c>
      <c r="Q180" s="2571"/>
      <c r="R180" s="1711"/>
      <c r="S180" s="2571">
        <f>'Part III-A-Uses of Funds'!S66</f>
        <v>0</v>
      </c>
      <c r="T180" s="2571"/>
      <c r="U180" s="1711"/>
      <c r="V180" s="2595"/>
      <c r="W180" s="2596"/>
      <c r="X180" s="2596"/>
      <c r="Y180" s="1711"/>
      <c r="Z180" s="1711"/>
      <c r="AA180" s="1711"/>
      <c r="AB180" s="1711"/>
      <c r="AC180" s="1711"/>
      <c r="AD180" s="1711"/>
      <c r="AE180" s="1711"/>
      <c r="AF180" s="1711"/>
      <c r="AG180" s="1711"/>
      <c r="AH180" s="1711"/>
      <c r="AI180" s="1711"/>
    </row>
    <row r="181" spans="1:35" ht="13.8">
      <c r="A181" s="1711"/>
      <c r="B181" s="1711" t="s">
        <v>675</v>
      </c>
      <c r="C181" s="1711"/>
      <c r="D181" s="1711"/>
      <c r="E181" s="1711"/>
      <c r="F181" s="1711"/>
      <c r="G181" s="2571">
        <f>'Part III-A-Uses of Funds'!G67</f>
        <v>25000</v>
      </c>
      <c r="H181" s="2571"/>
      <c r="I181" s="1711"/>
      <c r="J181" s="2571">
        <f>'Part III-A-Uses of Funds'!J67</f>
        <v>0</v>
      </c>
      <c r="K181" s="2571"/>
      <c r="L181" s="2560"/>
      <c r="M181" s="2571">
        <f>'Part III-A-Uses of Funds'!M67</f>
        <v>0</v>
      </c>
      <c r="N181" s="2571"/>
      <c r="O181" s="1711"/>
      <c r="P181" s="2571">
        <f>'Part III-A-Uses of Funds'!P67</f>
        <v>25000</v>
      </c>
      <c r="Q181" s="2571"/>
      <c r="R181" s="1711"/>
      <c r="S181" s="2571">
        <f>'Part III-A-Uses of Funds'!S67</f>
        <v>0</v>
      </c>
      <c r="T181" s="2571"/>
      <c r="U181" s="1711"/>
      <c r="V181" s="2595"/>
      <c r="W181" s="2596"/>
      <c r="X181" s="2596"/>
      <c r="Y181" s="1711"/>
      <c r="Z181" s="1711"/>
      <c r="AA181" s="1711"/>
      <c r="AB181" s="1711"/>
      <c r="AC181" s="1711"/>
      <c r="AD181" s="1711"/>
      <c r="AE181" s="1711"/>
      <c r="AF181" s="1711"/>
      <c r="AG181" s="1711"/>
      <c r="AH181" s="1711"/>
      <c r="AI181" s="1711"/>
    </row>
    <row r="182" spans="1:35" ht="13.8">
      <c r="A182" s="1711"/>
      <c r="B182" s="1711" t="s">
        <v>2162</v>
      </c>
      <c r="C182" s="1711"/>
      <c r="D182" s="1711"/>
      <c r="E182" s="1711"/>
      <c r="F182" s="1711"/>
      <c r="G182" s="2571">
        <f>'Part III-A-Uses of Funds'!G68</f>
        <v>45000</v>
      </c>
      <c r="H182" s="2571"/>
      <c r="I182" s="1711"/>
      <c r="J182" s="2571">
        <f>'Part III-A-Uses of Funds'!J68</f>
        <v>0</v>
      </c>
      <c r="K182" s="2571"/>
      <c r="L182" s="2560"/>
      <c r="M182" s="2571">
        <f>'Part III-A-Uses of Funds'!M68</f>
        <v>0</v>
      </c>
      <c r="N182" s="2571"/>
      <c r="O182" s="1711"/>
      <c r="P182" s="2571">
        <f>'Part III-A-Uses of Funds'!P68</f>
        <v>45000</v>
      </c>
      <c r="Q182" s="2571"/>
      <c r="R182" s="1711"/>
      <c r="S182" s="2571">
        <f>'Part III-A-Uses of Funds'!S68</f>
        <v>0</v>
      </c>
      <c r="T182" s="2571"/>
      <c r="U182" s="1711"/>
      <c r="V182" s="2595"/>
      <c r="W182" s="2596"/>
      <c r="X182" s="2596"/>
      <c r="Y182" s="1711"/>
      <c r="Z182" s="1711"/>
      <c r="AA182" s="1711"/>
      <c r="AB182" s="1711"/>
      <c r="AC182" s="1711"/>
      <c r="AD182" s="1711"/>
      <c r="AE182" s="1711"/>
      <c r="AF182" s="1711"/>
      <c r="AG182" s="1711"/>
      <c r="AH182" s="1711"/>
      <c r="AI182" s="1711"/>
    </row>
    <row r="183" spans="1:35" ht="13.8">
      <c r="A183" s="1711"/>
      <c r="B183" s="1711" t="s">
        <v>1198</v>
      </c>
      <c r="C183" s="1711"/>
      <c r="D183" s="1711"/>
      <c r="E183" s="1711"/>
      <c r="F183" s="1711"/>
      <c r="G183" s="2571">
        <f>'Part III-A-Uses of Funds'!G69</f>
        <v>30000</v>
      </c>
      <c r="H183" s="2571"/>
      <c r="I183" s="1711"/>
      <c r="J183" s="2571">
        <f>'Part III-A-Uses of Funds'!J69</f>
        <v>0</v>
      </c>
      <c r="K183" s="2571"/>
      <c r="L183" s="2560"/>
      <c r="M183" s="2571">
        <f>'Part III-A-Uses of Funds'!M69</f>
        <v>0</v>
      </c>
      <c r="N183" s="2571"/>
      <c r="O183" s="1711"/>
      <c r="P183" s="2571">
        <f>'Part III-A-Uses of Funds'!P69</f>
        <v>30000</v>
      </c>
      <c r="Q183" s="2571"/>
      <c r="R183" s="1711"/>
      <c r="S183" s="2571">
        <f>'Part III-A-Uses of Funds'!S69</f>
        <v>0</v>
      </c>
      <c r="T183" s="2571"/>
      <c r="U183" s="1711"/>
      <c r="V183" s="2595"/>
      <c r="W183" s="2596"/>
      <c r="X183" s="2596"/>
      <c r="Y183" s="1711"/>
      <c r="Z183" s="1711"/>
      <c r="AA183" s="1711"/>
      <c r="AB183" s="1711"/>
      <c r="AC183" s="1711"/>
      <c r="AD183" s="1711"/>
      <c r="AE183" s="1711"/>
      <c r="AF183" s="1711"/>
      <c r="AG183" s="1711"/>
      <c r="AH183" s="1711"/>
      <c r="AI183" s="1711"/>
    </row>
    <row r="184" spans="1:35" ht="13.8">
      <c r="A184" s="1711"/>
      <c r="B184" s="2624" t="s">
        <v>1084</v>
      </c>
      <c r="C184" s="1711"/>
      <c r="D184" s="2625"/>
      <c r="E184" s="2625"/>
      <c r="F184" s="2626"/>
      <c r="G184" s="2571">
        <f>'Part III-A-Uses of Funds'!G70</f>
        <v>75000</v>
      </c>
      <c r="H184" s="2571"/>
      <c r="I184" s="1711"/>
      <c r="J184" s="2571">
        <f>'Part III-A-Uses of Funds'!J70</f>
        <v>0</v>
      </c>
      <c r="K184" s="2571"/>
      <c r="L184" s="2560"/>
      <c r="M184" s="2571">
        <f>'Part III-A-Uses of Funds'!M70</f>
        <v>0</v>
      </c>
      <c r="N184" s="2571"/>
      <c r="O184" s="1711"/>
      <c r="P184" s="2571">
        <f>'Part III-A-Uses of Funds'!P70</f>
        <v>75000</v>
      </c>
      <c r="Q184" s="2571"/>
      <c r="R184" s="1711"/>
      <c r="S184" s="2571">
        <f>'Part III-A-Uses of Funds'!S70</f>
        <v>0</v>
      </c>
      <c r="T184" s="2571"/>
      <c r="U184" s="1711"/>
      <c r="V184" s="2595"/>
      <c r="W184" s="2596"/>
      <c r="X184" s="2596"/>
      <c r="Y184" s="1711"/>
      <c r="Z184" s="1711"/>
      <c r="AA184" s="1711"/>
      <c r="AB184" s="1711"/>
      <c r="AC184" s="1711"/>
      <c r="AD184" s="1711"/>
      <c r="AE184" s="1711"/>
      <c r="AF184" s="1711"/>
      <c r="AG184" s="1711"/>
      <c r="AH184" s="1711"/>
      <c r="AI184" s="1711"/>
    </row>
    <row r="185" spans="1:35" ht="15.75" customHeight="1">
      <c r="A185" s="2597" t="str">
        <f>IF(AND(G185&gt;0,OR(C185="",C185="&lt;Enter detailed description here; use Comments section if needed&gt;")),"X","")</f>
        <v/>
      </c>
      <c r="B185" s="2547" t="s">
        <v>4168</v>
      </c>
      <c r="C185" s="2411" t="str">
        <f>'Part III-A-Uses of Funds'!C71</f>
        <v>&lt;&lt; Enter description here; provide detail &amp; justification in tab Part III-b &gt;&gt;</v>
      </c>
      <c r="D185" s="2411"/>
      <c r="E185" s="2411"/>
      <c r="F185" s="2411"/>
      <c r="G185" s="2571">
        <f>'Part III-A-Uses of Funds'!G71</f>
        <v>0</v>
      </c>
      <c r="H185" s="2571"/>
      <c r="I185" s="1711"/>
      <c r="J185" s="2571">
        <f>'Part III-A-Uses of Funds'!J71</f>
        <v>0</v>
      </c>
      <c r="K185" s="2571"/>
      <c r="L185" s="2560"/>
      <c r="M185" s="2571">
        <f>'Part III-A-Uses of Funds'!M71</f>
        <v>0</v>
      </c>
      <c r="N185" s="2571"/>
      <c r="O185" s="1711"/>
      <c r="P185" s="2571">
        <f>'Part III-A-Uses of Funds'!P71</f>
        <v>0</v>
      </c>
      <c r="Q185" s="2571"/>
      <c r="R185" s="1711"/>
      <c r="S185" s="2571">
        <f>'Part III-A-Uses of Funds'!S71</f>
        <v>0</v>
      </c>
      <c r="T185" s="2571"/>
      <c r="U185" s="2551" t="str">
        <f>IF(AND(G185&gt;0,OR(C185="",C185="&lt;Enter detailed description here; use Comments section if needed&gt;")),"NO DESCRIPTION PROVIDED - please enter detailed description in Other box at left; use Comments section below if needed.","")</f>
        <v/>
      </c>
      <c r="V185" s="2595"/>
      <c r="W185" s="2596"/>
      <c r="X185" s="2596"/>
      <c r="Y185" s="1711"/>
      <c r="Z185" s="1711"/>
      <c r="AA185" s="1711"/>
      <c r="AB185" s="1711"/>
      <c r="AC185" s="1711"/>
      <c r="AD185" s="1711"/>
      <c r="AE185" s="1711"/>
      <c r="AF185" s="1711"/>
      <c r="AG185" s="1711"/>
      <c r="AH185" s="1711"/>
      <c r="AI185" s="1711"/>
    </row>
    <row r="186" spans="1:35" ht="16.5" customHeight="1">
      <c r="A186" s="2597" t="str">
        <f>IF(AND(G186&gt;0,OR(C186="",C186="&lt;Enter detailed description here; use Comments section if needed&gt;")),"X","")</f>
        <v/>
      </c>
      <c r="B186" s="2547" t="s">
        <v>4169</v>
      </c>
      <c r="C186" s="2411" t="str">
        <f>'Part III-A-Uses of Funds'!C72</f>
        <v>&lt;&lt; Enter description here; provide detail &amp; justification in tab Part III-b &gt;&gt;</v>
      </c>
      <c r="D186" s="2411"/>
      <c r="E186" s="2411"/>
      <c r="F186" s="2411"/>
      <c r="G186" s="2571">
        <f>'Part III-A-Uses of Funds'!G72</f>
        <v>0</v>
      </c>
      <c r="H186" s="2571"/>
      <c r="I186" s="1711"/>
      <c r="J186" s="2571">
        <f>'Part III-A-Uses of Funds'!J72</f>
        <v>0</v>
      </c>
      <c r="K186" s="2571"/>
      <c r="L186" s="2560"/>
      <c r="M186" s="2571">
        <f>'Part III-A-Uses of Funds'!M72</f>
        <v>0</v>
      </c>
      <c r="N186" s="2571"/>
      <c r="O186" s="1711"/>
      <c r="P186" s="2571">
        <f>'Part III-A-Uses of Funds'!P72</f>
        <v>0</v>
      </c>
      <c r="Q186" s="2571"/>
      <c r="R186" s="1711"/>
      <c r="S186" s="2571">
        <f>'Part III-A-Uses of Funds'!S72</f>
        <v>0</v>
      </c>
      <c r="T186" s="2571"/>
      <c r="U186" s="2551" t="str">
        <f>IF(AND(G186&gt;0,OR(C186="",C186="&lt;Enter detailed description here; use Comments section if needed&gt;")),"NO DESCRIPTION PROVIDED - please enter detailed description in Other box at left; use Comments section below if needed.","")</f>
        <v/>
      </c>
      <c r="V186" s="2595"/>
      <c r="W186" s="2596"/>
      <c r="X186" s="2596"/>
      <c r="Y186" s="1711"/>
      <c r="Z186" s="1711"/>
      <c r="AA186" s="1711"/>
      <c r="AB186" s="1711"/>
      <c r="AC186" s="1711"/>
      <c r="AD186" s="1711"/>
      <c r="AE186" s="1711"/>
      <c r="AF186" s="1711"/>
      <c r="AG186" s="1711"/>
      <c r="AH186" s="1711"/>
      <c r="AI186" s="1711"/>
    </row>
    <row r="187" spans="1:35" ht="13.8">
      <c r="A187" s="1711"/>
      <c r="B187" s="1711"/>
      <c r="C187" s="1711"/>
      <c r="D187" s="1711"/>
      <c r="E187" s="1711"/>
      <c r="F187" s="2599" t="s">
        <v>184</v>
      </c>
      <c r="G187" s="2571">
        <f>SUM(G175:G186)</f>
        <v>2926983</v>
      </c>
      <c r="H187" s="2571"/>
      <c r="I187" s="1711"/>
      <c r="J187" s="2571">
        <f>SUM(J175:J186)</f>
        <v>0</v>
      </c>
      <c r="K187" s="2571"/>
      <c r="L187" s="2560"/>
      <c r="M187" s="2571">
        <f>SUM(M175:M186)</f>
        <v>0</v>
      </c>
      <c r="N187" s="2571"/>
      <c r="O187" s="1711"/>
      <c r="P187" s="2571">
        <f>SUM(P175:P186)</f>
        <v>2571935.5499999998</v>
      </c>
      <c r="Q187" s="2571"/>
      <c r="R187" s="1711"/>
      <c r="S187" s="2571">
        <f>SUM(S175:S186)</f>
        <v>355047.44999999995</v>
      </c>
      <c r="T187" s="2571"/>
      <c r="U187" s="1711"/>
      <c r="V187" s="2595">
        <f>SUM(V175:V186)</f>
        <v>0</v>
      </c>
      <c r="W187" s="2596"/>
      <c r="X187" s="2596"/>
      <c r="Y187" s="1711"/>
      <c r="Z187" s="1711"/>
      <c r="AA187" s="1711"/>
      <c r="AB187" s="1711"/>
      <c r="AC187" s="1711"/>
      <c r="AD187" s="1711"/>
      <c r="AE187" s="1711"/>
      <c r="AF187" s="1711"/>
      <c r="AG187" s="1711"/>
      <c r="AH187" s="1711"/>
      <c r="AI187" s="1711"/>
    </row>
    <row r="188" spans="1:35" ht="13.8">
      <c r="A188" s="1711"/>
      <c r="B188" s="2542" t="s">
        <v>448</v>
      </c>
      <c r="C188" s="1711"/>
      <c r="D188" s="1711"/>
      <c r="E188" s="1711"/>
      <c r="F188" s="1711"/>
      <c r="G188" s="2571"/>
      <c r="H188" s="2571"/>
      <c r="I188" s="1711"/>
      <c r="J188" s="2571"/>
      <c r="K188" s="2571"/>
      <c r="L188" s="1711"/>
      <c r="M188" s="2571"/>
      <c r="N188" s="2571"/>
      <c r="O188" s="2600" t="str">
        <f>B188</f>
        <v>PROFESSIONAL SERVICES</v>
      </c>
      <c r="P188" s="2571"/>
      <c r="Q188" s="2571"/>
      <c r="R188" s="1711"/>
      <c r="S188" s="2571"/>
      <c r="T188" s="2571"/>
      <c r="U188" s="1711"/>
      <c r="V188" s="2595"/>
      <c r="W188" s="1711" t="str">
        <f>B188</f>
        <v>PROFESSIONAL SERVICES</v>
      </c>
      <c r="X188" s="1711"/>
      <c r="Y188" s="1711"/>
      <c r="Z188" s="1711"/>
      <c r="AA188" s="1711"/>
      <c r="AB188" s="1711"/>
      <c r="AC188" s="1711"/>
      <c r="AD188" s="1711"/>
      <c r="AE188" s="1711"/>
      <c r="AF188" s="1711"/>
      <c r="AG188" s="1711"/>
      <c r="AH188" s="1711"/>
      <c r="AI188" s="1711"/>
    </row>
    <row r="189" spans="1:35" ht="13.8">
      <c r="A189" s="1711"/>
      <c r="B189" s="1711" t="s">
        <v>449</v>
      </c>
      <c r="C189" s="1711"/>
      <c r="D189" s="1711"/>
      <c r="E189" s="1711"/>
      <c r="F189" s="1711"/>
      <c r="G189" s="2571">
        <f>'Part III-A-Uses of Funds'!G75</f>
        <v>250000</v>
      </c>
      <c r="H189" s="2571"/>
      <c r="I189" s="1711"/>
      <c r="J189" s="2571">
        <f>'Part III-A-Uses of Funds'!J75</f>
        <v>0</v>
      </c>
      <c r="K189" s="2571"/>
      <c r="L189" s="2560"/>
      <c r="M189" s="2571">
        <f>'Part III-A-Uses of Funds'!M75</f>
        <v>0</v>
      </c>
      <c r="N189" s="2571"/>
      <c r="O189" s="1711"/>
      <c r="P189" s="2571">
        <f>'Part III-A-Uses of Funds'!P75</f>
        <v>250000</v>
      </c>
      <c r="Q189" s="2571"/>
      <c r="R189" s="1711"/>
      <c r="S189" s="2571">
        <f>'Part III-A-Uses of Funds'!S75</f>
        <v>0</v>
      </c>
      <c r="T189" s="2571"/>
      <c r="U189" s="1711"/>
      <c r="V189" s="2595"/>
      <c r="W189" s="2596"/>
      <c r="X189" s="2596"/>
      <c r="Y189" s="1711"/>
      <c r="Z189" s="1711"/>
      <c r="AA189" s="1711"/>
      <c r="AB189" s="1711"/>
      <c r="AC189" s="1711"/>
      <c r="AD189" s="1711"/>
      <c r="AE189" s="1711"/>
      <c r="AF189" s="1711"/>
      <c r="AG189" s="1711"/>
      <c r="AH189" s="1711"/>
      <c r="AI189" s="1711"/>
    </row>
    <row r="190" spans="1:35" ht="13.8">
      <c r="A190" s="1711"/>
      <c r="B190" s="1711" t="s">
        <v>450</v>
      </c>
      <c r="C190" s="1711"/>
      <c r="D190" s="1711"/>
      <c r="E190" s="1711"/>
      <c r="F190" s="1711"/>
      <c r="G190" s="2571">
        <f>'Part III-A-Uses of Funds'!G76</f>
        <v>50000</v>
      </c>
      <c r="H190" s="2571"/>
      <c r="I190" s="1711"/>
      <c r="J190" s="2571">
        <f>'Part III-A-Uses of Funds'!J76</f>
        <v>0</v>
      </c>
      <c r="K190" s="2571"/>
      <c r="L190" s="2560"/>
      <c r="M190" s="2571">
        <f>'Part III-A-Uses of Funds'!M76</f>
        <v>0</v>
      </c>
      <c r="N190" s="2571"/>
      <c r="O190" s="1711"/>
      <c r="P190" s="2571">
        <f>'Part III-A-Uses of Funds'!P76</f>
        <v>50000</v>
      </c>
      <c r="Q190" s="2571"/>
      <c r="R190" s="1711"/>
      <c r="S190" s="2571">
        <f>'Part III-A-Uses of Funds'!S76</f>
        <v>0</v>
      </c>
      <c r="T190" s="2571"/>
      <c r="U190" s="1711"/>
      <c r="V190" s="2595"/>
      <c r="W190" s="2596"/>
      <c r="X190" s="2596"/>
      <c r="Y190" s="1711"/>
      <c r="Z190" s="1711"/>
      <c r="AA190" s="1711"/>
      <c r="AB190" s="1711"/>
      <c r="AC190" s="1711"/>
      <c r="AD190" s="1711"/>
      <c r="AE190" s="1711"/>
      <c r="AF190" s="1711"/>
      <c r="AG190" s="1711"/>
      <c r="AH190" s="1711"/>
      <c r="AI190" s="1711"/>
    </row>
    <row r="191" spans="1:35" ht="13.8">
      <c r="A191" s="1711"/>
      <c r="B191" s="1711" t="s">
        <v>1060</v>
      </c>
      <c r="C191" s="1711"/>
      <c r="D191" s="2552"/>
      <c r="E191" s="2627"/>
      <c r="F191" s="2542"/>
      <c r="G191" s="2571">
        <f>'Part III-A-Uses of Funds'!G77</f>
        <v>20000</v>
      </c>
      <c r="H191" s="2571"/>
      <c r="I191" s="1711"/>
      <c r="J191" s="2571">
        <f>'Part III-A-Uses of Funds'!J77</f>
        <v>0</v>
      </c>
      <c r="K191" s="2571"/>
      <c r="L191" s="2560"/>
      <c r="M191" s="2571">
        <f>'Part III-A-Uses of Funds'!M77</f>
        <v>0</v>
      </c>
      <c r="N191" s="2571"/>
      <c r="O191" s="1711"/>
      <c r="P191" s="2571">
        <f>'Part III-A-Uses of Funds'!P77</f>
        <v>20000</v>
      </c>
      <c r="Q191" s="2571"/>
      <c r="R191" s="1711"/>
      <c r="S191" s="2571">
        <f>'Part III-A-Uses of Funds'!S77</f>
        <v>0</v>
      </c>
      <c r="T191" s="2571"/>
      <c r="U191" s="1711"/>
      <c r="V191" s="2595"/>
      <c r="W191" s="2596"/>
      <c r="X191" s="2596"/>
      <c r="Y191" s="1711"/>
      <c r="Z191" s="1711"/>
      <c r="AA191" s="1711"/>
      <c r="AB191" s="1711"/>
      <c r="AC191" s="1711"/>
      <c r="AD191" s="1711"/>
      <c r="AE191" s="1711"/>
      <c r="AF191" s="1711"/>
      <c r="AG191" s="1711"/>
      <c r="AH191" s="1711"/>
      <c r="AI191" s="1711"/>
    </row>
    <row r="192" spans="1:35" ht="13.8">
      <c r="A192" s="1711"/>
      <c r="B192" s="1711" t="s">
        <v>1061</v>
      </c>
      <c r="C192" s="1711"/>
      <c r="D192" s="1711"/>
      <c r="E192" s="1711"/>
      <c r="F192" s="1711"/>
      <c r="G192" s="2571">
        <f>'Part III-A-Uses of Funds'!G78</f>
        <v>20000</v>
      </c>
      <c r="H192" s="2571"/>
      <c r="I192" s="1711"/>
      <c r="J192" s="2571">
        <f>'Part III-A-Uses of Funds'!J78</f>
        <v>0</v>
      </c>
      <c r="K192" s="2571"/>
      <c r="L192" s="2560"/>
      <c r="M192" s="2571">
        <f>'Part III-A-Uses of Funds'!M78</f>
        <v>0</v>
      </c>
      <c r="N192" s="2571"/>
      <c r="O192" s="1711"/>
      <c r="P192" s="2571">
        <f>'Part III-A-Uses of Funds'!P78</f>
        <v>20000</v>
      </c>
      <c r="Q192" s="2571"/>
      <c r="R192" s="1711"/>
      <c r="S192" s="2571">
        <f>'Part III-A-Uses of Funds'!S78</f>
        <v>0</v>
      </c>
      <c r="T192" s="2571"/>
      <c r="U192" s="1711"/>
      <c r="V192" s="2595"/>
      <c r="W192" s="2596"/>
      <c r="X192" s="2596"/>
      <c r="Y192" s="1711"/>
      <c r="Z192" s="1711"/>
      <c r="AA192" s="1711"/>
      <c r="AB192" s="1711"/>
      <c r="AC192" s="1711"/>
      <c r="AD192" s="1711"/>
      <c r="AE192" s="1711"/>
      <c r="AF192" s="1711"/>
      <c r="AG192" s="1711"/>
      <c r="AH192" s="1711"/>
      <c r="AI192" s="1711"/>
    </row>
    <row r="193" spans="1:35" ht="13.8">
      <c r="A193" s="1711"/>
      <c r="B193" s="1711" t="s">
        <v>1062</v>
      </c>
      <c r="C193" s="1711"/>
      <c r="D193" s="1711"/>
      <c r="E193" s="1711"/>
      <c r="F193" s="1711"/>
      <c r="G193" s="2571">
        <f>'Part III-A-Uses of Funds'!G79</f>
        <v>8100</v>
      </c>
      <c r="H193" s="2571"/>
      <c r="I193" s="1711"/>
      <c r="J193" s="2571">
        <f>'Part III-A-Uses of Funds'!J79</f>
        <v>0</v>
      </c>
      <c r="K193" s="2571"/>
      <c r="L193" s="2560"/>
      <c r="M193" s="2571">
        <f>'Part III-A-Uses of Funds'!M79</f>
        <v>0</v>
      </c>
      <c r="N193" s="2571"/>
      <c r="O193" s="1711"/>
      <c r="P193" s="2571">
        <f>'Part III-A-Uses of Funds'!P79</f>
        <v>8100</v>
      </c>
      <c r="Q193" s="2571"/>
      <c r="R193" s="1711"/>
      <c r="S193" s="2571">
        <f>'Part III-A-Uses of Funds'!S79</f>
        <v>0</v>
      </c>
      <c r="T193" s="2571"/>
      <c r="U193" s="1711"/>
      <c r="V193" s="2595"/>
      <c r="W193" s="2596"/>
      <c r="X193" s="2596"/>
      <c r="Y193" s="1711"/>
      <c r="Z193" s="1711"/>
      <c r="AA193" s="1711"/>
      <c r="AB193" s="1711"/>
      <c r="AC193" s="1711"/>
      <c r="AD193" s="1711"/>
      <c r="AE193" s="1711"/>
      <c r="AF193" s="1711"/>
      <c r="AG193" s="1711"/>
      <c r="AH193" s="1711"/>
      <c r="AI193" s="1711"/>
    </row>
    <row r="194" spans="1:35" ht="13.8">
      <c r="A194" s="1711"/>
      <c r="B194" s="1711" t="s">
        <v>1063</v>
      </c>
      <c r="C194" s="1711"/>
      <c r="D194" s="1711"/>
      <c r="E194" s="1711"/>
      <c r="F194" s="1711"/>
      <c r="G194" s="2571">
        <f>'Part III-A-Uses of Funds'!G80</f>
        <v>15000</v>
      </c>
      <c r="H194" s="2571"/>
      <c r="I194" s="1711"/>
      <c r="J194" s="2571">
        <f>'Part III-A-Uses of Funds'!J80</f>
        <v>0</v>
      </c>
      <c r="K194" s="2571"/>
      <c r="L194" s="2560"/>
      <c r="M194" s="2571">
        <f>'Part III-A-Uses of Funds'!M80</f>
        <v>0</v>
      </c>
      <c r="N194" s="2571"/>
      <c r="O194" s="1711"/>
      <c r="P194" s="2571">
        <f>'Part III-A-Uses of Funds'!P80</f>
        <v>15000</v>
      </c>
      <c r="Q194" s="2571"/>
      <c r="R194" s="1711"/>
      <c r="S194" s="2571">
        <f>'Part III-A-Uses of Funds'!S80</f>
        <v>0</v>
      </c>
      <c r="T194" s="2571"/>
      <c r="U194" s="1711"/>
      <c r="V194" s="2595"/>
      <c r="W194" s="2596"/>
      <c r="X194" s="2596"/>
      <c r="Y194" s="1711"/>
      <c r="Z194" s="1711"/>
      <c r="AA194" s="1711"/>
      <c r="AB194" s="1711"/>
      <c r="AC194" s="1711"/>
      <c r="AD194" s="1711"/>
      <c r="AE194" s="1711"/>
      <c r="AF194" s="1711"/>
      <c r="AG194" s="1711"/>
      <c r="AH194" s="1711"/>
      <c r="AI194" s="1711"/>
    </row>
    <row r="195" spans="1:35" ht="13.8">
      <c r="A195" s="1711"/>
      <c r="B195" s="1711" t="s">
        <v>451</v>
      </c>
      <c r="C195" s="1711"/>
      <c r="D195" s="1711"/>
      <c r="E195" s="1711"/>
      <c r="F195" s="1711"/>
      <c r="G195" s="2571">
        <f>'Part III-A-Uses of Funds'!G81</f>
        <v>60000</v>
      </c>
      <c r="H195" s="2571"/>
      <c r="I195" s="1711"/>
      <c r="J195" s="2571">
        <f>'Part III-A-Uses of Funds'!J81</f>
        <v>0</v>
      </c>
      <c r="K195" s="2571"/>
      <c r="L195" s="2560"/>
      <c r="M195" s="2571">
        <f>'Part III-A-Uses of Funds'!M81</f>
        <v>0</v>
      </c>
      <c r="N195" s="2571"/>
      <c r="O195" s="1711"/>
      <c r="P195" s="2571">
        <f>'Part III-A-Uses of Funds'!P81</f>
        <v>60000</v>
      </c>
      <c r="Q195" s="2571"/>
      <c r="R195" s="1711"/>
      <c r="S195" s="2571">
        <f>'Part III-A-Uses of Funds'!S81</f>
        <v>0</v>
      </c>
      <c r="T195" s="2571"/>
      <c r="U195" s="1711"/>
      <c r="V195" s="2595"/>
      <c r="W195" s="2596"/>
      <c r="X195" s="2596"/>
      <c r="Y195" s="1711"/>
      <c r="Z195" s="1711"/>
      <c r="AA195" s="1711"/>
      <c r="AB195" s="1711"/>
      <c r="AC195" s="1711"/>
      <c r="AD195" s="1711"/>
      <c r="AE195" s="1711"/>
      <c r="AF195" s="1711"/>
      <c r="AG195" s="1711"/>
      <c r="AH195" s="1711"/>
      <c r="AI195" s="1711"/>
    </row>
    <row r="196" spans="1:35" ht="13.8">
      <c r="A196" s="1711"/>
      <c r="B196" s="1711" t="s">
        <v>452</v>
      </c>
      <c r="C196" s="1711"/>
      <c r="D196" s="1711"/>
      <c r="E196" s="1711"/>
      <c r="F196" s="1711"/>
      <c r="G196" s="2571">
        <f>'Part III-A-Uses of Funds'!G82</f>
        <v>130000</v>
      </c>
      <c r="H196" s="2571"/>
      <c r="I196" s="1711"/>
      <c r="J196" s="2571">
        <f>'Part III-A-Uses of Funds'!J82</f>
        <v>0</v>
      </c>
      <c r="K196" s="2571"/>
      <c r="L196" s="2560"/>
      <c r="M196" s="2571">
        <f>'Part III-A-Uses of Funds'!M82</f>
        <v>0</v>
      </c>
      <c r="N196" s="2571"/>
      <c r="O196" s="1711"/>
      <c r="P196" s="2571">
        <f>'Part III-A-Uses of Funds'!P82</f>
        <v>130000</v>
      </c>
      <c r="Q196" s="2571"/>
      <c r="R196" s="1711"/>
      <c r="S196" s="2571">
        <f>'Part III-A-Uses of Funds'!S82</f>
        <v>0</v>
      </c>
      <c r="T196" s="2571"/>
      <c r="U196" s="1711"/>
      <c r="V196" s="2595"/>
      <c r="W196" s="2596"/>
      <c r="X196" s="2596"/>
      <c r="Y196" s="1711"/>
      <c r="Z196" s="1711"/>
      <c r="AA196" s="1711"/>
      <c r="AB196" s="1711"/>
      <c r="AC196" s="1711"/>
      <c r="AD196" s="1711"/>
      <c r="AE196" s="1711"/>
      <c r="AF196" s="1711"/>
      <c r="AG196" s="1711"/>
      <c r="AH196" s="1711"/>
      <c r="AI196" s="1711"/>
    </row>
    <row r="197" spans="1:35" ht="13.8">
      <c r="A197" s="1711"/>
      <c r="B197" s="1711" t="s">
        <v>1893</v>
      </c>
      <c r="C197" s="1711"/>
      <c r="D197" s="1711"/>
      <c r="E197" s="1711"/>
      <c r="F197" s="1711"/>
      <c r="G197" s="2571">
        <f>'Part III-A-Uses of Funds'!G83</f>
        <v>20000</v>
      </c>
      <c r="H197" s="2571"/>
      <c r="I197" s="1711"/>
      <c r="J197" s="2571">
        <f>'Part III-A-Uses of Funds'!J83</f>
        <v>0</v>
      </c>
      <c r="K197" s="2571"/>
      <c r="L197" s="2560"/>
      <c r="M197" s="2571">
        <f>'Part III-A-Uses of Funds'!M83</f>
        <v>0</v>
      </c>
      <c r="N197" s="2571"/>
      <c r="O197" s="1711"/>
      <c r="P197" s="2571">
        <f>'Part III-A-Uses of Funds'!P83</f>
        <v>20000</v>
      </c>
      <c r="Q197" s="2571"/>
      <c r="R197" s="1711"/>
      <c r="S197" s="2571">
        <f>'Part III-A-Uses of Funds'!S83</f>
        <v>0</v>
      </c>
      <c r="T197" s="2571"/>
      <c r="U197" s="1711"/>
      <c r="V197" s="2595"/>
      <c r="W197" s="2596"/>
      <c r="X197" s="2596"/>
      <c r="Y197" s="1711"/>
      <c r="Z197" s="1711"/>
      <c r="AA197" s="1711"/>
      <c r="AB197" s="1711"/>
      <c r="AC197" s="1711"/>
      <c r="AD197" s="1711"/>
      <c r="AE197" s="1711"/>
      <c r="AF197" s="1711"/>
      <c r="AG197" s="1711"/>
      <c r="AH197" s="1711"/>
      <c r="AI197" s="1711"/>
    </row>
    <row r="198" spans="1:35" ht="13.8">
      <c r="A198" s="1711"/>
      <c r="B198" s="1711" t="s">
        <v>1199</v>
      </c>
      <c r="C198" s="1711"/>
      <c r="D198" s="1711"/>
      <c r="E198" s="1711"/>
      <c r="F198" s="1711"/>
      <c r="G198" s="2571">
        <f>'Part III-A-Uses of Funds'!G84</f>
        <v>15000</v>
      </c>
      <c r="H198" s="2571"/>
      <c r="I198" s="1711"/>
      <c r="J198" s="2571">
        <f>'Part III-A-Uses of Funds'!J84</f>
        <v>0</v>
      </c>
      <c r="K198" s="2571"/>
      <c r="L198" s="2560"/>
      <c r="M198" s="2571">
        <f>'Part III-A-Uses of Funds'!M84</f>
        <v>0</v>
      </c>
      <c r="N198" s="2571"/>
      <c r="O198" s="1711"/>
      <c r="P198" s="2571">
        <f>'Part III-A-Uses of Funds'!P84</f>
        <v>15000</v>
      </c>
      <c r="Q198" s="2571"/>
      <c r="R198" s="1711"/>
      <c r="S198" s="2571">
        <f>'Part III-A-Uses of Funds'!S84</f>
        <v>0</v>
      </c>
      <c r="T198" s="2571"/>
      <c r="U198" s="1711"/>
      <c r="V198" s="2595"/>
      <c r="W198" s="2596"/>
      <c r="X198" s="2596"/>
      <c r="Y198" s="1711"/>
      <c r="Z198" s="1711"/>
      <c r="AA198" s="1711"/>
      <c r="AB198" s="1711"/>
      <c r="AC198" s="1711"/>
      <c r="AD198" s="1711"/>
      <c r="AE198" s="1711"/>
      <c r="AF198" s="1711"/>
      <c r="AG198" s="1711"/>
      <c r="AH198" s="1711"/>
      <c r="AI198" s="1711"/>
    </row>
    <row r="199" spans="1:35" ht="16.5" customHeight="1">
      <c r="A199" s="2597" t="str">
        <f>IF(AND(G199&gt;0,OR(C199="",C199="&lt;Enter detailed description here; use Comments section if needed&gt;")),"X","")</f>
        <v/>
      </c>
      <c r="B199" s="2547" t="s">
        <v>4170</v>
      </c>
      <c r="C199" s="2411" t="str">
        <f>'Part III-A-Uses of Funds'!C85</f>
        <v>&lt;&lt; Enter description here; provide detail &amp; justification in tab Part III-b &gt;&gt;</v>
      </c>
      <c r="D199" s="2411"/>
      <c r="E199" s="2411"/>
      <c r="F199" s="2411"/>
      <c r="G199" s="2571">
        <f>'Part III-A-Uses of Funds'!G85</f>
        <v>0</v>
      </c>
      <c r="H199" s="2571"/>
      <c r="I199" s="1711"/>
      <c r="J199" s="2571">
        <f>'Part III-A-Uses of Funds'!J85</f>
        <v>0</v>
      </c>
      <c r="K199" s="2571"/>
      <c r="L199" s="2560"/>
      <c r="M199" s="2571">
        <f>'Part III-A-Uses of Funds'!M85</f>
        <v>0</v>
      </c>
      <c r="N199" s="2571"/>
      <c r="O199" s="1711"/>
      <c r="P199" s="2571">
        <f>'Part III-A-Uses of Funds'!P85</f>
        <v>0</v>
      </c>
      <c r="Q199" s="2571"/>
      <c r="R199" s="1711"/>
      <c r="S199" s="2571">
        <f>'Part III-A-Uses of Funds'!S85</f>
        <v>0</v>
      </c>
      <c r="T199" s="2571"/>
      <c r="U199" s="2551" t="str">
        <f>IF(AND(G199&gt;0,OR(C199="",C199="&lt;Enter detailed description here; use Comments section if needed&gt;")),"NO DESCRIPTION PROVIDED - please enter detailed description in Other box at left; use Comments section below if needed.","")</f>
        <v/>
      </c>
      <c r="V199" s="2595"/>
      <c r="W199" s="2596"/>
      <c r="X199" s="2596"/>
      <c r="Y199" s="1711"/>
      <c r="Z199" s="1711"/>
      <c r="AA199" s="1711"/>
      <c r="AB199" s="1711"/>
      <c r="AC199" s="1711"/>
      <c r="AD199" s="1711"/>
      <c r="AE199" s="1711"/>
      <c r="AF199" s="1711"/>
      <c r="AG199" s="1711"/>
      <c r="AH199" s="1711"/>
      <c r="AI199" s="1711"/>
    </row>
    <row r="200" spans="1:35" ht="13.8">
      <c r="A200" s="1711"/>
      <c r="B200" s="1711"/>
      <c r="C200" s="1711"/>
      <c r="D200" s="1711"/>
      <c r="E200" s="1711"/>
      <c r="F200" s="2599" t="s">
        <v>184</v>
      </c>
      <c r="G200" s="2571">
        <f>SUM(G189:G199)</f>
        <v>588100</v>
      </c>
      <c r="H200" s="2571"/>
      <c r="I200" s="1711"/>
      <c r="J200" s="2571">
        <f>SUM(J189:J199)</f>
        <v>0</v>
      </c>
      <c r="K200" s="2571"/>
      <c r="L200" s="2560"/>
      <c r="M200" s="2571">
        <f>SUM(M189:M199)</f>
        <v>0</v>
      </c>
      <c r="N200" s="2571"/>
      <c r="O200" s="1711"/>
      <c r="P200" s="2571">
        <f>SUM(P189:P199)</f>
        <v>588100</v>
      </c>
      <c r="Q200" s="2571"/>
      <c r="R200" s="1711"/>
      <c r="S200" s="2571">
        <f>SUM(S189:S199)</f>
        <v>0</v>
      </c>
      <c r="T200" s="2571"/>
      <c r="U200" s="1711"/>
      <c r="V200" s="2595">
        <f>SUM(V189:V199)</f>
        <v>0</v>
      </c>
      <c r="W200" s="2596"/>
      <c r="X200" s="2596"/>
      <c r="Y200" s="1711"/>
      <c r="Z200" s="1711"/>
      <c r="AA200" s="1711"/>
      <c r="AB200" s="1711"/>
      <c r="AC200" s="1711"/>
      <c r="AD200" s="1711"/>
      <c r="AE200" s="1711"/>
      <c r="AF200" s="1711"/>
      <c r="AG200" s="1711"/>
      <c r="AH200" s="1711"/>
      <c r="AI200" s="1711"/>
    </row>
    <row r="201" spans="1:35" ht="13.8">
      <c r="A201" s="1711"/>
      <c r="B201" s="2542" t="s">
        <v>1191</v>
      </c>
      <c r="C201" s="1711"/>
      <c r="D201" s="2628" t="s">
        <v>3143</v>
      </c>
      <c r="E201" s="2629">
        <f>G206/'Part V-Revenues &amp; Expenses'!$P$76</f>
        <v>531.25</v>
      </c>
      <c r="F201" s="1711"/>
      <c r="G201" s="1711"/>
      <c r="H201" s="1711"/>
      <c r="I201" s="1711"/>
      <c r="J201" s="2560"/>
      <c r="K201" s="2560"/>
      <c r="L201" s="377"/>
      <c r="M201" s="2560"/>
      <c r="N201" s="2560"/>
      <c r="O201" s="2600" t="str">
        <f>B201</f>
        <v>LOCAL GOVERNMENT FEES</v>
      </c>
      <c r="P201" s="2560"/>
      <c r="Q201" s="2560"/>
      <c r="R201" s="377"/>
      <c r="S201" s="2560"/>
      <c r="T201" s="2560"/>
      <c r="U201" s="377"/>
      <c r="V201" s="2595"/>
      <c r="W201" s="1711" t="str">
        <f>B201</f>
        <v>LOCAL GOVERNMENT FEES</v>
      </c>
      <c r="X201" s="377"/>
      <c r="Y201" s="377"/>
      <c r="Z201" s="377"/>
      <c r="AA201" s="377"/>
      <c r="AB201" s="377"/>
      <c r="AC201" s="377"/>
      <c r="AD201" s="377"/>
      <c r="AE201" s="377"/>
      <c r="AF201" s="377"/>
      <c r="AG201" s="377"/>
      <c r="AH201" s="377"/>
      <c r="AI201" s="377"/>
    </row>
    <row r="202" spans="1:35" ht="13.8">
      <c r="A202" s="1711"/>
      <c r="B202" s="1711" t="s">
        <v>1192</v>
      </c>
      <c r="C202" s="1711"/>
      <c r="D202" s="1711"/>
      <c r="E202" s="1711"/>
      <c r="F202" s="1711"/>
      <c r="G202" s="2571">
        <f>'Part III-A-Uses of Funds'!G88</f>
        <v>85000</v>
      </c>
      <c r="H202" s="2571"/>
      <c r="I202" s="1711"/>
      <c r="J202" s="2571">
        <f>'Part III-A-Uses of Funds'!J88</f>
        <v>0</v>
      </c>
      <c r="K202" s="2571"/>
      <c r="L202" s="2560"/>
      <c r="M202" s="2571">
        <f>'Part III-A-Uses of Funds'!M88</f>
        <v>0</v>
      </c>
      <c r="N202" s="2571"/>
      <c r="O202" s="1711"/>
      <c r="P202" s="2571">
        <f>'Part III-A-Uses of Funds'!P88</f>
        <v>85000</v>
      </c>
      <c r="Q202" s="2571"/>
      <c r="R202" s="1711"/>
      <c r="S202" s="2571">
        <f>'Part III-A-Uses of Funds'!S88</f>
        <v>0</v>
      </c>
      <c r="T202" s="2571"/>
      <c r="U202" s="1711"/>
      <c r="V202" s="2595"/>
      <c r="W202" s="2596"/>
      <c r="X202" s="2596"/>
      <c r="Y202" s="1711"/>
      <c r="Z202" s="1711"/>
      <c r="AA202" s="1711"/>
      <c r="AB202" s="1711"/>
      <c r="AC202" s="1711"/>
      <c r="AD202" s="1711"/>
      <c r="AE202" s="1711"/>
      <c r="AF202" s="1711"/>
      <c r="AG202" s="1711"/>
      <c r="AH202" s="1711"/>
      <c r="AI202" s="1711"/>
    </row>
    <row r="203" spans="1:35" ht="13.8">
      <c r="A203" s="1711"/>
      <c r="B203" s="1711" t="s">
        <v>1193</v>
      </c>
      <c r="C203" s="1711"/>
      <c r="D203" s="1711"/>
      <c r="E203" s="1711"/>
      <c r="F203" s="1711"/>
      <c r="G203" s="2571">
        <f>'Part III-A-Uses of Funds'!G89</f>
        <v>0</v>
      </c>
      <c r="H203" s="2571"/>
      <c r="I203" s="1711"/>
      <c r="J203" s="2571">
        <f>'Part III-A-Uses of Funds'!J89</f>
        <v>0</v>
      </c>
      <c r="K203" s="2571"/>
      <c r="L203" s="2560"/>
      <c r="M203" s="2571">
        <f>'Part III-A-Uses of Funds'!M89</f>
        <v>0</v>
      </c>
      <c r="N203" s="2571"/>
      <c r="O203" s="1711"/>
      <c r="P203" s="2571">
        <f>'Part III-A-Uses of Funds'!P89</f>
        <v>0</v>
      </c>
      <c r="Q203" s="2571"/>
      <c r="R203" s="1711"/>
      <c r="S203" s="2571">
        <f>'Part III-A-Uses of Funds'!S89</f>
        <v>0</v>
      </c>
      <c r="T203" s="2571"/>
      <c r="U203" s="1711"/>
      <c r="V203" s="2595"/>
      <c r="W203" s="2596"/>
      <c r="X203" s="2596"/>
      <c r="Y203" s="1711"/>
      <c r="Z203" s="1711"/>
      <c r="AA203" s="1711"/>
      <c r="AB203" s="1711"/>
      <c r="AC203" s="1711"/>
      <c r="AD203" s="1711"/>
      <c r="AE203" s="1711"/>
      <c r="AF203" s="1711"/>
      <c r="AG203" s="1711"/>
      <c r="AH203" s="1711"/>
      <c r="AI203" s="1711"/>
    </row>
    <row r="204" spans="1:35" ht="13.8">
      <c r="A204" s="1711"/>
      <c r="B204" s="1711" t="s">
        <v>1194</v>
      </c>
      <c r="C204" s="1711"/>
      <c r="D204" s="2630" t="s">
        <v>1322</v>
      </c>
      <c r="E204" s="2631"/>
      <c r="F204" s="1711"/>
      <c r="G204" s="2571">
        <f>'Part III-A-Uses of Funds'!G90</f>
        <v>0</v>
      </c>
      <c r="H204" s="2571"/>
      <c r="I204" s="1711"/>
      <c r="J204" s="2571">
        <f>'Part III-A-Uses of Funds'!J90</f>
        <v>0</v>
      </c>
      <c r="K204" s="2571"/>
      <c r="L204" s="2560"/>
      <c r="M204" s="2571">
        <f>'Part III-A-Uses of Funds'!M90</f>
        <v>0</v>
      </c>
      <c r="N204" s="2571"/>
      <c r="O204" s="1711"/>
      <c r="P204" s="2571">
        <f>'Part III-A-Uses of Funds'!P90</f>
        <v>0</v>
      </c>
      <c r="Q204" s="2571"/>
      <c r="R204" s="1711"/>
      <c r="S204" s="2571">
        <f>'Part III-A-Uses of Funds'!S90</f>
        <v>0</v>
      </c>
      <c r="T204" s="2571"/>
      <c r="U204" s="1711"/>
      <c r="V204" s="2595"/>
      <c r="W204" s="2596"/>
      <c r="X204" s="2596"/>
      <c r="Y204" s="1711"/>
      <c r="Z204" s="1711"/>
      <c r="AA204" s="1711"/>
      <c r="AB204" s="1711"/>
      <c r="AC204" s="1711"/>
      <c r="AD204" s="1711"/>
      <c r="AE204" s="1711"/>
      <c r="AF204" s="1711"/>
      <c r="AG204" s="1711"/>
      <c r="AH204" s="1711"/>
      <c r="AI204" s="1711"/>
    </row>
    <row r="205" spans="1:35" ht="13.8">
      <c r="A205" s="1711"/>
      <c r="B205" s="1711" t="s">
        <v>1195</v>
      </c>
      <c r="C205" s="1711"/>
      <c r="D205" s="2630" t="s">
        <v>1322</v>
      </c>
      <c r="E205" s="2631"/>
      <c r="F205" s="1711"/>
      <c r="G205" s="2571">
        <f>'Part III-A-Uses of Funds'!G91</f>
        <v>0</v>
      </c>
      <c r="H205" s="2571"/>
      <c r="I205" s="1711"/>
      <c r="J205" s="2571">
        <f>'Part III-A-Uses of Funds'!J91</f>
        <v>0</v>
      </c>
      <c r="K205" s="2571"/>
      <c r="L205" s="2560"/>
      <c r="M205" s="2571">
        <f>'Part III-A-Uses of Funds'!M91</f>
        <v>0</v>
      </c>
      <c r="N205" s="2571"/>
      <c r="O205" s="1711"/>
      <c r="P205" s="2571">
        <f>'Part III-A-Uses of Funds'!P91</f>
        <v>0</v>
      </c>
      <c r="Q205" s="2571"/>
      <c r="R205" s="1711"/>
      <c r="S205" s="2571">
        <f>'Part III-A-Uses of Funds'!S91</f>
        <v>0</v>
      </c>
      <c r="T205" s="2571"/>
      <c r="U205" s="1711"/>
      <c r="V205" s="2595"/>
      <c r="W205" s="2596"/>
      <c r="X205" s="2596"/>
      <c r="Y205" s="1711"/>
      <c r="Z205" s="1711"/>
      <c r="AA205" s="1711"/>
      <c r="AB205" s="1711"/>
      <c r="AC205" s="1711"/>
      <c r="AD205" s="1711"/>
      <c r="AE205" s="1711"/>
      <c r="AF205" s="1711"/>
      <c r="AG205" s="1711"/>
      <c r="AH205" s="1711"/>
      <c r="AI205" s="1711"/>
    </row>
    <row r="206" spans="1:35" ht="13.8">
      <c r="A206" s="1711"/>
      <c r="B206" s="1711"/>
      <c r="C206" s="1711"/>
      <c r="D206" s="1711"/>
      <c r="E206" s="1711"/>
      <c r="F206" s="2599" t="s">
        <v>184</v>
      </c>
      <c r="G206" s="2571">
        <f>SUM(G202:G205)</f>
        <v>85000</v>
      </c>
      <c r="H206" s="2571"/>
      <c r="I206" s="1711"/>
      <c r="J206" s="2571">
        <f>SUM(J202:J205)</f>
        <v>0</v>
      </c>
      <c r="K206" s="2571"/>
      <c r="L206" s="2560"/>
      <c r="M206" s="2571">
        <f>SUM(M202:M205)</f>
        <v>0</v>
      </c>
      <c r="N206" s="2571"/>
      <c r="O206" s="1711"/>
      <c r="P206" s="2571">
        <f>SUM(P202:P205)</f>
        <v>85000</v>
      </c>
      <c r="Q206" s="2571"/>
      <c r="R206" s="1711"/>
      <c r="S206" s="2571">
        <f>SUM(S202:S205)</f>
        <v>0</v>
      </c>
      <c r="T206" s="2571"/>
      <c r="U206" s="1711"/>
      <c r="V206" s="2595">
        <f>SUM(V202:V205)</f>
        <v>0</v>
      </c>
      <c r="W206" s="2596"/>
      <c r="X206" s="2596"/>
      <c r="Y206" s="1711"/>
      <c r="Z206" s="1711"/>
      <c r="AA206" s="1711"/>
      <c r="AB206" s="1711"/>
      <c r="AC206" s="1711"/>
      <c r="AD206" s="1711"/>
      <c r="AE206" s="1711"/>
      <c r="AF206" s="1711"/>
      <c r="AG206" s="1711"/>
      <c r="AH206" s="1711"/>
      <c r="AI206" s="1711"/>
    </row>
    <row r="207" spans="1:35" ht="13.8">
      <c r="A207" s="2543"/>
      <c r="B207" s="2543"/>
      <c r="C207" s="2543"/>
      <c r="D207" s="2543"/>
      <c r="E207" s="2543"/>
      <c r="F207" s="2543"/>
      <c r="G207" s="2543"/>
      <c r="H207" s="2543"/>
      <c r="I207" s="2543"/>
      <c r="J207" s="2543"/>
      <c r="K207" s="2543"/>
      <c r="L207" s="2543"/>
      <c r="M207" s="2543"/>
      <c r="N207" s="2543"/>
      <c r="O207" s="2543"/>
      <c r="P207" s="2543"/>
      <c r="Q207" s="2543"/>
      <c r="R207" s="2543"/>
      <c r="S207" s="2543"/>
      <c r="T207" s="2543"/>
      <c r="U207" s="1711"/>
      <c r="V207" s="2595"/>
      <c r="W207" s="1711"/>
      <c r="X207" s="1711"/>
      <c r="Y207" s="1711"/>
      <c r="Z207" s="1711"/>
      <c r="AA207" s="1711"/>
      <c r="AB207" s="1711"/>
      <c r="AC207" s="1711"/>
      <c r="AD207" s="1711"/>
      <c r="AE207" s="1711"/>
      <c r="AF207" s="1711"/>
      <c r="AG207" s="1711"/>
      <c r="AH207" s="1711"/>
      <c r="AI207" s="1711"/>
    </row>
    <row r="208" spans="1:35" ht="17.25" customHeight="1">
      <c r="A208" s="2592" t="s">
        <v>572</v>
      </c>
      <c r="B208" s="2592" t="s">
        <v>5125</v>
      </c>
      <c r="C208" s="1711"/>
      <c r="D208" s="1711"/>
      <c r="E208" s="1711"/>
      <c r="F208" s="1711"/>
      <c r="G208" s="1711"/>
      <c r="H208" s="1711"/>
      <c r="I208" s="1711"/>
      <c r="J208" s="2542" t="s">
        <v>259</v>
      </c>
      <c r="K208" s="2542"/>
      <c r="L208" s="2571"/>
      <c r="M208" s="2593" t="s">
        <v>459</v>
      </c>
      <c r="N208" s="2593"/>
      <c r="O208" s="1711"/>
      <c r="P208" s="2542" t="s">
        <v>260</v>
      </c>
      <c r="Q208" s="2542"/>
      <c r="R208" s="1711"/>
      <c r="S208" s="2542" t="s">
        <v>261</v>
      </c>
      <c r="T208" s="2542"/>
      <c r="U208" s="1711"/>
      <c r="V208" s="2594" t="str">
        <f>B208</f>
        <v>DEVELOPMENT BUDGET  (cont'd)</v>
      </c>
      <c r="W208" s="1711"/>
      <c r="X208" s="1711"/>
      <c r="Y208" s="1711"/>
      <c r="Z208" s="1711"/>
      <c r="AA208" s="1711"/>
      <c r="AB208" s="1711"/>
      <c r="AC208" s="1711"/>
      <c r="AD208" s="1711"/>
      <c r="AE208" s="1711"/>
      <c r="AF208" s="1711"/>
      <c r="AG208" s="1711"/>
      <c r="AH208" s="1711"/>
      <c r="AI208" s="1711"/>
    </row>
    <row r="209" spans="1:35" ht="13.8">
      <c r="A209" s="1711"/>
      <c r="B209" s="1711"/>
      <c r="C209" s="1711"/>
      <c r="D209" s="1711"/>
      <c r="E209" s="1711"/>
      <c r="F209" s="1711"/>
      <c r="G209" s="2542" t="s">
        <v>95</v>
      </c>
      <c r="H209" s="2542"/>
      <c r="I209" s="1711"/>
      <c r="J209" s="2542"/>
      <c r="K209" s="2542"/>
      <c r="L209" s="2571"/>
      <c r="M209" s="2593"/>
      <c r="N209" s="2593"/>
      <c r="O209" s="1711"/>
      <c r="P209" s="2542"/>
      <c r="Q209" s="2542"/>
      <c r="R209" s="1711"/>
      <c r="S209" s="2542"/>
      <c r="T209" s="2542"/>
      <c r="U209" s="1711"/>
      <c r="V209" s="376" t="s">
        <v>2440</v>
      </c>
      <c r="W209" s="1711"/>
      <c r="X209" s="376"/>
      <c r="Y209" s="1711"/>
      <c r="Z209" s="1711"/>
      <c r="AA209" s="1711"/>
      <c r="AB209" s="1711"/>
      <c r="AC209" s="1711"/>
      <c r="AD209" s="1711"/>
      <c r="AE209" s="1711"/>
      <c r="AF209" s="1711"/>
      <c r="AG209" s="1711"/>
      <c r="AH209" s="1711"/>
      <c r="AI209" s="1711"/>
    </row>
    <row r="210" spans="1:35" ht="13.8">
      <c r="A210" s="1711"/>
      <c r="B210" s="2542" t="s">
        <v>676</v>
      </c>
      <c r="C210" s="1711"/>
      <c r="D210" s="1711"/>
      <c r="E210" s="1711"/>
      <c r="F210" s="1711"/>
      <c r="G210" s="1711"/>
      <c r="H210" s="1711"/>
      <c r="I210" s="1711"/>
      <c r="J210" s="2560"/>
      <c r="K210" s="2560"/>
      <c r="L210" s="1711"/>
      <c r="M210" s="2560"/>
      <c r="N210" s="2560"/>
      <c r="O210" s="2600" t="str">
        <f>B210</f>
        <v>PERMANENT FINANCING FEES</v>
      </c>
      <c r="P210" s="2560"/>
      <c r="Q210" s="2560"/>
      <c r="R210" s="1711"/>
      <c r="S210" s="2560"/>
      <c r="T210" s="2560"/>
      <c r="U210" s="1711"/>
      <c r="V210" s="2595"/>
      <c r="W210" s="1711" t="str">
        <f>B210</f>
        <v>PERMANENT FINANCING FEES</v>
      </c>
      <c r="X210" s="1711"/>
      <c r="Y210" s="1711"/>
      <c r="Z210" s="1711"/>
      <c r="AA210" s="1711"/>
      <c r="AB210" s="1711"/>
      <c r="AC210" s="1711"/>
      <c r="AD210" s="1711"/>
      <c r="AE210" s="1711"/>
      <c r="AF210" s="1711"/>
      <c r="AG210" s="1711"/>
      <c r="AH210" s="1711"/>
      <c r="AI210" s="1711"/>
    </row>
    <row r="211" spans="1:35" ht="13.8">
      <c r="A211" s="1711"/>
      <c r="B211" s="1711" t="s">
        <v>1196</v>
      </c>
      <c r="C211" s="1711"/>
      <c r="D211" s="1711"/>
      <c r="E211" s="1711"/>
      <c r="F211" s="1711"/>
      <c r="G211" s="2571">
        <f>'Part III-A-Uses of Funds'!G97</f>
        <v>135000</v>
      </c>
      <c r="H211" s="2571"/>
      <c r="I211" s="1711"/>
      <c r="J211" s="2571"/>
      <c r="K211" s="2571"/>
      <c r="L211" s="2560"/>
      <c r="M211" s="2571"/>
      <c r="N211" s="2571"/>
      <c r="O211" s="1711"/>
      <c r="P211" s="2571"/>
      <c r="Q211" s="2571"/>
      <c r="R211" s="1711"/>
      <c r="S211" s="2571">
        <f>'Part III-A-Uses of Funds'!S97</f>
        <v>135000</v>
      </c>
      <c r="T211" s="2571"/>
      <c r="U211" s="1711"/>
      <c r="V211" s="2595"/>
      <c r="W211" s="2596"/>
      <c r="X211" s="2596"/>
      <c r="Y211" s="1711"/>
      <c r="Z211" s="1711"/>
      <c r="AA211" s="1711"/>
      <c r="AB211" s="1711"/>
      <c r="AC211" s="1711"/>
      <c r="AD211" s="1711"/>
      <c r="AE211" s="1711"/>
      <c r="AF211" s="1711"/>
      <c r="AG211" s="1711"/>
      <c r="AH211" s="1711"/>
      <c r="AI211" s="1711"/>
    </row>
    <row r="212" spans="1:35" ht="13.8">
      <c r="A212" s="1711"/>
      <c r="B212" s="1711" t="s">
        <v>1197</v>
      </c>
      <c r="C212" s="1711"/>
      <c r="D212" s="1711"/>
      <c r="E212" s="1711"/>
      <c r="F212" s="1711"/>
      <c r="G212" s="2571">
        <f>'Part III-A-Uses of Funds'!G98</f>
        <v>30000</v>
      </c>
      <c r="H212" s="2571"/>
      <c r="I212" s="1711"/>
      <c r="J212" s="2571"/>
      <c r="K212" s="2571"/>
      <c r="L212" s="2560"/>
      <c r="M212" s="2571"/>
      <c r="N212" s="2571"/>
      <c r="O212" s="1711"/>
      <c r="P212" s="2571"/>
      <c r="Q212" s="2571"/>
      <c r="R212" s="1711"/>
      <c r="S212" s="2571">
        <f>'Part III-A-Uses of Funds'!S98</f>
        <v>30000</v>
      </c>
      <c r="T212" s="2571"/>
      <c r="U212" s="1711"/>
      <c r="V212" s="2595"/>
      <c r="W212" s="2596"/>
      <c r="X212" s="2596"/>
      <c r="Y212" s="1711"/>
      <c r="Z212" s="1711"/>
      <c r="AA212" s="1711"/>
      <c r="AB212" s="1711"/>
      <c r="AC212" s="1711"/>
      <c r="AD212" s="1711"/>
      <c r="AE212" s="1711"/>
      <c r="AF212" s="1711"/>
      <c r="AG212" s="1711"/>
      <c r="AH212" s="1711"/>
      <c r="AI212" s="1711"/>
    </row>
    <row r="213" spans="1:35" ht="13.8">
      <c r="A213" s="1711"/>
      <c r="B213" s="1711" t="s">
        <v>1198</v>
      </c>
      <c r="C213" s="1711"/>
      <c r="D213" s="1711"/>
      <c r="E213" s="1711"/>
      <c r="F213" s="1711"/>
      <c r="G213" s="2571">
        <f>'Part III-A-Uses of Funds'!G99</f>
        <v>10000</v>
      </c>
      <c r="H213" s="2571"/>
      <c r="I213" s="1711"/>
      <c r="J213" s="2571"/>
      <c r="K213" s="2571"/>
      <c r="L213" s="2560"/>
      <c r="M213" s="2571"/>
      <c r="N213" s="2571"/>
      <c r="O213" s="1711"/>
      <c r="P213" s="2571"/>
      <c r="Q213" s="2571"/>
      <c r="R213" s="1711"/>
      <c r="S213" s="2571">
        <f>'Part III-A-Uses of Funds'!S99</f>
        <v>10000</v>
      </c>
      <c r="T213" s="2571"/>
      <c r="U213" s="1711"/>
      <c r="V213" s="2595"/>
      <c r="W213" s="2596"/>
      <c r="X213" s="2596"/>
      <c r="Y213" s="1711"/>
      <c r="Z213" s="1711"/>
      <c r="AA213" s="1711"/>
      <c r="AB213" s="1711"/>
      <c r="AC213" s="1711"/>
      <c r="AD213" s="1711"/>
      <c r="AE213" s="1711"/>
      <c r="AF213" s="1711"/>
      <c r="AG213" s="1711"/>
      <c r="AH213" s="1711"/>
      <c r="AI213" s="1711"/>
    </row>
    <row r="214" spans="1:35" ht="13.8">
      <c r="A214" s="1711"/>
      <c r="B214" s="1711" t="s">
        <v>1200</v>
      </c>
      <c r="C214" s="1711"/>
      <c r="D214" s="1711"/>
      <c r="E214" s="1711"/>
      <c r="F214" s="1711"/>
      <c r="G214" s="2571">
        <f>'Part III-A-Uses of Funds'!G100</f>
        <v>250000</v>
      </c>
      <c r="H214" s="2571"/>
      <c r="I214" s="1711"/>
      <c r="J214" s="2571"/>
      <c r="K214" s="2571"/>
      <c r="L214" s="2560"/>
      <c r="M214" s="2571"/>
      <c r="N214" s="2571"/>
      <c r="O214" s="1711"/>
      <c r="P214" s="2571"/>
      <c r="Q214" s="2571"/>
      <c r="R214" s="1711"/>
      <c r="S214" s="2571">
        <f>'Part III-A-Uses of Funds'!S100</f>
        <v>250000</v>
      </c>
      <c r="T214" s="2571"/>
      <c r="U214" s="1711"/>
      <c r="V214" s="2595"/>
      <c r="W214" s="2596"/>
      <c r="X214" s="2596"/>
      <c r="Y214" s="1711"/>
      <c r="Z214" s="1711"/>
      <c r="AA214" s="1711"/>
      <c r="AB214" s="1711"/>
      <c r="AC214" s="1711"/>
      <c r="AD214" s="1711"/>
      <c r="AE214" s="1711"/>
      <c r="AF214" s="1711"/>
      <c r="AG214" s="1711"/>
      <c r="AH214" s="1711"/>
      <c r="AI214" s="1711"/>
    </row>
    <row r="215" spans="1:35" ht="13.8">
      <c r="A215" s="1711"/>
      <c r="B215" s="1711" t="s">
        <v>2114</v>
      </c>
      <c r="C215" s="1711"/>
      <c r="D215" s="1711"/>
      <c r="E215" s="1711"/>
      <c r="F215" s="1711"/>
      <c r="G215" s="2571"/>
      <c r="H215" s="2571"/>
      <c r="I215" s="1711"/>
      <c r="J215" s="2571"/>
      <c r="K215" s="2571"/>
      <c r="L215" s="2560"/>
      <c r="M215" s="2571"/>
      <c r="N215" s="2571"/>
      <c r="O215" s="1711"/>
      <c r="P215" s="2571"/>
      <c r="Q215" s="2571"/>
      <c r="R215" s="1711"/>
      <c r="S215" s="2571"/>
      <c r="T215" s="2571"/>
      <c r="U215" s="1711"/>
      <c r="V215" s="2595"/>
      <c r="W215" s="2596"/>
      <c r="X215" s="2596"/>
      <c r="Y215" s="1711"/>
      <c r="Z215" s="1711"/>
      <c r="AA215" s="1711"/>
      <c r="AB215" s="1711"/>
      <c r="AC215" s="1711"/>
      <c r="AD215" s="1711"/>
      <c r="AE215" s="1711"/>
      <c r="AF215" s="1711"/>
      <c r="AG215" s="1711"/>
      <c r="AH215" s="1711"/>
      <c r="AI215" s="1711"/>
    </row>
    <row r="216" spans="1:35" ht="16.5" customHeight="1">
      <c r="A216" s="2597" t="str">
        <f>IF(AND(G216&gt;0,OR(C216="",C216="&lt;Enter detailed description here; use Comments section if needed&gt;")),"X","")</f>
        <v/>
      </c>
      <c r="B216" s="2547" t="s">
        <v>4171</v>
      </c>
      <c r="C216" s="2411" t="str">
        <f>'Part III-A-Uses of Funds'!C102</f>
        <v>&lt;&lt; Enter description here; provide detail &amp; justification in tab Part III-b &gt;&gt;</v>
      </c>
      <c r="D216" s="2411"/>
      <c r="E216" s="2411"/>
      <c r="F216" s="2411"/>
      <c r="G216" s="2571"/>
      <c r="H216" s="2571"/>
      <c r="I216" s="1711"/>
      <c r="J216" s="2571"/>
      <c r="K216" s="2571"/>
      <c r="L216" s="2560"/>
      <c r="M216" s="2571"/>
      <c r="N216" s="2571"/>
      <c r="O216" s="1711"/>
      <c r="P216" s="2571"/>
      <c r="Q216" s="2571"/>
      <c r="R216" s="1711"/>
      <c r="S216" s="2571"/>
      <c r="T216" s="2571"/>
      <c r="U216" s="2551" t="str">
        <f>IF(AND(G216&gt;0,OR(C216="",C216="&lt;Enter detailed description here; use Comments section if needed&gt;")),"NO DESCRIPTION PROVIDED - please enter detailed description in Other box at left; use Comments section below if needed.","")</f>
        <v/>
      </c>
      <c r="V216" s="2595"/>
      <c r="W216" s="2596"/>
      <c r="X216" s="2596"/>
      <c r="Y216" s="1711"/>
      <c r="Z216" s="1711"/>
      <c r="AA216" s="1711"/>
      <c r="AB216" s="1711"/>
      <c r="AC216" s="1711"/>
      <c r="AD216" s="1711"/>
      <c r="AE216" s="1711"/>
      <c r="AF216" s="1711"/>
      <c r="AG216" s="1711"/>
      <c r="AH216" s="1711"/>
      <c r="AI216" s="1711"/>
    </row>
    <row r="217" spans="1:35" ht="13.8">
      <c r="A217" s="1711"/>
      <c r="B217" s="1711"/>
      <c r="C217" s="1711"/>
      <c r="D217" s="1711"/>
      <c r="E217" s="1711"/>
      <c r="F217" s="2599" t="s">
        <v>184</v>
      </c>
      <c r="G217" s="2571">
        <f>SUM(G211:G216)</f>
        <v>425000</v>
      </c>
      <c r="H217" s="2571"/>
      <c r="I217" s="1711"/>
      <c r="J217" s="2571"/>
      <c r="K217" s="2571"/>
      <c r="L217" s="2560"/>
      <c r="M217" s="2571"/>
      <c r="N217" s="2571"/>
      <c r="O217" s="1711"/>
      <c r="P217" s="2571"/>
      <c r="Q217" s="2571"/>
      <c r="R217" s="1711"/>
      <c r="S217" s="2571">
        <f>SUM(S211:S216)</f>
        <v>425000</v>
      </c>
      <c r="T217" s="2571"/>
      <c r="U217" s="1711"/>
      <c r="V217" s="2595">
        <f>SUM(V211:V216)</f>
        <v>0</v>
      </c>
      <c r="W217" s="2596"/>
      <c r="X217" s="2596"/>
      <c r="Y217" s="1711"/>
      <c r="Z217" s="1711"/>
      <c r="AA217" s="1711"/>
      <c r="AB217" s="1711"/>
      <c r="AC217" s="1711"/>
      <c r="AD217" s="1711"/>
      <c r="AE217" s="1711"/>
      <c r="AF217" s="1711"/>
      <c r="AG217" s="1711"/>
      <c r="AH217" s="1711"/>
      <c r="AI217" s="1711"/>
    </row>
    <row r="218" spans="1:35" ht="13.8">
      <c r="A218" s="1711"/>
      <c r="B218" s="2542" t="s">
        <v>677</v>
      </c>
      <c r="C218" s="1711"/>
      <c r="D218" s="1711"/>
      <c r="E218" s="1711"/>
      <c r="F218" s="1711"/>
      <c r="G218" s="1711"/>
      <c r="H218" s="1711"/>
      <c r="I218" s="1711"/>
      <c r="J218" s="2560"/>
      <c r="K218" s="2560"/>
      <c r="L218" s="1711"/>
      <c r="M218" s="2560"/>
      <c r="N218" s="2560"/>
      <c r="O218" s="2600" t="str">
        <f>B218</f>
        <v>DCA-RELATED COSTS</v>
      </c>
      <c r="P218" s="2560"/>
      <c r="Q218" s="2560"/>
      <c r="R218" s="1711"/>
      <c r="S218" s="2560"/>
      <c r="T218" s="2560"/>
      <c r="U218" s="1711"/>
      <c r="V218" s="2595"/>
      <c r="W218" s="1711" t="str">
        <f>B218</f>
        <v>DCA-RELATED COSTS</v>
      </c>
      <c r="X218" s="1711"/>
      <c r="Y218" s="1711"/>
      <c r="Z218" s="1711"/>
      <c r="AA218" s="2547" t="s">
        <v>3797</v>
      </c>
      <c r="AB218" s="2547"/>
      <c r="AC218" s="2547"/>
      <c r="AD218" s="2632" t="str">
        <f>IF(OR($M$38="9% Credit Competitive Round only", $M$38="9% Credit &amp; HOME"),"9%",IF(OR($M$38="4% Credit/TE Bond", $M$38="4% Credit/TE Bond &amp; HOME", $M$38="4% Credit/TE Bond &amp; HOME NOFA", $M$38="4% Credit &amp; NHTF", $M$38="4% Credit &amp; NHTF &amp; HOME"),"4%",""))</f>
        <v/>
      </c>
      <c r="AE218" s="1711"/>
      <c r="AF218" s="1711"/>
      <c r="AG218" s="1711"/>
      <c r="AH218" s="1711"/>
      <c r="AI218" s="1711"/>
    </row>
    <row r="219" spans="1:35" ht="13.5" customHeight="1">
      <c r="A219" s="1711"/>
      <c r="B219" s="1711" t="s">
        <v>4963</v>
      </c>
      <c r="C219" s="1711"/>
      <c r="D219" s="1711"/>
      <c r="E219" s="1711"/>
      <c r="F219" s="1711"/>
      <c r="G219" s="2571">
        <f>'Part III-A-Uses of Funds'!G105</f>
        <v>0</v>
      </c>
      <c r="H219" s="2571"/>
      <c r="I219" s="1711"/>
      <c r="J219" s="2560"/>
      <c r="K219" s="2560"/>
      <c r="L219" s="2560"/>
      <c r="M219" s="2560"/>
      <c r="N219" s="2560"/>
      <c r="O219" s="1711"/>
      <c r="P219" s="2560"/>
      <c r="Q219" s="2560"/>
      <c r="R219" s="1711"/>
      <c r="S219" s="2571">
        <f>'Part III-A-Uses of Funds'!S105</f>
        <v>0</v>
      </c>
      <c r="T219" s="2571"/>
      <c r="U219" s="1711"/>
      <c r="V219" s="2595"/>
      <c r="W219" s="2596"/>
      <c r="X219" s="2596"/>
      <c r="Y219" s="1711" t="s">
        <v>4585</v>
      </c>
      <c r="Z219" s="1711"/>
      <c r="AA219" s="402" t="s">
        <v>4533</v>
      </c>
      <c r="AB219" s="2547"/>
      <c r="AC219" s="2547"/>
      <c r="AD219" s="2633" t="str">
        <f>'Part V-Revenues &amp; Expenses'!$O$62</f>
        <v>Income Averaging</v>
      </c>
      <c r="AE219" s="2634"/>
      <c r="AF219" s="2634"/>
      <c r="AG219" s="1711"/>
      <c r="AH219" s="1711"/>
      <c r="AI219" s="1711"/>
    </row>
    <row r="220" spans="1:35" ht="13.8">
      <c r="A220" s="1711"/>
      <c r="B220" s="1711" t="str">
        <f>CONCATENATE("Tax Credit Application Fee ($",'DCA Underwriting Assumptions'!$Q$58, " ForProf/JntVent, $",'DCA Underwriting Assumptions'!$Q$59, " NonProf)")</f>
        <v>Tax Credit Application Fee ($10000 ForProf/JntVent, $8000 NonProf)</v>
      </c>
      <c r="C220" s="1711"/>
      <c r="D220" s="1711"/>
      <c r="E220" s="1711"/>
      <c r="F220" s="1711"/>
      <c r="G220" s="2571">
        <f>'Part III-A-Uses of Funds'!G106</f>
        <v>10000</v>
      </c>
      <c r="H220" s="2571"/>
      <c r="I220" s="1711"/>
      <c r="J220" s="2560"/>
      <c r="K220" s="2560"/>
      <c r="L220" s="2635"/>
      <c r="M220" s="2560"/>
      <c r="N220" s="2560"/>
      <c r="O220" s="1711"/>
      <c r="P220" s="2560"/>
      <c r="Q220" s="2560"/>
      <c r="R220" s="1711"/>
      <c r="S220" s="2571">
        <f>'Part III-A-Uses of Funds'!S106</f>
        <v>10000</v>
      </c>
      <c r="T220" s="2571"/>
      <c r="U220" s="1711"/>
      <c r="V220" s="2595"/>
      <c r="W220" s="2596"/>
      <c r="X220" s="2596"/>
      <c r="Y220" s="1711"/>
      <c r="Z220" s="1711"/>
      <c r="AA220" s="2619" t="s">
        <v>3065</v>
      </c>
      <c r="AB220" s="2619"/>
      <c r="AC220" s="2619"/>
      <c r="AD220" s="2636">
        <f>'Part V-Revenues &amp; Expenses'!$P$76</f>
        <v>160</v>
      </c>
      <c r="AE220" s="1711"/>
      <c r="AF220" s="1711"/>
      <c r="AG220" s="1711"/>
      <c r="AH220" s="1711"/>
      <c r="AI220" s="1711"/>
    </row>
    <row r="221" spans="1:35" ht="13.8">
      <c r="A221" s="1711"/>
      <c r="B221" s="1711" t="s">
        <v>4964</v>
      </c>
      <c r="C221" s="1711"/>
      <c r="D221" s="1711"/>
      <c r="E221" s="1711"/>
      <c r="F221" s="1711"/>
      <c r="G221" s="2571">
        <f>'Part III-A-Uses of Funds'!G107</f>
        <v>0</v>
      </c>
      <c r="H221" s="2571"/>
      <c r="I221" s="1711"/>
      <c r="J221" s="2560"/>
      <c r="K221" s="2560"/>
      <c r="L221" s="2635"/>
      <c r="M221" s="2560"/>
      <c r="N221" s="2560"/>
      <c r="O221" s="1711"/>
      <c r="P221" s="2560"/>
      <c r="Q221" s="2560"/>
      <c r="R221" s="1711"/>
      <c r="S221" s="2571">
        <f>'Part III-A-Uses of Funds'!S107</f>
        <v>0</v>
      </c>
      <c r="T221" s="2571"/>
      <c r="U221" s="1711"/>
      <c r="V221" s="2595"/>
      <c r="W221" s="2596"/>
      <c r="X221" s="2596"/>
      <c r="Y221" s="1711"/>
      <c r="Z221" s="1711"/>
      <c r="AA221" s="2637" t="s">
        <v>4590</v>
      </c>
      <c r="AB221" s="2547"/>
      <c r="AC221" s="2547"/>
      <c r="AD221" s="2547"/>
      <c r="AE221" s="1711"/>
      <c r="AF221" s="2638" t="s">
        <v>4591</v>
      </c>
      <c r="AG221" s="1711"/>
      <c r="AH221" s="1711"/>
      <c r="AI221" s="1711"/>
    </row>
    <row r="222" spans="1:35" ht="13.8">
      <c r="A222" s="1711"/>
      <c r="B222" s="1711" t="s">
        <v>485</v>
      </c>
      <c r="C222" s="1711"/>
      <c r="D222" s="1711"/>
      <c r="E222" s="2639">
        <f>ROUNDUP('DCA Underwriting Assumptions'!$Q$70*J306,0)</f>
        <v>110953</v>
      </c>
      <c r="F222" s="2639"/>
      <c r="G222" s="2571">
        <f>'Part III-A-Uses of Funds'!G108</f>
        <v>110953</v>
      </c>
      <c r="H222" s="2571"/>
      <c r="I222" s="1711"/>
      <c r="J222" s="2640" t="str">
        <f>IF(E222&gt;G222,"WARNING!  LIHTC Allocation Fee proposed is below minimum required.","")</f>
        <v/>
      </c>
      <c r="K222" s="2560"/>
      <c r="L222" s="2560"/>
      <c r="M222" s="2560"/>
      <c r="N222" s="2560"/>
      <c r="O222" s="1711"/>
      <c r="P222" s="2560"/>
      <c r="Q222" s="2560"/>
      <c r="R222" s="1711"/>
      <c r="S222" s="2571">
        <f>'Part III-A-Uses of Funds'!S108</f>
        <v>110953</v>
      </c>
      <c r="T222" s="2571"/>
      <c r="U222" s="1711"/>
      <c r="V222" s="2595"/>
      <c r="W222" s="2596"/>
      <c r="X222" s="2596"/>
      <c r="Y222" s="1711"/>
      <c r="Z222" s="1711"/>
      <c r="AA222" s="2547" t="s">
        <v>4586</v>
      </c>
      <c r="AB222" s="2547"/>
      <c r="AC222" s="2547"/>
      <c r="AD222" s="2641">
        <f>'Part V-Revenues &amp; Expenses'!P273+'Part V-Revenues &amp; Expenses'!P274</f>
        <v>0</v>
      </c>
      <c r="AE222" s="1711"/>
      <c r="AF222" s="2642">
        <f>AD222*'DCA Underwriting Assumptions'!$Q$77</f>
        <v>0</v>
      </c>
      <c r="AG222" s="1711"/>
      <c r="AH222" s="1711"/>
      <c r="AI222" s="1711"/>
    </row>
    <row r="223" spans="1:35" ht="13.8">
      <c r="A223" s="1711"/>
      <c r="B223" s="1711" t="s">
        <v>701</v>
      </c>
      <c r="C223" s="1711"/>
      <c r="D223" s="1711"/>
      <c r="E223" s="2639">
        <f>AF225+AF229</f>
        <v>128000</v>
      </c>
      <c r="F223" s="2639"/>
      <c r="G223" s="2571">
        <f>'Part III-A-Uses of Funds'!G109</f>
        <v>160000</v>
      </c>
      <c r="H223" s="2571"/>
      <c r="I223" s="2643" t="str">
        <f>IF(E223&gt;G223,"WARNING!  LIHTC Compliance Fee proposed is below minimum required.","")</f>
        <v/>
      </c>
      <c r="J223" s="2643"/>
      <c r="K223" s="2643"/>
      <c r="L223" s="2643"/>
      <c r="M223" s="2643"/>
      <c r="N223" s="2643"/>
      <c r="O223" s="2643"/>
      <c r="P223" s="2643"/>
      <c r="Q223" s="2643"/>
      <c r="R223" s="2643"/>
      <c r="S223" s="2571">
        <f>'Part III-A-Uses of Funds'!S109</f>
        <v>160000</v>
      </c>
      <c r="T223" s="2571"/>
      <c r="U223" s="1711"/>
      <c r="V223" s="2595"/>
      <c r="W223" s="2596"/>
      <c r="X223" s="2596"/>
      <c r="Y223" s="1711"/>
      <c r="Z223" s="1711"/>
      <c r="AA223" s="2547" t="s">
        <v>4179</v>
      </c>
      <c r="AB223" s="2547"/>
      <c r="AC223" s="2547"/>
      <c r="AD223" s="2641">
        <f>'Part V-Revenues &amp; Expenses'!$P$163+'Part V-Revenues &amp; Expenses'!$P$164</f>
        <v>0</v>
      </c>
      <c r="AE223" s="1711"/>
      <c r="AF223" s="2642">
        <f>AD223*'DCA Underwriting Assumptions'!$Q$77</f>
        <v>0</v>
      </c>
      <c r="AG223" s="1711"/>
      <c r="AH223" s="1711"/>
      <c r="AI223" s="1711"/>
    </row>
    <row r="224" spans="1:35" ht="13.8">
      <c r="A224" s="1711"/>
      <c r="B224" s="1711" t="s">
        <v>3359</v>
      </c>
      <c r="C224" s="1711"/>
      <c r="D224" s="1711"/>
      <c r="E224" s="1711"/>
      <c r="F224" s="2644"/>
      <c r="G224" s="2571">
        <f>'Part III-A-Uses of Funds'!G110</f>
        <v>0</v>
      </c>
      <c r="H224" s="2571"/>
      <c r="I224" s="2643"/>
      <c r="J224" s="2643"/>
      <c r="K224" s="2643"/>
      <c r="L224" s="2643"/>
      <c r="M224" s="2643"/>
      <c r="N224" s="2643"/>
      <c r="O224" s="2643"/>
      <c r="P224" s="2643"/>
      <c r="Q224" s="2643"/>
      <c r="R224" s="2643"/>
      <c r="S224" s="2571">
        <f>'Part III-A-Uses of Funds'!S110</f>
        <v>0</v>
      </c>
      <c r="T224" s="2571"/>
      <c r="U224" s="1711"/>
      <c r="V224" s="2595"/>
      <c r="W224" s="2596"/>
      <c r="X224" s="2596"/>
      <c r="Y224" s="1711"/>
      <c r="Z224" s="1711"/>
      <c r="AA224" s="2547" t="s">
        <v>4587</v>
      </c>
      <c r="AB224" s="2547"/>
      <c r="AC224" s="2547"/>
      <c r="AD224" s="2641">
        <f>'Part V-Revenues &amp; Expenses'!$P$165+'Part V-Revenues &amp; Expenses'!$P$166</f>
        <v>0</v>
      </c>
      <c r="AE224" s="1711"/>
      <c r="AF224" s="2642">
        <f>AD224*'DCA Underwriting Assumptions'!$Q$77</f>
        <v>0</v>
      </c>
      <c r="AG224" s="1711"/>
      <c r="AH224" s="1711"/>
      <c r="AI224" s="1711"/>
    </row>
    <row r="225" spans="1:35" ht="13.8">
      <c r="A225" s="1711"/>
      <c r="B225" s="1711" t="s">
        <v>4721</v>
      </c>
      <c r="C225" s="1711"/>
      <c r="D225" s="1711"/>
      <c r="E225" s="1711"/>
      <c r="F225" s="2644">
        <f>ROUNDUP('DCA Underwriting Assumptions'!$Q$73,0)</f>
        <v>8000</v>
      </c>
      <c r="G225" s="2571">
        <f>'Part III-A-Uses of Funds'!G111</f>
        <v>8000</v>
      </c>
      <c r="H225" s="2571"/>
      <c r="I225" s="1711"/>
      <c r="J225" s="377"/>
      <c r="K225" s="377"/>
      <c r="L225" s="377"/>
      <c r="M225" s="377"/>
      <c r="N225" s="377"/>
      <c r="O225" s="377"/>
      <c r="P225" s="377"/>
      <c r="Q225" s="377"/>
      <c r="R225" s="1711"/>
      <c r="S225" s="2571">
        <f>'Part III-A-Uses of Funds'!S111</f>
        <v>8000</v>
      </c>
      <c r="T225" s="2571"/>
      <c r="U225" s="1711"/>
      <c r="V225" s="2595"/>
      <c r="W225" s="2596"/>
      <c r="X225" s="2596"/>
      <c r="Y225" s="1711"/>
      <c r="Z225" s="1711"/>
      <c r="AA225" s="2547"/>
      <c r="AB225" s="2607" t="s">
        <v>4588</v>
      </c>
      <c r="AC225" s="2547"/>
      <c r="AD225" s="2645">
        <f>SUM(AD222:AD224)</f>
        <v>0</v>
      </c>
      <c r="AE225" s="1711"/>
      <c r="AF225" s="2646">
        <f>SUM(AF222:AF224)</f>
        <v>0</v>
      </c>
      <c r="AG225" s="1711"/>
      <c r="AH225" s="1711"/>
      <c r="AI225" s="1711"/>
    </row>
    <row r="226" spans="1:35" ht="15.75" customHeight="1">
      <c r="A226" s="2597" t="str">
        <f>IF(AND(G226&gt;0,OR(C226="",C226="&lt;Enter detailed description here; use Comments section if needed&gt;")),"X","")</f>
        <v/>
      </c>
      <c r="B226" s="2547" t="s">
        <v>4167</v>
      </c>
      <c r="C226" s="2411" t="str">
        <f>'Part III-A-Uses of Funds'!C112</f>
        <v>&lt;&lt; Enter description here; provide detail &amp; justification in tab Part III-b &gt;&gt;</v>
      </c>
      <c r="D226" s="2411"/>
      <c r="E226" s="2411"/>
      <c r="F226" s="2411"/>
      <c r="G226" s="2571">
        <f>'Part III-A-Uses of Funds'!G112</f>
        <v>0</v>
      </c>
      <c r="H226" s="2571"/>
      <c r="I226" s="1711"/>
      <c r="J226" s="377"/>
      <c r="K226" s="377"/>
      <c r="L226" s="377"/>
      <c r="M226" s="377"/>
      <c r="N226" s="377"/>
      <c r="O226" s="377"/>
      <c r="P226" s="377"/>
      <c r="Q226" s="377"/>
      <c r="R226" s="1711"/>
      <c r="S226" s="2571">
        <f>'Part III-A-Uses of Funds'!S112</f>
        <v>0</v>
      </c>
      <c r="T226" s="2571"/>
      <c r="U226" s="2551" t="str">
        <f>IF(AND(G226&gt;0,OR(C226="",C226="&lt;Enter detailed description here; use Comments section if needed&gt;")),"NO DESCRIPTION PROVIDED - please enter detailed description in Other box at left; use Comments section below if needed.","")</f>
        <v/>
      </c>
      <c r="V226" s="2595"/>
      <c r="W226" s="2596"/>
      <c r="X226" s="2596"/>
      <c r="Y226" s="1711"/>
      <c r="Z226" s="1711"/>
      <c r="AA226" s="2637" t="s">
        <v>4589</v>
      </c>
      <c r="AB226" s="2547"/>
      <c r="AC226" s="1248"/>
      <c r="AD226" s="2547"/>
      <c r="AE226" s="1711"/>
      <c r="AF226" s="2642"/>
      <c r="AG226" s="1711"/>
      <c r="AH226" s="1711"/>
      <c r="AI226" s="1711"/>
    </row>
    <row r="227" spans="1:35" ht="16.5" customHeight="1">
      <c r="A227" s="2597" t="str">
        <f>IF(AND(G227&gt;0,OR(C227="",C227="&lt;Enter detailed description here; use Comments section if needed&gt;")),"X","")</f>
        <v/>
      </c>
      <c r="B227" s="2547" t="s">
        <v>4167</v>
      </c>
      <c r="C227" s="2411" t="str">
        <f>'Part III-A-Uses of Funds'!C113</f>
        <v>&lt;&lt; Enter description here; provide detail &amp; justification in tab Part III-b &gt;&gt;</v>
      </c>
      <c r="D227" s="2411"/>
      <c r="E227" s="2411"/>
      <c r="F227" s="2411"/>
      <c r="G227" s="2571">
        <f>'Part III-A-Uses of Funds'!G113</f>
        <v>0</v>
      </c>
      <c r="H227" s="2571"/>
      <c r="I227" s="1711"/>
      <c r="J227" s="377"/>
      <c r="K227" s="377"/>
      <c r="L227" s="377"/>
      <c r="M227" s="377"/>
      <c r="N227" s="377"/>
      <c r="O227" s="377"/>
      <c r="P227" s="377"/>
      <c r="Q227" s="377"/>
      <c r="R227" s="1711"/>
      <c r="S227" s="2571">
        <f>'Part III-A-Uses of Funds'!S113</f>
        <v>0</v>
      </c>
      <c r="T227" s="2571"/>
      <c r="U227" s="2551" t="str">
        <f>IF(AND(G227&gt;0,OR(C227="",C227="&lt;Enter detailed description here; use Comments section if needed&gt;")),"NO DESCRIPTION PROVIDED - please enter detailed description in Other box at left; use Comments section below if needed.","")</f>
        <v/>
      </c>
      <c r="V227" s="2595"/>
      <c r="W227" s="2596"/>
      <c r="X227" s="2596"/>
      <c r="Y227" s="1711"/>
      <c r="Z227" s="1711"/>
      <c r="AA227" s="2547" t="s">
        <v>36</v>
      </c>
      <c r="AB227" s="2547"/>
      <c r="AC227" s="1248"/>
      <c r="AD227" s="2641">
        <f>'Part V-Revenues &amp; Expenses'!$P$150</f>
        <v>160</v>
      </c>
      <c r="AE227" s="1711"/>
      <c r="AF227" s="2642">
        <f>IF($AD$105="Income Averaging",AD227*'DCA Underwriting Assumptions'!$Q$75,AD227*'DCA Underwriting Assumptions'!$Q$74)</f>
        <v>128000</v>
      </c>
      <c r="AG227" s="1711"/>
      <c r="AH227" s="1711"/>
      <c r="AI227" s="1711"/>
    </row>
    <row r="228" spans="1:35" ht="13.8">
      <c r="A228" s="1711"/>
      <c r="B228" s="1711"/>
      <c r="C228" s="1711"/>
      <c r="D228" s="1711"/>
      <c r="E228" s="1711"/>
      <c r="F228" s="2599" t="s">
        <v>184</v>
      </c>
      <c r="G228" s="2571">
        <f>SUM(G219:G227)</f>
        <v>288953</v>
      </c>
      <c r="H228" s="2571"/>
      <c r="I228" s="1711"/>
      <c r="J228" s="2560"/>
      <c r="K228" s="2560"/>
      <c r="L228" s="2560"/>
      <c r="M228" s="2560"/>
      <c r="N228" s="2560"/>
      <c r="O228" s="1711"/>
      <c r="P228" s="2560"/>
      <c r="Q228" s="2560"/>
      <c r="R228" s="1711"/>
      <c r="S228" s="2571">
        <f>SUM(S219:S227)</f>
        <v>288953</v>
      </c>
      <c r="T228" s="2571"/>
      <c r="U228" s="1711"/>
      <c r="V228" s="2595">
        <f>SUM(V219:V227)</f>
        <v>0</v>
      </c>
      <c r="W228" s="2647"/>
      <c r="X228" s="2647"/>
      <c r="Y228" s="1711"/>
      <c r="Z228" s="1711"/>
      <c r="AA228" s="2547" t="s">
        <v>4373</v>
      </c>
      <c r="AB228" s="2547"/>
      <c r="AC228" s="2648"/>
      <c r="AD228" s="2641">
        <f>'Part V-Revenues &amp; Expenses'!$P$161+'Part V-Revenues &amp; Expenses'!$P$162</f>
        <v>0</v>
      </c>
      <c r="AE228" s="1711"/>
      <c r="AF228" s="2642">
        <f>IF($AD$105="Income Averaging",AD228*'DCA Underwriting Assumptions'!$Q$75,AD228*'DCA Underwriting Assumptions'!$Q$74)</f>
        <v>0</v>
      </c>
      <c r="AG228" s="1711"/>
      <c r="AH228" s="1711"/>
      <c r="AI228" s="1711"/>
    </row>
    <row r="229" spans="1:35" ht="13.8">
      <c r="A229" s="1711"/>
      <c r="B229" s="2542" t="s">
        <v>2115</v>
      </c>
      <c r="C229" s="1711"/>
      <c r="D229" s="1711"/>
      <c r="E229" s="1711"/>
      <c r="F229" s="1711"/>
      <c r="G229" s="1711"/>
      <c r="H229" s="1711"/>
      <c r="I229" s="1711"/>
      <c r="J229" s="2560"/>
      <c r="K229" s="2560"/>
      <c r="L229" s="1711"/>
      <c r="M229" s="2560"/>
      <c r="N229" s="2560"/>
      <c r="O229" s="2600" t="str">
        <f>B229</f>
        <v>EQUITY COSTS</v>
      </c>
      <c r="P229" s="2560"/>
      <c r="Q229" s="2560"/>
      <c r="R229" s="1711"/>
      <c r="S229" s="2560"/>
      <c r="T229" s="2560"/>
      <c r="U229" s="1711"/>
      <c r="V229" s="2595"/>
      <c r="W229" s="1711" t="str">
        <f>B229</f>
        <v>EQUITY COSTS</v>
      </c>
      <c r="X229" s="1711"/>
      <c r="Y229" s="1711"/>
      <c r="Z229" s="1711"/>
      <c r="AA229" s="2547"/>
      <c r="AB229" s="2607" t="s">
        <v>4588</v>
      </c>
      <c r="AC229" s="2547"/>
      <c r="AD229" s="2645">
        <f>SUM(AD227:AD228)</f>
        <v>160</v>
      </c>
      <c r="AE229" s="1711"/>
      <c r="AF229" s="2646">
        <f>SUM(AF227:AF228)</f>
        <v>128000</v>
      </c>
      <c r="AG229" s="1711"/>
      <c r="AH229" s="1711"/>
      <c r="AI229" s="1711"/>
    </row>
    <row r="230" spans="1:35" ht="13.8">
      <c r="A230" s="1711"/>
      <c r="B230" s="1711" t="s">
        <v>267</v>
      </c>
      <c r="C230" s="1711"/>
      <c r="D230" s="1711"/>
      <c r="E230" s="1711"/>
      <c r="F230" s="1711"/>
      <c r="G230" s="2571">
        <f>'Part III-A-Uses of Funds'!G116</f>
        <v>25000</v>
      </c>
      <c r="H230" s="2571"/>
      <c r="I230" s="1711"/>
      <c r="J230" s="2571"/>
      <c r="K230" s="2571"/>
      <c r="L230" s="2560"/>
      <c r="M230" s="2571"/>
      <c r="N230" s="2571"/>
      <c r="O230" s="1711"/>
      <c r="P230" s="2571"/>
      <c r="Q230" s="2571"/>
      <c r="R230" s="1711"/>
      <c r="S230" s="2571">
        <f>'Part III-A-Uses of Funds'!S116</f>
        <v>25000</v>
      </c>
      <c r="T230" s="2571"/>
      <c r="U230" s="1711"/>
      <c r="V230" s="2595"/>
      <c r="W230" s="2596"/>
      <c r="X230" s="2596"/>
      <c r="Y230" s="1711"/>
      <c r="Z230" s="1711"/>
      <c r="AA230" s="1711"/>
      <c r="AB230" s="1711"/>
      <c r="AC230" s="1711"/>
      <c r="AD230" s="1711"/>
      <c r="AE230" s="1711"/>
      <c r="AF230" s="1711"/>
      <c r="AG230" s="1711"/>
      <c r="AH230" s="1711"/>
      <c r="AI230" s="1711"/>
    </row>
    <row r="231" spans="1:35" ht="13.8">
      <c r="A231" s="1711"/>
      <c r="B231" s="1711" t="s">
        <v>268</v>
      </c>
      <c r="C231" s="1711"/>
      <c r="D231" s="1711"/>
      <c r="E231" s="1711"/>
      <c r="F231" s="1711"/>
      <c r="G231" s="2571">
        <f>'Part III-A-Uses of Funds'!G117</f>
        <v>30000</v>
      </c>
      <c r="H231" s="2571"/>
      <c r="I231" s="1711"/>
      <c r="J231" s="2571"/>
      <c r="K231" s="2571"/>
      <c r="L231" s="2560"/>
      <c r="M231" s="2571"/>
      <c r="N231" s="2571"/>
      <c r="O231" s="1711"/>
      <c r="P231" s="2571"/>
      <c r="Q231" s="2571"/>
      <c r="R231" s="1711"/>
      <c r="S231" s="2571">
        <f>'Part III-A-Uses of Funds'!S117</f>
        <v>30000</v>
      </c>
      <c r="T231" s="2571"/>
      <c r="U231" s="1711"/>
      <c r="V231" s="2595"/>
      <c r="W231" s="2596"/>
      <c r="X231" s="2596"/>
      <c r="Y231" s="1711"/>
      <c r="Z231" s="1711"/>
      <c r="AA231" s="1711"/>
      <c r="AB231" s="1711"/>
      <c r="AC231" s="1711"/>
      <c r="AD231" s="1711"/>
      <c r="AE231" s="1711"/>
      <c r="AF231" s="1711"/>
      <c r="AG231" s="1711"/>
      <c r="AH231" s="1711"/>
      <c r="AI231" s="1711"/>
    </row>
    <row r="232" spans="1:35" ht="13.8">
      <c r="A232" s="1711"/>
      <c r="B232" s="1711" t="s">
        <v>2193</v>
      </c>
      <c r="C232" s="1711"/>
      <c r="D232" s="1711"/>
      <c r="E232" s="1711"/>
      <c r="F232" s="1711"/>
      <c r="G232" s="2571">
        <f>'Part III-A-Uses of Funds'!G118</f>
        <v>50000</v>
      </c>
      <c r="H232" s="2571"/>
      <c r="I232" s="1711"/>
      <c r="J232" s="2571"/>
      <c r="K232" s="2571"/>
      <c r="L232" s="2560"/>
      <c r="M232" s="2571"/>
      <c r="N232" s="2571"/>
      <c r="O232" s="1711"/>
      <c r="P232" s="2571"/>
      <c r="Q232" s="2571"/>
      <c r="R232" s="1711"/>
      <c r="S232" s="2571">
        <f>'Part III-A-Uses of Funds'!S118</f>
        <v>50000</v>
      </c>
      <c r="T232" s="2571"/>
      <c r="U232" s="1711"/>
      <c r="V232" s="2595"/>
      <c r="W232" s="2596"/>
      <c r="X232" s="2596"/>
      <c r="Y232" s="1711"/>
      <c r="Z232" s="1711"/>
      <c r="AA232" s="1711"/>
      <c r="AB232" s="1711"/>
      <c r="AC232" s="1711"/>
      <c r="AD232" s="1711"/>
      <c r="AE232" s="1711"/>
      <c r="AF232" s="1711"/>
      <c r="AG232" s="1711"/>
      <c r="AH232" s="1711"/>
      <c r="AI232" s="1711"/>
    </row>
    <row r="233" spans="1:35" ht="16.5" customHeight="1">
      <c r="A233" s="2597" t="str">
        <f>IF(AND(G233&gt;0,OR(C233="",C233="&lt;Enter detailed description here; use Comments section if needed&gt;")),"X","")</f>
        <v/>
      </c>
      <c r="B233" s="2547" t="s">
        <v>4167</v>
      </c>
      <c r="C233" s="2411" t="str">
        <f>'Part III-A-Uses of Funds'!C119</f>
        <v>&lt;&lt; Enter description here; provide detail &amp; justification in tab Part III-b &gt;&gt;</v>
      </c>
      <c r="D233" s="2411"/>
      <c r="E233" s="2411"/>
      <c r="F233" s="2411"/>
      <c r="G233" s="2571">
        <f>'Part III-A-Uses of Funds'!G119</f>
        <v>0</v>
      </c>
      <c r="H233" s="2571"/>
      <c r="I233" s="1711"/>
      <c r="J233" s="2571"/>
      <c r="K233" s="2571"/>
      <c r="L233" s="2560"/>
      <c r="M233" s="2571"/>
      <c r="N233" s="2571"/>
      <c r="O233" s="1711"/>
      <c r="P233" s="2571"/>
      <c r="Q233" s="2571"/>
      <c r="R233" s="1711"/>
      <c r="S233" s="2571">
        <f>'Part III-A-Uses of Funds'!S119</f>
        <v>0</v>
      </c>
      <c r="T233" s="2571"/>
      <c r="U233" s="2551" t="str">
        <f>IF(AND(G233&gt;0,OR(C233="",C233="&lt;Enter detailed description here; use Comments section if needed&gt;")),"NO DESCRIPTION PROVIDED - please enter detailed description in Other box at left; use Comments section below if needed.","")</f>
        <v/>
      </c>
      <c r="V233" s="2595"/>
      <c r="W233" s="2596"/>
      <c r="X233" s="2596"/>
      <c r="Y233" s="1711"/>
      <c r="Z233" s="1711"/>
      <c r="AA233" s="1711"/>
      <c r="AB233" s="1711"/>
      <c r="AC233" s="1711"/>
      <c r="AD233" s="1711"/>
      <c r="AE233" s="1711"/>
      <c r="AF233" s="1711"/>
      <c r="AG233" s="1711"/>
      <c r="AH233" s="1711"/>
      <c r="AI233" s="1711"/>
    </row>
    <row r="234" spans="1:35" ht="13.5" customHeight="1">
      <c r="A234" s="1711"/>
      <c r="B234" s="1711"/>
      <c r="C234" s="1711"/>
      <c r="D234" s="1711"/>
      <c r="E234" s="1711"/>
      <c r="F234" s="2599" t="s">
        <v>184</v>
      </c>
      <c r="G234" s="2571">
        <f>SUM(G230:G233)</f>
        <v>105000</v>
      </c>
      <c r="H234" s="2571"/>
      <c r="I234" s="1711"/>
      <c r="J234" s="2571"/>
      <c r="K234" s="2571"/>
      <c r="L234" s="2560"/>
      <c r="M234" s="2571"/>
      <c r="N234" s="2571"/>
      <c r="O234" s="1711"/>
      <c r="P234" s="2571"/>
      <c r="Q234" s="2571"/>
      <c r="R234" s="1711"/>
      <c r="S234" s="2571">
        <f>SUM(S230:S233)</f>
        <v>105000</v>
      </c>
      <c r="T234" s="2571"/>
      <c r="U234" s="1711"/>
      <c r="V234" s="2595">
        <f>SUM(V230:V233)</f>
        <v>0</v>
      </c>
      <c r="W234" s="2596"/>
      <c r="X234" s="2596"/>
      <c r="Y234" s="1711"/>
      <c r="Z234" s="1711"/>
      <c r="AA234" s="1711"/>
      <c r="AB234" s="1711"/>
      <c r="AC234" s="402" t="s">
        <v>3794</v>
      </c>
      <c r="AD234" s="402" t="s">
        <v>3795</v>
      </c>
      <c r="AE234" s="402" t="s">
        <v>3798</v>
      </c>
      <c r="AF234" s="2547" t="s">
        <v>3796</v>
      </c>
      <c r="AG234" s="402" t="s">
        <v>3787</v>
      </c>
      <c r="AH234" s="403" t="s">
        <v>4623</v>
      </c>
      <c r="AI234" s="403"/>
    </row>
    <row r="235" spans="1:35" ht="13.8">
      <c r="A235" s="1711"/>
      <c r="B235" s="2542" t="s">
        <v>269</v>
      </c>
      <c r="C235" s="1711"/>
      <c r="D235" s="1711"/>
      <c r="E235" s="2584" t="s">
        <v>3797</v>
      </c>
      <c r="F235" s="2545"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711"/>
      <c r="H235" s="1711"/>
      <c r="I235" s="1711"/>
      <c r="J235" s="2560"/>
      <c r="K235" s="2571"/>
      <c r="L235" s="1711"/>
      <c r="M235" s="2560"/>
      <c r="N235" s="2571"/>
      <c r="O235" s="2600" t="str">
        <f>B235</f>
        <v>DEVELOPER'S FEE</v>
      </c>
      <c r="P235" s="2560"/>
      <c r="Q235" s="2571"/>
      <c r="R235" s="1711"/>
      <c r="S235" s="2560"/>
      <c r="T235" s="2571"/>
      <c r="U235" s="1711"/>
      <c r="V235" s="2595"/>
      <c r="W235" s="1711" t="str">
        <f>B235</f>
        <v>DEVELOPER'S FEE</v>
      </c>
      <c r="X235" s="1711"/>
      <c r="Y235" s="402" t="s">
        <v>3785</v>
      </c>
      <c r="Z235" s="402"/>
      <c r="AA235" s="1248" t="s">
        <v>3791</v>
      </c>
      <c r="AB235" s="1248" t="s">
        <v>3792</v>
      </c>
      <c r="AC235" s="402"/>
      <c r="AD235" s="402"/>
      <c r="AE235" s="402"/>
      <c r="AF235" s="2547"/>
      <c r="AG235" s="402"/>
      <c r="AH235" s="403"/>
      <c r="AI235" s="403"/>
    </row>
    <row r="236" spans="1:35" ht="13.8">
      <c r="A236" s="1711"/>
      <c r="B236" s="1711" t="s">
        <v>1718</v>
      </c>
      <c r="C236" s="1711"/>
      <c r="D236" s="1711"/>
      <c r="E236" s="1711"/>
      <c r="F236" s="2577">
        <f>IF($G$127=0,0,G236/$G$127)</f>
        <v>0</v>
      </c>
      <c r="G236" s="2571">
        <f>'Part III-A-Uses of Funds'!G122</f>
        <v>0</v>
      </c>
      <c r="H236" s="2571"/>
      <c r="I236" s="1711"/>
      <c r="J236" s="2571">
        <f>'Part III-A-Uses of Funds'!J122</f>
        <v>0</v>
      </c>
      <c r="K236" s="2571"/>
      <c r="L236" s="2560"/>
      <c r="M236" s="2571">
        <f>'Part III-A-Uses of Funds'!M122</f>
        <v>0</v>
      </c>
      <c r="N236" s="2571"/>
      <c r="O236" s="1711"/>
      <c r="P236" s="2571">
        <f>'Part III-A-Uses of Funds'!P122</f>
        <v>0</v>
      </c>
      <c r="Q236" s="2571"/>
      <c r="R236" s="1711"/>
      <c r="S236" s="2571">
        <f>'Part III-A-Uses of Funds'!S122</f>
        <v>0</v>
      </c>
      <c r="T236" s="2571"/>
      <c r="U236" s="1711"/>
      <c r="V236" s="2595"/>
      <c r="W236" s="2596"/>
      <c r="X236" s="2596"/>
      <c r="Z236" s="2649">
        <v>0.09</v>
      </c>
      <c r="AA236" s="2650">
        <f>'DCA Underwriting Assumptions'!$J$82</f>
        <v>1</v>
      </c>
      <c r="AB236" s="2650">
        <f>'DCA Underwriting Assumptions'!$K$82</f>
        <v>50</v>
      </c>
      <c r="AC236" s="2641">
        <f>'DCA Underwriting Assumptions'!$Q$82</f>
        <v>27500</v>
      </c>
      <c r="AD236" s="2641">
        <f>AB236*AC236</f>
        <v>1375000</v>
      </c>
      <c r="AE236" s="2641">
        <f>IF('Part V-Revenues &amp; Expenses'!$P$76&lt;AA237,'Part V-Revenues &amp; Expenses'!$P$76*'Part III-A-Uses of Funds'!AC236,AB236*AC236)</f>
        <v>1375000</v>
      </c>
      <c r="AF236" s="2651">
        <f>SUM(AE236:AE238)</f>
        <v>1845000</v>
      </c>
      <c r="AG236" s="2651">
        <f>'DCA Underwriting Assumptions'!$Q$89</f>
        <v>2285000</v>
      </c>
      <c r="AH236" s="2575">
        <f>MIN(AF236,AG236)</f>
        <v>1845000</v>
      </c>
      <c r="AI236" s="2575"/>
    </row>
    <row r="237" spans="1:35" ht="13.8">
      <c r="A237" s="1711"/>
      <c r="B237" s="1711" t="s">
        <v>3321</v>
      </c>
      <c r="C237" s="1711"/>
      <c r="D237" s="1711"/>
      <c r="E237" s="1711"/>
      <c r="F237" s="2652"/>
      <c r="G237" s="2648" t="s">
        <v>4604</v>
      </c>
      <c r="H237" s="1711"/>
      <c r="I237" s="1711"/>
      <c r="J237" s="1711"/>
      <c r="K237" s="1711"/>
      <c r="L237" s="1711"/>
      <c r="M237" s="1711"/>
      <c r="N237" s="1711"/>
      <c r="O237" s="1711"/>
      <c r="P237" s="1711"/>
      <c r="Q237" s="1711"/>
      <c r="R237" s="1711"/>
      <c r="S237" s="1711"/>
      <c r="T237" s="1711"/>
      <c r="U237" s="1711"/>
      <c r="V237" s="2595"/>
      <c r="W237" s="2596"/>
      <c r="X237" s="2596"/>
      <c r="Z237" s="1640"/>
      <c r="AA237" s="2650">
        <f>'DCA Underwriting Assumptions'!$J$83</f>
        <v>51</v>
      </c>
      <c r="AB237" s="2650">
        <f>'DCA Underwriting Assumptions'!$K$83</f>
        <v>70</v>
      </c>
      <c r="AC237" s="2641">
        <f>'DCA Underwriting Assumptions'!$Q$83</f>
        <v>22000</v>
      </c>
      <c r="AD237" s="2641">
        <f>(AB237-AB236)*AC237</f>
        <v>440000</v>
      </c>
      <c r="AE237" s="2641">
        <f>IF(AND('Part V-Revenues &amp; Expenses'!$P$76&gt;AB236,'Part V-Revenues &amp; Expenses'!$P$76&lt;AA238),('Part V-Revenues &amp; Expenses'!$P$76-AB236)*'Part III-A-Uses of Funds'!AC237,IF(AND('Part V-Revenues &amp; Expenses'!$P$76&gt;AB236,'Part V-Revenues &amp; Expenses'!$P$76&gt;AB237),(AB237-AB236)*'Part III-A-Uses of Funds'!AC237,0))</f>
        <v>0</v>
      </c>
      <c r="AF237" s="2651"/>
      <c r="AG237" s="2651"/>
      <c r="AH237" s="2575"/>
      <c r="AI237" s="2575"/>
    </row>
    <row r="238" spans="1:35" ht="13.8">
      <c r="A238" s="1711"/>
      <c r="B238" s="1711" t="s">
        <v>1719</v>
      </c>
      <c r="C238" s="1711"/>
      <c r="D238" s="1711"/>
      <c r="E238" s="1711"/>
      <c r="F238" s="2577">
        <f>IF($G$127=0,0,G238/$G$127)</f>
        <v>4.333333333333333</v>
      </c>
      <c r="G238" s="2571">
        <f>'Part III-A-Uses of Funds'!G124</f>
        <v>65000</v>
      </c>
      <c r="H238" s="2571"/>
      <c r="I238" s="1711"/>
      <c r="J238" s="2571">
        <f>'Part III-A-Uses of Funds'!J124</f>
        <v>0</v>
      </c>
      <c r="K238" s="2571"/>
      <c r="L238" s="2560"/>
      <c r="M238" s="2571">
        <f>'Part III-A-Uses of Funds'!M124</f>
        <v>0</v>
      </c>
      <c r="N238" s="2571"/>
      <c r="O238" s="1711"/>
      <c r="P238" s="2571">
        <f>'Part III-A-Uses of Funds'!P124</f>
        <v>65000</v>
      </c>
      <c r="Q238" s="2571"/>
      <c r="R238" s="1711"/>
      <c r="S238" s="2571">
        <f>'Part III-A-Uses of Funds'!S124</f>
        <v>0</v>
      </c>
      <c r="T238" s="2571"/>
      <c r="U238" s="1711"/>
      <c r="V238" s="2595"/>
      <c r="W238" s="2596"/>
      <c r="X238" s="2596"/>
      <c r="Z238" s="1640"/>
      <c r="AA238" s="2650">
        <f>'DCA Underwriting Assumptions'!$J$84</f>
        <v>71</v>
      </c>
      <c r="AB238" s="1640"/>
      <c r="AC238" s="2641">
        <f>'DCA Underwriting Assumptions'!$Q$84</f>
        <v>16500</v>
      </c>
      <c r="AD238" s="2641">
        <f>AG236-AD237-AD236</f>
        <v>470000</v>
      </c>
      <c r="AE238" s="2641">
        <f>MIN(AD238,IF('Part V-Revenues &amp; Expenses'!$P$76&gt;AB237,('Part V-Revenues &amp; Expenses'!$P$76-AB237)*AC238,0))</f>
        <v>470000</v>
      </c>
      <c r="AF238" s="2651"/>
      <c r="AG238" s="2651"/>
      <c r="AH238" s="2575"/>
      <c r="AI238" s="2575"/>
    </row>
    <row r="239" spans="1:35" ht="13.8">
      <c r="A239" s="1711"/>
      <c r="B239" s="1711" t="s">
        <v>3077</v>
      </c>
      <c r="C239" s="1711"/>
      <c r="D239" s="1711"/>
      <c r="E239" s="1711"/>
      <c r="F239" s="2577">
        <f>IF($G$127=0,0,G239/$G$127)</f>
        <v>0</v>
      </c>
      <c r="G239" s="2571">
        <f>'Part III-A-Uses of Funds'!G125</f>
        <v>0</v>
      </c>
      <c r="H239" s="2571"/>
      <c r="I239" s="1711"/>
      <c r="J239" s="2571">
        <f>'Part III-A-Uses of Funds'!J125</f>
        <v>0</v>
      </c>
      <c r="K239" s="2571"/>
      <c r="L239" s="2560"/>
      <c r="M239" s="2571">
        <f>'Part III-A-Uses of Funds'!M125</f>
        <v>0</v>
      </c>
      <c r="N239" s="2571"/>
      <c r="O239" s="1711"/>
      <c r="P239" s="2571">
        <f>'Part III-A-Uses of Funds'!P125</f>
        <v>0</v>
      </c>
      <c r="Q239" s="2571"/>
      <c r="R239" s="1711"/>
      <c r="S239" s="2571">
        <f>'Part III-A-Uses of Funds'!S125</f>
        <v>0</v>
      </c>
      <c r="T239" s="2571"/>
      <c r="U239" s="1711"/>
      <c r="V239" s="2595"/>
      <c r="W239" s="2596"/>
      <c r="X239" s="2596"/>
      <c r="Z239" s="2649">
        <v>0.04</v>
      </c>
      <c r="AA239" s="2650">
        <f>'DCA Underwriting Assumptions'!$J$85</f>
        <v>1</v>
      </c>
      <c r="AB239" s="2650">
        <f>'DCA Underwriting Assumptions'!$K$85</f>
        <v>50</v>
      </c>
      <c r="AC239" s="2641">
        <f>'DCA Underwriting Assumptions'!$Q$85</f>
        <v>27500</v>
      </c>
      <c r="AD239" s="2641">
        <f>AB239*AC239</f>
        <v>1375000</v>
      </c>
      <c r="AE239" s="2641">
        <f>IF('Part V-Revenues &amp; Expenses'!$P$76&lt;AA240,'Part V-Revenues &amp; Expenses'!$P$76*'Part III-A-Uses of Funds'!AC239,AB239*AC239)</f>
        <v>1375000</v>
      </c>
      <c r="AF239" s="2651">
        <f>SUM(AE239:AE241)</f>
        <v>2860000</v>
      </c>
      <c r="AG239" s="2651">
        <f>'DCA Underwriting Assumptions'!$Q$90</f>
        <v>4000000</v>
      </c>
      <c r="AH239" s="2575">
        <f>MIN(AF239,AG239)</f>
        <v>2860000</v>
      </c>
      <c r="AI239" s="2575"/>
    </row>
    <row r="240" spans="1:35" ht="13.8">
      <c r="A240" s="1711"/>
      <c r="B240" s="1711" t="s">
        <v>1711</v>
      </c>
      <c r="C240" s="1711"/>
      <c r="D240" s="1711"/>
      <c r="E240" s="1711"/>
      <c r="F240" s="2577">
        <f>IF($G$127=0,0,G240/$G$127)</f>
        <v>215.66666666666666</v>
      </c>
      <c r="G240" s="2571">
        <f>'Part III-A-Uses of Funds'!G126</f>
        <v>3235000</v>
      </c>
      <c r="H240" s="2571"/>
      <c r="I240" s="1711"/>
      <c r="J240" s="2571">
        <f>'Part III-A-Uses of Funds'!J126</f>
        <v>0</v>
      </c>
      <c r="K240" s="2571"/>
      <c r="L240" s="2560"/>
      <c r="M240" s="2571">
        <f>'Part III-A-Uses of Funds'!M126</f>
        <v>0</v>
      </c>
      <c r="N240" s="2571"/>
      <c r="O240" s="1711"/>
      <c r="P240" s="2571">
        <f>'Part III-A-Uses of Funds'!P126</f>
        <v>3235000</v>
      </c>
      <c r="Q240" s="2571"/>
      <c r="R240" s="1711"/>
      <c r="S240" s="2571">
        <f>'Part III-A-Uses of Funds'!S126</f>
        <v>0</v>
      </c>
      <c r="T240" s="2571"/>
      <c r="U240" s="1711"/>
      <c r="V240" s="2595"/>
      <c r="W240" s="2596"/>
      <c r="X240" s="2596"/>
      <c r="Z240" s="1640"/>
      <c r="AA240" s="2650">
        <f>'DCA Underwriting Assumptions'!$J$86</f>
        <v>51</v>
      </c>
      <c r="AB240" s="2650">
        <f>'DCA Underwriting Assumptions'!$K$86</f>
        <v>70</v>
      </c>
      <c r="AC240" s="2641">
        <f>'DCA Underwriting Assumptions'!$Q$86</f>
        <v>22000</v>
      </c>
      <c r="AD240" s="2641">
        <f>(AB240-AB239)*AC240</f>
        <v>440000</v>
      </c>
      <c r="AE240" s="2641">
        <f>IF(AND('Part V-Revenues &amp; Expenses'!$P$76&gt;AB239,'Part V-Revenues &amp; Expenses'!$P$76&lt;AA241),('Part V-Revenues &amp; Expenses'!$P$76-AB239)*'Part III-A-Uses of Funds'!AC240,IF(AND('Part V-Revenues &amp; Expenses'!$P$76&gt;AB239,'Part V-Revenues &amp; Expenses'!$P$76&gt;AB240),(AB240-AB239)*'Part III-A-Uses of Funds'!AC240,0))</f>
        <v>0</v>
      </c>
      <c r="AF240" s="2651"/>
      <c r="AG240" s="2651"/>
      <c r="AH240" s="2575"/>
      <c r="AI240" s="2575"/>
    </row>
    <row r="241" spans="1:35" ht="13.8">
      <c r="A241" s="2653" t="str">
        <f>IF(G241&gt;E241,"DF over limit!  Round down/Enter nbr.","")</f>
        <v/>
      </c>
      <c r="B241" s="2654"/>
      <c r="C241" s="1711"/>
      <c r="D241" s="2584" t="s">
        <v>3793</v>
      </c>
      <c r="E241" s="2655" t="str">
        <f>IF(AF236+AF239=0,"Fill in Rent Chart!",IF(F235="9%",AH236,IF(F235="4%",AH239,"Select App Type!")))</f>
        <v>Select App Type!</v>
      </c>
      <c r="F241" s="2599" t="s">
        <v>184</v>
      </c>
      <c r="G241" s="2571">
        <f>SUM(G236:G240)</f>
        <v>3300000</v>
      </c>
      <c r="H241" s="2571"/>
      <c r="I241" s="1711"/>
      <c r="J241" s="2571">
        <f>SUM(J236:J240)</f>
        <v>0</v>
      </c>
      <c r="K241" s="2571"/>
      <c r="L241" s="2560"/>
      <c r="M241" s="2571">
        <f>SUM(M236:M240)</f>
        <v>0</v>
      </c>
      <c r="N241" s="2571"/>
      <c r="O241" s="1711"/>
      <c r="P241" s="2571">
        <f>SUM(P236:P240)</f>
        <v>3300000</v>
      </c>
      <c r="Q241" s="2571"/>
      <c r="R241" s="1711"/>
      <c r="S241" s="2571">
        <f>SUM(S236:S240)</f>
        <v>0</v>
      </c>
      <c r="T241" s="2571"/>
      <c r="U241" s="1711"/>
      <c r="V241" s="2595">
        <f>SUM(V236:V240)</f>
        <v>0</v>
      </c>
      <c r="W241" s="2596"/>
      <c r="X241" s="2596"/>
      <c r="Z241" s="1640"/>
      <c r="AA241" s="2650">
        <f>'DCA Underwriting Assumptions'!$J$87</f>
        <v>71</v>
      </c>
      <c r="AB241" s="1640"/>
      <c r="AC241" s="2641">
        <f>'DCA Underwriting Assumptions'!$Q$87</f>
        <v>16500</v>
      </c>
      <c r="AD241" s="2641">
        <f>AG239-AD240-AD239</f>
        <v>2185000</v>
      </c>
      <c r="AE241" s="2641">
        <f>MIN(AD241,IF('Part V-Revenues &amp; Expenses'!$P$76&gt;AB240,('Part V-Revenues &amp; Expenses'!$P$76-AB240)*AC241,0))</f>
        <v>1485000</v>
      </c>
      <c r="AF241" s="2651"/>
      <c r="AG241" s="2651"/>
      <c r="AH241" s="2575"/>
      <c r="AI241" s="2575"/>
    </row>
    <row r="242" spans="1:35" ht="13.8">
      <c r="A242" s="1711"/>
      <c r="B242" s="2542" t="s">
        <v>1229</v>
      </c>
      <c r="C242" s="1711"/>
      <c r="D242" s="1711"/>
      <c r="E242" s="1711"/>
      <c r="F242" s="1711"/>
      <c r="G242" s="1711"/>
      <c r="H242" s="1711"/>
      <c r="I242" s="1711"/>
      <c r="J242" s="2571"/>
      <c r="K242" s="2571"/>
      <c r="L242" s="1711"/>
      <c r="M242" s="2571"/>
      <c r="N242" s="2571"/>
      <c r="O242" s="2600" t="str">
        <f>B242</f>
        <v>START-UP AND RESERVES</v>
      </c>
      <c r="P242" s="2571"/>
      <c r="Q242" s="2571"/>
      <c r="R242" s="1711"/>
      <c r="S242" s="2571"/>
      <c r="T242" s="2571"/>
      <c r="U242" s="1711"/>
      <c r="V242" s="2595"/>
      <c r="W242" s="1711" t="str">
        <f>B242</f>
        <v>START-UP AND RESERVES</v>
      </c>
      <c r="X242" s="1711"/>
      <c r="Y242" s="790"/>
      <c r="Z242" s="791"/>
      <c r="AA242" s="1711"/>
      <c r="AB242" s="790"/>
      <c r="AE242" s="1711"/>
    </row>
    <row r="243" spans="1:35" ht="13.8">
      <c r="A243" s="1711"/>
      <c r="B243" s="1711" t="s">
        <v>241</v>
      </c>
      <c r="C243" s="1711"/>
      <c r="D243" s="1711"/>
      <c r="E243" s="1711"/>
      <c r="F243" s="1711"/>
      <c r="G243" s="2571">
        <f>'Part III-A-Uses of Funds'!G129</f>
        <v>25000</v>
      </c>
      <c r="H243" s="2571"/>
      <c r="I243" s="1711"/>
      <c r="J243" s="2635"/>
      <c r="K243" s="2635"/>
      <c r="L243" s="2635"/>
      <c r="M243" s="2635"/>
      <c r="N243" s="2635"/>
      <c r="O243" s="1711"/>
      <c r="P243" s="2635"/>
      <c r="Q243" s="2635"/>
      <c r="R243" s="1711"/>
      <c r="S243" s="2571">
        <f>'Part III-A-Uses of Funds'!S129</f>
        <v>25000</v>
      </c>
      <c r="T243" s="2571"/>
      <c r="U243" s="1711"/>
      <c r="V243" s="2595"/>
      <c r="W243" s="2596"/>
      <c r="X243" s="2596"/>
      <c r="Y243" s="1711"/>
      <c r="Z243" s="791"/>
      <c r="AA243" s="1711"/>
      <c r="AB243" s="790"/>
      <c r="AE243" s="1711"/>
    </row>
    <row r="244" spans="1:35" ht="13.8">
      <c r="A244" s="1711"/>
      <c r="B244" s="1711" t="s">
        <v>1434</v>
      </c>
      <c r="C244" s="1711"/>
      <c r="D244" s="1711"/>
      <c r="E244" s="1711"/>
      <c r="F244" s="2656">
        <f>+'Part V-Revenues &amp; Expenses'!$Q$250*('DCA Underwriting Assumptions'!$Q$105/12)</f>
        <v>308710.5</v>
      </c>
      <c r="G244" s="2571">
        <f>'Part III-A-Uses of Funds'!G130</f>
        <v>308710.5</v>
      </c>
      <c r="H244" s="2571"/>
      <c r="I244" s="1711"/>
      <c r="J244" s="2657" t="str">
        <f>IF(E244&gt;G244,"WARNING! Rent-Up Reserves proposed is below minimum - add comment.","")</f>
        <v/>
      </c>
      <c r="K244" s="2657"/>
      <c r="L244" s="2560"/>
      <c r="M244" s="2571"/>
      <c r="N244" s="2571"/>
      <c r="O244" s="1711"/>
      <c r="P244" s="2571"/>
      <c r="Q244" s="2571"/>
      <c r="R244" s="1711"/>
      <c r="S244" s="2571">
        <f>'Part III-A-Uses of Funds'!S130</f>
        <v>308710.5</v>
      </c>
      <c r="T244" s="2571"/>
      <c r="U244" s="1711"/>
      <c r="V244" s="2595"/>
      <c r="W244" s="2596"/>
      <c r="X244" s="2596"/>
      <c r="Z244" s="2649"/>
      <c r="AA244" s="1711"/>
      <c r="AB244" s="402"/>
      <c r="AC244" s="1711"/>
      <c r="AE244" s="1711"/>
      <c r="AF244" s="1711"/>
    </row>
    <row r="245" spans="1:35" ht="13.8">
      <c r="A245" s="1711"/>
      <c r="B245" s="1711" t="s">
        <v>631</v>
      </c>
      <c r="C245" s="1711"/>
      <c r="D245" s="1711"/>
      <c r="E245" s="1711"/>
      <c r="F245" s="2656">
        <f>'Part V-Revenues &amp; Expenses'!$Q$250*('DCA Underwriting Assumptions'!$Q$103/12)+('Part VI-Pro Forma'!$B$26+'Part VI-Pro Forma'!$B$27+'Part VI-Pro Forma'!$B$28+'Part VI-Pro Forma'!$B$29)*'DCA Underwriting Assumptions'!$Q$102/(-12)</f>
        <v>1094838.353922151</v>
      </c>
      <c r="G245" s="2571">
        <f>'Part III-A-Uses of Funds'!G131</f>
        <v>1094838.353922151</v>
      </c>
      <c r="H245" s="2571"/>
      <c r="I245" s="1711"/>
      <c r="J245" s="2657" t="str">
        <f>IF(E245&gt;G245,"WARNING! ODR proposed is below minimum - add comment.","")</f>
        <v/>
      </c>
      <c r="K245" s="2635"/>
      <c r="L245" s="2635"/>
      <c r="M245" s="2635"/>
      <c r="N245" s="2635"/>
      <c r="O245" s="1711"/>
      <c r="P245" s="2635"/>
      <c r="Q245" s="2635"/>
      <c r="R245" s="1711"/>
      <c r="S245" s="2571">
        <f>'Part III-A-Uses of Funds'!S131</f>
        <v>1094838.353922151</v>
      </c>
      <c r="T245" s="2571"/>
      <c r="U245" s="1711"/>
      <c r="V245" s="2595"/>
      <c r="W245" s="2596"/>
      <c r="X245" s="2596"/>
      <c r="Z245" s="2649"/>
      <c r="AA245" s="1711"/>
      <c r="AB245" s="402"/>
      <c r="AC245" s="1711"/>
      <c r="AE245" s="1711"/>
      <c r="AF245" s="1711"/>
    </row>
    <row r="246" spans="1:35" ht="13.8">
      <c r="A246" s="1711"/>
      <c r="B246" s="1711" t="s">
        <v>5096</v>
      </c>
      <c r="C246" s="1711"/>
      <c r="D246" s="1711"/>
      <c r="E246" s="2601" t="s">
        <v>5097</v>
      </c>
      <c r="F246" s="2656">
        <f>'Part V-Revenues &amp; Expenses'!$L$266+'Part V-Revenues &amp; Expenses'!$L$267</f>
        <v>418188</v>
      </c>
      <c r="G246" s="2571">
        <f>'Part III-A-Uses of Funds'!G132</f>
        <v>200000</v>
      </c>
      <c r="H246" s="2571"/>
      <c r="I246" s="1711"/>
      <c r="J246" s="2657"/>
      <c r="K246" s="2635"/>
      <c r="L246" s="2635"/>
      <c r="M246" s="2635"/>
      <c r="N246" s="2635"/>
      <c r="O246" s="1711"/>
      <c r="P246" s="2635"/>
      <c r="Q246" s="2635"/>
      <c r="R246" s="1711"/>
      <c r="S246" s="2571">
        <f>'Part III-A-Uses of Funds'!S132</f>
        <v>200000</v>
      </c>
      <c r="T246" s="2571"/>
      <c r="U246" s="1711"/>
      <c r="V246" s="2595"/>
      <c r="W246" s="2596"/>
      <c r="X246" s="2596"/>
      <c r="Z246" s="2649"/>
      <c r="AA246" s="1711"/>
      <c r="AB246" s="402"/>
      <c r="AC246" s="1711"/>
      <c r="AE246" s="1711"/>
      <c r="AF246" s="1711"/>
    </row>
    <row r="247" spans="1:35" ht="13.8">
      <c r="A247" s="1711"/>
      <c r="B247" s="1711" t="s">
        <v>1169</v>
      </c>
      <c r="C247" s="1711"/>
      <c r="D247" s="1711"/>
      <c r="E247" s="1711" t="s">
        <v>5098</v>
      </c>
      <c r="F247" s="1711"/>
      <c r="G247" s="2571">
        <f>'Part III-A-Uses of Funds'!G133</f>
        <v>0</v>
      </c>
      <c r="H247" s="2571"/>
      <c r="I247" s="1711"/>
      <c r="J247" s="2635"/>
      <c r="K247" s="2635"/>
      <c r="L247" s="2635"/>
      <c r="M247" s="2635"/>
      <c r="N247" s="2635"/>
      <c r="O247" s="1711"/>
      <c r="P247" s="2635"/>
      <c r="Q247" s="2635"/>
      <c r="R247" s="1711"/>
      <c r="S247" s="2571">
        <f>'Part III-A-Uses of Funds'!S133</f>
        <v>0</v>
      </c>
      <c r="T247" s="2571"/>
      <c r="U247" s="1711"/>
      <c r="V247" s="2595"/>
      <c r="W247" s="2596"/>
      <c r="X247" s="2596"/>
      <c r="Y247" s="1711"/>
      <c r="Z247" s="1711"/>
      <c r="AA247" s="1711"/>
      <c r="AB247" s="1711"/>
      <c r="AC247" s="1711"/>
      <c r="AD247" s="1711"/>
      <c r="AE247" s="1711"/>
      <c r="AF247" s="1711"/>
      <c r="AG247" s="1711"/>
      <c r="AH247" s="1711"/>
      <c r="AI247" s="1711"/>
    </row>
    <row r="248" spans="1:35" ht="13.8">
      <c r="A248" s="1711"/>
      <c r="B248" s="1711" t="s">
        <v>1170</v>
      </c>
      <c r="C248" s="1711"/>
      <c r="D248" s="1711"/>
      <c r="E248" s="2601" t="s">
        <v>3051</v>
      </c>
      <c r="F248" s="2656">
        <f>IF('Part V-Revenues &amp; Expenses'!$P$76=0,0,G248/'Part V-Revenues &amp; Expenses'!$P$76)</f>
        <v>1250</v>
      </c>
      <c r="G248" s="2571">
        <f>'Part III-A-Uses of Funds'!G134</f>
        <v>200000</v>
      </c>
      <c r="H248" s="2571"/>
      <c r="I248" s="1711"/>
      <c r="J248" s="2571">
        <f>'Part III-A-Uses of Funds'!J134</f>
        <v>0</v>
      </c>
      <c r="K248" s="2571"/>
      <c r="L248" s="2560"/>
      <c r="M248" s="2571">
        <f>'Part III-A-Uses of Funds'!M134</f>
        <v>0</v>
      </c>
      <c r="N248" s="2571"/>
      <c r="O248" s="1711"/>
      <c r="P248" s="2571">
        <f>'Part III-A-Uses of Funds'!P134</f>
        <v>0</v>
      </c>
      <c r="Q248" s="2571"/>
      <c r="R248" s="1711"/>
      <c r="S248" s="2571">
        <f>'Part III-A-Uses of Funds'!S134</f>
        <v>200000</v>
      </c>
      <c r="T248" s="2571"/>
      <c r="U248" s="1711"/>
      <c r="V248" s="2595"/>
      <c r="W248" s="2596"/>
      <c r="X248" s="2596"/>
      <c r="Y248" s="1711"/>
      <c r="Z248" s="1711"/>
      <c r="AA248" s="1711"/>
      <c r="AB248" s="1711"/>
      <c r="AC248" s="1711"/>
      <c r="AD248" s="1711"/>
      <c r="AE248" s="1711"/>
      <c r="AF248" s="1711"/>
      <c r="AG248" s="1711"/>
      <c r="AH248" s="1711"/>
      <c r="AI248" s="1711"/>
    </row>
    <row r="249" spans="1:35" ht="16.5" customHeight="1">
      <c r="A249" s="2597" t="str">
        <f>IF(AND(G249&gt;0,OR(C249="",C249="&lt;Enter detailed description here; use Comments section if needed&gt;")),"X","")</f>
        <v/>
      </c>
      <c r="B249" s="2547" t="s">
        <v>4167</v>
      </c>
      <c r="C249" s="2411" t="str">
        <f>'Part III-A-Uses of Funds'!C135</f>
        <v>&lt;&lt; Enter description here; provide detail &amp; justification in tab Part III-b &gt;&gt;</v>
      </c>
      <c r="D249" s="2411"/>
      <c r="E249" s="2411"/>
      <c r="F249" s="2411"/>
      <c r="G249" s="2571">
        <f>'Part III-A-Uses of Funds'!G135</f>
        <v>0</v>
      </c>
      <c r="H249" s="2571"/>
      <c r="I249" s="1711"/>
      <c r="J249" s="2571">
        <f>'Part III-A-Uses of Funds'!J135</f>
        <v>0</v>
      </c>
      <c r="K249" s="2571"/>
      <c r="L249" s="2560"/>
      <c r="M249" s="2571">
        <f>'Part III-A-Uses of Funds'!M135</f>
        <v>0</v>
      </c>
      <c r="N249" s="2571"/>
      <c r="O249" s="1711"/>
      <c r="P249" s="2571">
        <f>'Part III-A-Uses of Funds'!P135</f>
        <v>0</v>
      </c>
      <c r="Q249" s="2571"/>
      <c r="R249" s="1711"/>
      <c r="S249" s="2571">
        <f>'Part III-A-Uses of Funds'!S135</f>
        <v>0</v>
      </c>
      <c r="T249" s="2571"/>
      <c r="U249" s="2551" t="str">
        <f>IF(AND(G249&gt;0,OR(C249="",C249="&lt;Enter detailed description here; use Comments section if needed&gt;")),"NO DESCRIPTION PROVIDED - please enter detailed description in Other box at left; use Comments section below if needed.","")</f>
        <v/>
      </c>
      <c r="V249" s="2595"/>
      <c r="W249" s="2596"/>
      <c r="X249" s="2596"/>
      <c r="Y249" s="1711"/>
      <c r="Z249" s="1711"/>
      <c r="AA249" s="1711"/>
      <c r="AB249" s="1711"/>
      <c r="AC249" s="1711"/>
      <c r="AD249" s="1711"/>
      <c r="AE249" s="1711"/>
      <c r="AF249" s="1711"/>
      <c r="AG249" s="1711"/>
      <c r="AH249" s="1711"/>
      <c r="AI249" s="1711"/>
    </row>
    <row r="250" spans="1:35" ht="13.8">
      <c r="A250" s="1711"/>
      <c r="B250" s="2658"/>
      <c r="C250" s="1711"/>
      <c r="D250" s="1711"/>
      <c r="E250" s="1711"/>
      <c r="F250" s="2599" t="s">
        <v>184</v>
      </c>
      <c r="G250" s="2571">
        <f>SUM(G243:G249)</f>
        <v>1828548.853922151</v>
      </c>
      <c r="H250" s="2571"/>
      <c r="I250" s="1711"/>
      <c r="J250" s="2571">
        <f>SUM(J248:J249)</f>
        <v>0</v>
      </c>
      <c r="K250" s="2571"/>
      <c r="L250" s="2560"/>
      <c r="M250" s="2571">
        <f>SUM(M248:M249)</f>
        <v>0</v>
      </c>
      <c r="N250" s="2571"/>
      <c r="O250" s="1711"/>
      <c r="P250" s="2571">
        <f>SUM(P248:P249)</f>
        <v>0</v>
      </c>
      <c r="Q250" s="2571"/>
      <c r="R250" s="1711"/>
      <c r="S250" s="2571">
        <f>SUM(S243:S249)</f>
        <v>1828548.853922151</v>
      </c>
      <c r="T250" s="2571"/>
      <c r="U250" s="1711"/>
      <c r="V250" s="2595">
        <f>SUM(V243:V249)</f>
        <v>0</v>
      </c>
      <c r="W250" s="2596"/>
      <c r="X250" s="2596"/>
      <c r="Y250" s="1711"/>
      <c r="Z250" s="1711"/>
      <c r="AA250" s="1711"/>
      <c r="AB250" s="1711"/>
      <c r="AC250" s="1711"/>
      <c r="AD250" s="1711"/>
      <c r="AE250" s="1711"/>
      <c r="AF250" s="1711"/>
      <c r="AG250" s="1711"/>
      <c r="AH250" s="1711"/>
      <c r="AI250" s="1711"/>
    </row>
    <row r="251" spans="1:35" ht="13.8">
      <c r="A251" s="1711"/>
      <c r="B251" s="1711"/>
      <c r="C251" s="1711"/>
      <c r="D251" s="1711"/>
      <c r="E251" s="1711"/>
      <c r="F251" s="1711"/>
      <c r="G251" s="1711"/>
      <c r="H251" s="1711"/>
      <c r="I251" s="2659"/>
      <c r="J251" s="1711"/>
      <c r="K251" s="1711"/>
      <c r="L251" s="2659"/>
      <c r="M251" s="1711"/>
      <c r="N251" s="1711"/>
      <c r="O251" s="1711"/>
      <c r="P251" s="1711"/>
      <c r="Q251" s="1711"/>
      <c r="R251" s="1711"/>
      <c r="S251" s="1711"/>
      <c r="T251" s="1711"/>
      <c r="U251" s="1711"/>
      <c r="V251" s="2595"/>
      <c r="W251" s="1711"/>
      <c r="X251" s="1711"/>
      <c r="Y251" s="1711"/>
      <c r="Z251" s="1711"/>
      <c r="AA251" s="1711"/>
      <c r="AB251" s="1711"/>
      <c r="AC251" s="1711"/>
      <c r="AD251" s="1711"/>
      <c r="AE251" s="1711"/>
      <c r="AF251" s="1711"/>
      <c r="AG251" s="1711"/>
      <c r="AH251" s="1711"/>
      <c r="AI251" s="1711"/>
    </row>
    <row r="252" spans="1:35" ht="13.8">
      <c r="A252" s="1711"/>
      <c r="B252" s="1711"/>
      <c r="C252" s="1711"/>
      <c r="D252" s="2548"/>
      <c r="E252" s="2548"/>
      <c r="F252" s="1711"/>
      <c r="G252" s="1711"/>
      <c r="H252" s="1711"/>
      <c r="I252" s="2660"/>
      <c r="J252" s="2660"/>
      <c r="K252" s="2661"/>
      <c r="L252" s="2548"/>
      <c r="M252" s="1711"/>
      <c r="N252" s="1711"/>
      <c r="O252" s="1711"/>
      <c r="P252" s="1711"/>
      <c r="Q252" s="1711"/>
      <c r="R252" s="1711"/>
      <c r="S252" s="1711"/>
      <c r="T252" s="1711"/>
      <c r="U252" s="1711"/>
      <c r="V252" s="2595"/>
      <c r="W252" s="1711"/>
      <c r="X252" s="1711"/>
      <c r="Y252" s="1711"/>
      <c r="Z252" s="1711"/>
      <c r="AA252" s="1711"/>
      <c r="AB252" s="1711"/>
      <c r="AC252" s="1711"/>
      <c r="AD252" s="1711"/>
      <c r="AE252" s="1711"/>
      <c r="AF252" s="1711"/>
      <c r="AG252" s="1711"/>
      <c r="AH252" s="1711"/>
      <c r="AI252" s="1711"/>
    </row>
    <row r="253" spans="1:35" ht="13.8">
      <c r="A253" s="2543"/>
      <c r="B253" s="2543"/>
      <c r="C253" s="2543"/>
      <c r="D253" s="2543"/>
      <c r="E253" s="2543"/>
      <c r="F253" s="2543"/>
      <c r="G253" s="2543"/>
      <c r="H253" s="2543"/>
      <c r="I253" s="2543"/>
      <c r="J253" s="2543"/>
      <c r="K253" s="2543"/>
      <c r="L253" s="2543"/>
      <c r="M253" s="2543"/>
      <c r="N253" s="2543"/>
      <c r="O253" s="2543"/>
      <c r="P253" s="2543"/>
      <c r="Q253" s="2543"/>
      <c r="R253" s="2543"/>
      <c r="S253" s="2543"/>
      <c r="T253" s="2543"/>
      <c r="U253" s="1711"/>
      <c r="V253" s="2595"/>
      <c r="W253" s="1711"/>
      <c r="X253" s="1711"/>
      <c r="Y253" s="1711"/>
      <c r="Z253" s="1711"/>
      <c r="AA253" s="1711"/>
      <c r="AB253" s="1711"/>
      <c r="AC253" s="1711"/>
      <c r="AD253" s="1711"/>
      <c r="AE253" s="1711"/>
      <c r="AF253" s="1711"/>
      <c r="AG253" s="1711"/>
      <c r="AH253" s="1711"/>
      <c r="AI253" s="1711"/>
    </row>
    <row r="254" spans="1:35" ht="17.25" customHeight="1">
      <c r="A254" s="2592" t="s">
        <v>572</v>
      </c>
      <c r="B254" s="2592" t="s">
        <v>5125</v>
      </c>
      <c r="C254" s="1711"/>
      <c r="D254" s="1711"/>
      <c r="E254" s="1711"/>
      <c r="F254" s="1711"/>
      <c r="G254" s="1711"/>
      <c r="H254" s="1711"/>
      <c r="I254" s="1711"/>
      <c r="J254" s="2542" t="s">
        <v>259</v>
      </c>
      <c r="K254" s="2542"/>
      <c r="L254" s="2571"/>
      <c r="M254" s="2593" t="s">
        <v>459</v>
      </c>
      <c r="N254" s="2593"/>
      <c r="O254" s="1711"/>
      <c r="P254" s="2542" t="s">
        <v>260</v>
      </c>
      <c r="Q254" s="2542"/>
      <c r="R254" s="1711"/>
      <c r="S254" s="2542" t="s">
        <v>261</v>
      </c>
      <c r="T254" s="2542"/>
      <c r="U254" s="1711"/>
      <c r="V254" s="2594" t="str">
        <f>B254</f>
        <v>DEVELOPMENT BUDGET  (cont'd)</v>
      </c>
      <c r="W254" s="1711"/>
      <c r="X254" s="1711"/>
      <c r="Y254" s="1711"/>
      <c r="Z254" s="1711"/>
      <c r="AA254" s="1711"/>
      <c r="AB254" s="1711"/>
      <c r="AC254" s="1711"/>
      <c r="AD254" s="1711"/>
      <c r="AE254" s="1711"/>
      <c r="AF254" s="1711"/>
      <c r="AG254" s="1711"/>
      <c r="AH254" s="1711"/>
      <c r="AI254" s="1711"/>
    </row>
    <row r="255" spans="1:35" ht="13.8">
      <c r="A255" s="1711"/>
      <c r="B255" s="1711"/>
      <c r="C255" s="1711"/>
      <c r="D255" s="1711"/>
      <c r="E255" s="1711"/>
      <c r="F255" s="1711"/>
      <c r="G255" s="2542" t="s">
        <v>95</v>
      </c>
      <c r="H255" s="2542"/>
      <c r="I255" s="1711"/>
      <c r="J255" s="2542"/>
      <c r="K255" s="2542"/>
      <c r="L255" s="2571"/>
      <c r="M255" s="2593"/>
      <c r="N255" s="2593"/>
      <c r="O255" s="1711"/>
      <c r="P255" s="2542"/>
      <c r="Q255" s="2542"/>
      <c r="R255" s="1711"/>
      <c r="S255" s="2542"/>
      <c r="T255" s="2542"/>
      <c r="U255" s="1711"/>
      <c r="V255" s="376" t="s">
        <v>2440</v>
      </c>
      <c r="W255" s="1711"/>
      <c r="X255" s="376"/>
      <c r="Y255" s="1711"/>
      <c r="Z255" s="1711"/>
      <c r="AA255" s="1711"/>
      <c r="AB255" s="1711"/>
      <c r="AC255" s="1711"/>
      <c r="AD255" s="1711"/>
      <c r="AE255" s="1711"/>
      <c r="AF255" s="1711"/>
      <c r="AG255" s="1711"/>
      <c r="AH255" s="1711"/>
      <c r="AI255" s="1711"/>
    </row>
    <row r="256" spans="1:35" ht="13.8">
      <c r="A256" s="1711"/>
      <c r="B256" s="2542" t="s">
        <v>567</v>
      </c>
      <c r="C256" s="2548"/>
      <c r="D256" s="1711"/>
      <c r="E256" s="1711"/>
      <c r="F256" s="1711"/>
      <c r="G256" s="1711"/>
      <c r="H256" s="2660"/>
      <c r="I256" s="2660"/>
      <c r="J256" s="2571"/>
      <c r="K256" s="2571"/>
      <c r="L256" s="1711"/>
      <c r="M256" s="2571"/>
      <c r="N256" s="2571"/>
      <c r="O256" s="2600" t="str">
        <f>B256</f>
        <v>OTHER COSTS</v>
      </c>
      <c r="P256" s="2571"/>
      <c r="Q256" s="2571"/>
      <c r="R256" s="1711"/>
      <c r="S256" s="2571"/>
      <c r="T256" s="2571"/>
      <c r="U256" s="1711"/>
      <c r="V256" s="2595"/>
      <c r="W256" s="1711" t="str">
        <f>B256</f>
        <v>OTHER COSTS</v>
      </c>
      <c r="X256" s="1711"/>
      <c r="Y256" s="1711"/>
      <c r="Z256" s="1711"/>
      <c r="AA256" s="1711"/>
      <c r="AB256" s="1711"/>
      <c r="AC256" s="1711"/>
      <c r="AD256" s="1711"/>
      <c r="AE256" s="1711"/>
      <c r="AF256" s="1711"/>
      <c r="AG256" s="1711"/>
      <c r="AH256" s="1711"/>
      <c r="AI256" s="1711"/>
    </row>
    <row r="257" spans="1:35" ht="13.8">
      <c r="A257" s="1711"/>
      <c r="B257" s="1711" t="s">
        <v>568</v>
      </c>
      <c r="C257" s="2548"/>
      <c r="D257" s="1711"/>
      <c r="E257" s="1711"/>
      <c r="F257" s="1711"/>
      <c r="G257" s="2571">
        <f>'Part III-A-Uses of Funds'!G143</f>
        <v>283010</v>
      </c>
      <c r="H257" s="2571"/>
      <c r="I257" s="1711"/>
      <c r="J257" s="2571">
        <f>'Part III-A-Uses of Funds'!J143</f>
        <v>0</v>
      </c>
      <c r="K257" s="2571"/>
      <c r="L257" s="2560"/>
      <c r="M257" s="2571">
        <f>'Part III-A-Uses of Funds'!M143</f>
        <v>0</v>
      </c>
      <c r="N257" s="2571"/>
      <c r="O257" s="1711"/>
      <c r="P257" s="2571">
        <f>'Part III-A-Uses of Funds'!P143</f>
        <v>0</v>
      </c>
      <c r="Q257" s="2571"/>
      <c r="R257" s="1711"/>
      <c r="S257" s="2571">
        <f>'Part III-A-Uses of Funds'!S143</f>
        <v>283010</v>
      </c>
      <c r="T257" s="2571"/>
      <c r="U257" s="1711"/>
      <c r="V257" s="2595"/>
      <c r="W257" s="2596"/>
      <c r="X257" s="2596"/>
      <c r="Y257" s="1711"/>
      <c r="Z257" s="1711"/>
      <c r="AA257" s="1711"/>
      <c r="AB257" s="1711"/>
      <c r="AC257" s="1711"/>
      <c r="AD257" s="1711"/>
      <c r="AE257" s="1711"/>
      <c r="AF257" s="1711"/>
      <c r="AG257" s="1711"/>
      <c r="AH257" s="1711"/>
      <c r="AI257" s="1711"/>
    </row>
    <row r="258" spans="1:35" ht="16.5" customHeight="1">
      <c r="A258" s="2597" t="str">
        <f>IF(AND(G258&gt;0,OR(C258="",C258="&lt;Enter detailed description here; use Comments section if needed&gt;")),"X","")</f>
        <v/>
      </c>
      <c r="B258" s="2547" t="s">
        <v>4167</v>
      </c>
      <c r="C258" s="2411" t="str">
        <f>'Part III-A-Uses of Funds'!C144</f>
        <v>&lt;&lt; Enter description here; provide detail &amp; justification in tab Part III-b &gt;&gt;</v>
      </c>
      <c r="D258" s="2411"/>
      <c r="E258" s="2411"/>
      <c r="F258" s="2411"/>
      <c r="G258" s="2571">
        <f>'Part III-A-Uses of Funds'!G144</f>
        <v>0</v>
      </c>
      <c r="H258" s="2571"/>
      <c r="I258" s="1711"/>
      <c r="J258" s="2571">
        <f>'Part III-A-Uses of Funds'!J144</f>
        <v>0</v>
      </c>
      <c r="K258" s="2571"/>
      <c r="L258" s="2560"/>
      <c r="M258" s="2571">
        <f>'Part III-A-Uses of Funds'!M144</f>
        <v>0</v>
      </c>
      <c r="N258" s="2571"/>
      <c r="O258" s="1711"/>
      <c r="P258" s="2571">
        <f>'Part III-A-Uses of Funds'!P144</f>
        <v>0</v>
      </c>
      <c r="Q258" s="2571"/>
      <c r="R258" s="1711"/>
      <c r="S258" s="2571">
        <f>'Part III-A-Uses of Funds'!S144</f>
        <v>0</v>
      </c>
      <c r="T258" s="2571"/>
      <c r="U258" s="2551" t="str">
        <f>IF(AND(G258&gt;0,OR(C258="",C258="&lt;Enter detailed description here; use Comments section if needed&gt;")),"NO DESCRIPTION PROVIDED - please enter detailed description in Other box at left; use Comments section below if needed.","")</f>
        <v/>
      </c>
      <c r="V258" s="2595"/>
      <c r="W258" s="2596"/>
      <c r="X258" s="2596"/>
      <c r="Y258" s="1711"/>
      <c r="Z258" s="1711"/>
      <c r="AA258" s="1711"/>
      <c r="AB258" s="1711"/>
      <c r="AC258" s="1711"/>
      <c r="AD258" s="1711"/>
      <c r="AE258" s="1711"/>
      <c r="AF258" s="1711"/>
      <c r="AG258" s="1711"/>
      <c r="AH258" s="1711"/>
      <c r="AI258" s="1711"/>
    </row>
    <row r="259" spans="1:35" ht="13.8">
      <c r="A259" s="1711"/>
      <c r="B259" s="1711"/>
      <c r="C259" s="2548"/>
      <c r="D259" s="1711"/>
      <c r="E259" s="1711"/>
      <c r="F259" s="2599" t="s">
        <v>184</v>
      </c>
      <c r="G259" s="2571">
        <f>SUM(G257:G258)</f>
        <v>283010</v>
      </c>
      <c r="H259" s="2571"/>
      <c r="I259" s="1711"/>
      <c r="J259" s="2571">
        <f>SUM(J257:J258)</f>
        <v>0</v>
      </c>
      <c r="K259" s="2571"/>
      <c r="L259" s="2560"/>
      <c r="M259" s="2571">
        <f>SUM(M257:M258)</f>
        <v>0</v>
      </c>
      <c r="N259" s="2571"/>
      <c r="O259" s="1711"/>
      <c r="P259" s="2571">
        <f>SUM(P257:P258)</f>
        <v>0</v>
      </c>
      <c r="Q259" s="2571"/>
      <c r="R259" s="1711"/>
      <c r="S259" s="2571">
        <f>SUM(S257:S258)</f>
        <v>283010</v>
      </c>
      <c r="T259" s="2571"/>
      <c r="U259" s="1711"/>
      <c r="V259" s="2595">
        <f>SUM(V257:V258)</f>
        <v>0</v>
      </c>
      <c r="W259" s="2596"/>
      <c r="X259" s="2596"/>
      <c r="Y259" s="1711"/>
      <c r="Z259" s="1711"/>
      <c r="AA259" s="1711"/>
      <c r="AB259" s="1711"/>
      <c r="AC259" s="1711"/>
      <c r="AD259" s="1711"/>
      <c r="AE259" s="1711"/>
      <c r="AF259" s="1711"/>
      <c r="AG259" s="1711"/>
      <c r="AH259" s="1711"/>
      <c r="AI259" s="1711"/>
    </row>
    <row r="260" spans="1:35" ht="13.8">
      <c r="A260" s="1711"/>
      <c r="B260" s="1711"/>
      <c r="C260" s="2548"/>
      <c r="D260" s="1711"/>
      <c r="E260" s="1711"/>
      <c r="F260" s="1711"/>
      <c r="G260" s="1711"/>
      <c r="H260" s="2660"/>
      <c r="I260" s="2660"/>
      <c r="J260" s="1711"/>
      <c r="K260" s="1711"/>
      <c r="L260" s="1711"/>
      <c r="M260" s="1711"/>
      <c r="N260" s="1711"/>
      <c r="O260" s="1711"/>
      <c r="P260" s="1711"/>
      <c r="Q260" s="1711"/>
      <c r="R260" s="1711"/>
      <c r="S260" s="1711"/>
      <c r="T260" s="1711"/>
      <c r="U260" s="1711"/>
      <c r="V260" s="2595"/>
      <c r="W260" s="2647"/>
      <c r="X260" s="2647"/>
      <c r="Y260" s="1711"/>
      <c r="Z260" s="1711"/>
      <c r="AA260" s="1711"/>
      <c r="AB260" s="1711"/>
      <c r="AC260" s="1711"/>
      <c r="AD260" s="1711"/>
      <c r="AE260" s="1711"/>
      <c r="AF260" s="1711"/>
      <c r="AG260" s="1711"/>
      <c r="AH260" s="1711"/>
      <c r="AI260" s="1711"/>
    </row>
    <row r="261" spans="1:35" ht="13.8">
      <c r="A261" s="1711"/>
      <c r="B261" s="2662" t="s">
        <v>5126</v>
      </c>
      <c r="C261" s="1711"/>
      <c r="D261" s="1711"/>
      <c r="E261" s="2601"/>
      <c r="F261" s="2663"/>
      <c r="G261" s="2593">
        <f>G132+G138+G142+G150+G155+G160+G169+G187+G200+G206+G217+G228+G234+G241+G250+G259</f>
        <v>34418294.853922151</v>
      </c>
      <c r="H261" s="2593"/>
      <c r="I261" s="1711"/>
      <c r="J261" s="2593">
        <f>J132+J138+J142+J150+J155+J160+J169+J187+J200+J206+J217+J228+J234+J241+J250+J259</f>
        <v>0</v>
      </c>
      <c r="K261" s="2593"/>
      <c r="L261" s="1711"/>
      <c r="M261" s="2593">
        <f>M132+M138+M142+M150+M155+M160+M169+M187+M200+M206+M217+M228+M234+M241+M250+M259</f>
        <v>13050000</v>
      </c>
      <c r="N261" s="2593"/>
      <c r="O261" s="1711"/>
      <c r="P261" s="2593">
        <f>P132+P138+P142+P150+P155+P160+P169+P187+P200+P206+P217+P228+P234+P241+P250+P259</f>
        <v>16632735.550000001</v>
      </c>
      <c r="Q261" s="2593"/>
      <c r="R261" s="1711"/>
      <c r="S261" s="2593">
        <f>S132+S138+S142+S150+S155+S160+S169+S187+S200+S206+S217+S228+S234+S241+S250+S259</f>
        <v>4735559.3039221512</v>
      </c>
      <c r="T261" s="2593"/>
      <c r="U261" s="1711"/>
      <c r="V261" s="2595">
        <f>V132+V138+V142+V150+V155+V160+V169+V187+V200+V206+V217+V228+V234+V241+V250+V259</f>
        <v>0</v>
      </c>
      <c r="W261" s="2596"/>
      <c r="X261" s="2596"/>
      <c r="Y261" s="1711"/>
      <c r="Z261" s="1711"/>
      <c r="AA261" s="1711"/>
      <c r="AB261" s="1711"/>
      <c r="AC261" s="1711"/>
      <c r="AD261" s="1711"/>
      <c r="AE261" s="1711"/>
      <c r="AF261" s="1711"/>
      <c r="AG261" s="1711"/>
      <c r="AH261" s="1711"/>
      <c r="AI261" s="1711"/>
    </row>
    <row r="262" spans="1:35" ht="13.8">
      <c r="A262" s="1711"/>
      <c r="B262" s="1711"/>
      <c r="C262" s="2548"/>
      <c r="D262" s="1711"/>
      <c r="E262" s="1711"/>
      <c r="F262" s="1711"/>
      <c r="G262" s="1711"/>
      <c r="H262" s="2660"/>
      <c r="I262" s="2660"/>
      <c r="J262" s="1711"/>
      <c r="K262" s="1711"/>
      <c r="L262" s="1711"/>
      <c r="M262" s="1711"/>
      <c r="N262" s="1711"/>
      <c r="O262" s="1711"/>
      <c r="P262" s="1711"/>
      <c r="Q262" s="1711"/>
      <c r="R262" s="1711"/>
      <c r="S262" s="1711"/>
      <c r="T262" s="1711"/>
      <c r="U262" s="1711"/>
      <c r="V262" s="2595"/>
      <c r="W262" s="1711"/>
      <c r="X262" s="1711"/>
      <c r="Y262" s="1711"/>
      <c r="Z262" s="1711"/>
      <c r="AA262" s="1711"/>
      <c r="AB262" s="1711"/>
      <c r="AC262" s="1711"/>
      <c r="AD262" s="1711"/>
      <c r="AE262" s="1711"/>
      <c r="AF262" s="1711"/>
      <c r="AG262" s="1711"/>
      <c r="AH262" s="1711"/>
      <c r="AI262" s="1711"/>
    </row>
    <row r="263" spans="1:35" ht="13.8">
      <c r="A263" s="1711"/>
      <c r="B263" s="2664" t="s">
        <v>5127</v>
      </c>
      <c r="C263" s="2614"/>
      <c r="D263" s="2665">
        <f>IF('Part V-Revenues &amp; Expenses'!$P$76=0,0,G261/'Part V-Revenues &amp; Expenses'!$P$76)</f>
        <v>215114.34283701345</v>
      </c>
      <c r="E263" s="2665"/>
      <c r="F263" s="2631" t="s">
        <v>2479</v>
      </c>
      <c r="G263" s="2665">
        <f>IF('Part V-Revenues &amp; Expenses'!$K$197=0,0,G261/'Part V-Revenues &amp; Expenses'!$K$197)</f>
        <v>238.0900308101975</v>
      </c>
      <c r="H263" s="2665"/>
      <c r="I263" s="2659"/>
      <c r="J263" s="1711"/>
      <c r="K263" s="1711"/>
      <c r="L263" s="1711"/>
      <c r="M263" s="1711"/>
      <c r="N263" s="1711"/>
      <c r="O263" s="1711"/>
      <c r="P263" s="1711"/>
      <c r="Q263" s="1711"/>
      <c r="R263" s="1711"/>
      <c r="S263" s="1711"/>
      <c r="T263" s="1711"/>
      <c r="U263" s="1711"/>
      <c r="V263" s="2595"/>
      <c r="W263" s="1711"/>
      <c r="X263" s="1711"/>
      <c r="Y263" s="1711"/>
      <c r="Z263" s="1711"/>
      <c r="AA263" s="1711"/>
      <c r="AB263" s="1711"/>
      <c r="AC263" s="1711"/>
      <c r="AD263" s="1711"/>
      <c r="AE263" s="1711"/>
      <c r="AF263" s="1711"/>
      <c r="AG263" s="1711"/>
      <c r="AH263" s="1711"/>
      <c r="AI263" s="1711"/>
    </row>
    <row r="264" spans="1:35" ht="13.8">
      <c r="A264" s="1711"/>
      <c r="B264" s="2664"/>
      <c r="C264" s="2614"/>
      <c r="D264" s="2666"/>
      <c r="E264" s="2666"/>
      <c r="F264" s="2631"/>
      <c r="G264" s="2665"/>
      <c r="H264" s="2665"/>
      <c r="I264" s="2659"/>
      <c r="J264" s="1711"/>
      <c r="K264" s="1711"/>
      <c r="L264" s="1711"/>
      <c r="M264" s="1711"/>
      <c r="N264" s="1711"/>
      <c r="O264" s="1711"/>
      <c r="P264" s="1711"/>
      <c r="Q264" s="1711"/>
      <c r="R264" s="1711"/>
      <c r="S264" s="1711"/>
      <c r="T264" s="1711"/>
      <c r="U264" s="1711"/>
      <c r="V264" s="2595"/>
      <c r="W264" s="1711"/>
      <c r="X264" s="1711"/>
      <c r="Y264" s="1711"/>
      <c r="Z264" s="1711"/>
      <c r="AA264" s="1711"/>
      <c r="AB264" s="1711"/>
      <c r="AC264" s="1711"/>
      <c r="AD264" s="1711"/>
      <c r="AE264" s="1711"/>
      <c r="AF264" s="1711"/>
      <c r="AG264" s="1711"/>
      <c r="AH264" s="1711"/>
      <c r="AI264" s="1711"/>
    </row>
    <row r="265" spans="1:35" ht="16.5" customHeight="1">
      <c r="A265" s="2592" t="s">
        <v>688</v>
      </c>
      <c r="B265" s="2667" t="s">
        <v>1339</v>
      </c>
      <c r="C265" s="2543"/>
      <c r="D265" s="2560"/>
      <c r="E265" s="2560"/>
      <c r="F265" s="2560"/>
      <c r="G265" s="1711"/>
      <c r="H265" s="1711"/>
      <c r="I265" s="2668"/>
      <c r="J265" s="2542" t="s">
        <v>259</v>
      </c>
      <c r="K265" s="2542"/>
      <c r="L265" s="1711"/>
      <c r="M265" s="2542" t="s">
        <v>94</v>
      </c>
      <c r="N265" s="2542"/>
      <c r="O265" s="1711"/>
      <c r="P265" s="2542" t="s">
        <v>260</v>
      </c>
      <c r="Q265" s="2542"/>
      <c r="R265" s="1711"/>
      <c r="S265" s="1711"/>
      <c r="T265" s="1711"/>
      <c r="U265" s="1711"/>
      <c r="V265" s="2595"/>
      <c r="W265" s="2594" t="str">
        <f>B265</f>
        <v>TAX CREDIT CALCULATION - BASIS METHOD</v>
      </c>
      <c r="X265" s="1711"/>
      <c r="Y265" s="1711"/>
      <c r="Z265" s="1711"/>
      <c r="AA265" s="1711"/>
      <c r="AB265" s="1711"/>
      <c r="AC265" s="1711"/>
      <c r="AD265" s="1711"/>
      <c r="AE265" s="1711"/>
      <c r="AF265" s="1711"/>
      <c r="AG265" s="1711"/>
      <c r="AH265" s="1711"/>
      <c r="AI265" s="1711"/>
    </row>
    <row r="266" spans="1:35" ht="13.8">
      <c r="A266" s="1711"/>
      <c r="B266" s="2551" t="s">
        <v>1888</v>
      </c>
      <c r="C266" s="1711"/>
      <c r="D266" s="2560"/>
      <c r="E266" s="2560"/>
      <c r="F266" s="1711"/>
      <c r="G266" s="1711"/>
      <c r="H266" s="1711"/>
      <c r="I266" s="2668"/>
      <c r="J266" s="2542"/>
      <c r="K266" s="2542"/>
      <c r="L266" s="2543"/>
      <c r="M266" s="2542"/>
      <c r="N266" s="2542"/>
      <c r="O266" s="1711"/>
      <c r="P266" s="2542"/>
      <c r="Q266" s="2542"/>
      <c r="R266" s="1711"/>
      <c r="S266" s="1711"/>
      <c r="T266" s="1711"/>
      <c r="U266" s="1711"/>
      <c r="V266" s="2595"/>
      <c r="W266" s="1711" t="str">
        <f>B266</f>
        <v>Subtractions From Eligible Basis</v>
      </c>
      <c r="X266" s="376"/>
      <c r="Y266" s="1711"/>
      <c r="Z266" s="1711"/>
      <c r="AA266" s="1711"/>
      <c r="AB266" s="1711"/>
      <c r="AC266" s="1711"/>
      <c r="AD266" s="1711"/>
      <c r="AE266" s="1711"/>
      <c r="AF266" s="1711"/>
      <c r="AG266" s="1711"/>
      <c r="AH266" s="1711"/>
      <c r="AI266" s="1711"/>
    </row>
    <row r="267" spans="1:35" ht="13.8">
      <c r="A267" s="1711"/>
      <c r="B267" s="1711"/>
      <c r="C267" s="1711"/>
      <c r="D267" s="2548"/>
      <c r="E267" s="2548"/>
      <c r="F267" s="1711"/>
      <c r="G267" s="1711"/>
      <c r="H267" s="1711"/>
      <c r="I267" s="2660"/>
      <c r="J267" s="2660"/>
      <c r="K267" s="2661"/>
      <c r="L267" s="2548"/>
      <c r="M267" s="1711"/>
      <c r="N267" s="1711"/>
      <c r="O267" s="1711"/>
      <c r="P267" s="1711"/>
      <c r="Q267" s="1711"/>
      <c r="R267" s="1711"/>
      <c r="S267" s="1711"/>
      <c r="T267" s="1711"/>
      <c r="U267" s="1711"/>
      <c r="V267" s="2595"/>
      <c r="W267" s="1711"/>
      <c r="X267" s="1711"/>
      <c r="Y267" s="1711"/>
      <c r="Z267" s="1711"/>
      <c r="AA267" s="1711"/>
      <c r="AB267" s="1711"/>
      <c r="AC267" s="1711"/>
      <c r="AD267" s="1711"/>
      <c r="AE267" s="1711"/>
      <c r="AF267" s="1711"/>
      <c r="AG267" s="1711"/>
      <c r="AH267" s="1711"/>
      <c r="AI267" s="1711"/>
    </row>
    <row r="268" spans="1:35" ht="13.8">
      <c r="A268" s="1711"/>
      <c r="B268" s="2548" t="s">
        <v>138</v>
      </c>
      <c r="C268" s="1711"/>
      <c r="D268" s="1711"/>
      <c r="E268" s="1711"/>
      <c r="F268" s="1711"/>
      <c r="G268" s="1711"/>
      <c r="H268" s="1711"/>
      <c r="I268" s="2668"/>
      <c r="J268" s="2575">
        <f>'Part III-A-Uses of Funds'!J154</f>
        <v>0</v>
      </c>
      <c r="K268" s="2575"/>
      <c r="L268" s="1711"/>
      <c r="M268" s="1711"/>
      <c r="N268" s="1711"/>
      <c r="O268" s="1711"/>
      <c r="P268" s="2575">
        <f>'Part III-A-Uses of Funds'!P154</f>
        <v>0</v>
      </c>
      <c r="Q268" s="2575"/>
      <c r="R268" s="1711"/>
      <c r="S268" s="1711"/>
      <c r="T268" s="1711"/>
      <c r="U268" s="1711"/>
      <c r="V268" s="2595"/>
      <c r="W268" s="2596"/>
      <c r="X268" s="2596"/>
      <c r="Y268" s="1711"/>
      <c r="Z268" s="1711"/>
      <c r="AA268" s="1711"/>
      <c r="AB268" s="1711"/>
      <c r="AC268" s="1711"/>
      <c r="AD268" s="1711"/>
      <c r="AE268" s="1711"/>
      <c r="AF268" s="1711"/>
      <c r="AG268" s="1711"/>
      <c r="AH268" s="1711"/>
      <c r="AI268" s="1711"/>
    </row>
    <row r="269" spans="1:35" ht="13.8">
      <c r="A269" s="1711"/>
      <c r="B269" s="1711" t="s">
        <v>1992</v>
      </c>
      <c r="C269" s="1711"/>
      <c r="D269" s="1711"/>
      <c r="E269" s="1711"/>
      <c r="F269" s="1711"/>
      <c r="G269" s="1711"/>
      <c r="H269" s="1711"/>
      <c r="I269" s="2668"/>
      <c r="J269" s="2575">
        <f>'Part III-A-Uses of Funds'!J155</f>
        <v>0</v>
      </c>
      <c r="K269" s="2575"/>
      <c r="L269" s="1711"/>
      <c r="M269" s="1711"/>
      <c r="N269" s="1711"/>
      <c r="O269" s="1711"/>
      <c r="P269" s="2575">
        <f>'Part III-A-Uses of Funds'!P155</f>
        <v>0</v>
      </c>
      <c r="Q269" s="2575"/>
      <c r="R269" s="1711"/>
      <c r="S269" s="1711"/>
      <c r="T269" s="1711"/>
      <c r="U269" s="1711"/>
      <c r="V269" s="2595"/>
      <c r="W269" s="2596"/>
      <c r="X269" s="2596"/>
      <c r="Y269" s="1711"/>
      <c r="Z269" s="1711"/>
      <c r="AA269" s="1711"/>
      <c r="AB269" s="1711"/>
      <c r="AC269" s="1711"/>
      <c r="AD269" s="1711"/>
      <c r="AE269" s="1711"/>
      <c r="AF269" s="1711"/>
      <c r="AG269" s="1711"/>
      <c r="AH269" s="1711"/>
      <c r="AI269" s="1711"/>
    </row>
    <row r="270" spans="1:35" ht="13.8">
      <c r="A270" s="1711"/>
      <c r="B270" s="1711" t="s">
        <v>1721</v>
      </c>
      <c r="C270" s="1711"/>
      <c r="D270" s="1711"/>
      <c r="E270" s="1711"/>
      <c r="F270" s="1711"/>
      <c r="G270" s="1711"/>
      <c r="H270" s="1711"/>
      <c r="I270" s="2668"/>
      <c r="J270" s="2575">
        <f>'Part III-A-Uses of Funds'!J156</f>
        <v>0</v>
      </c>
      <c r="K270" s="2575"/>
      <c r="L270" s="1711"/>
      <c r="M270" s="1711"/>
      <c r="N270" s="1711"/>
      <c r="O270" s="1711"/>
      <c r="P270" s="2575">
        <f>'Part III-A-Uses of Funds'!P156</f>
        <v>0</v>
      </c>
      <c r="Q270" s="2575"/>
      <c r="R270" s="1711"/>
      <c r="S270" s="1711"/>
      <c r="T270" s="1711"/>
      <c r="U270" s="1711"/>
      <c r="V270" s="2595"/>
      <c r="W270" s="2596"/>
      <c r="X270" s="2596"/>
      <c r="Y270" s="1711"/>
      <c r="Z270" s="1711"/>
      <c r="AA270" s="1711"/>
      <c r="AB270" s="1711"/>
      <c r="AC270" s="1711"/>
      <c r="AD270" s="1711"/>
      <c r="AE270" s="1711"/>
      <c r="AF270" s="1711"/>
      <c r="AG270" s="1711"/>
      <c r="AH270" s="1711"/>
      <c r="AI270" s="1711"/>
    </row>
    <row r="271" spans="1:35" ht="13.8">
      <c r="A271" s="1711"/>
      <c r="B271" s="1711" t="s">
        <v>1722</v>
      </c>
      <c r="C271" s="1711"/>
      <c r="D271" s="1711"/>
      <c r="E271" s="1711"/>
      <c r="F271" s="1711"/>
      <c r="G271" s="1711"/>
      <c r="H271" s="1711"/>
      <c r="I271" s="2668"/>
      <c r="J271" s="2575">
        <f>'Part III-A-Uses of Funds'!J157</f>
        <v>0</v>
      </c>
      <c r="K271" s="2575"/>
      <c r="L271" s="1711"/>
      <c r="M271" s="1711"/>
      <c r="N271" s="1711"/>
      <c r="O271" s="1711"/>
      <c r="P271" s="2575">
        <f>'Part III-A-Uses of Funds'!P157</f>
        <v>0</v>
      </c>
      <c r="Q271" s="2575"/>
      <c r="R271" s="1711"/>
      <c r="S271" s="1711"/>
      <c r="T271" s="1711"/>
      <c r="U271" s="1711"/>
      <c r="V271" s="2595"/>
      <c r="W271" s="2596"/>
      <c r="X271" s="2596"/>
      <c r="Y271" s="1711"/>
      <c r="Z271" s="1711"/>
      <c r="AA271" s="1711"/>
      <c r="AB271" s="1711"/>
      <c r="AC271" s="1711"/>
      <c r="AD271" s="1711"/>
      <c r="AE271" s="1711"/>
      <c r="AF271" s="1711"/>
      <c r="AG271" s="1711"/>
      <c r="AH271" s="1711"/>
      <c r="AI271" s="1711"/>
    </row>
    <row r="272" spans="1:35" ht="13.8">
      <c r="A272" s="1711"/>
      <c r="B272" s="1711" t="s">
        <v>243</v>
      </c>
      <c r="C272" s="1711"/>
      <c r="D272" s="1711"/>
      <c r="E272" s="1711"/>
      <c r="F272" s="1711"/>
      <c r="G272" s="1711"/>
      <c r="H272" s="1711"/>
      <c r="I272" s="2668"/>
      <c r="J272" s="2575">
        <f>'Part III-A-Uses of Funds'!J158</f>
        <v>0</v>
      </c>
      <c r="K272" s="2575"/>
      <c r="L272" s="1711"/>
      <c r="M272" s="1711"/>
      <c r="N272" s="1711"/>
      <c r="O272" s="1711"/>
      <c r="P272" s="2575">
        <f>'Part III-A-Uses of Funds'!P158</f>
        <v>0</v>
      </c>
      <c r="Q272" s="2575"/>
      <c r="R272" s="1711"/>
      <c r="S272" s="1711"/>
      <c r="T272" s="1711"/>
      <c r="U272" s="1711"/>
      <c r="V272" s="2595"/>
      <c r="W272" s="2596"/>
      <c r="X272" s="2596"/>
      <c r="Y272" s="1711"/>
      <c r="Z272" s="1711"/>
      <c r="AA272" s="1711"/>
      <c r="AB272" s="1711"/>
      <c r="AC272" s="1711"/>
      <c r="AD272" s="1711"/>
      <c r="AE272" s="1711"/>
      <c r="AF272" s="1711"/>
      <c r="AG272" s="1711"/>
      <c r="AH272" s="1711"/>
      <c r="AI272" s="1711"/>
    </row>
    <row r="273" spans="1:35" ht="13.5" customHeight="1">
      <c r="A273" s="1711"/>
      <c r="B273" s="1711" t="s">
        <v>1494</v>
      </c>
      <c r="C273" s="2411" t="str">
        <f>'Part III-A-Uses of Funds'!C159</f>
        <v>&lt;Enter detailed description here; use Comments section if needed&gt;</v>
      </c>
      <c r="D273" s="1711"/>
      <c r="E273" s="1711"/>
      <c r="F273" s="1711"/>
      <c r="G273" s="1711"/>
      <c r="H273" s="1711"/>
      <c r="I273" s="1711"/>
      <c r="J273" s="2575">
        <f>'Part III-A-Uses of Funds'!J159</f>
        <v>0</v>
      </c>
      <c r="K273" s="2575"/>
      <c r="L273" s="1711"/>
      <c r="M273" s="1711"/>
      <c r="N273" s="1711"/>
      <c r="O273" s="1711"/>
      <c r="P273" s="2575">
        <f>'Part III-A-Uses of Funds'!P159</f>
        <v>0</v>
      </c>
      <c r="Q273" s="2575"/>
      <c r="R273" s="1711"/>
      <c r="S273" s="1711"/>
      <c r="T273" s="1711"/>
      <c r="U273" s="1711"/>
      <c r="V273" s="2595"/>
      <c r="W273" s="2596"/>
      <c r="X273" s="2596"/>
      <c r="Y273" s="1711"/>
      <c r="Z273" s="1711"/>
      <c r="AA273" s="1711"/>
      <c r="AB273" s="1711"/>
      <c r="AC273" s="1711"/>
      <c r="AD273" s="1711"/>
      <c r="AE273" s="1711"/>
      <c r="AF273" s="1711"/>
      <c r="AG273" s="1711"/>
      <c r="AH273" s="1711"/>
      <c r="AI273" s="1711"/>
    </row>
    <row r="274" spans="1:35" ht="13.8">
      <c r="A274" s="1711"/>
      <c r="B274" s="2542" t="s">
        <v>1723</v>
      </c>
      <c r="C274" s="2669"/>
      <c r="D274" s="1711"/>
      <c r="E274" s="1711"/>
      <c r="F274" s="1711"/>
      <c r="G274" s="1711"/>
      <c r="H274" s="1711"/>
      <c r="I274" s="1711"/>
      <c r="J274" s="2575">
        <f>SUM(J268:K273)</f>
        <v>0</v>
      </c>
      <c r="K274" s="2575"/>
      <c r="L274" s="1711"/>
      <c r="M274" s="1711"/>
      <c r="N274" s="1711"/>
      <c r="O274" s="1711"/>
      <c r="P274" s="2575">
        <f>SUM(P268:Q273)</f>
        <v>0</v>
      </c>
      <c r="Q274" s="2575"/>
      <c r="R274" s="1711"/>
      <c r="S274" s="1711"/>
      <c r="T274" s="1711"/>
      <c r="U274" s="1711"/>
      <c r="V274" s="2595">
        <f>SUM(V268:V273)</f>
        <v>0</v>
      </c>
      <c r="W274" s="2596"/>
      <c r="X274" s="2596"/>
      <c r="Y274" s="1711"/>
      <c r="Z274" s="1711"/>
      <c r="AA274" s="1711"/>
      <c r="AB274" s="1711"/>
      <c r="AC274" s="1711"/>
      <c r="AD274" s="1711"/>
      <c r="AE274" s="1711"/>
      <c r="AF274" s="1711"/>
      <c r="AG274" s="1711"/>
      <c r="AH274" s="1711"/>
      <c r="AI274" s="1711"/>
    </row>
    <row r="275" spans="1:35" ht="13.8">
      <c r="A275" s="1711"/>
      <c r="B275" s="1711"/>
      <c r="C275" s="1711"/>
      <c r="D275" s="1711"/>
      <c r="E275" s="1711"/>
      <c r="F275" s="1711"/>
      <c r="G275" s="1711"/>
      <c r="H275" s="1711"/>
      <c r="I275" s="1711"/>
      <c r="J275" s="1711"/>
      <c r="K275" s="1711"/>
      <c r="L275" s="1711"/>
      <c r="M275" s="1711"/>
      <c r="N275" s="1711"/>
      <c r="O275" s="1711"/>
      <c r="P275" s="1711"/>
      <c r="Q275" s="1711"/>
      <c r="R275" s="1711"/>
      <c r="S275" s="1711"/>
      <c r="T275" s="1711"/>
      <c r="U275" s="1711"/>
      <c r="V275" s="2595"/>
      <c r="W275" s="1711"/>
      <c r="X275" s="1711"/>
      <c r="Y275" s="1711"/>
      <c r="Z275" s="1711"/>
      <c r="AA275" s="1711"/>
      <c r="AB275" s="1711"/>
      <c r="AC275" s="1711"/>
      <c r="AD275" s="1711"/>
      <c r="AE275" s="1711"/>
      <c r="AF275" s="1711"/>
      <c r="AG275" s="1711"/>
      <c r="AH275" s="1711"/>
      <c r="AI275" s="1711"/>
    </row>
    <row r="276" spans="1:35" ht="13.8">
      <c r="A276" s="1711"/>
      <c r="B276" s="2542" t="s">
        <v>2153</v>
      </c>
      <c r="C276" s="1711"/>
      <c r="D276" s="1711"/>
      <c r="E276" s="1711"/>
      <c r="F276" s="1711"/>
      <c r="G276" s="1711"/>
      <c r="H276" s="1711"/>
      <c r="I276" s="1711"/>
      <c r="J276" s="1711"/>
      <c r="K276" s="1711"/>
      <c r="L276" s="1711"/>
      <c r="M276" s="1711"/>
      <c r="N276" s="1711"/>
      <c r="O276" s="1711"/>
      <c r="P276" s="1711"/>
      <c r="Q276" s="1711"/>
      <c r="R276" s="1711"/>
      <c r="S276" s="1711"/>
      <c r="T276" s="1711"/>
      <c r="U276" s="1711"/>
      <c r="V276" s="2595"/>
      <c r="W276" s="1711" t="str">
        <f>B276</f>
        <v>Eligible Basis Calculation</v>
      </c>
      <c r="X276" s="1711"/>
      <c r="Y276" s="1711"/>
      <c r="Z276" s="1711"/>
      <c r="AA276" s="1711"/>
      <c r="AB276" s="1711"/>
      <c r="AC276" s="1711"/>
      <c r="AD276" s="1711"/>
      <c r="AE276" s="1711"/>
      <c r="AF276" s="1711"/>
      <c r="AG276" s="1711"/>
      <c r="AH276" s="1711"/>
      <c r="AI276" s="1711"/>
    </row>
    <row r="277" spans="1:35" ht="12.75" customHeight="1">
      <c r="A277" s="1711"/>
      <c r="B277" s="1711" t="s">
        <v>1660</v>
      </c>
      <c r="C277" s="1711"/>
      <c r="D277" s="1711"/>
      <c r="E277" s="1711"/>
      <c r="F277" s="1711"/>
      <c r="G277" s="1711"/>
      <c r="H277" s="1711"/>
      <c r="I277" s="1711"/>
      <c r="J277" s="2576">
        <f>J261</f>
        <v>0</v>
      </c>
      <c r="K277" s="2576"/>
      <c r="L277" s="1711"/>
      <c r="M277" s="2576">
        <f>M261</f>
        <v>13050000</v>
      </c>
      <c r="N277" s="2576"/>
      <c r="O277" s="1711"/>
      <c r="P277" s="2576">
        <f>P261</f>
        <v>16632735.550000001</v>
      </c>
      <c r="Q277" s="2576"/>
      <c r="R277" s="2670" t="s">
        <v>4732</v>
      </c>
      <c r="S277" s="2670"/>
      <c r="T277" s="2670"/>
      <c r="U277" s="1711"/>
      <c r="V277" s="2595"/>
      <c r="W277" s="2596"/>
      <c r="X277" s="2596"/>
      <c r="Y277" s="1711"/>
      <c r="Z277" s="1711"/>
      <c r="AA277" s="1711"/>
      <c r="AB277" s="1711"/>
      <c r="AC277" s="1711"/>
      <c r="AD277" s="1711"/>
      <c r="AE277" s="1711"/>
      <c r="AF277" s="1711"/>
      <c r="AG277" s="1711"/>
      <c r="AH277" s="1711"/>
      <c r="AI277" s="1711"/>
    </row>
    <row r="278" spans="1:35" ht="13.8">
      <c r="A278" s="1711"/>
      <c r="B278" s="1711" t="s">
        <v>2046</v>
      </c>
      <c r="C278" s="1711"/>
      <c r="D278" s="1711"/>
      <c r="E278" s="1711"/>
      <c r="F278" s="1711"/>
      <c r="G278" s="1711"/>
      <c r="H278" s="1711"/>
      <c r="I278" s="1711"/>
      <c r="J278" s="2576">
        <f>J274</f>
        <v>0</v>
      </c>
      <c r="K278" s="2576"/>
      <c r="L278" s="1711"/>
      <c r="M278" s="2576"/>
      <c r="N278" s="2576"/>
      <c r="O278" s="1711"/>
      <c r="P278" s="2576">
        <f>P274</f>
        <v>0</v>
      </c>
      <c r="Q278" s="2576"/>
      <c r="R278" s="2670"/>
      <c r="S278" s="2670"/>
      <c r="T278" s="2670"/>
      <c r="U278" s="2547"/>
      <c r="V278" s="2595"/>
      <c r="W278" s="2596"/>
      <c r="X278" s="2596"/>
      <c r="Y278" s="1711"/>
      <c r="Z278" s="1711"/>
      <c r="AA278" s="1711"/>
      <c r="AB278" s="1711"/>
      <c r="AC278" s="1711"/>
      <c r="AD278" s="1711"/>
      <c r="AE278" s="1711"/>
      <c r="AF278" s="1711"/>
      <c r="AG278" s="1711"/>
      <c r="AH278" s="1711"/>
      <c r="AI278" s="1711"/>
    </row>
    <row r="279" spans="1:35" ht="12.75" customHeight="1">
      <c r="A279" s="1711"/>
      <c r="B279" s="1711" t="s">
        <v>2047</v>
      </c>
      <c r="C279" s="1711"/>
      <c r="D279" s="1711"/>
      <c r="E279" s="1711"/>
      <c r="F279" s="1711"/>
      <c r="G279" s="1711"/>
      <c r="H279" s="1711"/>
      <c r="I279" s="1711"/>
      <c r="J279" s="2576">
        <f>J277-J278</f>
        <v>0</v>
      </c>
      <c r="K279" s="2576"/>
      <c r="L279" s="1711"/>
      <c r="M279" s="2576">
        <f>M277</f>
        <v>13050000</v>
      </c>
      <c r="N279" s="2576"/>
      <c r="O279" s="1711"/>
      <c r="P279" s="2576">
        <f>P277-P278</f>
        <v>16632735.550000001</v>
      </c>
      <c r="Q279" s="2576"/>
      <c r="R279" s="2547" t="str">
        <f>'Part III-A-Uses of Funds'!R165</f>
        <v>&lt;&lt; Select Category of Eligibility&gt;&gt;</v>
      </c>
      <c r="S279" s="2547"/>
      <c r="T279" s="2547"/>
      <c r="U279" s="2547"/>
      <c r="V279" s="2595"/>
      <c r="W279" s="2596"/>
      <c r="X279" s="2596"/>
      <c r="Y279" s="1711"/>
      <c r="Z279" s="1711"/>
      <c r="AA279" s="1711"/>
      <c r="AB279" s="1711"/>
      <c r="AC279" s="1711"/>
      <c r="AD279" s="1711"/>
      <c r="AE279" s="1711"/>
      <c r="AF279" s="1711"/>
      <c r="AG279" s="1711"/>
      <c r="AH279" s="1711"/>
      <c r="AI279" s="1711"/>
    </row>
    <row r="280" spans="1:35" ht="13.8">
      <c r="A280" s="1711"/>
      <c r="B280" s="1711" t="s">
        <v>1388</v>
      </c>
      <c r="C280" s="1711"/>
      <c r="D280" s="1711"/>
      <c r="E280" s="1711"/>
      <c r="F280" s="1711"/>
      <c r="G280" s="1524" t="s">
        <v>1591</v>
      </c>
      <c r="H280" s="1711" t="str">
        <f>'Part III-A-Uses of Funds'!H166</f>
        <v>DDA/QCT</v>
      </c>
      <c r="I280" s="1711"/>
      <c r="J280" s="2671">
        <f>'Part III-A-Uses of Funds'!J166</f>
        <v>0</v>
      </c>
      <c r="K280" s="2671"/>
      <c r="L280" s="1711"/>
      <c r="M280" s="2671"/>
      <c r="N280" s="2671"/>
      <c r="O280" s="1711"/>
      <c r="P280" s="2671">
        <f>'Part III-A-Uses of Funds'!P166</f>
        <v>1.3</v>
      </c>
      <c r="Q280" s="2671"/>
      <c r="R280" s="2547"/>
      <c r="S280" s="2547"/>
      <c r="T280" s="2547"/>
      <c r="U280" s="1711"/>
      <c r="V280" s="2595"/>
      <c r="W280" s="2596"/>
      <c r="X280" s="2596"/>
      <c r="Y280" s="1711"/>
      <c r="Z280" s="1711"/>
      <c r="AA280" s="1711"/>
      <c r="AB280" s="1711"/>
      <c r="AC280" s="1711"/>
      <c r="AD280" s="1711"/>
      <c r="AE280" s="1711"/>
      <c r="AF280" s="1711"/>
      <c r="AG280" s="1711"/>
      <c r="AH280" s="1711"/>
      <c r="AI280" s="1711"/>
    </row>
    <row r="281" spans="1:35" ht="13.8">
      <c r="A281" s="1711"/>
      <c r="B281" s="1711" t="s">
        <v>1897</v>
      </c>
      <c r="C281" s="1711"/>
      <c r="D281" s="1711"/>
      <c r="E281" s="1711"/>
      <c r="F281" s="1711"/>
      <c r="G281" s="1711"/>
      <c r="H281" s="1711"/>
      <c r="I281" s="1711"/>
      <c r="J281" s="2576">
        <f>J279*J280</f>
        <v>0</v>
      </c>
      <c r="K281" s="2576"/>
      <c r="L281" s="1711"/>
      <c r="M281" s="2576">
        <f>+M279</f>
        <v>13050000</v>
      </c>
      <c r="N281" s="2576"/>
      <c r="O281" s="1711"/>
      <c r="P281" s="2576">
        <f>P279*P280</f>
        <v>21622556.215</v>
      </c>
      <c r="Q281" s="2576"/>
      <c r="R281" s="2547"/>
      <c r="S281" s="2547"/>
      <c r="T281" s="2547"/>
      <c r="U281" s="1711"/>
      <c r="V281" s="2595"/>
      <c r="W281" s="2596"/>
      <c r="X281" s="2596"/>
      <c r="Y281" s="1711"/>
      <c r="Z281" s="1711"/>
      <c r="AA281" s="1711"/>
      <c r="AB281" s="1711"/>
      <c r="AC281" s="1711"/>
      <c r="AD281" s="1711"/>
      <c r="AE281" s="1711"/>
      <c r="AF281" s="1711"/>
      <c r="AG281" s="1711"/>
      <c r="AH281" s="1711"/>
      <c r="AI281" s="1711"/>
    </row>
    <row r="282" spans="1:35" ht="13.8">
      <c r="A282" s="1711"/>
      <c r="B282" s="1711" t="s">
        <v>2332</v>
      </c>
      <c r="C282" s="1711"/>
      <c r="D282" s="1711"/>
      <c r="E282" s="1711"/>
      <c r="F282" s="1711"/>
      <c r="G282" s="1711"/>
      <c r="H282" s="1711"/>
      <c r="I282" s="1711"/>
      <c r="J282" s="2672">
        <f>MIN('Part V-Revenues &amp; Expenses'!$P$72/'Part V-Revenues &amp; Expenses'!$P$74,'Part V-Revenues &amp; Expenses'!$P$186/'Part V-Revenues &amp; Expenses'!$P$188)</f>
        <v>1</v>
      </c>
      <c r="K282" s="2672"/>
      <c r="L282" s="1711"/>
      <c r="M282" s="2672">
        <f>MIN('Part V-Revenues &amp; Expenses'!$P$72/'Part V-Revenues &amp; Expenses'!$P$74,'Part V-Revenues &amp; Expenses'!$P$186/'Part V-Revenues &amp; Expenses'!$P$188)</f>
        <v>1</v>
      </c>
      <c r="N282" s="2672"/>
      <c r="O282" s="1711"/>
      <c r="P282" s="2672">
        <f>MIN('Part V-Revenues &amp; Expenses'!$P$72/'Part V-Revenues &amp; Expenses'!$P$74,'Part V-Revenues &amp; Expenses'!$P$186/'Part V-Revenues &amp; Expenses'!$P$188)</f>
        <v>1</v>
      </c>
      <c r="Q282" s="2672"/>
      <c r="R282" s="2673" t="str">
        <f>'Part III-A-Uses of Funds'!R168</f>
        <v>&lt;&lt;Select % of Eligible Basis&gt;&gt;</v>
      </c>
      <c r="S282" s="2673"/>
      <c r="T282" s="2673"/>
      <c r="U282" s="1711"/>
      <c r="V282" s="2595"/>
      <c r="W282" s="2596"/>
      <c r="X282" s="2596"/>
      <c r="Y282" s="1711"/>
      <c r="Z282" s="1711"/>
      <c r="AA282" s="1711"/>
      <c r="AB282" s="1711"/>
      <c r="AC282" s="1711"/>
      <c r="AD282" s="1711"/>
      <c r="AE282" s="1711"/>
      <c r="AF282" s="1711"/>
      <c r="AG282" s="1711"/>
      <c r="AH282" s="1711"/>
      <c r="AI282" s="1711"/>
    </row>
    <row r="283" spans="1:35" ht="13.8">
      <c r="A283" s="1711"/>
      <c r="B283" s="1711" t="s">
        <v>1889</v>
      </c>
      <c r="C283" s="1711"/>
      <c r="D283" s="1711"/>
      <c r="E283" s="1711"/>
      <c r="F283" s="1711"/>
      <c r="G283" s="1711"/>
      <c r="H283" s="1711"/>
      <c r="I283" s="1711"/>
      <c r="J283" s="2576">
        <f>J281*J282</f>
        <v>0</v>
      </c>
      <c r="K283" s="2576"/>
      <c r="L283" s="1711"/>
      <c r="M283" s="2576">
        <f>M281*M282</f>
        <v>13050000</v>
      </c>
      <c r="N283" s="2576"/>
      <c r="O283" s="1711"/>
      <c r="P283" s="2576">
        <f>P281*P282</f>
        <v>21622556.215</v>
      </c>
      <c r="Q283" s="2576"/>
      <c r="R283" s="1711"/>
      <c r="S283" s="1711"/>
      <c r="T283" s="1711"/>
      <c r="U283" s="1711"/>
      <c r="V283" s="2595"/>
      <c r="W283" s="2596"/>
      <c r="X283" s="2596"/>
      <c r="Y283" s="1711"/>
      <c r="Z283" s="1711"/>
      <c r="AA283" s="1711"/>
      <c r="AB283" s="1711"/>
      <c r="AC283" s="1711"/>
      <c r="AD283" s="1711"/>
      <c r="AE283" s="1711"/>
      <c r="AF283" s="1711"/>
      <c r="AG283" s="1711"/>
      <c r="AH283" s="1711"/>
      <c r="AI283" s="1711"/>
    </row>
    <row r="284" spans="1:35" ht="13.8">
      <c r="A284" s="1711"/>
      <c r="B284" s="1711" t="s">
        <v>1890</v>
      </c>
      <c r="C284" s="1711"/>
      <c r="D284" s="1711"/>
      <c r="E284" s="1711"/>
      <c r="F284" s="1711"/>
      <c r="G284" s="1711"/>
      <c r="H284" s="1711"/>
      <c r="I284" s="1711"/>
      <c r="J284" s="2671">
        <f>'Part III-A-Uses of Funds'!J170</f>
        <v>0</v>
      </c>
      <c r="K284" s="2671"/>
      <c r="L284" s="1711"/>
      <c r="M284" s="2671">
        <f>'Part III-A-Uses of Funds'!M170</f>
        <v>0.04</v>
      </c>
      <c r="N284" s="2671"/>
      <c r="O284" s="1711"/>
      <c r="P284" s="2671">
        <f>'Part III-A-Uses of Funds'!P170</f>
        <v>0.04</v>
      </c>
      <c r="Q284" s="2671"/>
      <c r="R284" s="1711"/>
      <c r="S284" s="1711"/>
      <c r="T284" s="1711"/>
      <c r="U284" s="1711"/>
      <c r="V284" s="2595"/>
      <c r="W284" s="2596"/>
      <c r="X284" s="2596"/>
      <c r="Y284" s="1711"/>
      <c r="Z284" s="1711"/>
      <c r="AA284" s="1711"/>
      <c r="AB284" s="1711"/>
      <c r="AC284" s="1711"/>
      <c r="AD284" s="1711"/>
      <c r="AE284" s="1711"/>
      <c r="AF284" s="1711"/>
      <c r="AG284" s="1711"/>
      <c r="AH284" s="1711"/>
      <c r="AI284" s="1711"/>
    </row>
    <row r="285" spans="1:35" ht="13.8">
      <c r="A285" s="1711"/>
      <c r="B285" s="1711" t="s">
        <v>2333</v>
      </c>
      <c r="C285" s="1711"/>
      <c r="D285" s="1711"/>
      <c r="E285" s="1711"/>
      <c r="F285" s="1711"/>
      <c r="G285" s="1711"/>
      <c r="H285" s="1711"/>
      <c r="I285" s="1711"/>
      <c r="J285" s="2576">
        <f>J283*J284</f>
        <v>0</v>
      </c>
      <c r="K285" s="2576"/>
      <c r="L285" s="1711"/>
      <c r="M285" s="2576">
        <f>M283*M284</f>
        <v>522000</v>
      </c>
      <c r="N285" s="2576"/>
      <c r="O285" s="1711"/>
      <c r="P285" s="2576">
        <f>P283*P284</f>
        <v>864902.24860000005</v>
      </c>
      <c r="Q285" s="2576"/>
      <c r="R285" s="1711"/>
      <c r="S285" s="1711"/>
      <c r="T285" s="1711"/>
      <c r="U285" s="1711"/>
      <c r="V285" s="2595"/>
      <c r="W285" s="2596"/>
      <c r="X285" s="2596"/>
      <c r="Y285" s="1711"/>
      <c r="Z285" s="1711"/>
      <c r="AA285" s="1711"/>
      <c r="AB285" s="1711"/>
      <c r="AC285" s="1711"/>
      <c r="AD285" s="1711"/>
      <c r="AE285" s="1711"/>
      <c r="AF285" s="1711"/>
      <c r="AG285" s="1711"/>
      <c r="AH285" s="1711"/>
      <c r="AI285" s="1711"/>
    </row>
    <row r="286" spans="1:35" ht="13.8">
      <c r="A286" s="1711"/>
      <c r="B286" s="2542" t="s">
        <v>1337</v>
      </c>
      <c r="C286" s="1711"/>
      <c r="D286" s="1711"/>
      <c r="E286" s="1711"/>
      <c r="F286" s="1711"/>
      <c r="G286" s="1711"/>
      <c r="H286" s="1711"/>
      <c r="I286" s="1711"/>
      <c r="J286" s="2575">
        <f>ROUNDDOWN(J285+M285+P285,0)</f>
        <v>1386902</v>
      </c>
      <c r="K286" s="2575"/>
      <c r="L286" s="2575"/>
      <c r="M286" s="2575"/>
      <c r="N286" s="2575"/>
      <c r="O286" s="2575"/>
      <c r="P286" s="2575"/>
      <c r="Q286" s="2575"/>
      <c r="R286" s="1711"/>
      <c r="S286" s="1711"/>
      <c r="T286" s="1711"/>
      <c r="U286" s="1711"/>
      <c r="V286" s="2595"/>
      <c r="W286" s="2647"/>
      <c r="X286" s="2647"/>
      <c r="Y286" s="1711"/>
      <c r="Z286" s="1711"/>
      <c r="AA286" s="1711"/>
      <c r="AB286" s="1711"/>
      <c r="AC286" s="1711"/>
      <c r="AD286" s="1711"/>
      <c r="AE286" s="1711"/>
      <c r="AF286" s="1711"/>
      <c r="AG286" s="1711"/>
      <c r="AH286" s="1711"/>
      <c r="AI286" s="1711"/>
    </row>
    <row r="287" spans="1:35" ht="13.8">
      <c r="A287" s="1711"/>
      <c r="B287" s="2674"/>
      <c r="C287" s="1711"/>
      <c r="D287" s="1711"/>
      <c r="E287" s="1711"/>
      <c r="F287" s="1711"/>
      <c r="G287" s="1711"/>
      <c r="H287" s="1711"/>
      <c r="I287" s="1711"/>
      <c r="J287" s="1711"/>
      <c r="K287" s="1711"/>
      <c r="L287" s="2581"/>
      <c r="M287" s="2581"/>
      <c r="N287" s="2581"/>
      <c r="O287" s="2581"/>
      <c r="P287" s="1711"/>
      <c r="Q287" s="1711"/>
      <c r="R287" s="1711"/>
      <c r="S287" s="1711"/>
      <c r="T287" s="1711"/>
      <c r="U287" s="1711"/>
      <c r="V287" s="2595"/>
      <c r="W287" s="1711"/>
      <c r="X287" s="1711"/>
      <c r="Y287" s="1711"/>
      <c r="Z287" s="1711"/>
      <c r="AA287" s="1711"/>
      <c r="AB287" s="1711"/>
      <c r="AC287" s="1711"/>
      <c r="AD287" s="1711"/>
      <c r="AE287" s="1711"/>
      <c r="AF287" s="1711"/>
      <c r="AG287" s="1711"/>
      <c r="AH287" s="1711"/>
      <c r="AI287" s="1711"/>
    </row>
    <row r="288" spans="1:35" ht="13.8">
      <c r="A288" s="2594" t="s">
        <v>690</v>
      </c>
      <c r="B288" s="2594" t="s">
        <v>1340</v>
      </c>
      <c r="C288" s="1711"/>
      <c r="D288" s="1711"/>
      <c r="E288" s="1711"/>
      <c r="F288" s="1711"/>
      <c r="G288" s="1711"/>
      <c r="H288" s="2660"/>
      <c r="I288" s="2660"/>
      <c r="J288" s="1711"/>
      <c r="K288" s="1711"/>
      <c r="L288" s="1711"/>
      <c r="M288" s="2675"/>
      <c r="N288" s="1711"/>
      <c r="O288" s="1711"/>
      <c r="P288" s="1711"/>
      <c r="Q288" s="1711"/>
      <c r="R288" s="1711"/>
      <c r="S288" s="1711"/>
      <c r="T288" s="1711"/>
      <c r="U288" s="1711"/>
      <c r="V288" s="2595"/>
      <c r="W288" s="1711"/>
      <c r="X288" s="1711"/>
      <c r="Y288" s="1711"/>
      <c r="Z288" s="1711"/>
      <c r="AA288" s="1711"/>
      <c r="AB288" s="1711"/>
      <c r="AC288" s="1711"/>
      <c r="AD288" s="1711"/>
      <c r="AE288" s="1711"/>
      <c r="AF288" s="1711"/>
      <c r="AG288" s="1711"/>
      <c r="AH288" s="1711"/>
      <c r="AI288" s="1711"/>
    </row>
    <row r="289" spans="1:35" ht="13.8">
      <c r="A289" s="1711"/>
      <c r="B289" s="1711"/>
      <c r="C289" s="1711"/>
      <c r="D289" s="1711"/>
      <c r="E289" s="1711"/>
      <c r="F289" s="1711"/>
      <c r="G289" s="1711"/>
      <c r="H289" s="2660"/>
      <c r="I289" s="2660"/>
      <c r="J289" s="1711"/>
      <c r="K289" s="1711"/>
      <c r="L289" s="1711"/>
      <c r="M289" s="2675"/>
      <c r="N289" s="1711"/>
      <c r="O289" s="2543"/>
      <c r="P289" s="2543"/>
      <c r="Q289" s="2543"/>
      <c r="R289" s="2543"/>
      <c r="S289" s="2543"/>
      <c r="T289" s="2543"/>
      <c r="U289" s="2543"/>
      <c r="V289" s="2543"/>
      <c r="W289" s="1711"/>
      <c r="X289" s="1711"/>
      <c r="Y289" s="1711"/>
      <c r="Z289" s="1711"/>
      <c r="AA289" s="1711"/>
      <c r="AB289" s="1711"/>
      <c r="AC289" s="1711"/>
      <c r="AD289" s="1711"/>
      <c r="AE289" s="1711"/>
      <c r="AF289" s="1711"/>
      <c r="AG289" s="1711"/>
      <c r="AH289" s="1711"/>
      <c r="AI289" s="1711"/>
    </row>
    <row r="290" spans="1:35" ht="13.8">
      <c r="A290" s="1711"/>
      <c r="B290" s="2542" t="s">
        <v>167</v>
      </c>
      <c r="C290" s="1711"/>
      <c r="D290" s="1711"/>
      <c r="E290" s="1711"/>
      <c r="F290" s="1711"/>
      <c r="G290" s="1711"/>
      <c r="H290" s="1711"/>
      <c r="I290" s="1711"/>
      <c r="J290" s="1711"/>
      <c r="K290" s="1711"/>
      <c r="L290" s="1711"/>
      <c r="M290" s="1711"/>
      <c r="N290" s="1711"/>
      <c r="O290" s="1711"/>
      <c r="P290" s="1711"/>
      <c r="Q290" s="1711"/>
      <c r="R290" s="1711"/>
      <c r="S290" s="1711"/>
      <c r="T290" s="1711"/>
      <c r="U290" s="1711"/>
      <c r="V290" s="2595"/>
      <c r="W290" s="2594" t="str">
        <f>B288</f>
        <v>TAX CREDIT CALCULATION - GAP METHOD</v>
      </c>
      <c r="X290" s="1711"/>
      <c r="Y290" s="1711"/>
      <c r="Z290" s="1711"/>
      <c r="AA290" s="1711"/>
      <c r="AB290" s="1711"/>
      <c r="AC290" s="1711"/>
      <c r="AD290" s="1711"/>
      <c r="AE290" s="1711"/>
      <c r="AF290" s="1711"/>
      <c r="AG290" s="1711"/>
      <c r="AH290" s="1711"/>
      <c r="AI290" s="1711"/>
    </row>
    <row r="291" spans="1:35" ht="12.75" customHeight="1">
      <c r="A291" s="1711"/>
      <c r="B291" s="1711" t="s">
        <v>5128</v>
      </c>
      <c r="C291" s="1711"/>
      <c r="D291" s="1711"/>
      <c r="E291" s="1711"/>
      <c r="F291" s="1711"/>
      <c r="G291" s="1711"/>
      <c r="H291" s="1711"/>
      <c r="I291" s="1711"/>
      <c r="J291" s="2576">
        <f>G261</f>
        <v>34418294.853922151</v>
      </c>
      <c r="K291" s="2576"/>
      <c r="L291" s="2576"/>
      <c r="M291" s="1711"/>
      <c r="N291" s="2670" t="s">
        <v>4598</v>
      </c>
      <c r="O291" s="2670"/>
      <c r="P291" s="2670"/>
      <c r="Q291" s="2670"/>
      <c r="R291" s="1711"/>
      <c r="S291" s="2547" t="s">
        <v>3101</v>
      </c>
      <c r="T291" s="2547"/>
      <c r="U291" s="1711"/>
      <c r="V291" s="2595"/>
      <c r="W291" s="2596"/>
      <c r="X291" s="2596"/>
      <c r="Y291" s="1711"/>
      <c r="Z291" s="1711"/>
      <c r="AA291" s="1711"/>
      <c r="AB291" s="1711"/>
      <c r="AC291" s="1711"/>
      <c r="AD291" s="1711"/>
      <c r="AE291" s="1711"/>
      <c r="AF291" s="1711"/>
      <c r="AG291" s="1711"/>
      <c r="AH291" s="1711"/>
      <c r="AI291" s="1711"/>
    </row>
    <row r="292" spans="1:35" ht="13.8">
      <c r="A292" s="1711"/>
      <c r="B292" s="1711" t="s">
        <v>252</v>
      </c>
      <c r="C292" s="1711"/>
      <c r="D292" s="1711"/>
      <c r="E292" s="1711"/>
      <c r="F292" s="1711"/>
      <c r="G292" s="1711"/>
      <c r="H292" s="1711"/>
      <c r="I292" s="1711"/>
      <c r="J292" s="2576">
        <f>'Part II-Sources of Funds'!$I$62-'Part II-Sources of Funds'!$I$46-'Part II-Sources of Funds'!$I$47-'Part II-Sources of Funds'!$I$53-'Part II-Sources of Funds'!$I$54</f>
        <v>14500000.000000002</v>
      </c>
      <c r="K292" s="2576"/>
      <c r="L292" s="2576"/>
      <c r="M292" s="2670"/>
      <c r="N292" s="2670"/>
      <c r="O292" s="2670"/>
      <c r="P292" s="2670"/>
      <c r="Q292" s="2670"/>
      <c r="R292" s="1711"/>
      <c r="S292" s="2547"/>
      <c r="T292" s="2547"/>
      <c r="U292" s="1711"/>
      <c r="V292" s="2595"/>
      <c r="W292" s="2596"/>
      <c r="X292" s="2596"/>
      <c r="Y292" s="1711"/>
      <c r="Z292" s="1711"/>
      <c r="AA292" s="1711"/>
      <c r="AB292" s="1711"/>
      <c r="AC292" s="1711"/>
      <c r="AD292" s="1711"/>
      <c r="AE292" s="1711"/>
      <c r="AF292" s="1711"/>
      <c r="AG292" s="1711"/>
      <c r="AH292" s="1711"/>
      <c r="AI292" s="1711"/>
    </row>
    <row r="293" spans="1:35" ht="13.8">
      <c r="A293" s="1711"/>
      <c r="B293" s="1711" t="s">
        <v>2058</v>
      </c>
      <c r="C293" s="1711"/>
      <c r="D293" s="1711"/>
      <c r="E293" s="1711"/>
      <c r="F293" s="1711"/>
      <c r="G293" s="1711"/>
      <c r="H293" s="1711"/>
      <c r="I293" s="1711"/>
      <c r="J293" s="2576">
        <f>+J291-J292</f>
        <v>19918294.853922151</v>
      </c>
      <c r="K293" s="2576"/>
      <c r="L293" s="2576"/>
      <c r="M293" s="2670"/>
      <c r="N293" s="2670"/>
      <c r="O293" s="2670"/>
      <c r="P293" s="2670"/>
      <c r="Q293" s="2670"/>
      <c r="R293" s="1711"/>
      <c r="S293" s="2547"/>
      <c r="T293" s="2547"/>
      <c r="U293" s="1711"/>
      <c r="V293" s="2595"/>
      <c r="W293" s="2596"/>
      <c r="X293" s="2596"/>
      <c r="Y293" s="1711"/>
      <c r="Z293" s="1711"/>
      <c r="AA293" s="1711"/>
      <c r="AB293" s="1711"/>
      <c r="AC293" s="1711"/>
      <c r="AD293" s="1711"/>
      <c r="AE293" s="1711"/>
      <c r="AF293" s="1711"/>
      <c r="AG293" s="1711"/>
      <c r="AH293" s="1711"/>
      <c r="AI293" s="1711"/>
    </row>
    <row r="294" spans="1:35" ht="13.8">
      <c r="A294" s="1711"/>
      <c r="B294" s="1711" t="s">
        <v>1207</v>
      </c>
      <c r="C294" s="1711"/>
      <c r="D294" s="1711"/>
      <c r="E294" s="1711"/>
      <c r="F294" s="1711"/>
      <c r="G294" s="1711"/>
      <c r="H294" s="1711"/>
      <c r="I294" s="1711"/>
      <c r="J294" s="1711" t="str">
        <f>"/ 10"</f>
        <v>/ 10</v>
      </c>
      <c r="K294" s="1711"/>
      <c r="L294" s="1711"/>
      <c r="M294" s="2411"/>
      <c r="N294" s="2676">
        <f>'Part II-Sources of Funds'!$I$46</f>
        <v>0</v>
      </c>
      <c r="O294" s="2676"/>
      <c r="P294" s="2676"/>
      <c r="Q294" s="2676"/>
      <c r="R294" s="1711"/>
      <c r="S294" s="2568" t="s">
        <v>1546</v>
      </c>
      <c r="T294" s="2677">
        <f>'Part III-A-Uses of Funds'!T180</f>
        <v>0</v>
      </c>
      <c r="U294" s="1711"/>
      <c r="V294" s="2595"/>
      <c r="W294" s="2596"/>
      <c r="X294" s="2596"/>
      <c r="Y294" s="1711"/>
      <c r="Z294" s="1711"/>
      <c r="AA294" s="1711"/>
      <c r="AB294" s="1711"/>
      <c r="AC294" s="1711"/>
      <c r="AD294" s="1711"/>
      <c r="AE294" s="1711"/>
      <c r="AF294" s="1711"/>
      <c r="AG294" s="1711"/>
      <c r="AH294" s="1711"/>
      <c r="AI294" s="1711"/>
    </row>
    <row r="295" spans="1:35" ht="13.8">
      <c r="A295" s="1711"/>
      <c r="B295" s="1711" t="s">
        <v>1208</v>
      </c>
      <c r="C295" s="1711"/>
      <c r="D295" s="1711"/>
      <c r="E295" s="1711"/>
      <c r="F295" s="1711"/>
      <c r="G295" s="1711"/>
      <c r="H295" s="1711"/>
      <c r="I295" s="1711"/>
      <c r="J295" s="2576">
        <f>J293/10</f>
        <v>1991829.4853922152</v>
      </c>
      <c r="K295" s="2576"/>
      <c r="L295" s="2576"/>
      <c r="M295" s="1711"/>
      <c r="N295" s="2676"/>
      <c r="O295" s="2676"/>
      <c r="P295" s="2676"/>
      <c r="Q295" s="2676"/>
      <c r="R295" s="2676"/>
      <c r="S295" s="1711"/>
      <c r="T295" s="1711"/>
      <c r="U295" s="1711"/>
      <c r="V295" s="2595"/>
      <c r="W295" s="2596"/>
      <c r="X295" s="2596"/>
      <c r="Y295" s="1711"/>
      <c r="Z295" s="1711"/>
      <c r="AA295" s="1711"/>
      <c r="AB295" s="1711"/>
      <c r="AC295" s="1711"/>
      <c r="AD295" s="1711"/>
      <c r="AE295" s="1711"/>
      <c r="AF295" s="1711"/>
      <c r="AG295" s="1711"/>
      <c r="AH295" s="1711"/>
      <c r="AI295" s="1711"/>
    </row>
    <row r="296" spans="1:35" ht="13.8">
      <c r="A296" s="1711"/>
      <c r="B296" s="1711"/>
      <c r="C296" s="1711"/>
      <c r="D296" s="1711"/>
      <c r="E296" s="1711"/>
      <c r="F296" s="1711"/>
      <c r="G296" s="1711"/>
      <c r="H296" s="1711"/>
      <c r="I296" s="1711"/>
      <c r="J296" s="1711"/>
      <c r="K296" s="1711"/>
      <c r="L296" s="1711"/>
      <c r="M296" s="377"/>
      <c r="N296" s="1711" t="s">
        <v>1209</v>
      </c>
      <c r="O296" s="1711"/>
      <c r="P296" s="1711"/>
      <c r="Q296" s="1711" t="s">
        <v>1666</v>
      </c>
      <c r="R296" s="1711"/>
      <c r="S296" s="1711"/>
      <c r="T296" s="1711"/>
      <c r="U296" s="1711"/>
      <c r="V296" s="2595"/>
      <c r="W296" s="2596"/>
      <c r="X296" s="2596"/>
      <c r="Y296" s="1711"/>
      <c r="Z296" s="1711" t="s">
        <v>1641</v>
      </c>
      <c r="AA296" s="1711"/>
      <c r="AB296" s="1711"/>
      <c r="AC296" s="1711"/>
      <c r="AD296" s="1711"/>
      <c r="AE296" s="1711"/>
      <c r="AF296" s="1711"/>
      <c r="AG296" s="1711"/>
      <c r="AH296" s="1711"/>
      <c r="AI296" s="1711"/>
    </row>
    <row r="297" spans="1:35" ht="13.8">
      <c r="A297" s="1711"/>
      <c r="B297" s="1711" t="s">
        <v>5129</v>
      </c>
      <c r="C297" s="1711"/>
      <c r="D297" s="1711"/>
      <c r="E297" s="1711"/>
      <c r="F297" s="1711"/>
      <c r="G297" s="1711"/>
      <c r="H297" s="1711"/>
      <c r="I297" s="1711"/>
      <c r="J297" s="2678">
        <f>N297+Q297</f>
        <v>1.4</v>
      </c>
      <c r="K297" s="2678"/>
      <c r="L297" s="2678"/>
      <c r="M297" s="1524" t="s">
        <v>1210</v>
      </c>
      <c r="N297" s="2679">
        <f>'Part III-A-Uses of Funds'!N183</f>
        <v>0.87</v>
      </c>
      <c r="O297" s="2679"/>
      <c r="P297" s="1524" t="s">
        <v>569</v>
      </c>
      <c r="Q297" s="2679">
        <f>'Part III-A-Uses of Funds'!Q183</f>
        <v>0.53</v>
      </c>
      <c r="R297" s="2679"/>
      <c r="S297" s="1711"/>
      <c r="T297" s="1711"/>
      <c r="U297" s="1711"/>
      <c r="V297" s="2595"/>
      <c r="W297" s="2596"/>
      <c r="X297" s="2596"/>
      <c r="Y297" s="1711"/>
      <c r="Z297" s="1712">
        <f>'DCA Underwriting Assumptions'!Q249</f>
        <v>0</v>
      </c>
      <c r="AA297" s="1711"/>
      <c r="AB297" s="1711"/>
      <c r="AC297" s="1711"/>
      <c r="AD297" s="1711"/>
      <c r="AE297" s="1711"/>
      <c r="AF297" s="1711"/>
      <c r="AG297" s="1711"/>
      <c r="AH297" s="1711"/>
      <c r="AI297" s="1711"/>
    </row>
    <row r="298" spans="1:35" ht="13.8">
      <c r="A298" s="1711"/>
      <c r="B298" s="2542" t="s">
        <v>1338</v>
      </c>
      <c r="C298" s="1711"/>
      <c r="D298" s="1711"/>
      <c r="E298" s="1711"/>
      <c r="F298" s="1711"/>
      <c r="G298" s="1711"/>
      <c r="H298" s="1711"/>
      <c r="I298" s="1711"/>
      <c r="J298" s="2575">
        <f>ROUNDDOWN(IF(J297=0,"",J295/J297),0)</f>
        <v>1422735</v>
      </c>
      <c r="K298" s="2575"/>
      <c r="L298" s="2575"/>
      <c r="M298" s="377"/>
      <c r="N298" s="1711"/>
      <c r="O298" s="1711"/>
      <c r="P298" s="1711"/>
      <c r="Q298" s="1711"/>
      <c r="R298" s="1711"/>
      <c r="S298" s="1711"/>
      <c r="T298" s="1711"/>
      <c r="U298" s="1711"/>
      <c r="V298" s="2595"/>
      <c r="W298" s="2596"/>
      <c r="X298" s="2596"/>
      <c r="Y298" s="1711"/>
      <c r="Z298" s="1712">
        <f>'DCA Underwriting Assumptions'!Q250</f>
        <v>0</v>
      </c>
      <c r="AA298" s="1711"/>
      <c r="AB298" s="1711"/>
      <c r="AC298" s="1711"/>
      <c r="AD298" s="1711"/>
      <c r="AE298" s="1711"/>
      <c r="AF298" s="1711"/>
      <c r="AG298" s="1711"/>
      <c r="AH298" s="1711"/>
      <c r="AI298" s="1711"/>
    </row>
    <row r="299" spans="1:35" ht="13.8">
      <c r="A299" s="1711"/>
      <c r="B299" s="1711"/>
      <c r="C299" s="1711"/>
      <c r="D299" s="1711"/>
      <c r="E299" s="1711"/>
      <c r="F299" s="1711"/>
      <c r="G299" s="1711"/>
      <c r="H299" s="1711"/>
      <c r="I299" s="1711"/>
      <c r="J299" s="2680"/>
      <c r="K299" s="2680"/>
      <c r="L299" s="2680"/>
      <c r="M299" s="377"/>
      <c r="N299" s="1524"/>
      <c r="O299" s="1524"/>
      <c r="P299" s="1711"/>
      <c r="Q299" s="1711"/>
      <c r="R299" s="1711"/>
      <c r="S299" s="1711"/>
      <c r="T299" s="1711"/>
      <c r="U299" s="1711"/>
      <c r="V299" s="2595"/>
      <c r="W299" s="2596"/>
      <c r="X299" s="2596"/>
      <c r="Y299" s="1711"/>
      <c r="Z299" s="1711"/>
      <c r="AA299" s="1711"/>
      <c r="AB299" s="1711"/>
      <c r="AC299" s="1711"/>
      <c r="AD299" s="1711"/>
      <c r="AE299" s="1711"/>
      <c r="AF299" s="1711"/>
      <c r="AG299" s="1711"/>
      <c r="AH299" s="1711"/>
      <c r="AI299" s="1711"/>
    </row>
    <row r="300" spans="1:35" ht="13.8">
      <c r="A300" s="2594" t="s">
        <v>1661</v>
      </c>
      <c r="B300" s="2594" t="s">
        <v>3805</v>
      </c>
      <c r="C300" s="1711"/>
      <c r="D300" s="1711"/>
      <c r="E300" s="1711"/>
      <c r="F300" s="1711"/>
      <c r="G300" s="1711"/>
      <c r="H300" s="2660"/>
      <c r="I300" s="2660"/>
      <c r="J300" s="1711"/>
      <c r="K300" s="1711"/>
      <c r="L300" s="1711"/>
      <c r="M300" s="1711"/>
      <c r="N300" s="1711"/>
      <c r="O300" s="1711"/>
      <c r="P300" s="1711"/>
      <c r="Q300" s="1711"/>
      <c r="R300" s="1711"/>
      <c r="S300" s="1711"/>
      <c r="T300" s="1711"/>
      <c r="U300" s="1711"/>
      <c r="V300" s="2595"/>
      <c r="W300" s="1711"/>
      <c r="X300" s="1711"/>
      <c r="Y300" s="1711"/>
      <c r="Z300" s="1711"/>
      <c r="AA300" s="1711"/>
      <c r="AB300" s="1711"/>
      <c r="AC300" s="1711"/>
      <c r="AD300" s="1711"/>
      <c r="AE300" s="1711"/>
      <c r="AF300" s="1711"/>
      <c r="AG300" s="1711"/>
      <c r="AH300" s="1711"/>
      <c r="AI300" s="1711"/>
    </row>
    <row r="301" spans="1:35" ht="13.8">
      <c r="A301" s="1711"/>
      <c r="B301" s="1711"/>
      <c r="C301" s="1711"/>
      <c r="D301" s="1711"/>
      <c r="E301" s="1711"/>
      <c r="F301" s="1711"/>
      <c r="G301" s="1711"/>
      <c r="H301" s="2660"/>
      <c r="I301" s="2660"/>
      <c r="J301" s="1711"/>
      <c r="K301" s="1711"/>
      <c r="L301" s="1711"/>
      <c r="M301" s="1711"/>
      <c r="N301" s="1711"/>
      <c r="O301" s="1711"/>
      <c r="P301" s="1711"/>
      <c r="Q301" s="2607"/>
      <c r="R301" s="2607"/>
      <c r="S301" s="2681"/>
      <c r="T301" s="2681"/>
      <c r="U301" s="2542"/>
      <c r="V301" s="2542"/>
      <c r="W301" s="1711"/>
      <c r="X301" s="1711"/>
      <c r="Y301" s="1711"/>
      <c r="Z301" s="1711"/>
      <c r="AA301" s="1711"/>
      <c r="AB301" s="1711"/>
      <c r="AC301" s="1711"/>
      <c r="AD301" s="1711"/>
      <c r="AE301" s="1711"/>
      <c r="AF301" s="1711"/>
      <c r="AG301" s="1711"/>
      <c r="AH301" s="1711"/>
      <c r="AI301" s="1711"/>
    </row>
    <row r="302" spans="1:35" ht="13.8">
      <c r="A302" s="1711"/>
      <c r="B302" s="2542" t="s">
        <v>5130</v>
      </c>
      <c r="C302" s="1711"/>
      <c r="D302" s="1711"/>
      <c r="E302" s="1711"/>
      <c r="F302" s="1711"/>
      <c r="G302" s="1711"/>
      <c r="H302" s="1711"/>
      <c r="I302" s="1711"/>
      <c r="J302" s="2575">
        <f>'Part III-A-Uses of Funds'!J188</f>
        <v>1386902</v>
      </c>
      <c r="K302" s="2575"/>
      <c r="L302" s="2575"/>
      <c r="M302" s="1711"/>
      <c r="N302" s="1711"/>
      <c r="O302" s="1711"/>
      <c r="P302" s="1711"/>
      <c r="Q302" s="2547" t="s">
        <v>4139</v>
      </c>
      <c r="R302" s="2547"/>
      <c r="S302" s="2547" t="str">
        <f>'Part VIII Scoring Criteria'!$L$11</f>
        <v>Atlanta Metro</v>
      </c>
      <c r="T302" s="2547"/>
      <c r="U302" s="1524" t="str">
        <f>IF(OR(S302="Atlanta Metro", "Other Metro"), "Metro", IF(S302="Rural","Rural",""))</f>
        <v>Metro</v>
      </c>
      <c r="V302" s="2595"/>
      <c r="W302" s="2596"/>
      <c r="X302" s="2596"/>
      <c r="Y302" s="1711"/>
      <c r="Z302" s="1711"/>
      <c r="AA302" s="1711"/>
      <c r="AB302" s="1711"/>
      <c r="AC302" s="1711"/>
      <c r="AD302" s="1711"/>
      <c r="AE302" s="1711"/>
      <c r="AF302" s="1711"/>
      <c r="AG302" s="1711"/>
      <c r="AH302" s="1711"/>
      <c r="AI302" s="1711"/>
    </row>
    <row r="303" spans="1:35" ht="13.8">
      <c r="A303" s="1711"/>
      <c r="B303" s="1711"/>
      <c r="C303" s="1711"/>
      <c r="D303" s="1711"/>
      <c r="E303" s="1711"/>
      <c r="F303" s="1711"/>
      <c r="G303" s="1711"/>
      <c r="H303" s="1711"/>
      <c r="I303" s="1711"/>
      <c r="J303" s="2680"/>
      <c r="K303" s="2680"/>
      <c r="L303" s="2680"/>
      <c r="M303" s="377"/>
      <c r="N303" s="1524"/>
      <c r="O303" s="1524"/>
      <c r="P303" s="1711"/>
      <c r="Q303" s="2547"/>
      <c r="R303" s="2547"/>
      <c r="S303" s="2648"/>
      <c r="T303" s="2648"/>
      <c r="U303" s="1711"/>
      <c r="V303" s="2595"/>
      <c r="W303" s="2647"/>
      <c r="X303" s="2647"/>
      <c r="Y303" s="1711"/>
      <c r="Z303" s="1711"/>
      <c r="AA303" s="1711"/>
      <c r="AB303" s="1711"/>
      <c r="AC303" s="1711"/>
      <c r="AD303" s="1711"/>
      <c r="AE303" s="1711"/>
      <c r="AF303" s="1711"/>
      <c r="AG303" s="1711"/>
      <c r="AH303" s="1711"/>
      <c r="AI303" s="1711"/>
    </row>
    <row r="304" spans="1:35" ht="13.8">
      <c r="A304" s="1711"/>
      <c r="B304" s="2542" t="s">
        <v>5131</v>
      </c>
      <c r="C304" s="1711"/>
      <c r="D304" s="1711"/>
      <c r="E304" s="1711"/>
      <c r="F304" s="1711"/>
      <c r="G304" s="1711"/>
      <c r="H304" s="1711"/>
      <c r="I304" s="1711"/>
      <c r="J304" s="2575">
        <f>'Part III-A-Uses of Funds'!J190</f>
        <v>1386902</v>
      </c>
      <c r="K304" s="2575"/>
      <c r="L304" s="2575"/>
      <c r="M304" s="2682" t="str">
        <f>IF(J302=0,"",IF(J304&gt;J302,"Request can't exceed Maximum - REVISE (Try Round Down)!",""))</f>
        <v/>
      </c>
      <c r="N304" s="2682"/>
      <c r="O304" s="2682"/>
      <c r="P304" s="2682"/>
      <c r="Q304" s="2648" t="s">
        <v>4432</v>
      </c>
      <c r="R304" s="2547"/>
      <c r="S304" s="2547" t="str">
        <f>'Part VIII Scoring Criteria'!$H$11</f>
        <v>Preservation</v>
      </c>
      <c r="T304" s="2547"/>
      <c r="U304" s="1711"/>
      <c r="V304" s="2595"/>
      <c r="W304" s="2596"/>
      <c r="X304" s="2596"/>
      <c r="Y304" s="1711"/>
      <c r="Z304" s="1711"/>
      <c r="AA304" s="1711"/>
      <c r="AB304" s="1711"/>
      <c r="AC304" s="1711"/>
      <c r="AD304" s="1711"/>
      <c r="AE304" s="1711"/>
      <c r="AF304" s="1711"/>
      <c r="AG304" s="1711"/>
      <c r="AH304" s="1711"/>
      <c r="AI304" s="1711"/>
    </row>
    <row r="305" spans="1:35" ht="13.8">
      <c r="A305" s="1711"/>
      <c r="B305" s="1711"/>
      <c r="C305" s="1711"/>
      <c r="D305" s="1711"/>
      <c r="E305" s="1711"/>
      <c r="F305" s="1711"/>
      <c r="G305" s="1711"/>
      <c r="H305" s="1711"/>
      <c r="I305" s="1711"/>
      <c r="J305" s="2680"/>
      <c r="K305" s="2680"/>
      <c r="L305" s="2680"/>
      <c r="M305" s="2682"/>
      <c r="N305" s="2682"/>
      <c r="O305" s="2682"/>
      <c r="P305" s="2682"/>
      <c r="Q305" s="2547"/>
      <c r="R305" s="2547"/>
      <c r="S305" s="2648"/>
      <c r="T305" s="2648"/>
      <c r="U305" s="1711"/>
      <c r="V305" s="2595"/>
      <c r="W305" s="2647"/>
      <c r="X305" s="2647"/>
      <c r="Y305" s="1711"/>
      <c r="Z305" s="1711"/>
      <c r="AA305" s="1711"/>
      <c r="AB305" s="1711"/>
      <c r="AC305" s="1711"/>
      <c r="AD305" s="1711"/>
      <c r="AE305" s="1711"/>
      <c r="AF305" s="1711"/>
      <c r="AG305" s="1711"/>
      <c r="AH305" s="1711"/>
      <c r="AI305" s="1711"/>
    </row>
    <row r="306" spans="1:35" ht="13.8">
      <c r="A306" s="2594"/>
      <c r="B306" s="2594" t="s">
        <v>5132</v>
      </c>
      <c r="C306" s="1711"/>
      <c r="D306" s="377"/>
      <c r="E306" s="377"/>
      <c r="F306" s="2548"/>
      <c r="G306" s="1711"/>
      <c r="H306" s="1711"/>
      <c r="I306" s="1711"/>
      <c r="J306" s="2575">
        <f>IF(J304="",0,+MIN(J302,J304))</f>
        <v>1386902</v>
      </c>
      <c r="K306" s="2575"/>
      <c r="L306" s="2575"/>
      <c r="M306" s="2682"/>
      <c r="N306" s="2682"/>
      <c r="O306" s="2682"/>
      <c r="P306" s="2682"/>
      <c r="Q306" s="402" t="s">
        <v>3797</v>
      </c>
      <c r="R306" s="402"/>
      <c r="S306" s="254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6" s="2547"/>
      <c r="U306" s="1711"/>
      <c r="V306" s="2595"/>
      <c r="W306" s="2596"/>
      <c r="X306" s="2596"/>
      <c r="Y306" s="1711"/>
      <c r="Z306" s="1711"/>
      <c r="AA306" s="1711"/>
      <c r="AB306" s="1711"/>
      <c r="AC306" s="1711"/>
      <c r="AD306" s="1711"/>
      <c r="AE306" s="1711"/>
      <c r="AF306" s="1711"/>
      <c r="AG306" s="1711"/>
      <c r="AH306" s="1711"/>
      <c r="AI306" s="1711"/>
    </row>
    <row r="307" spans="1:35" ht="13.8">
      <c r="A307" s="377"/>
      <c r="B307" s="377"/>
      <c r="C307" s="377"/>
      <c r="D307" s="377"/>
      <c r="E307" s="377"/>
      <c r="F307" s="377"/>
      <c r="G307" s="377"/>
      <c r="H307" s="377"/>
      <c r="I307" s="377"/>
      <c r="J307" s="377"/>
      <c r="K307" s="377"/>
      <c r="L307" s="377"/>
      <c r="M307" s="377"/>
      <c r="N307" s="377"/>
      <c r="O307" s="377"/>
      <c r="P307" s="377"/>
      <c r="Q307" s="377"/>
      <c r="R307" s="377"/>
      <c r="S307" s="377"/>
      <c r="T307" s="377"/>
      <c r="U307" s="377"/>
      <c r="V307" s="377"/>
      <c r="W307" s="377"/>
      <c r="X307" s="377"/>
      <c r="Y307" s="377"/>
      <c r="Z307" s="377"/>
      <c r="AA307" s="377"/>
      <c r="AB307" s="377"/>
      <c r="AC307" s="377"/>
      <c r="AD307" s="377"/>
      <c r="AE307" s="377"/>
      <c r="AF307" s="377"/>
      <c r="AG307" s="377"/>
      <c r="AH307" s="377"/>
      <c r="AI307" s="377"/>
    </row>
    <row r="308" spans="1:35" ht="13.8">
      <c r="A308" s="377"/>
      <c r="B308" s="377"/>
      <c r="C308" s="377"/>
      <c r="D308" s="377"/>
      <c r="E308" s="377"/>
      <c r="F308" s="377"/>
      <c r="G308" s="377"/>
      <c r="H308" s="377"/>
      <c r="I308" s="377"/>
      <c r="J308" s="377"/>
      <c r="K308" s="377"/>
      <c r="L308" s="377"/>
      <c r="M308" s="377"/>
      <c r="N308" s="377"/>
      <c r="O308" s="377"/>
      <c r="P308" s="377"/>
      <c r="Q308" s="377"/>
      <c r="R308" s="377"/>
      <c r="S308" s="377"/>
      <c r="T308" s="377"/>
      <c r="U308" s="377"/>
      <c r="V308" s="377"/>
      <c r="W308" s="377"/>
      <c r="X308" s="377"/>
      <c r="Y308" s="377"/>
      <c r="Z308" s="377"/>
      <c r="AA308" s="377"/>
      <c r="AB308" s="377"/>
      <c r="AC308" s="377"/>
      <c r="AD308" s="377"/>
      <c r="AE308" s="377"/>
      <c r="AF308" s="377"/>
      <c r="AG308" s="377"/>
      <c r="AH308" s="377"/>
      <c r="AI308" s="377"/>
    </row>
    <row r="309" spans="1:35" ht="13.8">
      <c r="A309" s="2542" t="s">
        <v>1663</v>
      </c>
      <c r="B309" s="376" t="s">
        <v>529</v>
      </c>
      <c r="C309" s="377"/>
      <c r="D309" s="377"/>
      <c r="E309" s="377"/>
      <c r="F309" s="377"/>
      <c r="G309" s="377"/>
      <c r="H309" s="377"/>
      <c r="I309" s="377"/>
      <c r="J309" s="377"/>
      <c r="K309" s="377"/>
      <c r="L309" s="377"/>
      <c r="M309" s="377"/>
      <c r="N309" s="2542" t="s">
        <v>495</v>
      </c>
      <c r="O309" s="2542" t="s">
        <v>74</v>
      </c>
      <c r="P309" s="377"/>
      <c r="Q309" s="377"/>
      <c r="R309" s="377"/>
      <c r="S309" s="377"/>
      <c r="T309" s="377"/>
      <c r="U309" s="377"/>
      <c r="V309" s="377"/>
      <c r="W309" s="377"/>
      <c r="X309" s="377"/>
      <c r="Y309" s="377"/>
      <c r="Z309" s="377"/>
      <c r="AA309" s="377"/>
      <c r="AB309" s="377"/>
      <c r="AC309" s="377"/>
      <c r="AD309" s="377"/>
      <c r="AE309" s="377"/>
      <c r="AF309" s="377"/>
      <c r="AG309" s="377"/>
      <c r="AH309" s="377"/>
      <c r="AI309" s="377"/>
    </row>
    <row r="310" spans="1:35" ht="15.75" customHeight="1">
      <c r="A310" s="2568" t="str">
        <f>'Part III-A-Uses of Funds'!A196</f>
        <v>Construction hard cost estimates were based on a contractor's experience renovating multiple communities with a similar tenancy, unit mix, and amenity package in similar areas in Georgia. 
The relocation cost is based upon a budget that is provided in the 52Addldoc folder.</v>
      </c>
      <c r="B310" s="2568"/>
      <c r="C310" s="2568"/>
      <c r="D310" s="2568"/>
      <c r="E310" s="2568"/>
      <c r="F310" s="2568"/>
      <c r="G310" s="2568"/>
      <c r="H310" s="2568"/>
      <c r="I310" s="2568"/>
      <c r="J310" s="2568"/>
      <c r="K310" s="2568"/>
      <c r="L310" s="2568"/>
      <c r="M310" s="2568"/>
      <c r="N310" s="2568"/>
      <c r="O310" s="2568"/>
      <c r="P310" s="2568"/>
      <c r="Q310" s="2568"/>
      <c r="R310" s="2568"/>
      <c r="S310" s="2568"/>
      <c r="T310" s="2568"/>
      <c r="U310" s="377"/>
      <c r="V310" s="2683"/>
      <c r="W310" s="2684" t="s">
        <v>2444</v>
      </c>
      <c r="X310" s="2684"/>
      <c r="Y310" s="377"/>
      <c r="Z310" s="377"/>
      <c r="AA310" s="377"/>
      <c r="AB310" s="377"/>
      <c r="AC310" s="377"/>
      <c r="AD310" s="377"/>
      <c r="AE310" s="377"/>
      <c r="AF310" s="377"/>
      <c r="AG310" s="377"/>
      <c r="AH310" s="377"/>
      <c r="AI310" s="377"/>
    </row>
    <row r="315" spans="1:35" ht="15.6">
      <c r="A315" s="2685" t="str">
        <f>CONCATENATE("PART THREE (B) -  OTHER COSTS","  -  ",'Part I-Project Identification'!$O$7," - ",'Part I-Project Identification'!$F$26,"  -  ",'Part I-Project Identification'!$F$27,"  -  ",'Part I-Project Identification'!$J$27,",  ","County")</f>
        <v>PART THREE (B) -  OTHER COSTS  -  2025-0 - Retreat at Madison Place  -  Decatur  -  DeKalb,  County</v>
      </c>
      <c r="B315" s="2685"/>
      <c r="C315" s="2685"/>
      <c r="D315" s="2685"/>
      <c r="E315" s="2685"/>
      <c r="F315" s="2685"/>
      <c r="G315" s="2685"/>
      <c r="H315" s="2685"/>
    </row>
    <row r="316" spans="1:35">
      <c r="A316" s="2686"/>
      <c r="B316" s="2686"/>
      <c r="C316" s="2686"/>
      <c r="D316" s="2686"/>
      <c r="E316" s="2686"/>
      <c r="F316" s="2686"/>
      <c r="G316" s="2686"/>
      <c r="H316" s="2686"/>
    </row>
    <row r="317" spans="1:35" ht="14.25" customHeight="1">
      <c r="A317" s="2687" t="s">
        <v>3128</v>
      </c>
      <c r="B317" s="2687"/>
      <c r="C317" s="2687"/>
      <c r="D317" s="2687"/>
      <c r="E317" s="2687"/>
      <c r="F317" s="2687"/>
      <c r="G317" s="2687"/>
      <c r="H317" s="2687"/>
    </row>
    <row r="318" spans="1:35">
      <c r="A318" s="2686"/>
      <c r="B318" s="2686"/>
      <c r="C318" s="2686"/>
      <c r="D318" s="2686"/>
      <c r="E318" s="2686"/>
      <c r="F318" s="2686"/>
      <c r="G318" s="2686"/>
      <c r="H318" s="2686"/>
    </row>
    <row r="319" spans="1:35" ht="90" customHeight="1">
      <c r="A319" s="2688" t="s">
        <v>5133</v>
      </c>
      <c r="B319" s="2688"/>
      <c r="C319" s="2688"/>
      <c r="D319" s="2688"/>
      <c r="E319" s="2686"/>
      <c r="F319" s="2689" t="s">
        <v>3120</v>
      </c>
      <c r="G319" s="2690"/>
      <c r="H319" s="2689" t="s">
        <v>3121</v>
      </c>
    </row>
    <row r="320" spans="1:35">
      <c r="A320" s="2690"/>
      <c r="B320" s="2690"/>
      <c r="C320" s="2690"/>
      <c r="D320" s="2690"/>
      <c r="E320" s="2686"/>
      <c r="F320" s="2686"/>
      <c r="G320" s="2686"/>
      <c r="H320" s="2686"/>
    </row>
    <row r="321" spans="1:8">
      <c r="A321" s="2691"/>
      <c r="B321" s="2691"/>
      <c r="C321" s="2691"/>
      <c r="D321" s="2691"/>
      <c r="E321" s="2691"/>
      <c r="F321" s="2691"/>
      <c r="G321" s="2691"/>
      <c r="H321" s="2692"/>
    </row>
    <row r="322" spans="1:8">
      <c r="A322" s="2693" t="s">
        <v>96</v>
      </c>
      <c r="B322" s="2694"/>
      <c r="C322" s="2694"/>
      <c r="D322" s="2694"/>
      <c r="E322" s="2694"/>
      <c r="F322" s="2694"/>
      <c r="G322" s="2694"/>
      <c r="H322" s="2694"/>
    </row>
    <row r="323" spans="1:8" ht="13.5" customHeight="1">
      <c r="A323" s="2695" t="str">
        <f>'Part III-A-Uses of Funds'!$C$15</f>
        <v>Physical Needs Assessment</v>
      </c>
      <c r="B323" s="2695"/>
      <c r="C323" s="2695"/>
      <c r="D323" s="2695"/>
      <c r="E323" s="2692"/>
      <c r="F323" s="2696" t="str">
        <f>'Part III-B-Other Items'!F9</f>
        <v>Since the Property is currently occupied, a Physical Needs Assessment is included in folder "08Readiness".</v>
      </c>
      <c r="G323" s="2694"/>
      <c r="H323" s="2696" t="str">
        <f>'Part III-B-Other Items'!H9</f>
        <v>This cost is associated with the rehabilitation of the Project, and therefore included as part of the Elgiible Basis.</v>
      </c>
    </row>
    <row r="324" spans="1:8">
      <c r="A324" s="2695"/>
      <c r="B324" s="2695"/>
      <c r="C324" s="2695"/>
      <c r="D324" s="2695"/>
      <c r="E324" s="2692"/>
      <c r="F324" s="2696"/>
      <c r="G324" s="2694"/>
      <c r="H324" s="2696"/>
    </row>
    <row r="325" spans="1:8">
      <c r="A325" s="2692"/>
      <c r="B325" s="2692"/>
      <c r="C325" s="2692"/>
      <c r="D325" s="2692"/>
      <c r="E325" s="2692"/>
      <c r="F325" s="2696"/>
      <c r="G325" s="2694"/>
      <c r="H325" s="2696"/>
    </row>
    <row r="326" spans="1:8">
      <c r="A326" s="2697" t="s">
        <v>3123</v>
      </c>
      <c r="B326" s="2698">
        <f>'Part III-A-Uses of Funds'!$G$15</f>
        <v>15000</v>
      </c>
      <c r="C326" s="2697" t="s">
        <v>1660</v>
      </c>
      <c r="D326" s="2698">
        <f>'Part III-A-Uses of Funds'!$J$15+'Part III-A-Uses of Funds'!$M$15+'Part III-A-Uses of Funds'!$P$15</f>
        <v>15000</v>
      </c>
      <c r="E326" s="2692"/>
      <c r="F326" s="2696"/>
      <c r="G326" s="2694"/>
      <c r="H326" s="2696"/>
    </row>
    <row r="327" spans="1:8">
      <c r="A327" s="2694"/>
      <c r="B327" s="2699"/>
      <c r="C327" s="2694"/>
      <c r="D327" s="2694"/>
      <c r="E327" s="2692"/>
      <c r="F327" s="2696"/>
      <c r="G327" s="2700"/>
      <c r="H327" s="2696"/>
    </row>
    <row r="328" spans="1:8" ht="13.5" customHeight="1">
      <c r="A328" s="2695" t="str">
        <f>'Part III-A-Uses of Funds'!$C$16</f>
        <v>&lt;&lt; Enter description here; provide detail &amp; justification in tab Part III-b &gt;&gt;</v>
      </c>
      <c r="B328" s="2695"/>
      <c r="C328" s="2695"/>
      <c r="D328" s="2695"/>
      <c r="E328" s="2692"/>
      <c r="F328" s="2696">
        <f>'Part III-B-Other Items'!F14</f>
        <v>0</v>
      </c>
      <c r="G328" s="2694"/>
      <c r="H328" s="2696">
        <f>'Part III-B-Other Items'!H14</f>
        <v>0</v>
      </c>
    </row>
    <row r="329" spans="1:8">
      <c r="A329" s="2695"/>
      <c r="B329" s="2695"/>
      <c r="C329" s="2695"/>
      <c r="D329" s="2695"/>
      <c r="E329" s="2692"/>
      <c r="F329" s="2696"/>
      <c r="G329" s="2694"/>
      <c r="H329" s="2696"/>
    </row>
    <row r="330" spans="1:8">
      <c r="A330" s="2692"/>
      <c r="B330" s="2692"/>
      <c r="C330" s="2692"/>
      <c r="D330" s="2692"/>
      <c r="E330" s="2692"/>
      <c r="F330" s="2696"/>
      <c r="G330" s="2694"/>
      <c r="H330" s="2696"/>
    </row>
    <row r="331" spans="1:8">
      <c r="A331" s="2697" t="s">
        <v>3123</v>
      </c>
      <c r="B331" s="2698">
        <f>'Part III-A-Uses of Funds'!$G$16</f>
        <v>0</v>
      </c>
      <c r="C331" s="2697" t="s">
        <v>1660</v>
      </c>
      <c r="D331" s="2698">
        <f>'Part III-A-Uses of Funds'!$J$16+'Part III-A-Uses of Funds'!$M$16+'Part III-A-Uses of Funds'!$P$16</f>
        <v>0</v>
      </c>
      <c r="E331" s="2692"/>
      <c r="F331" s="2696"/>
      <c r="G331" s="2694"/>
      <c r="H331" s="2696"/>
    </row>
    <row r="332" spans="1:8">
      <c r="A332" s="2694"/>
      <c r="B332" s="2699"/>
      <c r="C332" s="2694"/>
      <c r="D332" s="2694"/>
      <c r="E332" s="2692"/>
      <c r="F332" s="2696"/>
      <c r="G332" s="2700"/>
      <c r="H332" s="2696"/>
    </row>
    <row r="333" spans="1:8" ht="13.5" customHeight="1">
      <c r="A333" s="2695" t="str">
        <f>'Part III-A-Uses of Funds'!$C$17</f>
        <v>&lt;&lt; Enter description here; provide detail &amp; justification in tab Part III-b &gt;&gt;</v>
      </c>
      <c r="B333" s="2695"/>
      <c r="C333" s="2695"/>
      <c r="D333" s="2695"/>
      <c r="E333" s="2692"/>
      <c r="F333" s="2696">
        <f>'Part III-B-Other Items'!F19</f>
        <v>0</v>
      </c>
      <c r="G333" s="2694"/>
      <c r="H333" s="2696">
        <f>'Part III-B-Other Items'!H19</f>
        <v>0</v>
      </c>
    </row>
    <row r="334" spans="1:8">
      <c r="A334" s="2695"/>
      <c r="B334" s="2695"/>
      <c r="C334" s="2695"/>
      <c r="D334" s="2695"/>
      <c r="E334" s="2692"/>
      <c r="F334" s="2696"/>
      <c r="G334" s="2694"/>
      <c r="H334" s="2696"/>
    </row>
    <row r="335" spans="1:8">
      <c r="A335" s="2692"/>
      <c r="B335" s="2692"/>
      <c r="C335" s="2692"/>
      <c r="D335" s="2692"/>
      <c r="E335" s="2692"/>
      <c r="F335" s="2696"/>
      <c r="G335" s="2694"/>
      <c r="H335" s="2696"/>
    </row>
    <row r="336" spans="1:8">
      <c r="A336" s="2697" t="s">
        <v>3123</v>
      </c>
      <c r="B336" s="2698">
        <f>'Part III-A-Uses of Funds'!$G$17</f>
        <v>0</v>
      </c>
      <c r="C336" s="2697" t="s">
        <v>1660</v>
      </c>
      <c r="D336" s="2698">
        <f>'Part III-A-Uses of Funds'!$J$17+'Part III-A-Uses of Funds'!$M$17+'Part III-A-Uses of Funds'!$P$17</f>
        <v>0</v>
      </c>
      <c r="E336" s="2692"/>
      <c r="F336" s="2696"/>
      <c r="G336" s="2694"/>
      <c r="H336" s="2696"/>
    </row>
    <row r="337" spans="1:8">
      <c r="A337" s="2694"/>
      <c r="B337" s="2699"/>
      <c r="C337" s="2694"/>
      <c r="D337" s="2694"/>
      <c r="E337" s="2692"/>
      <c r="F337" s="2696"/>
      <c r="G337" s="2700"/>
      <c r="H337" s="2696"/>
    </row>
    <row r="338" spans="1:8">
      <c r="A338" s="2693" t="s">
        <v>3122</v>
      </c>
      <c r="B338" s="2694"/>
      <c r="C338" s="2694"/>
      <c r="D338" s="2694"/>
      <c r="E338" s="2694"/>
      <c r="F338" s="2694"/>
      <c r="G338" s="2694"/>
      <c r="H338" s="2692"/>
    </row>
    <row r="339" spans="1:8" ht="12.75" customHeight="1">
      <c r="A339" s="2695" t="str">
        <f>'Part III-A-Uses of Funds'!$C$46</f>
        <v>&lt;&lt; Enter description here; provide detail &amp; justification in tab Part III-b &gt;&gt;</v>
      </c>
      <c r="B339" s="2695"/>
      <c r="C339" s="2695"/>
      <c r="D339" s="2695"/>
      <c r="E339" s="2694"/>
      <c r="F339" s="2696">
        <f>'Part III-B-Other Items'!F25</f>
        <v>0</v>
      </c>
      <c r="G339" s="2694"/>
      <c r="H339" s="2696">
        <f>'Part III-B-Other Items'!H25</f>
        <v>0</v>
      </c>
    </row>
    <row r="340" spans="1:8" ht="12.75" customHeight="1">
      <c r="A340" s="2695"/>
      <c r="B340" s="2695"/>
      <c r="C340" s="2695"/>
      <c r="D340" s="2695"/>
      <c r="E340" s="2694"/>
      <c r="F340" s="2696"/>
      <c r="G340" s="2694"/>
      <c r="H340" s="2696"/>
    </row>
    <row r="341" spans="1:8">
      <c r="A341" s="2694"/>
      <c r="B341" s="2694"/>
      <c r="C341" s="2694"/>
      <c r="D341" s="2694"/>
      <c r="E341" s="2694"/>
      <c r="F341" s="2696"/>
      <c r="G341" s="2694"/>
      <c r="H341" s="2696"/>
    </row>
    <row r="342" spans="1:8">
      <c r="A342" s="2697" t="s">
        <v>3123</v>
      </c>
      <c r="B342" s="2698">
        <f>'Part III-A-Uses of Funds'!$G$46</f>
        <v>0</v>
      </c>
      <c r="C342" s="2697" t="s">
        <v>1660</v>
      </c>
      <c r="D342" s="2698">
        <f>'Part III-A-Uses of Funds'!$J$46+'Part III-A-Uses of Funds'!$M$46+'Part III-A-Uses of Funds'!$P$46</f>
        <v>0</v>
      </c>
      <c r="E342" s="2694"/>
      <c r="F342" s="2696"/>
      <c r="G342" s="2694"/>
      <c r="H342" s="2696"/>
    </row>
    <row r="343" spans="1:8">
      <c r="A343" s="2694"/>
      <c r="B343" s="2699"/>
      <c r="C343" s="2694"/>
      <c r="D343" s="2694"/>
      <c r="E343" s="2694"/>
      <c r="F343" s="2696"/>
      <c r="G343" s="2700"/>
      <c r="H343" s="2696"/>
    </row>
    <row r="344" spans="1:8">
      <c r="A344" s="2693" t="s">
        <v>674</v>
      </c>
      <c r="B344" s="2694"/>
      <c r="C344" s="2694"/>
      <c r="D344" s="2694"/>
      <c r="E344" s="2694"/>
      <c r="F344" s="2694"/>
      <c r="G344" s="2694"/>
      <c r="H344" s="2692"/>
    </row>
    <row r="345" spans="1:8" ht="12.75" customHeight="1">
      <c r="A345" s="2695" t="str">
        <f>'Part III-A-Uses of Funds'!$C$71</f>
        <v>&lt;&lt; Enter description here; provide detail &amp; justification in tab Part III-b &gt;&gt;</v>
      </c>
      <c r="B345" s="2695"/>
      <c r="C345" s="2695"/>
      <c r="D345" s="2695"/>
      <c r="E345" s="2694"/>
      <c r="F345" s="2696">
        <f>'Part III-B-Other Items'!F31</f>
        <v>0</v>
      </c>
      <c r="G345" s="2694"/>
      <c r="H345" s="2696">
        <f>'Part III-B-Other Items'!H31</f>
        <v>0</v>
      </c>
    </row>
    <row r="346" spans="1:8" ht="12.75" customHeight="1">
      <c r="A346" s="2695"/>
      <c r="B346" s="2695"/>
      <c r="C346" s="2695"/>
      <c r="D346" s="2695"/>
      <c r="E346" s="2694"/>
      <c r="F346" s="2696"/>
      <c r="G346" s="2694"/>
      <c r="H346" s="2696"/>
    </row>
    <row r="347" spans="1:8">
      <c r="A347" s="2694"/>
      <c r="B347" s="2694"/>
      <c r="C347" s="2694"/>
      <c r="D347" s="2694"/>
      <c r="E347" s="2694"/>
      <c r="F347" s="2696"/>
      <c r="G347" s="2694"/>
      <c r="H347" s="2696"/>
    </row>
    <row r="348" spans="1:8">
      <c r="A348" s="2697" t="s">
        <v>3123</v>
      </c>
      <c r="B348" s="2698">
        <f>'Part III-A-Uses of Funds'!$G$71</f>
        <v>0</v>
      </c>
      <c r="C348" s="2697" t="s">
        <v>1660</v>
      </c>
      <c r="D348" s="2698">
        <f>'Part III-A-Uses of Funds'!$J$71+'Part III-A-Uses of Funds'!$M$71+'Part III-A-Uses of Funds'!$P$71</f>
        <v>0</v>
      </c>
      <c r="E348" s="2694"/>
      <c r="F348" s="2696"/>
      <c r="G348" s="2694"/>
      <c r="H348" s="2696"/>
    </row>
    <row r="349" spans="1:8">
      <c r="A349" s="2692"/>
      <c r="B349" s="2692"/>
      <c r="C349" s="2692"/>
      <c r="D349" s="2694"/>
      <c r="E349" s="2694"/>
      <c r="F349" s="2696"/>
      <c r="G349" s="2700"/>
      <c r="H349" s="2696"/>
    </row>
    <row r="350" spans="1:8" ht="12.75" customHeight="1">
      <c r="A350" s="2695" t="str">
        <f>'Part III-A-Uses of Funds'!$C$72</f>
        <v>&lt;&lt; Enter description here; provide detail &amp; justification in tab Part III-b &gt;&gt;</v>
      </c>
      <c r="B350" s="2695"/>
      <c r="C350" s="2695"/>
      <c r="D350" s="2695"/>
      <c r="E350" s="2694"/>
      <c r="F350" s="2696">
        <f>'Part III-B-Other Items'!F36</f>
        <v>0</v>
      </c>
      <c r="G350" s="2694"/>
      <c r="H350" s="2696">
        <f>'Part III-B-Other Items'!H36</f>
        <v>0</v>
      </c>
    </row>
    <row r="351" spans="1:8" ht="12.75" customHeight="1">
      <c r="A351" s="2695"/>
      <c r="B351" s="2695"/>
      <c r="C351" s="2695"/>
      <c r="D351" s="2695"/>
      <c r="E351" s="2694"/>
      <c r="F351" s="2696"/>
      <c r="G351" s="2694"/>
      <c r="H351" s="2696"/>
    </row>
    <row r="352" spans="1:8">
      <c r="A352" s="2694"/>
      <c r="B352" s="2694"/>
      <c r="C352" s="2694"/>
      <c r="D352" s="2694"/>
      <c r="E352" s="2694"/>
      <c r="F352" s="2696"/>
      <c r="G352" s="2694"/>
      <c r="H352" s="2696"/>
    </row>
    <row r="353" spans="1:8">
      <c r="A353" s="2697" t="s">
        <v>3123</v>
      </c>
      <c r="B353" s="2698">
        <f>'Part III-A-Uses of Funds'!$G$72</f>
        <v>0</v>
      </c>
      <c r="C353" s="2697" t="s">
        <v>1660</v>
      </c>
      <c r="D353" s="2698">
        <f>'Part III-A-Uses of Funds'!$J$72+'Part III-A-Uses of Funds'!$M$72+'Part III-A-Uses of Funds'!$P$72</f>
        <v>0</v>
      </c>
      <c r="E353" s="2694"/>
      <c r="F353" s="2696"/>
      <c r="G353" s="2694"/>
      <c r="H353" s="2696"/>
    </row>
    <row r="354" spans="1:8">
      <c r="A354" s="2692"/>
      <c r="B354" s="2692"/>
      <c r="C354" s="2692"/>
      <c r="D354" s="2694"/>
      <c r="E354" s="2694"/>
      <c r="F354" s="2696"/>
      <c r="G354" s="2700"/>
      <c r="H354" s="2696"/>
    </row>
    <row r="355" spans="1:8">
      <c r="A355" s="2693" t="s">
        <v>448</v>
      </c>
      <c r="B355" s="2694"/>
      <c r="C355" s="2694"/>
      <c r="D355" s="2694"/>
      <c r="E355" s="2701"/>
      <c r="F355" s="2701"/>
      <c r="G355" s="2694"/>
      <c r="H355" s="2692"/>
    </row>
    <row r="356" spans="1:8" ht="13.5" customHeight="1">
      <c r="A356" s="2695" t="str">
        <f>'Part III-A-Uses of Funds'!$C$85</f>
        <v>&lt;&lt; Enter description here; provide detail &amp; justification in tab Part III-b &gt;&gt;</v>
      </c>
      <c r="B356" s="2695"/>
      <c r="C356" s="2695"/>
      <c r="D356" s="2695"/>
      <c r="E356" s="2692"/>
      <c r="F356" s="2696">
        <f>'Part III-B-Other Items'!F42</f>
        <v>0</v>
      </c>
      <c r="G356" s="2694"/>
      <c r="H356" s="2696">
        <f>'Part III-B-Other Items'!H42</f>
        <v>0</v>
      </c>
    </row>
    <row r="357" spans="1:8" ht="12.75" customHeight="1">
      <c r="A357" s="2695"/>
      <c r="B357" s="2695"/>
      <c r="C357" s="2695"/>
      <c r="D357" s="2695"/>
      <c r="E357" s="2694"/>
      <c r="F357" s="2696"/>
      <c r="G357" s="2694"/>
      <c r="H357" s="2696"/>
    </row>
    <row r="358" spans="1:8">
      <c r="A358" s="2694"/>
      <c r="B358" s="2694"/>
      <c r="C358" s="2694"/>
      <c r="D358" s="2694"/>
      <c r="E358" s="2694"/>
      <c r="F358" s="2696"/>
      <c r="G358" s="2694"/>
      <c r="H358" s="2696"/>
    </row>
    <row r="359" spans="1:8">
      <c r="A359" s="2697" t="s">
        <v>3123</v>
      </c>
      <c r="B359" s="2698">
        <f>'Part III-A-Uses of Funds'!$G$85</f>
        <v>0</v>
      </c>
      <c r="C359" s="2697" t="s">
        <v>1660</v>
      </c>
      <c r="D359" s="2698">
        <f>'Part III-A-Uses of Funds'!$J$85+'Part III-A-Uses of Funds'!$M$85+'Part III-A-Uses of Funds'!$P$85</f>
        <v>0</v>
      </c>
      <c r="E359" s="2694"/>
      <c r="F359" s="2696"/>
      <c r="G359" s="2694"/>
      <c r="H359" s="2696"/>
    </row>
    <row r="360" spans="1:8">
      <c r="A360" s="2694"/>
      <c r="B360" s="2699"/>
      <c r="C360" s="2694"/>
      <c r="D360" s="2694"/>
      <c r="E360" s="2694"/>
      <c r="F360" s="2696"/>
      <c r="G360" s="2700"/>
      <c r="H360" s="2696"/>
    </row>
    <row r="361" spans="1:8">
      <c r="A361" s="2693" t="s">
        <v>676</v>
      </c>
      <c r="B361" s="2694"/>
      <c r="C361" s="2694"/>
      <c r="D361" s="2694"/>
      <c r="E361" s="2694"/>
      <c r="F361" s="2694"/>
      <c r="G361" s="2694"/>
      <c r="H361" s="2692"/>
    </row>
    <row r="362" spans="1:8" ht="13.5" customHeight="1">
      <c r="A362" s="2695" t="str">
        <f>'Part III-A-Uses of Funds'!$C$102</f>
        <v>&lt;&lt; Enter description here; provide detail &amp; justification in tab Part III-b &gt;&gt;</v>
      </c>
      <c r="B362" s="2695"/>
      <c r="C362" s="2695"/>
      <c r="D362" s="2695"/>
      <c r="E362" s="2692"/>
      <c r="F362" s="2696">
        <f>'Part III-B-Other Items'!F48</f>
        <v>0</v>
      </c>
      <c r="G362" s="2694"/>
      <c r="H362" s="2692"/>
    </row>
    <row r="363" spans="1:8">
      <c r="A363" s="2695"/>
      <c r="B363" s="2695"/>
      <c r="C363" s="2695"/>
      <c r="D363" s="2695"/>
      <c r="E363" s="2694"/>
      <c r="F363" s="2696"/>
      <c r="G363" s="2694"/>
      <c r="H363" s="2692"/>
    </row>
    <row r="364" spans="1:8">
      <c r="A364" s="2694"/>
      <c r="B364" s="2694"/>
      <c r="C364" s="2694"/>
      <c r="D364" s="2694"/>
      <c r="E364" s="2694"/>
      <c r="F364" s="2696"/>
      <c r="G364" s="2694"/>
      <c r="H364" s="2692"/>
    </row>
    <row r="365" spans="1:8">
      <c r="A365" s="2697" t="s">
        <v>3123</v>
      </c>
      <c r="B365" s="2698">
        <f>'Part III-A-Uses of Funds'!$G$102</f>
        <v>0</v>
      </c>
      <c r="C365" s="2702"/>
      <c r="D365" s="2702"/>
      <c r="E365" s="2694"/>
      <c r="F365" s="2696"/>
      <c r="G365" s="2694"/>
      <c r="H365" s="2692"/>
    </row>
    <row r="366" spans="1:8">
      <c r="A366" s="2694"/>
      <c r="B366" s="2694"/>
      <c r="C366" s="2694"/>
      <c r="D366" s="2694"/>
      <c r="E366" s="2694"/>
      <c r="F366" s="2696"/>
      <c r="G366" s="2700"/>
      <c r="H366" s="2692"/>
    </row>
    <row r="367" spans="1:8">
      <c r="A367" s="2693" t="s">
        <v>5134</v>
      </c>
      <c r="B367" s="2694"/>
      <c r="C367" s="2694"/>
      <c r="D367" s="2694"/>
      <c r="E367" s="2694"/>
      <c r="F367" s="2694"/>
      <c r="G367" s="2694"/>
      <c r="H367" s="2692"/>
    </row>
    <row r="368" spans="1:8" ht="13.5" customHeight="1">
      <c r="A368" s="2695" t="str">
        <f>'Part III-A-Uses of Funds'!$C$112</f>
        <v>&lt;&lt; Enter description here; provide detail &amp; justification in tab Part III-b &gt;&gt;</v>
      </c>
      <c r="B368" s="2695"/>
      <c r="C368" s="2695"/>
      <c r="D368" s="2695"/>
      <c r="E368" s="2692"/>
      <c r="F368" s="2696">
        <f>'Part III-B-Other Items'!F54</f>
        <v>0</v>
      </c>
      <c r="G368" s="2694"/>
      <c r="H368" s="2692"/>
    </row>
    <row r="369" spans="1:8">
      <c r="A369" s="2695"/>
      <c r="B369" s="2695"/>
      <c r="C369" s="2695"/>
      <c r="D369" s="2695"/>
      <c r="E369" s="2694"/>
      <c r="F369" s="2696"/>
      <c r="G369" s="2694"/>
      <c r="H369" s="2692"/>
    </row>
    <row r="370" spans="1:8">
      <c r="A370" s="2694"/>
      <c r="B370" s="2694"/>
      <c r="C370" s="2694"/>
      <c r="D370" s="2694"/>
      <c r="E370" s="2694"/>
      <c r="F370" s="2696"/>
      <c r="G370" s="2694"/>
      <c r="H370" s="2692"/>
    </row>
    <row r="371" spans="1:8">
      <c r="A371" s="2697" t="s">
        <v>3123</v>
      </c>
      <c r="B371" s="2698">
        <f>'Part III-A-Uses of Funds'!$G$112</f>
        <v>0</v>
      </c>
      <c r="C371" s="2702"/>
      <c r="D371" s="2702"/>
      <c r="E371" s="2694"/>
      <c r="F371" s="2696"/>
      <c r="G371" s="2694"/>
      <c r="H371" s="2692"/>
    </row>
    <row r="372" spans="1:8">
      <c r="A372" s="2691"/>
      <c r="B372" s="2691"/>
      <c r="C372" s="2691"/>
      <c r="D372" s="2691"/>
      <c r="E372" s="2691"/>
      <c r="F372" s="2696"/>
      <c r="G372" s="2700"/>
      <c r="H372" s="2692"/>
    </row>
    <row r="373" spans="1:8" ht="13.5" customHeight="1">
      <c r="A373" s="2695" t="str">
        <f>'Part III-A-Uses of Funds'!$C$113</f>
        <v>&lt;&lt; Enter description here; provide detail &amp; justification in tab Part III-b &gt;&gt;</v>
      </c>
      <c r="B373" s="2695"/>
      <c r="C373" s="2695"/>
      <c r="D373" s="2695"/>
      <c r="E373" s="2692"/>
      <c r="F373" s="2696">
        <f>'Part III-B-Other Items'!F59</f>
        <v>0</v>
      </c>
      <c r="G373" s="2694"/>
      <c r="H373" s="2692"/>
    </row>
    <row r="374" spans="1:8">
      <c r="A374" s="2695"/>
      <c r="B374" s="2695"/>
      <c r="C374" s="2695"/>
      <c r="D374" s="2695"/>
      <c r="E374" s="2694"/>
      <c r="F374" s="2696"/>
      <c r="G374" s="2694"/>
      <c r="H374" s="2692"/>
    </row>
    <row r="375" spans="1:8">
      <c r="A375" s="2694"/>
      <c r="B375" s="2694"/>
      <c r="C375" s="2694"/>
      <c r="D375" s="2694"/>
      <c r="E375" s="2694"/>
      <c r="F375" s="2696"/>
      <c r="G375" s="2694"/>
      <c r="H375" s="2692"/>
    </row>
    <row r="376" spans="1:8">
      <c r="A376" s="2697" t="s">
        <v>3123</v>
      </c>
      <c r="B376" s="2698">
        <f>'Part III-A-Uses of Funds'!$G$113</f>
        <v>0</v>
      </c>
      <c r="C376" s="2702"/>
      <c r="D376" s="2702"/>
      <c r="E376" s="2694"/>
      <c r="F376" s="2696"/>
      <c r="G376" s="2694"/>
      <c r="H376" s="2692"/>
    </row>
    <row r="377" spans="1:8">
      <c r="A377" s="2691"/>
      <c r="B377" s="2691"/>
      <c r="C377" s="2691"/>
      <c r="D377" s="2691"/>
      <c r="E377" s="2691"/>
      <c r="F377" s="2696"/>
      <c r="G377" s="2700"/>
      <c r="H377" s="2692"/>
    </row>
    <row r="378" spans="1:8">
      <c r="A378" s="2693" t="s">
        <v>5135</v>
      </c>
      <c r="B378" s="2694"/>
      <c r="C378" s="2694"/>
      <c r="D378" s="2694"/>
      <c r="E378" s="2694"/>
      <c r="F378" s="2694"/>
      <c r="G378" s="2694"/>
      <c r="H378" s="2692"/>
    </row>
    <row r="379" spans="1:8" ht="13.5" customHeight="1">
      <c r="A379" s="2695" t="str">
        <f>'Part III-A-Uses of Funds'!$C$119</f>
        <v>&lt;&lt; Enter description here; provide detail &amp; justification in tab Part III-b &gt;&gt;</v>
      </c>
      <c r="B379" s="2695"/>
      <c r="C379" s="2695"/>
      <c r="D379" s="2695"/>
      <c r="E379" s="2692"/>
      <c r="F379" s="2696">
        <f>'Part III-B-Other Items'!F65</f>
        <v>0</v>
      </c>
      <c r="G379" s="2694"/>
      <c r="H379" s="2692"/>
    </row>
    <row r="380" spans="1:8">
      <c r="A380" s="2695"/>
      <c r="B380" s="2695"/>
      <c r="C380" s="2695"/>
      <c r="D380" s="2695"/>
      <c r="E380" s="2694"/>
      <c r="F380" s="2696"/>
      <c r="G380" s="2694"/>
      <c r="H380" s="2692"/>
    </row>
    <row r="381" spans="1:8">
      <c r="A381" s="2694"/>
      <c r="B381" s="2694"/>
      <c r="C381" s="2694"/>
      <c r="D381" s="2694"/>
      <c r="E381" s="2694"/>
      <c r="F381" s="2696"/>
      <c r="G381" s="2694"/>
      <c r="H381" s="2692"/>
    </row>
    <row r="382" spans="1:8">
      <c r="A382" s="2697" t="s">
        <v>3123</v>
      </c>
      <c r="B382" s="2698">
        <f>'Part III-A-Uses of Funds'!$G$119</f>
        <v>0</v>
      </c>
      <c r="C382" s="2702"/>
      <c r="D382" s="2702"/>
      <c r="E382" s="2694"/>
      <c r="F382" s="2696"/>
      <c r="G382" s="2694"/>
      <c r="H382" s="2692"/>
    </row>
    <row r="383" spans="1:8">
      <c r="A383" s="2694"/>
      <c r="B383" s="2699"/>
      <c r="C383" s="2694"/>
      <c r="D383" s="2694"/>
      <c r="E383" s="2694"/>
      <c r="F383" s="2696"/>
      <c r="G383" s="2700"/>
      <c r="H383" s="2692"/>
    </row>
    <row r="384" spans="1:8">
      <c r="A384" s="2693" t="s">
        <v>1229</v>
      </c>
      <c r="B384" s="2694"/>
      <c r="C384" s="2694"/>
      <c r="D384" s="2694"/>
      <c r="E384" s="2694"/>
      <c r="F384" s="2694"/>
      <c r="G384" s="2694"/>
      <c r="H384" s="2692"/>
    </row>
    <row r="385" spans="1:13" ht="13.5" customHeight="1">
      <c r="A385" s="2695" t="str">
        <f>'Part III-A-Uses of Funds'!$C$135</f>
        <v>&lt;&lt; Enter description here; provide detail &amp; justification in tab Part III-b &gt;&gt;</v>
      </c>
      <c r="B385" s="2695"/>
      <c r="C385" s="2695"/>
      <c r="D385" s="2695"/>
      <c r="E385" s="2692"/>
      <c r="F385" s="2696">
        <f>'Part III-B-Other Items'!F71</f>
        <v>0</v>
      </c>
      <c r="G385" s="2694"/>
      <c r="H385" s="2696">
        <f>'Part III-B-Other Items'!H71</f>
        <v>0</v>
      </c>
    </row>
    <row r="386" spans="1:13" ht="12.75" customHeight="1">
      <c r="A386" s="2695"/>
      <c r="B386" s="2695"/>
      <c r="C386" s="2695"/>
      <c r="D386" s="2695"/>
      <c r="E386" s="2694"/>
      <c r="F386" s="2696"/>
      <c r="G386" s="2694"/>
      <c r="H386" s="2696"/>
    </row>
    <row r="387" spans="1:13">
      <c r="A387" s="2694"/>
      <c r="B387" s="2694"/>
      <c r="C387" s="2694"/>
      <c r="D387" s="2694"/>
      <c r="E387" s="2694"/>
      <c r="F387" s="2696"/>
      <c r="G387" s="2694"/>
      <c r="H387" s="2696"/>
    </row>
    <row r="388" spans="1:13">
      <c r="A388" s="2697" t="s">
        <v>3123</v>
      </c>
      <c r="B388" s="2698">
        <f>'Part III-A-Uses of Funds'!$G$135</f>
        <v>0</v>
      </c>
      <c r="C388" s="2697" t="s">
        <v>1660</v>
      </c>
      <c r="D388" s="2698">
        <f>'Part III-A-Uses of Funds'!$J$135+'Part III-A-Uses of Funds'!$M$135+'Part III-A-Uses of Funds'!$P$135</f>
        <v>0</v>
      </c>
      <c r="E388" s="2694"/>
      <c r="F388" s="2696"/>
      <c r="G388" s="2694"/>
      <c r="H388" s="2696"/>
    </row>
    <row r="389" spans="1:13">
      <c r="A389" s="2694"/>
      <c r="B389" s="2699"/>
      <c r="C389" s="2694"/>
      <c r="D389" s="2694"/>
      <c r="E389" s="2694"/>
      <c r="F389" s="2696"/>
      <c r="G389" s="2700"/>
      <c r="H389" s="2696"/>
    </row>
    <row r="390" spans="1:13">
      <c r="A390" s="2693" t="s">
        <v>5136</v>
      </c>
      <c r="B390" s="2699"/>
      <c r="C390" s="2694"/>
      <c r="D390" s="2694"/>
      <c r="E390" s="2694"/>
      <c r="F390" s="2694"/>
      <c r="G390" s="2700"/>
      <c r="H390" s="2692"/>
    </row>
    <row r="391" spans="1:13" ht="13.5" customHeight="1">
      <c r="A391" s="2695" t="str">
        <f>'Part III-A-Uses of Funds'!$C$144</f>
        <v>&lt;&lt; Enter description here; provide detail &amp; justification in tab Part III-b &gt;&gt;</v>
      </c>
      <c r="B391" s="2695"/>
      <c r="C391" s="2695"/>
      <c r="D391" s="2695"/>
      <c r="E391" s="2692"/>
      <c r="F391" s="2696">
        <f>'Part III-B-Other Items'!F77</f>
        <v>0</v>
      </c>
      <c r="G391" s="2694"/>
      <c r="H391" s="2696">
        <f>'Part III-B-Other Items'!H77</f>
        <v>0</v>
      </c>
    </row>
    <row r="392" spans="1:13" ht="12.75" customHeight="1">
      <c r="A392" s="2695"/>
      <c r="B392" s="2695"/>
      <c r="C392" s="2695"/>
      <c r="D392" s="2695"/>
      <c r="E392" s="2694"/>
      <c r="F392" s="2696"/>
      <c r="G392" s="2694"/>
      <c r="H392" s="2696"/>
    </row>
    <row r="393" spans="1:13">
      <c r="A393" s="2694"/>
      <c r="B393" s="2694"/>
      <c r="C393" s="2694"/>
      <c r="D393" s="2694"/>
      <c r="E393" s="2694"/>
      <c r="F393" s="2696"/>
      <c r="G393" s="2694"/>
      <c r="H393" s="2696"/>
    </row>
    <row r="394" spans="1:13">
      <c r="A394" s="2697" t="s">
        <v>3123</v>
      </c>
      <c r="B394" s="2698">
        <f>'Part III-A-Uses of Funds'!$G$144</f>
        <v>0</v>
      </c>
      <c r="C394" s="2697" t="s">
        <v>1660</v>
      </c>
      <c r="D394" s="2698">
        <f>'Part III-A-Uses of Funds'!$J$144+'Part III-A-Uses of Funds'!$M$144+'Part III-A-Uses of Funds'!$P$144</f>
        <v>0</v>
      </c>
      <c r="E394" s="2694"/>
      <c r="F394" s="2696"/>
      <c r="G394" s="2694"/>
      <c r="H394" s="2696"/>
    </row>
    <row r="395" spans="1:13">
      <c r="A395" s="2692"/>
      <c r="B395" s="2692"/>
      <c r="C395" s="2692"/>
      <c r="D395" s="2694"/>
      <c r="E395" s="2698"/>
      <c r="F395" s="2696"/>
      <c r="G395" s="2700"/>
      <c r="H395" s="2696"/>
    </row>
    <row r="400" spans="1:13">
      <c r="A400" s="1639" t="str">
        <f>CONCATENATE("PART FOUR - UTILITY ALLOWANCES","  -  ",'Part I-Project Identification'!$O$7," ",'Part I-Project Identification'!$F$26,", ",'Part I-Project Identification'!F426,", ",'Part I-Project Identification'!J426," County")</f>
        <v>PART FOUR - UTILITY ALLOWANCES  -  2025-0 Retreat at Madison Place, ,  County</v>
      </c>
      <c r="B400" s="1639"/>
      <c r="C400" s="1639"/>
      <c r="D400" s="1639"/>
      <c r="E400" s="1639"/>
      <c r="F400" s="1639"/>
      <c r="G400" s="1639"/>
      <c r="H400" s="1639"/>
      <c r="I400" s="1639"/>
      <c r="J400" s="1639"/>
      <c r="K400" s="1639"/>
      <c r="L400" s="1639"/>
      <c r="M400" s="1639"/>
    </row>
    <row r="402" spans="1:13">
      <c r="B402" s="2703" t="str">
        <f>'Part I-Project Identification'!$A$6</f>
        <v>May 31, 2025</v>
      </c>
      <c r="C402" s="2703"/>
      <c r="D402" s="2703"/>
      <c r="E402" s="2703"/>
      <c r="F402" s="1639" t="s">
        <v>4618</v>
      </c>
      <c r="I402" s="1639" t="str">
        <f>'Part IV-Utility Allowances'!I3</f>
        <v>North</v>
      </c>
      <c r="J402" s="1639"/>
    </row>
    <row r="404" spans="1:13">
      <c r="A404" s="2704" t="s">
        <v>5137</v>
      </c>
    </row>
    <row r="406" spans="1:13">
      <c r="A406" s="360" t="s">
        <v>572</v>
      </c>
      <c r="B406" s="360" t="s">
        <v>2053</v>
      </c>
      <c r="F406" s="358" t="s">
        <v>2310</v>
      </c>
      <c r="G406" s="358"/>
      <c r="H406" s="358"/>
      <c r="I406" s="358" t="str">
        <f>'Part IV-Utility Allowances'!I7</f>
        <v>Housing Authority of Dekalb County</v>
      </c>
      <c r="J406" s="358"/>
      <c r="K406" s="358"/>
      <c r="L406" s="358"/>
      <c r="M406" s="358"/>
    </row>
    <row r="407" spans="1:13">
      <c r="A407" s="360"/>
      <c r="F407" s="358" t="s">
        <v>592</v>
      </c>
      <c r="G407" s="358"/>
      <c r="H407" s="358"/>
      <c r="I407" s="2705">
        <f>'Part IV-Utility Allowances'!I8</f>
        <v>45658</v>
      </c>
      <c r="J407" s="2705"/>
      <c r="K407" s="1784" t="s">
        <v>504</v>
      </c>
      <c r="L407" s="358" t="str">
        <f>'Part IV-Utility Allowances'!L8</f>
        <v>Low-Rise Elevator</v>
      </c>
      <c r="M407" s="358"/>
    </row>
    <row r="408" spans="1:13">
      <c r="A408" s="360"/>
    </row>
    <row r="409" spans="1:13">
      <c r="A409" s="360"/>
      <c r="B409" s="360"/>
      <c r="C409" s="360"/>
      <c r="D409" s="360"/>
      <c r="E409" s="360"/>
      <c r="F409" s="360" t="s">
        <v>566</v>
      </c>
      <c r="G409" s="360"/>
      <c r="H409" s="360"/>
      <c r="I409" s="360" t="s">
        <v>193</v>
      </c>
      <c r="J409" s="360"/>
      <c r="K409" s="360"/>
      <c r="L409" s="360"/>
      <c r="M409" s="360"/>
    </row>
    <row r="410" spans="1:13">
      <c r="A410" s="360"/>
      <c r="B410" s="360" t="s">
        <v>741</v>
      </c>
      <c r="C410" s="360"/>
      <c r="D410" s="360" t="s">
        <v>1492</v>
      </c>
      <c r="E410" s="360"/>
      <c r="F410" s="2470" t="s">
        <v>595</v>
      </c>
      <c r="G410" s="2470" t="s">
        <v>1708</v>
      </c>
      <c r="H410" s="360"/>
      <c r="I410" s="2470" t="s">
        <v>525</v>
      </c>
      <c r="J410" s="2470">
        <v>1</v>
      </c>
      <c r="K410" s="2470">
        <v>2</v>
      </c>
      <c r="L410" s="2470">
        <v>3</v>
      </c>
      <c r="M410" s="2470">
        <v>4</v>
      </c>
    </row>
    <row r="411" spans="1:13">
      <c r="B411" s="358" t="s">
        <v>1710</v>
      </c>
      <c r="C411" s="358"/>
      <c r="D411" s="358" t="str">
        <f>'Part IV-Utility Allowances'!D12</f>
        <v>Electric</v>
      </c>
      <c r="E411" s="358"/>
      <c r="F411" s="2706" t="str">
        <f>'Part IV-Utility Allowances'!F12</f>
        <v>X</v>
      </c>
      <c r="G411" s="2706">
        <f>'Part IV-Utility Allowances'!G12</f>
        <v>0</v>
      </c>
      <c r="I411" s="1784">
        <f>'Part IV-Utility Allowances'!I12</f>
        <v>0</v>
      </c>
      <c r="J411" s="1784">
        <f>'Part IV-Utility Allowances'!J12</f>
        <v>11</v>
      </c>
      <c r="K411" s="1784">
        <f>'Part IV-Utility Allowances'!K12</f>
        <v>14</v>
      </c>
      <c r="L411" s="1784">
        <f>'Part IV-Utility Allowances'!L12</f>
        <v>0</v>
      </c>
      <c r="M411" s="1784">
        <f>'Part IV-Utility Allowances'!M12</f>
        <v>0</v>
      </c>
    </row>
    <row r="412" spans="1:13">
      <c r="B412" s="358" t="s">
        <v>1490</v>
      </c>
      <c r="C412" s="358"/>
      <c r="D412" s="358" t="str">
        <f>'Part IV-Utility Allowances'!D13</f>
        <v>Electric</v>
      </c>
      <c r="E412" s="358"/>
      <c r="F412" s="2706" t="str">
        <f>'Part IV-Utility Allowances'!F13</f>
        <v>X</v>
      </c>
      <c r="G412" s="2706">
        <f>'Part IV-Utility Allowances'!G13</f>
        <v>0</v>
      </c>
      <c r="I412" s="1784">
        <f>'Part IV-Utility Allowances'!I13</f>
        <v>0</v>
      </c>
      <c r="J412" s="1784">
        <f>'Part IV-Utility Allowances'!J13</f>
        <v>4</v>
      </c>
      <c r="K412" s="1784">
        <f>'Part IV-Utility Allowances'!K13</f>
        <v>6</v>
      </c>
      <c r="L412" s="1784">
        <f>'Part IV-Utility Allowances'!L13</f>
        <v>0</v>
      </c>
      <c r="M412" s="1784">
        <f>'Part IV-Utility Allowances'!M13</f>
        <v>0</v>
      </c>
    </row>
    <row r="413" spans="1:13">
      <c r="B413" s="358" t="s">
        <v>1491</v>
      </c>
      <c r="C413" s="358"/>
      <c r="D413" s="358" t="str">
        <f>'Part IV-Utility Allowances'!D14</f>
        <v>Electric</v>
      </c>
      <c r="E413" s="358"/>
      <c r="F413" s="2706" t="str">
        <f>'Part IV-Utility Allowances'!F14</f>
        <v>X</v>
      </c>
      <c r="G413" s="2706">
        <f>'Part IV-Utility Allowances'!G14</f>
        <v>0</v>
      </c>
      <c r="I413" s="1784">
        <f>'Part IV-Utility Allowances'!I14</f>
        <v>0</v>
      </c>
      <c r="J413" s="1784">
        <f>'Part IV-Utility Allowances'!J14</f>
        <v>10</v>
      </c>
      <c r="K413" s="1784">
        <f>'Part IV-Utility Allowances'!K14</f>
        <v>13</v>
      </c>
      <c r="L413" s="1784">
        <f>'Part IV-Utility Allowances'!L14</f>
        <v>0</v>
      </c>
      <c r="M413" s="1784">
        <f>'Part IV-Utility Allowances'!M14</f>
        <v>0</v>
      </c>
    </row>
    <row r="414" spans="1:13">
      <c r="B414" s="358" t="s">
        <v>439</v>
      </c>
      <c r="C414" s="358"/>
      <c r="D414" s="358" t="s">
        <v>1489</v>
      </c>
      <c r="F414" s="2706" t="str">
        <f>'Part IV-Utility Allowances'!F15</f>
        <v>X</v>
      </c>
      <c r="G414" s="2706">
        <f>'Part IV-Utility Allowances'!G15</f>
        <v>0</v>
      </c>
      <c r="I414" s="1784">
        <f>'Part IV-Utility Allowances'!I15</f>
        <v>0</v>
      </c>
      <c r="J414" s="1784">
        <f>'Part IV-Utility Allowances'!J15</f>
        <v>7</v>
      </c>
      <c r="K414" s="1784">
        <f>'Part IV-Utility Allowances'!K15</f>
        <v>10</v>
      </c>
      <c r="L414" s="1784">
        <f>'Part IV-Utility Allowances'!L15</f>
        <v>0</v>
      </c>
      <c r="M414" s="1784">
        <f>'Part IV-Utility Allowances'!M15</f>
        <v>0</v>
      </c>
    </row>
    <row r="415" spans="1:13">
      <c r="B415" s="358" t="s">
        <v>3184</v>
      </c>
      <c r="C415" s="358"/>
      <c r="D415" s="358" t="s">
        <v>1489</v>
      </c>
      <c r="F415" s="2706">
        <f>'Part IV-Utility Allowances'!F16</f>
        <v>0</v>
      </c>
      <c r="G415" s="2706">
        <f>'Part IV-Utility Allowances'!G16</f>
        <v>0</v>
      </c>
      <c r="I415" s="1784">
        <f>'Part IV-Utility Allowances'!I16</f>
        <v>0</v>
      </c>
      <c r="J415" s="1784">
        <f>'Part IV-Utility Allowances'!J16</f>
        <v>0</v>
      </c>
      <c r="K415" s="1784">
        <f>'Part IV-Utility Allowances'!K16</f>
        <v>0</v>
      </c>
      <c r="L415" s="1784">
        <f>'Part IV-Utility Allowances'!L16</f>
        <v>0</v>
      </c>
      <c r="M415" s="1784">
        <f>'Part IV-Utility Allowances'!M16</f>
        <v>0</v>
      </c>
    </row>
    <row r="416" spans="1:13">
      <c r="B416" s="358" t="s">
        <v>3185</v>
      </c>
      <c r="C416" s="358"/>
      <c r="D416" s="358" t="s">
        <v>1489</v>
      </c>
      <c r="F416" s="2706">
        <f>'Part IV-Utility Allowances'!F17</f>
        <v>0</v>
      </c>
      <c r="G416" s="2706">
        <f>'Part IV-Utility Allowances'!G17</f>
        <v>0</v>
      </c>
      <c r="I416" s="1784">
        <f>'Part IV-Utility Allowances'!I17</f>
        <v>0</v>
      </c>
      <c r="J416" s="1784">
        <f>'Part IV-Utility Allowances'!J17</f>
        <v>0</v>
      </c>
      <c r="K416" s="1784">
        <f>'Part IV-Utility Allowances'!K17</f>
        <v>0</v>
      </c>
      <c r="L416" s="1784">
        <f>'Part IV-Utility Allowances'!L17</f>
        <v>0</v>
      </c>
      <c r="M416" s="1784">
        <f>'Part IV-Utility Allowances'!M17</f>
        <v>0</v>
      </c>
    </row>
    <row r="417" spans="1:13">
      <c r="B417" s="358" t="s">
        <v>3186</v>
      </c>
      <c r="C417" s="358"/>
      <c r="D417" s="358" t="s">
        <v>1489</v>
      </c>
      <c r="F417" s="2706" t="str">
        <f>'Part IV-Utility Allowances'!F18</f>
        <v>X</v>
      </c>
      <c r="G417" s="2706">
        <f>'Part IV-Utility Allowances'!G18</f>
        <v>0</v>
      </c>
      <c r="I417" s="1784">
        <f>'Part IV-Utility Allowances'!I18</f>
        <v>0</v>
      </c>
      <c r="J417" s="1784">
        <f>'Part IV-Utility Allowances'!J18</f>
        <v>16</v>
      </c>
      <c r="K417" s="1784">
        <f>'Part IV-Utility Allowances'!K18</f>
        <v>23</v>
      </c>
      <c r="L417" s="1784">
        <f>'Part IV-Utility Allowances'!L18</f>
        <v>0</v>
      </c>
      <c r="M417" s="1784">
        <f>'Part IV-Utility Allowances'!M18</f>
        <v>0</v>
      </c>
    </row>
    <row r="418" spans="1:13">
      <c r="B418" s="358" t="s">
        <v>1290</v>
      </c>
      <c r="C418" s="358"/>
      <c r="D418" s="358" t="s">
        <v>5111</v>
      </c>
      <c r="E418" s="1784" t="str">
        <f>'Part IV-Utility Allowances'!E19</f>
        <v>No</v>
      </c>
      <c r="F418" s="2706">
        <f>'Part IV-Utility Allowances'!F19</f>
        <v>0</v>
      </c>
      <c r="G418" s="2706">
        <f>'Part IV-Utility Allowances'!G19</f>
        <v>0</v>
      </c>
      <c r="I418" s="1784">
        <f>'Part IV-Utility Allowances'!I19</f>
        <v>0</v>
      </c>
      <c r="J418" s="1784">
        <f>'Part IV-Utility Allowances'!J19</f>
        <v>0</v>
      </c>
      <c r="K418" s="1784">
        <f>'Part IV-Utility Allowances'!K19</f>
        <v>0</v>
      </c>
      <c r="L418" s="1784">
        <f>'Part IV-Utility Allowances'!L19</f>
        <v>0</v>
      </c>
      <c r="M418" s="1784">
        <f>'Part IV-Utility Allowances'!M19</f>
        <v>0</v>
      </c>
    </row>
    <row r="419" spans="1:13">
      <c r="B419" s="358" t="s">
        <v>1709</v>
      </c>
      <c r="C419" s="358"/>
      <c r="F419" s="2706">
        <f>'Part IV-Utility Allowances'!F20</f>
        <v>0</v>
      </c>
      <c r="G419" s="2706">
        <f>'Part IV-Utility Allowances'!G20</f>
        <v>0</v>
      </c>
      <c r="I419" s="1784">
        <f>'Part IV-Utility Allowances'!I20</f>
        <v>0</v>
      </c>
      <c r="J419" s="1784">
        <f>'Part IV-Utility Allowances'!J20</f>
        <v>0</v>
      </c>
      <c r="K419" s="1784">
        <f>'Part IV-Utility Allowances'!K20</f>
        <v>0</v>
      </c>
      <c r="L419" s="1784">
        <f>'Part IV-Utility Allowances'!L20</f>
        <v>0</v>
      </c>
      <c r="M419" s="1784">
        <f>'Part IV-Utility Allowances'!M20</f>
        <v>0</v>
      </c>
    </row>
    <row r="420" spans="1:13">
      <c r="B420" s="358" t="s">
        <v>5104</v>
      </c>
    </row>
    <row r="421" spans="1:13">
      <c r="B421" s="2707" t="s">
        <v>5105</v>
      </c>
      <c r="C421" s="358"/>
      <c r="D421" s="358" t="s">
        <v>145</v>
      </c>
      <c r="F421" s="2706">
        <f>'Part IV-Utility Allowances'!F22</f>
        <v>0</v>
      </c>
      <c r="G421" s="2706">
        <f>'Part IV-Utility Allowances'!G22</f>
        <v>0</v>
      </c>
      <c r="I421" s="1784">
        <f>'Part IV-Utility Allowances'!I22</f>
        <v>0</v>
      </c>
      <c r="J421" s="1784">
        <f>'Part IV-Utility Allowances'!J22</f>
        <v>0</v>
      </c>
      <c r="K421" s="1784">
        <f>'Part IV-Utility Allowances'!K22</f>
        <v>0</v>
      </c>
      <c r="L421" s="1784">
        <f>'Part IV-Utility Allowances'!L22</f>
        <v>0</v>
      </c>
      <c r="M421" s="1784">
        <f>'Part IV-Utility Allowances'!M22</f>
        <v>0</v>
      </c>
    </row>
    <row r="422" spans="1:13">
      <c r="B422" s="2707" t="s">
        <v>5103</v>
      </c>
      <c r="C422" s="358"/>
      <c r="D422" s="358" t="s">
        <v>1489</v>
      </c>
      <c r="F422" s="2706">
        <f>'Part IV-Utility Allowances'!F23</f>
        <v>0</v>
      </c>
      <c r="G422" s="2706">
        <f>'Part IV-Utility Allowances'!G23</f>
        <v>0</v>
      </c>
      <c r="I422" s="1784">
        <f>'Part IV-Utility Allowances'!I23</f>
        <v>0</v>
      </c>
      <c r="J422" s="1784">
        <f>'Part IV-Utility Allowances'!J23</f>
        <v>0</v>
      </c>
      <c r="K422" s="1784">
        <f>'Part IV-Utility Allowances'!K23</f>
        <v>0</v>
      </c>
      <c r="L422" s="1784">
        <f>'Part IV-Utility Allowances'!L23</f>
        <v>0</v>
      </c>
      <c r="M422" s="1784">
        <f>'Part IV-Utility Allowances'!M23</f>
        <v>0</v>
      </c>
    </row>
    <row r="423" spans="1:13">
      <c r="B423" s="358" t="s">
        <v>689</v>
      </c>
      <c r="C423" s="361" t="str">
        <f>'Part IV-Utility Allowances'!C24</f>
        <v>Electric Charge</v>
      </c>
      <c r="D423" s="361"/>
      <c r="E423" s="361"/>
      <c r="F423" s="2706">
        <f>'Part IV-Utility Allowances'!F24</f>
        <v>0</v>
      </c>
      <c r="G423" s="2706">
        <f>'Part IV-Utility Allowances'!G24</f>
        <v>0</v>
      </c>
      <c r="I423" s="1784">
        <f>'Part IV-Utility Allowances'!I24</f>
        <v>0</v>
      </c>
      <c r="J423" s="1784">
        <f>'Part IV-Utility Allowances'!J24</f>
        <v>20</v>
      </c>
      <c r="K423" s="1784">
        <f>'Part IV-Utility Allowances'!K24</f>
        <v>20</v>
      </c>
      <c r="L423" s="1784">
        <f>'Part IV-Utility Allowances'!L24</f>
        <v>0</v>
      </c>
      <c r="M423" s="1784">
        <f>'Part IV-Utility Allowances'!M24</f>
        <v>0</v>
      </c>
    </row>
    <row r="424" spans="1:13">
      <c r="B424" s="360" t="s">
        <v>955</v>
      </c>
      <c r="F424" s="1640"/>
      <c r="G424" s="1640"/>
      <c r="I424" s="2706">
        <f>IF(SUM(I411:I423)=0,0,IF(OR($D411="&lt;&lt;Select Fuel &gt;&gt;",$D412="&lt;&lt;Select Fuel &gt;&gt;",$D413="&lt;&lt;Select Fuel &gt;&gt;"),"Select Fuel",IF($E418="&lt;Select&gt;","Submeter?",SUM(I411:I423))))</f>
        <v>0</v>
      </c>
      <c r="J424" s="2706">
        <f>IF(SUM(J411:J423)=0,0,IF(OR($D411="&lt;&lt;Select Fuel &gt;&gt;",$D412="&lt;&lt;Select Fuel &gt;&gt;",$D413="&lt;&lt;Select Fuel &gt;&gt;"),"Select Fuel",IF($E418="&lt;Select&gt;","Submeter?",SUM(J411:J423))))</f>
        <v>68</v>
      </c>
      <c r="K424" s="2706">
        <f>IF(SUM(K411:K423)=0,0,IF(OR($D411="&lt;&lt;Select Fuel &gt;&gt;",$D412="&lt;&lt;Select Fuel &gt;&gt;",$D413="&lt;&lt;Select Fuel &gt;&gt;"),"Select Fuel",IF($E418="&lt;Select&gt;","Submeter?",SUM(K411:K423))))</f>
        <v>86</v>
      </c>
      <c r="L424" s="2706">
        <f>IF(SUM(L411:L423)=0,0,IF(OR($D411="&lt;&lt;Select Fuel &gt;&gt;",$D412="&lt;&lt;Select Fuel &gt;&gt;",$D413="&lt;&lt;Select Fuel &gt;&gt;"),"Select Fuel",IF($E418="&lt;Select&gt;","Submeter?",SUM(L411:L423))))</f>
        <v>0</v>
      </c>
      <c r="M424" s="2706">
        <f>IF(SUM(M411:M423)=0,0,IF(OR($D411="&lt;&lt;Select Fuel &gt;&gt;",$D412="&lt;&lt;Select Fuel &gt;&gt;",$D413="&lt;&lt;Select Fuel &gt;&gt;"),"Select Fuel",IF($E418="&lt;Select&gt;","Submeter?",SUM(M411:M423))))</f>
        <v>0</v>
      </c>
    </row>
    <row r="426" spans="1:13">
      <c r="A426" s="360" t="s">
        <v>688</v>
      </c>
      <c r="B426" s="360" t="s">
        <v>2054</v>
      </c>
      <c r="F426" s="358" t="s">
        <v>2310</v>
      </c>
      <c r="G426" s="358"/>
      <c r="H426" s="358"/>
      <c r="I426" s="358" t="str">
        <f>'Part IV-Utility Allowances'!I27</f>
        <v>Housing Authority of Dekalb County</v>
      </c>
      <c r="J426" s="358"/>
      <c r="K426" s="358"/>
      <c r="L426" s="358"/>
      <c r="M426" s="358"/>
    </row>
    <row r="427" spans="1:13">
      <c r="A427" s="360"/>
      <c r="B427" s="360"/>
      <c r="F427" s="358" t="s">
        <v>592</v>
      </c>
      <c r="G427" s="358"/>
      <c r="H427" s="358"/>
      <c r="I427" s="2705">
        <f>'Part IV-Utility Allowances'!I28</f>
        <v>0</v>
      </c>
      <c r="J427" s="2705"/>
      <c r="K427" s="1784" t="s">
        <v>504</v>
      </c>
      <c r="L427" s="358" t="str">
        <f>'Part IV-Utility Allowances'!L28</f>
        <v>Low-Rise Elevator</v>
      </c>
      <c r="M427" s="358"/>
    </row>
    <row r="428" spans="1:13">
      <c r="A428" s="360"/>
    </row>
    <row r="429" spans="1:13">
      <c r="A429" s="360"/>
      <c r="B429" s="360"/>
      <c r="C429" s="360"/>
      <c r="D429" s="360"/>
      <c r="E429" s="360"/>
      <c r="F429" s="360" t="s">
        <v>566</v>
      </c>
      <c r="G429" s="360"/>
      <c r="H429" s="360"/>
      <c r="I429" s="360" t="s">
        <v>193</v>
      </c>
      <c r="J429" s="360"/>
      <c r="K429" s="360"/>
      <c r="L429" s="360"/>
      <c r="M429" s="360"/>
    </row>
    <row r="430" spans="1:13">
      <c r="A430" s="360"/>
      <c r="B430" s="360" t="s">
        <v>741</v>
      </c>
      <c r="C430" s="360"/>
      <c r="D430" s="360" t="s">
        <v>1492</v>
      </c>
      <c r="E430" s="360"/>
      <c r="F430" s="2470" t="s">
        <v>595</v>
      </c>
      <c r="G430" s="2470" t="s">
        <v>1708</v>
      </c>
      <c r="H430" s="360"/>
      <c r="I430" s="2470" t="s">
        <v>525</v>
      </c>
      <c r="J430" s="2470">
        <v>1</v>
      </c>
      <c r="K430" s="2470">
        <v>2</v>
      </c>
      <c r="L430" s="2470">
        <v>3</v>
      </c>
      <c r="M430" s="2470">
        <v>4</v>
      </c>
    </row>
    <row r="431" spans="1:13">
      <c r="B431" s="358" t="s">
        <v>1710</v>
      </c>
      <c r="C431" s="358"/>
      <c r="D431" s="358" t="str">
        <f>'Part IV-Utility Allowances'!D32</f>
        <v>Electric</v>
      </c>
      <c r="E431" s="358"/>
      <c r="F431" s="2706">
        <f>'Part IV-Utility Allowances'!F32</f>
        <v>0</v>
      </c>
      <c r="G431" s="2706">
        <f>'Part IV-Utility Allowances'!G32</f>
        <v>0</v>
      </c>
      <c r="I431" s="1784">
        <f>'Part IV-Utility Allowances'!I32</f>
        <v>0</v>
      </c>
      <c r="J431" s="1784">
        <f>'Part IV-Utility Allowances'!J32</f>
        <v>0</v>
      </c>
      <c r="K431" s="1784">
        <f>'Part IV-Utility Allowances'!K32</f>
        <v>0</v>
      </c>
      <c r="L431" s="1784">
        <f>'Part IV-Utility Allowances'!L32</f>
        <v>0</v>
      </c>
      <c r="M431" s="1784">
        <f>'Part IV-Utility Allowances'!M32</f>
        <v>0</v>
      </c>
    </row>
    <row r="432" spans="1:13">
      <c r="B432" s="358" t="s">
        <v>1490</v>
      </c>
      <c r="C432" s="358"/>
      <c r="D432" s="358" t="str">
        <f>'Part IV-Utility Allowances'!D33</f>
        <v>Electric</v>
      </c>
      <c r="E432" s="358"/>
      <c r="F432" s="2706">
        <f>'Part IV-Utility Allowances'!F33</f>
        <v>0</v>
      </c>
      <c r="G432" s="2706">
        <f>'Part IV-Utility Allowances'!G33</f>
        <v>0</v>
      </c>
      <c r="I432" s="1784">
        <f>'Part IV-Utility Allowances'!I33</f>
        <v>0</v>
      </c>
      <c r="J432" s="1784">
        <f>'Part IV-Utility Allowances'!J33</f>
        <v>0</v>
      </c>
      <c r="K432" s="1784">
        <f>'Part IV-Utility Allowances'!K33</f>
        <v>0</v>
      </c>
      <c r="L432" s="1784">
        <f>'Part IV-Utility Allowances'!L33</f>
        <v>0</v>
      </c>
      <c r="M432" s="1784">
        <f>'Part IV-Utility Allowances'!M33</f>
        <v>0</v>
      </c>
    </row>
    <row r="433" spans="1:13">
      <c r="B433" s="358" t="s">
        <v>1491</v>
      </c>
      <c r="C433" s="358"/>
      <c r="D433" s="358" t="str">
        <f>'Part IV-Utility Allowances'!D34</f>
        <v>Electric</v>
      </c>
      <c r="E433" s="358"/>
      <c r="F433" s="2706">
        <f>'Part IV-Utility Allowances'!F34</f>
        <v>0</v>
      </c>
      <c r="G433" s="2706">
        <f>'Part IV-Utility Allowances'!G34</f>
        <v>0</v>
      </c>
      <c r="I433" s="1784">
        <f>'Part IV-Utility Allowances'!I34</f>
        <v>0</v>
      </c>
      <c r="J433" s="1784">
        <f>'Part IV-Utility Allowances'!J34</f>
        <v>0</v>
      </c>
      <c r="K433" s="1784">
        <f>'Part IV-Utility Allowances'!K34</f>
        <v>0</v>
      </c>
      <c r="L433" s="1784">
        <f>'Part IV-Utility Allowances'!L34</f>
        <v>0</v>
      </c>
      <c r="M433" s="1784">
        <f>'Part IV-Utility Allowances'!M34</f>
        <v>0</v>
      </c>
    </row>
    <row r="434" spans="1:13">
      <c r="B434" s="358" t="s">
        <v>439</v>
      </c>
      <c r="C434" s="358"/>
      <c r="D434" s="358" t="s">
        <v>1489</v>
      </c>
      <c r="F434" s="2706">
        <f>'Part IV-Utility Allowances'!F35</f>
        <v>0</v>
      </c>
      <c r="G434" s="2706">
        <f>'Part IV-Utility Allowances'!G35</f>
        <v>0</v>
      </c>
      <c r="I434" s="1784">
        <f>'Part IV-Utility Allowances'!I35</f>
        <v>0</v>
      </c>
      <c r="J434" s="1784">
        <f>'Part IV-Utility Allowances'!J35</f>
        <v>0</v>
      </c>
      <c r="K434" s="1784">
        <f>'Part IV-Utility Allowances'!K35</f>
        <v>0</v>
      </c>
      <c r="L434" s="1784">
        <f>'Part IV-Utility Allowances'!L35</f>
        <v>0</v>
      </c>
      <c r="M434" s="1784">
        <f>'Part IV-Utility Allowances'!M35</f>
        <v>0</v>
      </c>
    </row>
    <row r="435" spans="1:13">
      <c r="B435" s="358" t="s">
        <v>3184</v>
      </c>
      <c r="C435" s="358"/>
      <c r="D435" s="358" t="s">
        <v>1489</v>
      </c>
      <c r="F435" s="2706">
        <f>'Part IV-Utility Allowances'!F36</f>
        <v>0</v>
      </c>
      <c r="G435" s="2706">
        <f>'Part IV-Utility Allowances'!G36</f>
        <v>0</v>
      </c>
      <c r="I435" s="1784">
        <f>'Part IV-Utility Allowances'!I36</f>
        <v>0</v>
      </c>
      <c r="J435" s="1784">
        <f>'Part IV-Utility Allowances'!J36</f>
        <v>0</v>
      </c>
      <c r="K435" s="1784">
        <f>'Part IV-Utility Allowances'!K36</f>
        <v>0</v>
      </c>
      <c r="L435" s="1784">
        <f>'Part IV-Utility Allowances'!L36</f>
        <v>0</v>
      </c>
      <c r="M435" s="1784">
        <f>'Part IV-Utility Allowances'!M36</f>
        <v>0</v>
      </c>
    </row>
    <row r="436" spans="1:13">
      <c r="B436" s="358" t="s">
        <v>3185</v>
      </c>
      <c r="C436" s="358"/>
      <c r="D436" s="358" t="s">
        <v>1489</v>
      </c>
      <c r="F436" s="2706">
        <f>'Part IV-Utility Allowances'!F37</f>
        <v>0</v>
      </c>
      <c r="G436" s="2706">
        <f>'Part IV-Utility Allowances'!G37</f>
        <v>0</v>
      </c>
      <c r="I436" s="1784">
        <f>'Part IV-Utility Allowances'!I37</f>
        <v>0</v>
      </c>
      <c r="J436" s="1784">
        <f>'Part IV-Utility Allowances'!J37</f>
        <v>0</v>
      </c>
      <c r="K436" s="1784">
        <f>'Part IV-Utility Allowances'!K37</f>
        <v>0</v>
      </c>
      <c r="L436" s="1784">
        <f>'Part IV-Utility Allowances'!L37</f>
        <v>0</v>
      </c>
      <c r="M436" s="1784">
        <f>'Part IV-Utility Allowances'!M37</f>
        <v>0</v>
      </c>
    </row>
    <row r="437" spans="1:13">
      <c r="B437" s="358" t="s">
        <v>3186</v>
      </c>
      <c r="C437" s="358"/>
      <c r="D437" s="358" t="s">
        <v>1489</v>
      </c>
      <c r="F437" s="2706">
        <f>'Part IV-Utility Allowances'!F38</f>
        <v>0</v>
      </c>
      <c r="G437" s="2706">
        <f>'Part IV-Utility Allowances'!G38</f>
        <v>0</v>
      </c>
      <c r="I437" s="1784">
        <f>'Part IV-Utility Allowances'!I38</f>
        <v>0</v>
      </c>
      <c r="J437" s="1784">
        <f>'Part IV-Utility Allowances'!J38</f>
        <v>0</v>
      </c>
      <c r="K437" s="1784">
        <f>'Part IV-Utility Allowances'!K38</f>
        <v>0</v>
      </c>
      <c r="L437" s="1784">
        <f>'Part IV-Utility Allowances'!L38</f>
        <v>0</v>
      </c>
      <c r="M437" s="1784">
        <f>'Part IV-Utility Allowances'!M38</f>
        <v>0</v>
      </c>
    </row>
    <row r="438" spans="1:13">
      <c r="B438" s="358" t="s">
        <v>1290</v>
      </c>
      <c r="C438" s="358"/>
      <c r="D438" s="358" t="s">
        <v>5111</v>
      </c>
      <c r="E438" s="1784" t="str">
        <f>'Part IV-Utility Allowances'!E39</f>
        <v>No</v>
      </c>
      <c r="F438" s="2706">
        <f>'Part IV-Utility Allowances'!F39</f>
        <v>0</v>
      </c>
      <c r="G438" s="2706">
        <f>'Part IV-Utility Allowances'!G39</f>
        <v>0</v>
      </c>
      <c r="I438" s="1784">
        <f>'Part IV-Utility Allowances'!I39</f>
        <v>0</v>
      </c>
      <c r="J438" s="1784">
        <f>'Part IV-Utility Allowances'!J39</f>
        <v>0</v>
      </c>
      <c r="K438" s="1784">
        <f>'Part IV-Utility Allowances'!K39</f>
        <v>0</v>
      </c>
      <c r="L438" s="1784">
        <f>'Part IV-Utility Allowances'!L39</f>
        <v>0</v>
      </c>
      <c r="M438" s="1784">
        <f>'Part IV-Utility Allowances'!M39</f>
        <v>0</v>
      </c>
    </row>
    <row r="439" spans="1:13">
      <c r="B439" s="358" t="s">
        <v>1709</v>
      </c>
      <c r="C439" s="358"/>
      <c r="F439" s="2706">
        <f>'Part IV-Utility Allowances'!F40</f>
        <v>0</v>
      </c>
      <c r="G439" s="2706">
        <f>'Part IV-Utility Allowances'!G40</f>
        <v>0</v>
      </c>
      <c r="I439" s="1784">
        <f>'Part IV-Utility Allowances'!I40</f>
        <v>0</v>
      </c>
      <c r="J439" s="1784">
        <f>'Part IV-Utility Allowances'!J40</f>
        <v>0</v>
      </c>
      <c r="K439" s="1784">
        <f>'Part IV-Utility Allowances'!K40</f>
        <v>0</v>
      </c>
      <c r="L439" s="1784">
        <f>'Part IV-Utility Allowances'!L40</f>
        <v>0</v>
      </c>
      <c r="M439" s="1784">
        <f>'Part IV-Utility Allowances'!M40</f>
        <v>0</v>
      </c>
    </row>
    <row r="440" spans="1:13">
      <c r="B440" s="358" t="s">
        <v>5104</v>
      </c>
    </row>
    <row r="441" spans="1:13">
      <c r="B441" s="2707" t="s">
        <v>5102</v>
      </c>
      <c r="C441" s="358"/>
      <c r="D441" s="358" t="s">
        <v>145</v>
      </c>
      <c r="F441" s="2706">
        <f>'Part IV-Utility Allowances'!F42</f>
        <v>0</v>
      </c>
      <c r="G441" s="2706">
        <f>'Part IV-Utility Allowances'!G42</f>
        <v>0</v>
      </c>
      <c r="I441" s="1784">
        <f>'Part IV-Utility Allowances'!I42</f>
        <v>0</v>
      </c>
      <c r="J441" s="1784">
        <f>'Part IV-Utility Allowances'!J42</f>
        <v>0</v>
      </c>
      <c r="K441" s="1784">
        <f>'Part IV-Utility Allowances'!K42</f>
        <v>0</v>
      </c>
      <c r="L441" s="1784">
        <f>'Part IV-Utility Allowances'!L42</f>
        <v>0</v>
      </c>
      <c r="M441" s="1784">
        <f>'Part IV-Utility Allowances'!M42</f>
        <v>0</v>
      </c>
    </row>
    <row r="442" spans="1:13">
      <c r="B442" s="2707" t="s">
        <v>5103</v>
      </c>
      <c r="C442" s="358"/>
      <c r="D442" s="358" t="s">
        <v>1489</v>
      </c>
      <c r="F442" s="2706">
        <f>'Part IV-Utility Allowances'!F43</f>
        <v>0</v>
      </c>
      <c r="G442" s="2706">
        <f>'Part IV-Utility Allowances'!G43</f>
        <v>0</v>
      </c>
      <c r="I442" s="1784">
        <f>'Part IV-Utility Allowances'!I43</f>
        <v>0</v>
      </c>
      <c r="J442" s="1784">
        <f>'Part IV-Utility Allowances'!J43</f>
        <v>0</v>
      </c>
      <c r="K442" s="1784">
        <f>'Part IV-Utility Allowances'!K43</f>
        <v>0</v>
      </c>
      <c r="L442" s="1784">
        <f>'Part IV-Utility Allowances'!L43</f>
        <v>0</v>
      </c>
      <c r="M442" s="1784">
        <f>'Part IV-Utility Allowances'!M43</f>
        <v>0</v>
      </c>
    </row>
    <row r="443" spans="1:13">
      <c r="B443" s="358" t="s">
        <v>689</v>
      </c>
      <c r="C443" s="361" t="str">
        <f>'Part IV-Utility Allowances'!C44</f>
        <v>Electric Charge</v>
      </c>
      <c r="D443" s="361"/>
      <c r="E443" s="361"/>
      <c r="F443" s="2706">
        <f>'Part IV-Utility Allowances'!F44</f>
        <v>0</v>
      </c>
      <c r="G443" s="2706">
        <f>'Part IV-Utility Allowances'!G44</f>
        <v>0</v>
      </c>
      <c r="I443" s="1784">
        <f>'Part IV-Utility Allowances'!I44</f>
        <v>0</v>
      </c>
      <c r="J443" s="1784">
        <f>'Part IV-Utility Allowances'!J44</f>
        <v>0</v>
      </c>
      <c r="K443" s="1784">
        <f>'Part IV-Utility Allowances'!K44</f>
        <v>0</v>
      </c>
      <c r="L443" s="1784">
        <f>'Part IV-Utility Allowances'!L44</f>
        <v>0</v>
      </c>
      <c r="M443" s="1784">
        <f>'Part IV-Utility Allowances'!M44</f>
        <v>0</v>
      </c>
    </row>
    <row r="444" spans="1:13">
      <c r="B444" s="360" t="s">
        <v>955</v>
      </c>
      <c r="F444" s="1640"/>
      <c r="G444" s="1640"/>
      <c r="I444" s="2706">
        <f>IF(SUM(I431:I443)=0,0,IF(OR($D431="&lt;&lt;Select Fuel &gt;&gt;",$D433="&lt;&lt;Select Fuel &gt;&gt;",$D434="&lt;&lt;Select Fuel &gt;&gt;"),"Select Fuel",IF($E438="&lt;Select&gt;","Submeter?",SUM(I431:I443))))</f>
        <v>0</v>
      </c>
      <c r="J444" s="2706">
        <f>IF(SUM(J431:J443)=0,0,IF(OR($D431="&lt;&lt;Select Fuel &gt;&gt;",$D433="&lt;&lt;Select Fuel &gt;&gt;",$D434="&lt;&lt;Select Fuel &gt;&gt;"),"Select Fuel",IF($E438="&lt;Select&gt;","Submeter?",SUM(J431:J443))))</f>
        <v>0</v>
      </c>
      <c r="K444" s="2706">
        <f>IF(SUM(K431:K443)=0,0,IF(OR($D431="&lt;&lt;Select Fuel &gt;&gt;",$D433="&lt;&lt;Select Fuel &gt;&gt;",$D434="&lt;&lt;Select Fuel &gt;&gt;"),"Select Fuel",IF($E438="&lt;Select&gt;","Submeter?",SUM(K431:K443))))</f>
        <v>0</v>
      </c>
      <c r="L444" s="2706">
        <f>IF(SUM(L431:L443)=0,0,IF(OR($D431="&lt;&lt;Select Fuel &gt;&gt;",$D433="&lt;&lt;Select Fuel &gt;&gt;",$D434="&lt;&lt;Select Fuel &gt;&gt;"),"Select Fuel",IF($E438="&lt;Select&gt;","Submeter?",SUM(L431:L443))))</f>
        <v>0</v>
      </c>
      <c r="M444" s="2706">
        <f>IF(SUM(M431:M443)=0,0,IF(OR($D431="&lt;&lt;Select Fuel &gt;&gt;",$D433="&lt;&lt;Select Fuel &gt;&gt;",$D434="&lt;&lt;Select Fuel &gt;&gt;"),"Select Fuel",IF($E438="&lt;Select&gt;","Submeter?",SUM(M431:M443))))</f>
        <v>0</v>
      </c>
    </row>
    <row r="446" spans="1:13">
      <c r="B446" s="790" t="s">
        <v>5112</v>
      </c>
      <c r="F446" s="1640"/>
      <c r="G446" s="1640"/>
      <c r="I446" s="2470"/>
      <c r="J446" s="2470"/>
      <c r="K446" s="2470"/>
      <c r="L446" s="2470"/>
      <c r="M446" s="2470"/>
    </row>
    <row r="447" spans="1:13">
      <c r="A447" s="360"/>
      <c r="B447" s="360" t="s">
        <v>529</v>
      </c>
    </row>
    <row r="448" spans="1:13">
      <c r="B448" s="2596">
        <f>'Part IV-Utility Allowances'!B49</f>
        <v>0</v>
      </c>
      <c r="C448" s="2596"/>
      <c r="D448" s="2596"/>
      <c r="E448" s="2596"/>
      <c r="F448" s="2596"/>
      <c r="G448" s="2596"/>
      <c r="H448" s="2596"/>
      <c r="I448" s="2596"/>
      <c r="J448" s="2596"/>
      <c r="K448" s="2596"/>
      <c r="L448" s="2596"/>
      <c r="M448" s="2596"/>
    </row>
    <row r="450" spans="1:416">
      <c r="A450" s="360"/>
      <c r="B450" s="360" t="s">
        <v>1705</v>
      </c>
    </row>
    <row r="451" spans="1:416">
      <c r="B451" s="2596"/>
      <c r="C451" s="2596"/>
      <c r="D451" s="2596"/>
      <c r="E451" s="2596"/>
      <c r="F451" s="2596"/>
      <c r="G451" s="2596"/>
      <c r="H451" s="2596"/>
      <c r="I451" s="2596"/>
      <c r="J451" s="2596"/>
      <c r="K451" s="2596"/>
      <c r="L451" s="2596"/>
      <c r="M451" s="2596"/>
    </row>
    <row r="455" spans="1:416" s="358" customFormat="1" ht="14.1" customHeight="1">
      <c r="A455" s="1639" t="str">
        <f>CONCATENATE("PART FOUR - PROJECTED REVENUES &amp; EXPENSES","  -  ",'Part I-Project Identification'!$O$7," ",'Part I-Project Identification'!$F$26,", ",'Part I-Project Identification'!F480,", ",'Part I-Project Identification'!J480," County")</f>
        <v>PART FOUR - PROJECTED REVENUES &amp; EXPENSES  -  2025-0 Retreat at Madison Place, ,  County</v>
      </c>
      <c r="B455" s="1639"/>
      <c r="C455" s="1639"/>
      <c r="D455" s="1639"/>
      <c r="E455" s="1639"/>
      <c r="F455" s="1639"/>
      <c r="G455" s="1639"/>
      <c r="H455" s="1639"/>
      <c r="I455" s="1639"/>
      <c r="J455" s="1639"/>
      <c r="K455" s="1639"/>
      <c r="L455" s="1639"/>
      <c r="M455" s="1639"/>
      <c r="N455" s="1639"/>
      <c r="O455" s="1639"/>
      <c r="P455" s="1639"/>
      <c r="Q455" s="1639"/>
      <c r="T455" s="1639" t="str">
        <f>A455</f>
        <v>PART FOUR - PROJECTED REVENUES &amp; EXPENSES  -  2025-0 Retreat at Madison Place, ,  County</v>
      </c>
      <c r="U455" s="1639"/>
      <c r="V455" s="1639"/>
      <c r="W455" s="1639"/>
      <c r="JG455" s="1784"/>
      <c r="JH455" s="1784"/>
      <c r="JI455" s="1784"/>
      <c r="JJ455" s="1784"/>
      <c r="JK455" s="1784"/>
      <c r="JL455" s="1784"/>
      <c r="JM455" s="1784"/>
      <c r="JN455" s="1784"/>
      <c r="JO455" s="1784"/>
      <c r="JP455" s="1784"/>
      <c r="JQ455" s="1784"/>
      <c r="JR455" s="1784"/>
      <c r="JS455" s="1784"/>
      <c r="JT455" s="1784"/>
      <c r="JU455" s="1784"/>
      <c r="JV455" s="1784"/>
      <c r="JW455" s="1784"/>
      <c r="JX455" s="1784"/>
      <c r="JY455" s="1784"/>
      <c r="JZ455" s="1784"/>
      <c r="KA455" s="1784"/>
      <c r="KB455" s="1784"/>
      <c r="KC455" s="1784"/>
      <c r="KD455" s="1784"/>
      <c r="KE455" s="1784"/>
      <c r="KF455" s="1784"/>
      <c r="KG455" s="1784"/>
      <c r="KH455" s="1784"/>
      <c r="KI455" s="1784"/>
      <c r="KJ455" s="1784"/>
      <c r="KK455" s="1784"/>
      <c r="KL455" s="1784"/>
      <c r="KM455" s="1784"/>
      <c r="KN455" s="1784"/>
      <c r="KO455" s="1784"/>
      <c r="KP455" s="1784"/>
      <c r="KQ455" s="1784"/>
      <c r="KR455" s="1784"/>
      <c r="KS455" s="1784"/>
      <c r="KT455" s="1784"/>
      <c r="KU455" s="1784"/>
      <c r="KV455" s="1784"/>
      <c r="KW455" s="1784"/>
      <c r="KX455" s="1784"/>
      <c r="KY455" s="1784"/>
      <c r="KZ455" s="1784"/>
      <c r="LA455" s="1784"/>
      <c r="LB455" s="1784"/>
      <c r="LC455" s="1784"/>
      <c r="LD455" s="1784"/>
      <c r="LE455" s="1784"/>
      <c r="LF455" s="1784"/>
      <c r="LG455" s="1784"/>
      <c r="LH455" s="1784"/>
      <c r="LI455" s="1784"/>
      <c r="LJ455" s="1784"/>
      <c r="LK455" s="1784"/>
      <c r="LL455" s="1784"/>
      <c r="LM455" s="1784"/>
      <c r="LN455" s="1784"/>
      <c r="LO455" s="1784"/>
      <c r="LP455" s="1784"/>
      <c r="LQ455" s="1784"/>
      <c r="LR455" s="1784"/>
      <c r="LS455" s="1784"/>
      <c r="LT455" s="1784"/>
      <c r="LU455" s="1784"/>
      <c r="LX455" s="1639"/>
      <c r="MC455" s="1639"/>
      <c r="MH455" s="1639"/>
      <c r="MM455" s="1639"/>
      <c r="OZ455" s="1784">
        <v>2</v>
      </c>
    </row>
    <row r="456" spans="1:416" ht="4.5" customHeight="1">
      <c r="X456" s="359"/>
      <c r="Y456" s="359"/>
      <c r="Z456" s="359"/>
      <c r="AA456" s="359"/>
      <c r="AB456" s="359"/>
      <c r="AC456" s="359"/>
      <c r="AD456" s="359"/>
      <c r="AE456" s="359"/>
      <c r="AF456" s="359"/>
      <c r="AG456" s="359"/>
      <c r="AH456" s="359"/>
      <c r="AI456" s="359"/>
      <c r="AJ456" s="359"/>
      <c r="AK456" s="359"/>
      <c r="AL456" s="359"/>
      <c r="AM456" s="359"/>
      <c r="AN456" s="359"/>
      <c r="AO456" s="359"/>
      <c r="AP456" s="359"/>
      <c r="AQ456" s="359"/>
      <c r="AR456" s="359"/>
      <c r="AS456" s="359"/>
      <c r="AT456" s="359"/>
      <c r="AU456" s="359"/>
      <c r="AV456" s="359"/>
      <c r="AW456" s="359"/>
      <c r="AX456" s="359"/>
      <c r="AY456" s="359"/>
      <c r="AZ456" s="359"/>
      <c r="BA456" s="359"/>
      <c r="BB456" s="359"/>
      <c r="BC456" s="359"/>
      <c r="BD456" s="359"/>
      <c r="BE456" s="359"/>
      <c r="BF456" s="359"/>
      <c r="BG456" s="359"/>
      <c r="BH456" s="359"/>
      <c r="BI456" s="359"/>
      <c r="BJ456" s="359"/>
      <c r="BK456" s="359"/>
      <c r="BL456" s="359"/>
      <c r="BM456" s="359"/>
      <c r="BN456" s="359"/>
      <c r="BO456" s="359"/>
      <c r="BP456" s="359"/>
      <c r="BQ456" s="359"/>
      <c r="BR456" s="359"/>
      <c r="BS456" s="359"/>
      <c r="BT456" s="359"/>
      <c r="BU456" s="359"/>
      <c r="BV456" s="359"/>
      <c r="BW456" s="359"/>
      <c r="BX456" s="359"/>
      <c r="BY456" s="359"/>
      <c r="BZ456" s="359"/>
      <c r="CA456" s="359"/>
      <c r="CB456" s="359"/>
      <c r="CC456" s="359"/>
      <c r="CD456" s="359"/>
      <c r="CE456" s="359"/>
      <c r="CF456" s="359"/>
      <c r="CG456" s="359"/>
      <c r="CH456" s="359"/>
      <c r="CI456" s="359"/>
      <c r="CJ456" s="359"/>
      <c r="CK456" s="359"/>
      <c r="CL456" s="359"/>
      <c r="CM456" s="359"/>
      <c r="CN456" s="359"/>
      <c r="CO456" s="359"/>
      <c r="CP456" s="359"/>
      <c r="CQ456" s="359"/>
      <c r="CR456" s="359"/>
      <c r="CS456" s="359"/>
      <c r="CT456" s="359"/>
      <c r="CU456" s="359"/>
      <c r="CV456" s="359"/>
      <c r="CW456" s="359"/>
      <c r="CX456" s="359"/>
      <c r="CY456" s="359"/>
      <c r="CZ456" s="359"/>
      <c r="DA456" s="359"/>
      <c r="DB456" s="359"/>
      <c r="DC456" s="359"/>
      <c r="DD456" s="359"/>
      <c r="DE456" s="359"/>
      <c r="DF456" s="359"/>
      <c r="DG456" s="359"/>
      <c r="DH456" s="359"/>
      <c r="DI456" s="359"/>
      <c r="DJ456" s="359"/>
      <c r="DK456" s="359"/>
      <c r="DL456" s="359"/>
      <c r="DM456" s="359"/>
      <c r="DN456" s="359"/>
      <c r="DO456" s="359"/>
      <c r="DP456" s="359"/>
      <c r="DQ456" s="359"/>
      <c r="DR456" s="359"/>
      <c r="DS456" s="359"/>
      <c r="DT456" s="359"/>
      <c r="DU456" s="359"/>
      <c r="DV456" s="359"/>
      <c r="DW456" s="359"/>
      <c r="DX456" s="359"/>
      <c r="DY456" s="359"/>
      <c r="DZ456" s="359"/>
      <c r="EA456" s="359"/>
      <c r="EB456" s="359"/>
      <c r="EC456" s="359"/>
      <c r="ED456" s="359"/>
      <c r="EE456" s="359"/>
      <c r="EF456" s="359"/>
      <c r="EG456" s="359"/>
      <c r="EH456" s="359"/>
      <c r="EI456" s="359"/>
      <c r="EJ456" s="359"/>
      <c r="EK456" s="359"/>
      <c r="EL456" s="359"/>
      <c r="EM456" s="359"/>
      <c r="EN456" s="359"/>
      <c r="EO456" s="359"/>
      <c r="EP456" s="359"/>
      <c r="EQ456" s="359"/>
      <c r="ER456" s="359"/>
      <c r="ES456" s="359"/>
      <c r="ET456" s="359"/>
      <c r="EU456" s="359"/>
      <c r="EV456" s="359"/>
      <c r="EW456" s="359"/>
      <c r="EX456" s="359"/>
      <c r="EY456" s="359"/>
      <c r="EZ456" s="359"/>
      <c r="FA456" s="359"/>
      <c r="FB456" s="359"/>
      <c r="FC456" s="359"/>
      <c r="FD456" s="359"/>
      <c r="FE456" s="359"/>
      <c r="FF456" s="359"/>
      <c r="FG456" s="359"/>
      <c r="FH456" s="359"/>
      <c r="FI456" s="359"/>
      <c r="FJ456" s="359"/>
      <c r="FK456" s="359"/>
      <c r="FL456" s="359"/>
      <c r="FM456" s="359"/>
      <c r="FN456" s="359"/>
      <c r="FO456" s="359"/>
      <c r="FP456" s="359"/>
      <c r="FQ456" s="359"/>
      <c r="FR456" s="359"/>
      <c r="FS456" s="359"/>
      <c r="FT456" s="359"/>
      <c r="FU456" s="359"/>
      <c r="FV456" s="359"/>
      <c r="FW456" s="359"/>
      <c r="FX456" s="359"/>
      <c r="FY456" s="359"/>
      <c r="FZ456" s="359"/>
      <c r="GA456" s="359"/>
      <c r="GB456" s="359"/>
      <c r="GC456" s="359"/>
      <c r="GD456" s="359"/>
      <c r="GE456" s="359"/>
      <c r="GF456" s="359"/>
      <c r="GG456" s="359"/>
      <c r="GH456" s="359"/>
      <c r="GI456" s="359"/>
      <c r="GJ456" s="359"/>
      <c r="GK456" s="359"/>
      <c r="GL456" s="359"/>
      <c r="GM456" s="359"/>
      <c r="GN456" s="359"/>
      <c r="GO456" s="359"/>
      <c r="GP456" s="359"/>
      <c r="GQ456" s="359"/>
      <c r="GR456" s="359"/>
      <c r="GS456" s="359"/>
      <c r="GT456" s="359"/>
      <c r="GU456" s="359"/>
      <c r="GV456" s="359"/>
      <c r="GW456" s="359"/>
      <c r="GX456" s="359"/>
      <c r="GY456" s="359"/>
      <c r="GZ456" s="359"/>
      <c r="HA456" s="359"/>
      <c r="HB456" s="359"/>
      <c r="HC456" s="359"/>
      <c r="HD456" s="359"/>
      <c r="HE456" s="359"/>
      <c r="HF456" s="359"/>
      <c r="HG456" s="359"/>
      <c r="HH456" s="359"/>
      <c r="HI456" s="359"/>
      <c r="HJ456" s="359"/>
      <c r="HK456" s="359"/>
      <c r="HL456" s="359"/>
      <c r="HM456" s="359"/>
      <c r="HN456" s="359"/>
      <c r="HO456" s="359"/>
      <c r="HP456" s="359"/>
      <c r="HQ456" s="359"/>
      <c r="HR456" s="359"/>
      <c r="HS456" s="359"/>
      <c r="HT456" s="359"/>
      <c r="HU456" s="359"/>
      <c r="HV456" s="359"/>
      <c r="HW456" s="359"/>
      <c r="HX456" s="359"/>
      <c r="HY456" s="359"/>
      <c r="HZ456" s="359"/>
      <c r="IA456" s="359"/>
      <c r="IB456" s="359"/>
      <c r="IC456" s="359"/>
      <c r="ID456" s="359"/>
      <c r="IE456" s="359"/>
      <c r="IF456" s="359"/>
      <c r="IG456" s="359"/>
      <c r="IH456" s="359"/>
      <c r="II456" s="359"/>
      <c r="IJ456" s="359"/>
      <c r="IK456" s="359"/>
      <c r="IL456" s="359"/>
      <c r="IM456" s="359"/>
      <c r="IN456" s="359"/>
      <c r="IO456" s="359"/>
      <c r="IP456" s="359"/>
      <c r="IQ456" s="359"/>
      <c r="IR456" s="359"/>
      <c r="IS456" s="359"/>
      <c r="IT456" s="359"/>
      <c r="IU456" s="359"/>
      <c r="IV456" s="359"/>
      <c r="IW456" s="359"/>
      <c r="IX456" s="359"/>
      <c r="IY456" s="359"/>
      <c r="IZ456" s="359"/>
      <c r="JA456" s="359"/>
      <c r="JB456" s="359"/>
      <c r="JC456" s="359"/>
      <c r="JD456" s="359"/>
      <c r="JE456" s="359"/>
      <c r="JF456" s="359"/>
      <c r="JG456" s="359"/>
      <c r="JH456" s="359"/>
      <c r="JI456" s="2468"/>
      <c r="JJ456" s="2468"/>
      <c r="JK456" s="2468"/>
      <c r="JL456" s="2468"/>
      <c r="JM456" s="2468"/>
      <c r="JN456" s="2468"/>
      <c r="JO456" s="2468"/>
      <c r="JP456" s="2468"/>
      <c r="JQ456" s="2468"/>
      <c r="JR456" s="2468"/>
      <c r="JS456" s="2468"/>
      <c r="JT456" s="2468"/>
      <c r="JU456" s="2468"/>
      <c r="JV456" s="2468"/>
      <c r="JW456" s="2468"/>
      <c r="JX456" s="2468"/>
      <c r="JY456" s="2468"/>
      <c r="JZ456" s="2468"/>
      <c r="KA456" s="2468"/>
      <c r="KB456" s="2468"/>
      <c r="KC456" s="2468"/>
      <c r="KD456" s="2468"/>
      <c r="KE456" s="2468"/>
      <c r="KF456" s="2468"/>
      <c r="KG456" s="2468"/>
      <c r="KH456" s="2468"/>
      <c r="KI456" s="2468"/>
      <c r="KJ456" s="2468"/>
      <c r="KK456" s="2468"/>
      <c r="KL456" s="2468"/>
      <c r="KM456" s="2468"/>
      <c r="KN456" s="2468"/>
      <c r="KO456" s="2468"/>
      <c r="KP456" s="2468"/>
      <c r="KQ456" s="2468"/>
      <c r="KR456" s="2468"/>
      <c r="KS456" s="2468"/>
      <c r="KT456" s="2468"/>
      <c r="KU456" s="2468"/>
      <c r="KV456" s="2468"/>
      <c r="KW456" s="2468"/>
      <c r="KX456" s="2468"/>
      <c r="KY456" s="2468"/>
      <c r="KZ456" s="2468"/>
      <c r="LA456" s="2468"/>
      <c r="LB456" s="2468"/>
      <c r="LC456" s="2468"/>
      <c r="LD456" s="2468"/>
      <c r="LE456" s="2468"/>
      <c r="LF456" s="2468"/>
      <c r="LG456" s="2468"/>
      <c r="LH456" s="2468"/>
      <c r="LI456" s="2468"/>
      <c r="LJ456" s="2468"/>
      <c r="LK456" s="2468"/>
      <c r="LL456" s="2468"/>
      <c r="LM456" s="2468"/>
      <c r="LN456" s="2468"/>
      <c r="LO456" s="2468"/>
      <c r="LP456" s="2468"/>
      <c r="LQ456" s="2468"/>
      <c r="LR456" s="2468"/>
      <c r="LS456" s="2468"/>
      <c r="LT456" s="2468"/>
      <c r="LU456" s="2468"/>
      <c r="LV456" s="359"/>
      <c r="LW456" s="359"/>
      <c r="LX456" s="359"/>
      <c r="LY456" s="359"/>
      <c r="LZ456" s="359"/>
      <c r="MA456" s="359"/>
      <c r="MB456" s="359"/>
      <c r="MC456" s="359"/>
      <c r="MD456" s="359"/>
      <c r="ME456" s="359"/>
      <c r="MF456" s="359"/>
      <c r="MG456" s="359"/>
      <c r="MH456" s="359"/>
      <c r="MI456" s="359"/>
      <c r="MJ456" s="359"/>
      <c r="MK456" s="359"/>
      <c r="ML456" s="359"/>
      <c r="MM456" s="359"/>
      <c r="MN456" s="359"/>
      <c r="MO456" s="359"/>
      <c r="MU456" s="359"/>
      <c r="MV456" s="359"/>
      <c r="MW456" s="359"/>
      <c r="MX456" s="359"/>
      <c r="MY456" s="359"/>
      <c r="MZ456" s="359"/>
      <c r="NA456" s="359"/>
      <c r="NB456" s="359"/>
      <c r="NC456" s="359"/>
      <c r="ND456" s="359"/>
      <c r="NE456" s="359"/>
      <c r="NF456" s="359"/>
      <c r="NG456" s="359"/>
      <c r="NH456" s="359"/>
      <c r="NI456" s="359"/>
      <c r="NJ456" s="359"/>
      <c r="NK456" s="359"/>
      <c r="NL456" s="359"/>
      <c r="NM456" s="359"/>
      <c r="NN456" s="359"/>
      <c r="OZ456" s="1640">
        <v>3</v>
      </c>
    </row>
    <row r="457" spans="1:416" s="358" customFormat="1" ht="12.6" customHeight="1">
      <c r="A457" s="1639" t="s">
        <v>572</v>
      </c>
      <c r="B457" s="1639" t="s">
        <v>2176</v>
      </c>
      <c r="D457" s="2558" t="s">
        <v>3989</v>
      </c>
      <c r="E457" s="2558"/>
      <c r="F457" s="2558"/>
      <c r="G457" s="2558"/>
      <c r="H457" s="2558"/>
      <c r="I457" s="2558"/>
      <c r="J457" s="2558"/>
      <c r="K457" s="1639"/>
      <c r="L457" s="1639"/>
      <c r="M457" s="1639"/>
      <c r="O457" s="2708" t="s">
        <v>533</v>
      </c>
      <c r="P457" s="2709" t="str">
        <f>'Part I-Project Identification'!$O$29</f>
        <v>Atlanta-Sandy Springs-Marietta</v>
      </c>
      <c r="Q457" s="2709"/>
      <c r="T457" s="1639" t="str">
        <f>B457</f>
        <v>RENT SCHEDULE</v>
      </c>
      <c r="U457" s="1639"/>
      <c r="X457" s="1409"/>
      <c r="Y457" s="1409"/>
      <c r="Z457" s="1409"/>
      <c r="AA457" s="1409"/>
      <c r="AB457" s="1409"/>
      <c r="AC457" s="1409"/>
      <c r="AD457" s="1409"/>
      <c r="AE457" s="1409"/>
      <c r="AF457" s="1409"/>
      <c r="AG457" s="1409"/>
      <c r="AH457" s="1409"/>
      <c r="AI457" s="1409"/>
      <c r="AJ457" s="1409"/>
      <c r="AK457" s="1409"/>
      <c r="AL457" s="1409"/>
      <c r="AM457" s="1409"/>
      <c r="AN457" s="1409"/>
      <c r="AO457" s="1409"/>
      <c r="AP457" s="1409"/>
      <c r="AQ457" s="1409"/>
      <c r="AR457" s="1409"/>
      <c r="AS457" s="1409"/>
      <c r="AT457" s="1409"/>
      <c r="AU457" s="1409"/>
      <c r="AV457" s="1409"/>
      <c r="AW457" s="1409"/>
      <c r="AX457" s="1409"/>
      <c r="AY457" s="1409"/>
      <c r="AZ457" s="1409"/>
      <c r="BA457" s="1409"/>
      <c r="BB457" s="1409"/>
      <c r="BC457" s="1409"/>
      <c r="BD457" s="1409"/>
      <c r="BE457" s="1409"/>
      <c r="BF457" s="1409"/>
      <c r="BG457" s="1409"/>
      <c r="BH457" s="1409"/>
      <c r="BI457" s="1409"/>
      <c r="BJ457" s="1409"/>
      <c r="BK457" s="1409"/>
      <c r="BL457" s="1409"/>
      <c r="BM457" s="1409"/>
      <c r="BN457" s="1409"/>
      <c r="BO457" s="1409"/>
      <c r="BP457" s="1409"/>
      <c r="BQ457" s="1409"/>
      <c r="BR457" s="1409"/>
      <c r="BS457" s="1409"/>
      <c r="BT457" s="1409"/>
      <c r="BU457" s="1409"/>
      <c r="BV457" s="1409"/>
      <c r="BW457" s="1409"/>
      <c r="BX457" s="1409"/>
      <c r="BY457" s="1409"/>
      <c r="BZ457" s="1409"/>
      <c r="CA457" s="1409"/>
      <c r="CB457" s="1409"/>
      <c r="CC457" s="1409"/>
      <c r="CD457" s="1409"/>
      <c r="CE457" s="1409"/>
      <c r="CF457" s="1409"/>
      <c r="CG457" s="1409"/>
      <c r="CH457" s="1409"/>
      <c r="CI457" s="1409"/>
      <c r="CJ457" s="1409"/>
      <c r="CK457" s="1409"/>
      <c r="CL457" s="1409"/>
      <c r="CM457" s="1409"/>
      <c r="CN457" s="1409"/>
      <c r="CO457" s="1409"/>
      <c r="CP457" s="1409"/>
      <c r="CQ457" s="1409"/>
      <c r="CR457" s="1409"/>
      <c r="CS457" s="1409"/>
      <c r="CT457" s="1409"/>
      <c r="CU457" s="1409"/>
      <c r="CV457" s="1409"/>
      <c r="CW457" s="1409"/>
      <c r="CX457" s="1409"/>
      <c r="CY457" s="1409"/>
      <c r="CZ457" s="1409"/>
      <c r="DA457" s="1409"/>
      <c r="DB457" s="1409"/>
      <c r="DC457" s="1409"/>
      <c r="DD457" s="1409"/>
      <c r="DE457" s="1409"/>
      <c r="DF457" s="1409"/>
      <c r="DG457" s="1409"/>
      <c r="DH457" s="1409"/>
      <c r="DI457" s="1409"/>
      <c r="DJ457" s="1409"/>
      <c r="DK457" s="1409"/>
      <c r="DL457" s="1409"/>
      <c r="DM457" s="1409"/>
      <c r="DN457" s="1409"/>
      <c r="DO457" s="1409"/>
      <c r="DP457" s="1409"/>
      <c r="DQ457" s="1409"/>
      <c r="DR457" s="1409"/>
      <c r="DS457" s="1409"/>
      <c r="DT457" s="1409"/>
      <c r="DU457" s="1409"/>
      <c r="DV457" s="1409"/>
      <c r="DW457" s="1409"/>
      <c r="DX457" s="1409"/>
      <c r="DY457" s="1409"/>
      <c r="DZ457" s="1409"/>
      <c r="EA457" s="1409"/>
      <c r="EB457" s="1409"/>
      <c r="EC457" s="1409"/>
      <c r="ED457" s="1409"/>
      <c r="EE457" s="1409"/>
      <c r="EF457" s="1409"/>
      <c r="EG457" s="1409"/>
      <c r="EH457" s="1409"/>
      <c r="EI457" s="1409"/>
      <c r="EJ457" s="1409"/>
      <c r="EK457" s="1409"/>
      <c r="EL457" s="1409"/>
      <c r="EM457" s="1409"/>
      <c r="EN457" s="1409"/>
      <c r="EO457" s="1409"/>
      <c r="EP457" s="1409"/>
      <c r="EQ457" s="1409"/>
      <c r="ER457" s="1409"/>
      <c r="ES457" s="1409"/>
      <c r="ET457" s="1409"/>
      <c r="EU457" s="1409"/>
      <c r="EV457" s="1409"/>
      <c r="EW457" s="1409"/>
      <c r="EX457" s="1409"/>
      <c r="EY457" s="1409"/>
      <c r="EZ457" s="1409"/>
      <c r="FA457" s="1409"/>
      <c r="FB457" s="1409"/>
      <c r="FC457" s="1409"/>
      <c r="FD457" s="1409"/>
      <c r="FE457" s="1409"/>
      <c r="FF457" s="1409"/>
      <c r="FG457" s="1409"/>
      <c r="FH457" s="1409"/>
      <c r="FI457" s="1409"/>
      <c r="FJ457" s="1409"/>
      <c r="FK457" s="1409"/>
      <c r="FL457" s="1409"/>
      <c r="FM457" s="1409"/>
      <c r="FN457" s="1409"/>
      <c r="FO457" s="1409"/>
      <c r="FP457" s="1409"/>
      <c r="FQ457" s="1409"/>
      <c r="FR457" s="1409"/>
      <c r="FS457" s="1409"/>
      <c r="FT457" s="1409"/>
      <c r="FU457" s="1409"/>
      <c r="FV457" s="1409"/>
      <c r="FW457" s="1409"/>
      <c r="FX457" s="1409"/>
      <c r="FY457" s="1409"/>
      <c r="FZ457" s="1409"/>
      <c r="GA457" s="1409"/>
      <c r="GB457" s="1409"/>
      <c r="GC457" s="1409"/>
      <c r="GD457" s="1409"/>
      <c r="GE457" s="1409"/>
      <c r="GF457" s="1409"/>
      <c r="GG457" s="1409"/>
      <c r="GH457" s="1409"/>
      <c r="GI457" s="1409"/>
      <c r="GJ457" s="1409"/>
      <c r="GK457" s="1409"/>
      <c r="GL457" s="1409"/>
      <c r="GM457" s="1409"/>
      <c r="GN457" s="1409"/>
      <c r="GO457" s="1409"/>
      <c r="GP457" s="1409"/>
      <c r="GQ457" s="1409"/>
      <c r="GR457" s="1409"/>
      <c r="GS457" s="1409"/>
      <c r="GT457" s="1409"/>
      <c r="GU457" s="1409"/>
      <c r="GV457" s="1409"/>
      <c r="GW457" s="1409"/>
      <c r="GX457" s="1409"/>
      <c r="GY457" s="1409"/>
      <c r="GZ457" s="1409"/>
      <c r="HA457" s="1409"/>
      <c r="HB457" s="1409"/>
      <c r="HC457" s="1409"/>
      <c r="HD457" s="1409"/>
      <c r="HE457" s="1409"/>
      <c r="HF457" s="1409"/>
      <c r="HG457" s="1409"/>
      <c r="HH457" s="1409"/>
      <c r="HI457" s="1409"/>
      <c r="HJ457" s="1409"/>
      <c r="HK457" s="1409"/>
      <c r="HL457" s="1409"/>
      <c r="HM457" s="1409"/>
      <c r="HN457" s="1409"/>
      <c r="HO457" s="1409"/>
      <c r="HP457" s="1409"/>
      <c r="HQ457" s="1409"/>
      <c r="HR457" s="1409"/>
      <c r="HS457" s="1409"/>
      <c r="HT457" s="1409"/>
      <c r="HU457" s="1409"/>
      <c r="HV457" s="1409"/>
      <c r="HW457" s="1409"/>
      <c r="HX457" s="1409"/>
      <c r="HY457" s="1409"/>
      <c r="HZ457" s="1409"/>
      <c r="IA457" s="1409"/>
      <c r="IB457" s="1409"/>
      <c r="IC457" s="1409"/>
      <c r="ID457" s="1409"/>
      <c r="IE457" s="1409"/>
      <c r="IF457" s="1409"/>
      <c r="IG457" s="1409"/>
      <c r="IH457" s="1409"/>
      <c r="II457" s="1409"/>
      <c r="IJ457" s="1409"/>
      <c r="IK457" s="1409"/>
      <c r="IL457" s="1409"/>
      <c r="IM457" s="1409"/>
      <c r="IN457" s="1409"/>
      <c r="IO457" s="1409"/>
      <c r="IP457" s="1409"/>
      <c r="IQ457" s="1409"/>
      <c r="IR457" s="1409"/>
      <c r="IS457" s="1409"/>
      <c r="IT457" s="1409"/>
      <c r="IU457" s="1409"/>
      <c r="IV457" s="1409"/>
      <c r="IW457" s="1409"/>
      <c r="IX457" s="1409"/>
      <c r="IY457" s="1409"/>
      <c r="IZ457" s="1409"/>
      <c r="JA457" s="1409"/>
      <c r="JB457" s="1409"/>
      <c r="JC457" s="1409"/>
      <c r="JD457" s="1409"/>
      <c r="JE457" s="1409"/>
      <c r="JF457" s="1409"/>
      <c r="JG457" s="1409"/>
      <c r="JH457" s="1409"/>
      <c r="JI457" s="2469"/>
      <c r="JJ457" s="2469"/>
      <c r="JK457" s="2469"/>
      <c r="JL457" s="2469"/>
      <c r="JM457" s="2469"/>
      <c r="JN457" s="2468" t="s">
        <v>456</v>
      </c>
      <c r="JO457" s="2468" t="s">
        <v>2238</v>
      </c>
      <c r="JP457" s="2468" t="s">
        <v>2239</v>
      </c>
      <c r="JQ457" s="2468" t="s">
        <v>2240</v>
      </c>
      <c r="JR457" s="2468" t="s">
        <v>2241</v>
      </c>
      <c r="JS457" s="2468" t="s">
        <v>456</v>
      </c>
      <c r="JT457" s="2468" t="s">
        <v>2238</v>
      </c>
      <c r="JU457" s="2468" t="s">
        <v>2239</v>
      </c>
      <c r="JV457" s="2468" t="s">
        <v>2240</v>
      </c>
      <c r="JW457" s="2468" t="s">
        <v>2241</v>
      </c>
      <c r="JX457" s="2469"/>
      <c r="JY457" s="2469"/>
      <c r="JZ457" s="2469"/>
      <c r="KA457" s="2469"/>
      <c r="KB457" s="2469"/>
      <c r="KC457" s="2469"/>
      <c r="KD457" s="2469"/>
      <c r="KE457" s="2469"/>
      <c r="KF457" s="2469"/>
      <c r="KG457" s="2469"/>
      <c r="KH457" s="2468" t="s">
        <v>456</v>
      </c>
      <c r="KI457" s="2468" t="s">
        <v>2238</v>
      </c>
      <c r="KJ457" s="2468" t="s">
        <v>2239</v>
      </c>
      <c r="KK457" s="2468" t="s">
        <v>2240</v>
      </c>
      <c r="KL457" s="2468" t="s">
        <v>2241</v>
      </c>
      <c r="KM457" s="2468" t="s">
        <v>456</v>
      </c>
      <c r="KN457" s="2468" t="s">
        <v>2238</v>
      </c>
      <c r="KO457" s="2468" t="s">
        <v>2239</v>
      </c>
      <c r="KP457" s="2468" t="s">
        <v>2240</v>
      </c>
      <c r="KQ457" s="2468" t="s">
        <v>2241</v>
      </c>
      <c r="KR457" s="2468" t="s">
        <v>456</v>
      </c>
      <c r="KS457" s="2468" t="s">
        <v>2238</v>
      </c>
      <c r="KT457" s="2468" t="s">
        <v>2239</v>
      </c>
      <c r="KU457" s="2468" t="s">
        <v>2240</v>
      </c>
      <c r="KV457" s="2468" t="s">
        <v>2241</v>
      </c>
      <c r="KW457" s="2468" t="s">
        <v>456</v>
      </c>
      <c r="KX457" s="2468" t="s">
        <v>2238</v>
      </c>
      <c r="KY457" s="2468" t="s">
        <v>2239</v>
      </c>
      <c r="KZ457" s="2468" t="s">
        <v>2240</v>
      </c>
      <c r="LA457" s="2468" t="s">
        <v>2241</v>
      </c>
      <c r="LB457" s="2468" t="s">
        <v>456</v>
      </c>
      <c r="LC457" s="2468" t="s">
        <v>2238</v>
      </c>
      <c r="LD457" s="2468" t="s">
        <v>2239</v>
      </c>
      <c r="LE457" s="2468" t="s">
        <v>2240</v>
      </c>
      <c r="LF457" s="2468" t="s">
        <v>2241</v>
      </c>
      <c r="LG457" s="2468" t="s">
        <v>456</v>
      </c>
      <c r="LH457" s="2468" t="s">
        <v>2238</v>
      </c>
      <c r="LI457" s="2468" t="s">
        <v>2239</v>
      </c>
      <c r="LJ457" s="2468" t="s">
        <v>2240</v>
      </c>
      <c r="LK457" s="2468" t="s">
        <v>2241</v>
      </c>
      <c r="LL457" s="2468" t="s">
        <v>456</v>
      </c>
      <c r="LM457" s="2468" t="s">
        <v>2238</v>
      </c>
      <c r="LN457" s="2468" t="s">
        <v>2239</v>
      </c>
      <c r="LO457" s="2468" t="s">
        <v>2240</v>
      </c>
      <c r="LP457" s="2468" t="s">
        <v>2241</v>
      </c>
      <c r="LQ457" s="2468" t="s">
        <v>456</v>
      </c>
      <c r="LR457" s="2468" t="s">
        <v>2238</v>
      </c>
      <c r="LS457" s="2468" t="s">
        <v>2239</v>
      </c>
      <c r="LT457" s="2468" t="s">
        <v>2240</v>
      </c>
      <c r="LU457" s="2468" t="s">
        <v>2241</v>
      </c>
      <c r="LV457" s="2468" t="s">
        <v>456</v>
      </c>
      <c r="LW457" s="2468" t="s">
        <v>2238</v>
      </c>
      <c r="LX457" s="2468" t="s">
        <v>2239</v>
      </c>
      <c r="LY457" s="2468" t="s">
        <v>2240</v>
      </c>
      <c r="LZ457" s="2468" t="s">
        <v>2241</v>
      </c>
      <c r="MA457" s="2468" t="s">
        <v>456</v>
      </c>
      <c r="MB457" s="2468" t="s">
        <v>2238</v>
      </c>
      <c r="MC457" s="2468" t="s">
        <v>2239</v>
      </c>
      <c r="MD457" s="2468" t="s">
        <v>2240</v>
      </c>
      <c r="ME457" s="2468" t="s">
        <v>2241</v>
      </c>
      <c r="MF457" s="2468" t="s">
        <v>456</v>
      </c>
      <c r="MG457" s="2468" t="s">
        <v>2238</v>
      </c>
      <c r="MH457" s="2468" t="s">
        <v>2239</v>
      </c>
      <c r="MI457" s="2468" t="s">
        <v>2240</v>
      </c>
      <c r="MJ457" s="2468" t="s">
        <v>2241</v>
      </c>
      <c r="MK457" s="2468" t="s">
        <v>456</v>
      </c>
      <c r="ML457" s="2468" t="s">
        <v>2238</v>
      </c>
      <c r="MM457" s="2468" t="s">
        <v>2239</v>
      </c>
      <c r="MN457" s="2468" t="s">
        <v>2240</v>
      </c>
      <c r="MO457" s="2468" t="s">
        <v>2241</v>
      </c>
      <c r="MP457" s="1409"/>
      <c r="MQ457" s="1409"/>
      <c r="MR457" s="1409"/>
      <c r="MS457" s="1409"/>
      <c r="MT457" s="1409"/>
      <c r="MU457" s="1409"/>
      <c r="MV457" s="1409"/>
      <c r="MW457" s="1409"/>
      <c r="MX457" s="1409"/>
      <c r="MY457" s="1409"/>
      <c r="MZ457" s="1409"/>
      <c r="NA457" s="1409"/>
      <c r="NB457" s="1409"/>
      <c r="NC457" s="1409"/>
      <c r="ND457" s="1409"/>
      <c r="NE457" s="1409"/>
      <c r="NF457" s="1409"/>
      <c r="NG457" s="1409"/>
      <c r="NH457" s="1409"/>
      <c r="NI457" s="1409"/>
      <c r="NJ457" s="1409"/>
      <c r="NK457" s="1409"/>
      <c r="NL457" s="1409"/>
      <c r="NM457" s="1409"/>
      <c r="NN457" s="1409"/>
      <c r="NO457" s="359" t="s">
        <v>2961</v>
      </c>
      <c r="NP457" s="359" t="s">
        <v>2962</v>
      </c>
      <c r="NQ457" s="359" t="s">
        <v>2963</v>
      </c>
      <c r="NR457" s="359" t="s">
        <v>2964</v>
      </c>
      <c r="NS457" s="359" t="s">
        <v>2965</v>
      </c>
      <c r="NT457" s="1409"/>
      <c r="NU457" s="1409"/>
      <c r="NV457" s="1409"/>
      <c r="NW457" s="1409"/>
      <c r="NX457" s="1409"/>
      <c r="NY457" s="1409"/>
      <c r="NZ457" s="1409"/>
      <c r="OA457" s="1409"/>
      <c r="OB457" s="1409"/>
      <c r="OC457" s="1409"/>
      <c r="OZ457" s="1784">
        <v>4</v>
      </c>
    </row>
    <row r="458" spans="1:416" s="358" customFormat="1" ht="3" customHeight="1">
      <c r="B458" s="1639"/>
      <c r="D458" s="2558"/>
      <c r="E458" s="2558"/>
      <c r="F458" s="2558"/>
      <c r="G458" s="2558"/>
      <c r="H458" s="2558"/>
      <c r="I458" s="2558"/>
      <c r="J458" s="2558"/>
      <c r="P458" s="2709"/>
      <c r="Q458" s="2710" t="s">
        <v>5138</v>
      </c>
      <c r="R458" s="2711"/>
      <c r="X458" s="359" t="s">
        <v>3559</v>
      </c>
      <c r="Y458" s="359" t="s">
        <v>3560</v>
      </c>
      <c r="Z458" s="359" t="s">
        <v>3561</v>
      </c>
      <c r="AA458" s="359" t="s">
        <v>3562</v>
      </c>
      <c r="AB458" s="359" t="s">
        <v>3563</v>
      </c>
      <c r="AC458" s="359" t="s">
        <v>3564</v>
      </c>
      <c r="AD458" s="359" t="s">
        <v>3565</v>
      </c>
      <c r="AE458" s="359" t="s">
        <v>3566</v>
      </c>
      <c r="AF458" s="359" t="s">
        <v>3567</v>
      </c>
      <c r="AG458" s="359" t="s">
        <v>3568</v>
      </c>
      <c r="AH458" s="359" t="s">
        <v>860</v>
      </c>
      <c r="AI458" s="359" t="s">
        <v>704</v>
      </c>
      <c r="AJ458" s="359" t="s">
        <v>705</v>
      </c>
      <c r="AK458" s="359" t="s">
        <v>706</v>
      </c>
      <c r="AL458" s="359" t="s">
        <v>707</v>
      </c>
      <c r="AM458" s="359" t="s">
        <v>861</v>
      </c>
      <c r="AN458" s="359" t="s">
        <v>2124</v>
      </c>
      <c r="AO458" s="359" t="s">
        <v>2125</v>
      </c>
      <c r="AP458" s="359" t="s">
        <v>2126</v>
      </c>
      <c r="AQ458" s="359" t="s">
        <v>2127</v>
      </c>
      <c r="AR458" s="359" t="s">
        <v>3570</v>
      </c>
      <c r="AS458" s="359" t="s">
        <v>3571</v>
      </c>
      <c r="AT458" s="359" t="s">
        <v>3572</v>
      </c>
      <c r="AU458" s="359" t="s">
        <v>3573</v>
      </c>
      <c r="AV458" s="359" t="s">
        <v>3569</v>
      </c>
      <c r="AW458" s="359" t="s">
        <v>862</v>
      </c>
      <c r="AX458" s="359" t="s">
        <v>2128</v>
      </c>
      <c r="AY458" s="359" t="s">
        <v>2129</v>
      </c>
      <c r="AZ458" s="359" t="s">
        <v>2130</v>
      </c>
      <c r="BA458" s="359" t="s">
        <v>2131</v>
      </c>
      <c r="BB458" s="359" t="s">
        <v>3574</v>
      </c>
      <c r="BC458" s="359" t="s">
        <v>3575</v>
      </c>
      <c r="BD458" s="359" t="s">
        <v>3576</v>
      </c>
      <c r="BE458" s="359" t="s">
        <v>3577</v>
      </c>
      <c r="BF458" s="359" t="s">
        <v>3578</v>
      </c>
      <c r="BG458" s="359" t="s">
        <v>123</v>
      </c>
      <c r="BH458" s="359" t="s">
        <v>2132</v>
      </c>
      <c r="BI458" s="359" t="s">
        <v>2133</v>
      </c>
      <c r="BJ458" s="359" t="s">
        <v>2134</v>
      </c>
      <c r="BK458" s="359" t="s">
        <v>1079</v>
      </c>
      <c r="BL458" s="359" t="s">
        <v>3579</v>
      </c>
      <c r="BM458" s="359" t="s">
        <v>3580</v>
      </c>
      <c r="BN458" s="359" t="s">
        <v>3581</v>
      </c>
      <c r="BO458" s="359" t="s">
        <v>3582</v>
      </c>
      <c r="BP458" s="359" t="s">
        <v>3583</v>
      </c>
      <c r="BQ458" s="359" t="s">
        <v>516</v>
      </c>
      <c r="BR458" s="359" t="s">
        <v>517</v>
      </c>
      <c r="BS458" s="359" t="s">
        <v>534</v>
      </c>
      <c r="BT458" s="359" t="s">
        <v>535</v>
      </c>
      <c r="BU458" s="359" t="s">
        <v>536</v>
      </c>
      <c r="BV458" s="359" t="s">
        <v>3584</v>
      </c>
      <c r="BW458" s="359" t="s">
        <v>3585</v>
      </c>
      <c r="BX458" s="359" t="s">
        <v>3586</v>
      </c>
      <c r="BY458" s="359" t="s">
        <v>3587</v>
      </c>
      <c r="BZ458" s="359" t="s">
        <v>3588</v>
      </c>
      <c r="CA458" s="359" t="s">
        <v>537</v>
      </c>
      <c r="CB458" s="359" t="s">
        <v>538</v>
      </c>
      <c r="CC458" s="359" t="s">
        <v>539</v>
      </c>
      <c r="CD458" s="359" t="s">
        <v>540</v>
      </c>
      <c r="CE458" s="359" t="s">
        <v>541</v>
      </c>
      <c r="CF458" s="359" t="s">
        <v>542</v>
      </c>
      <c r="CG458" s="359" t="s">
        <v>543</v>
      </c>
      <c r="CH458" s="359" t="s">
        <v>871</v>
      </c>
      <c r="CI458" s="359" t="s">
        <v>872</v>
      </c>
      <c r="CJ458" s="359" t="s">
        <v>873</v>
      </c>
      <c r="CK458" s="359" t="s">
        <v>3594</v>
      </c>
      <c r="CL458" s="359" t="s">
        <v>3595</v>
      </c>
      <c r="CM458" s="359" t="s">
        <v>3596</v>
      </c>
      <c r="CN458" s="359" t="s">
        <v>3597</v>
      </c>
      <c r="CO458" s="359" t="s">
        <v>3598</v>
      </c>
      <c r="CP458" s="359" t="s">
        <v>3589</v>
      </c>
      <c r="CQ458" s="359" t="s">
        <v>3590</v>
      </c>
      <c r="CR458" s="359" t="s">
        <v>3591</v>
      </c>
      <c r="CS458" s="359" t="s">
        <v>3592</v>
      </c>
      <c r="CT458" s="359" t="s">
        <v>3593</v>
      </c>
      <c r="CU458" s="359" t="s">
        <v>3599</v>
      </c>
      <c r="CV458" s="359" t="s">
        <v>3600</v>
      </c>
      <c r="CW458" s="359" t="s">
        <v>3601</v>
      </c>
      <c r="CX458" s="359" t="s">
        <v>3602</v>
      </c>
      <c r="CY458" s="359" t="s">
        <v>3603</v>
      </c>
      <c r="CZ458" s="359" t="s">
        <v>465</v>
      </c>
      <c r="DA458" s="359" t="s">
        <v>466</v>
      </c>
      <c r="DB458" s="359" t="s">
        <v>467</v>
      </c>
      <c r="DC458" s="359" t="s">
        <v>468</v>
      </c>
      <c r="DD458" s="359" t="s">
        <v>469</v>
      </c>
      <c r="DE458" s="359" t="s">
        <v>3604</v>
      </c>
      <c r="DF458" s="359" t="s">
        <v>3605</v>
      </c>
      <c r="DG458" s="359" t="s">
        <v>3606</v>
      </c>
      <c r="DH458" s="359" t="s">
        <v>3607</v>
      </c>
      <c r="DI458" s="359" t="s">
        <v>3608</v>
      </c>
      <c r="DJ458" s="359" t="s">
        <v>821</v>
      </c>
      <c r="DK458" s="359" t="s">
        <v>822</v>
      </c>
      <c r="DL458" s="359" t="s">
        <v>823</v>
      </c>
      <c r="DM458" s="359" t="s">
        <v>824</v>
      </c>
      <c r="DN458" s="359" t="s">
        <v>825</v>
      </c>
      <c r="DO458" s="359" t="s">
        <v>826</v>
      </c>
      <c r="DP458" s="359" t="s">
        <v>827</v>
      </c>
      <c r="DQ458" s="359" t="s">
        <v>828</v>
      </c>
      <c r="DR458" s="359" t="s">
        <v>829</v>
      </c>
      <c r="DS458" s="359" t="s">
        <v>830</v>
      </c>
      <c r="DT458" s="359" t="s">
        <v>3609</v>
      </c>
      <c r="DU458" s="359" t="s">
        <v>3610</v>
      </c>
      <c r="DV458" s="359" t="s">
        <v>3611</v>
      </c>
      <c r="DW458" s="359" t="s">
        <v>3612</v>
      </c>
      <c r="DX458" s="359" t="s">
        <v>3613</v>
      </c>
      <c r="DY458" s="359" t="s">
        <v>3614</v>
      </c>
      <c r="DZ458" s="359" t="s">
        <v>3615</v>
      </c>
      <c r="EA458" s="359" t="s">
        <v>3616</v>
      </c>
      <c r="EB458" s="359" t="s">
        <v>3617</v>
      </c>
      <c r="EC458" s="359" t="s">
        <v>3618</v>
      </c>
      <c r="ED458" s="359" t="s">
        <v>5004</v>
      </c>
      <c r="EE458" s="359" t="s">
        <v>5005</v>
      </c>
      <c r="EF458" s="359" t="s">
        <v>5006</v>
      </c>
      <c r="EG458" s="359" t="s">
        <v>5007</v>
      </c>
      <c r="EH458" s="359" t="s">
        <v>5008</v>
      </c>
      <c r="EI458" s="359" t="s">
        <v>5009</v>
      </c>
      <c r="EJ458" s="359" t="s">
        <v>5010</v>
      </c>
      <c r="EK458" s="359" t="s">
        <v>5011</v>
      </c>
      <c r="EL458" s="359" t="s">
        <v>5012</v>
      </c>
      <c r="EM458" s="359" t="s">
        <v>5013</v>
      </c>
      <c r="EN458" s="359" t="s">
        <v>5014</v>
      </c>
      <c r="EO458" s="359" t="s">
        <v>5015</v>
      </c>
      <c r="EP458" s="359" t="s">
        <v>5016</v>
      </c>
      <c r="EQ458" s="359" t="s">
        <v>5017</v>
      </c>
      <c r="ER458" s="359" t="s">
        <v>5018</v>
      </c>
      <c r="ES458" s="359" t="s">
        <v>5019</v>
      </c>
      <c r="ET458" s="359" t="s">
        <v>5020</v>
      </c>
      <c r="EU458" s="359" t="s">
        <v>5021</v>
      </c>
      <c r="EV458" s="359" t="s">
        <v>5022</v>
      </c>
      <c r="EW458" s="359" t="s">
        <v>5023</v>
      </c>
      <c r="EX458" s="359" t="s">
        <v>5024</v>
      </c>
      <c r="EY458" s="359" t="s">
        <v>5025</v>
      </c>
      <c r="EZ458" s="359" t="s">
        <v>5026</v>
      </c>
      <c r="FA458" s="359" t="s">
        <v>5027</v>
      </c>
      <c r="FB458" s="359" t="s">
        <v>5028</v>
      </c>
      <c r="FC458" s="359" t="s">
        <v>5029</v>
      </c>
      <c r="FD458" s="359" t="s">
        <v>5030</v>
      </c>
      <c r="FE458" s="359" t="s">
        <v>5031</v>
      </c>
      <c r="FF458" s="359" t="s">
        <v>5032</v>
      </c>
      <c r="FG458" s="359" t="s">
        <v>5033</v>
      </c>
      <c r="FH458" s="359" t="s">
        <v>5034</v>
      </c>
      <c r="FI458" s="359" t="s">
        <v>5035</v>
      </c>
      <c r="FJ458" s="359" t="s">
        <v>5036</v>
      </c>
      <c r="FK458" s="359" t="s">
        <v>5037</v>
      </c>
      <c r="FL458" s="359" t="s">
        <v>5038</v>
      </c>
      <c r="FM458" s="359" t="s">
        <v>2228</v>
      </c>
      <c r="FN458" s="359" t="s">
        <v>2229</v>
      </c>
      <c r="FO458" s="359" t="s">
        <v>2230</v>
      </c>
      <c r="FP458" s="359" t="s">
        <v>2231</v>
      </c>
      <c r="FQ458" s="359" t="s">
        <v>2232</v>
      </c>
      <c r="FR458" s="359" t="s">
        <v>3619</v>
      </c>
      <c r="FS458" s="359" t="s">
        <v>3620</v>
      </c>
      <c r="FT458" s="359" t="s">
        <v>3621</v>
      </c>
      <c r="FU458" s="359" t="s">
        <v>3622</v>
      </c>
      <c r="FV458" s="359" t="s">
        <v>3623</v>
      </c>
      <c r="FW458" s="359" t="s">
        <v>3624</v>
      </c>
      <c r="FX458" s="359" t="s">
        <v>3625</v>
      </c>
      <c r="FY458" s="359" t="s">
        <v>3626</v>
      </c>
      <c r="FZ458" s="359" t="s">
        <v>3627</v>
      </c>
      <c r="GA458" s="359" t="s">
        <v>3628</v>
      </c>
      <c r="GB458" s="359" t="s">
        <v>111</v>
      </c>
      <c r="GC458" s="359" t="s">
        <v>1082</v>
      </c>
      <c r="GD458" s="359" t="s">
        <v>1083</v>
      </c>
      <c r="GE458" s="359" t="s">
        <v>1138</v>
      </c>
      <c r="GF458" s="359" t="s">
        <v>1139</v>
      </c>
      <c r="GG458" s="359" t="s">
        <v>126</v>
      </c>
      <c r="GH458" s="359" t="s">
        <v>1140</v>
      </c>
      <c r="GI458" s="359" t="s">
        <v>1141</v>
      </c>
      <c r="GJ458" s="359" t="s">
        <v>1142</v>
      </c>
      <c r="GK458" s="359" t="s">
        <v>1143</v>
      </c>
      <c r="GL458" s="359" t="s">
        <v>3629</v>
      </c>
      <c r="GM458" s="359" t="s">
        <v>3630</v>
      </c>
      <c r="GN458" s="359" t="s">
        <v>3631</v>
      </c>
      <c r="GO458" s="359" t="s">
        <v>3632</v>
      </c>
      <c r="GP458" s="359" t="s">
        <v>3633</v>
      </c>
      <c r="GQ458" s="359" t="s">
        <v>125</v>
      </c>
      <c r="GR458" s="359" t="s">
        <v>852</v>
      </c>
      <c r="GS458" s="359" t="s">
        <v>853</v>
      </c>
      <c r="GT458" s="359" t="s">
        <v>854</v>
      </c>
      <c r="GU458" s="359" t="s">
        <v>855</v>
      </c>
      <c r="GV458" s="359" t="s">
        <v>3634</v>
      </c>
      <c r="GW458" s="359" t="s">
        <v>3635</v>
      </c>
      <c r="GX458" s="359" t="s">
        <v>3636</v>
      </c>
      <c r="GY458" s="359" t="s">
        <v>3637</v>
      </c>
      <c r="GZ458" s="359" t="s">
        <v>3638</v>
      </c>
      <c r="HA458" s="359" t="s">
        <v>124</v>
      </c>
      <c r="HB458" s="359" t="s">
        <v>856</v>
      </c>
      <c r="HC458" s="359" t="s">
        <v>857</v>
      </c>
      <c r="HD458" s="359" t="s">
        <v>858</v>
      </c>
      <c r="HE458" s="359" t="s">
        <v>859</v>
      </c>
      <c r="HF458" s="359" t="s">
        <v>751</v>
      </c>
      <c r="HG458" s="359" t="s">
        <v>752</v>
      </c>
      <c r="HH458" s="359" t="s">
        <v>753</v>
      </c>
      <c r="HI458" s="359" t="s">
        <v>754</v>
      </c>
      <c r="HJ458" s="359" t="s">
        <v>755</v>
      </c>
      <c r="HK458" s="359" t="s">
        <v>895</v>
      </c>
      <c r="HL458" s="359" t="s">
        <v>896</v>
      </c>
      <c r="HM458" s="359" t="s">
        <v>897</v>
      </c>
      <c r="HN458" s="359" t="s">
        <v>898</v>
      </c>
      <c r="HO458" s="359" t="s">
        <v>2227</v>
      </c>
      <c r="HP458" s="359" t="s">
        <v>1342</v>
      </c>
      <c r="HQ458" s="359" t="s">
        <v>1343</v>
      </c>
      <c r="HR458" s="359" t="s">
        <v>1344</v>
      </c>
      <c r="HS458" s="359" t="s">
        <v>1345</v>
      </c>
      <c r="HT458" s="359" t="s">
        <v>1346</v>
      </c>
      <c r="HU458" s="359" t="s">
        <v>410</v>
      </c>
      <c r="HV458" s="359" t="s">
        <v>411</v>
      </c>
      <c r="HW458" s="359" t="s">
        <v>412</v>
      </c>
      <c r="HX458" s="359" t="s">
        <v>413</v>
      </c>
      <c r="HY458" s="359" t="s">
        <v>414</v>
      </c>
      <c r="HZ458" s="359" t="s">
        <v>14</v>
      </c>
      <c r="IA458" s="359" t="s">
        <v>15</v>
      </c>
      <c r="IB458" s="359" t="s">
        <v>16</v>
      </c>
      <c r="IC458" s="359" t="s">
        <v>17</v>
      </c>
      <c r="ID458" s="359" t="s">
        <v>18</v>
      </c>
      <c r="IE458" s="359" t="s">
        <v>214</v>
      </c>
      <c r="IF458" s="359" t="s">
        <v>215</v>
      </c>
      <c r="IG458" s="359" t="s">
        <v>216</v>
      </c>
      <c r="IH458" s="359" t="s">
        <v>1675</v>
      </c>
      <c r="II458" s="359" t="s">
        <v>1676</v>
      </c>
      <c r="IJ458" s="359" t="s">
        <v>1677</v>
      </c>
      <c r="IK458" s="359" t="s">
        <v>549</v>
      </c>
      <c r="IL458" s="359" t="s">
        <v>550</v>
      </c>
      <c r="IM458" s="359" t="s">
        <v>551</v>
      </c>
      <c r="IN458" s="359" t="s">
        <v>552</v>
      </c>
      <c r="IO458" s="359" t="s">
        <v>19</v>
      </c>
      <c r="IP458" s="359" t="s">
        <v>20</v>
      </c>
      <c r="IQ458" s="359" t="s">
        <v>21</v>
      </c>
      <c r="IR458" s="359" t="s">
        <v>22</v>
      </c>
      <c r="IS458" s="359" t="s">
        <v>23</v>
      </c>
      <c r="IT458" s="359" t="s">
        <v>464</v>
      </c>
      <c r="IU458" s="359" t="s">
        <v>406</v>
      </c>
      <c r="IV458" s="359" t="s">
        <v>407</v>
      </c>
      <c r="IW458" s="359" t="s">
        <v>408</v>
      </c>
      <c r="IX458" s="359" t="s">
        <v>409</v>
      </c>
      <c r="IY458" s="359" t="s">
        <v>2036</v>
      </c>
      <c r="IZ458" s="359" t="s">
        <v>2037</v>
      </c>
      <c r="JA458" s="359" t="s">
        <v>2038</v>
      </c>
      <c r="JB458" s="359" t="s">
        <v>1383</v>
      </c>
      <c r="JC458" s="359" t="s">
        <v>1384</v>
      </c>
      <c r="JD458" s="359" t="s">
        <v>24</v>
      </c>
      <c r="JE458" s="359" t="s">
        <v>25</v>
      </c>
      <c r="JF458" s="359" t="s">
        <v>26</v>
      </c>
      <c r="JG458" s="359" t="s">
        <v>27</v>
      </c>
      <c r="JH458" s="359" t="s">
        <v>28</v>
      </c>
      <c r="JI458" s="2469"/>
      <c r="JJ458" s="2469"/>
      <c r="JK458" s="2469"/>
      <c r="JL458" s="2469"/>
      <c r="JM458" s="2469"/>
      <c r="JN458" s="2469"/>
      <c r="JO458" s="2469"/>
      <c r="JP458" s="2469"/>
      <c r="JQ458" s="2469"/>
      <c r="JR458" s="2469"/>
      <c r="JS458" s="2469"/>
      <c r="JT458" s="2469"/>
      <c r="JU458" s="2469"/>
      <c r="JV458" s="2469"/>
      <c r="JW458" s="2469"/>
      <c r="JX458" s="2469"/>
      <c r="JY458" s="2469"/>
      <c r="JZ458" s="2469"/>
      <c r="KA458" s="2469"/>
      <c r="KB458" s="2469"/>
      <c r="KC458" s="2469"/>
      <c r="KD458" s="2469"/>
      <c r="KE458" s="2469"/>
      <c r="KF458" s="2469"/>
      <c r="KG458" s="2469"/>
      <c r="KH458" s="2469"/>
      <c r="KI458" s="2469"/>
      <c r="KJ458" s="2469"/>
      <c r="KK458" s="2469"/>
      <c r="KL458" s="2469"/>
      <c r="KM458" s="2469"/>
      <c r="KN458" s="2469"/>
      <c r="KO458" s="2469"/>
      <c r="KP458" s="2469"/>
      <c r="KQ458" s="2469"/>
      <c r="KR458" s="2469"/>
      <c r="KS458" s="2469"/>
      <c r="KT458" s="2469"/>
      <c r="KU458" s="2469"/>
      <c r="KV458" s="2469"/>
      <c r="KW458" s="2469"/>
      <c r="KX458" s="2469"/>
      <c r="KY458" s="2469"/>
      <c r="KZ458" s="2469"/>
      <c r="LA458" s="2469"/>
      <c r="LB458" s="2469"/>
      <c r="LC458" s="2469"/>
      <c r="LD458" s="2469"/>
      <c r="LE458" s="2469"/>
      <c r="LF458" s="2469"/>
      <c r="LG458" s="2469"/>
      <c r="LH458" s="2469"/>
      <c r="LI458" s="2469"/>
      <c r="LJ458" s="2469"/>
      <c r="LK458" s="2469"/>
      <c r="LL458" s="2469"/>
      <c r="LM458" s="2469"/>
      <c r="LN458" s="2469"/>
      <c r="LO458" s="2469"/>
      <c r="LP458" s="2469"/>
      <c r="LQ458" s="2469"/>
      <c r="LR458" s="2469"/>
      <c r="LS458" s="2469"/>
      <c r="LT458" s="2469"/>
      <c r="LU458" s="2469"/>
      <c r="LV458" s="1409"/>
      <c r="LW458" s="1409"/>
      <c r="LX458" s="1409"/>
      <c r="LY458" s="1409"/>
      <c r="LZ458" s="1409"/>
      <c r="MA458" s="1409"/>
      <c r="MB458" s="1409"/>
      <c r="MC458" s="1409"/>
      <c r="MD458" s="1409"/>
      <c r="ME458" s="1409"/>
      <c r="MF458" s="1409"/>
      <c r="MG458" s="1409"/>
      <c r="MH458" s="1409"/>
      <c r="MI458" s="1409"/>
      <c r="MJ458" s="1409"/>
      <c r="MK458" s="1409"/>
      <c r="ML458" s="1409"/>
      <c r="MM458" s="1409"/>
      <c r="MN458" s="1409"/>
      <c r="MO458" s="1409"/>
      <c r="MP458" s="359" t="s">
        <v>1516</v>
      </c>
      <c r="MQ458" s="359" t="s">
        <v>2314</v>
      </c>
      <c r="MR458" s="359" t="s">
        <v>2315</v>
      </c>
      <c r="MS458" s="359" t="s">
        <v>363</v>
      </c>
      <c r="MT458" s="359" t="s">
        <v>364</v>
      </c>
      <c r="MU458" s="359" t="s">
        <v>365</v>
      </c>
      <c r="MV458" s="359" t="s">
        <v>366</v>
      </c>
      <c r="MW458" s="359" t="s">
        <v>367</v>
      </c>
      <c r="MX458" s="359" t="s">
        <v>368</v>
      </c>
      <c r="MY458" s="359" t="s">
        <v>369</v>
      </c>
      <c r="MZ458" s="359" t="s">
        <v>195</v>
      </c>
      <c r="NA458" s="359" t="s">
        <v>196</v>
      </c>
      <c r="NB458" s="359" t="s">
        <v>197</v>
      </c>
      <c r="NC458" s="359" t="s">
        <v>198</v>
      </c>
      <c r="ND458" s="359" t="s">
        <v>199</v>
      </c>
      <c r="NE458" s="359" t="s">
        <v>200</v>
      </c>
      <c r="NF458" s="359" t="s">
        <v>201</v>
      </c>
      <c r="NG458" s="359" t="s">
        <v>202</v>
      </c>
      <c r="NH458" s="359" t="s">
        <v>203</v>
      </c>
      <c r="NI458" s="359" t="s">
        <v>204</v>
      </c>
      <c r="NJ458" s="359" t="s">
        <v>205</v>
      </c>
      <c r="NK458" s="359" t="s">
        <v>206</v>
      </c>
      <c r="NL458" s="359" t="s">
        <v>207</v>
      </c>
      <c r="NM458" s="359" t="s">
        <v>208</v>
      </c>
      <c r="NN458" s="359" t="s">
        <v>209</v>
      </c>
      <c r="NO458" s="359"/>
      <c r="NP458" s="359"/>
      <c r="NQ458" s="359"/>
      <c r="NR458" s="359"/>
      <c r="NS458" s="359"/>
      <c r="NT458" s="1409"/>
      <c r="NU458" s="1409"/>
      <c r="NV458" s="1409"/>
      <c r="NW458" s="1409"/>
      <c r="NX458" s="1409"/>
      <c r="NY458" s="1409"/>
      <c r="NZ458" s="1409"/>
      <c r="OA458" s="1409"/>
      <c r="OB458" s="1409"/>
      <c r="OC458" s="1409"/>
      <c r="OZ458" s="1784">
        <v>5</v>
      </c>
    </row>
    <row r="459" spans="1:416" s="358" customFormat="1" ht="12.6" customHeight="1">
      <c r="A459" s="2712" t="str">
        <f>IF(A511&gt;0,"Finish Row!","")</f>
        <v/>
      </c>
      <c r="B459" s="1536" t="s">
        <v>5139</v>
      </c>
      <c r="D459" s="2558"/>
      <c r="E459" s="2558"/>
      <c r="F459" s="2558"/>
      <c r="G459" s="1784" t="str">
        <f>'Part V-Revenues &amp; Expenses'!G6</f>
        <v>&lt;Select&gt;</v>
      </c>
      <c r="H459" s="2713" t="s">
        <v>3992</v>
      </c>
      <c r="I459" s="2713"/>
      <c r="J459" s="2713"/>
      <c r="K459" s="2714" t="s">
        <v>3049</v>
      </c>
      <c r="L459" s="2715" t="str">
        <f>'Part I-Project Identification'!$A$6</f>
        <v>May 31, 2025</v>
      </c>
      <c r="M459" s="2715"/>
      <c r="N459" s="2715"/>
      <c r="O459" s="2716" t="s">
        <v>5140</v>
      </c>
      <c r="P459" s="2717">
        <f>'Part V-Revenues &amp; Expenses'!P6</f>
        <v>114200</v>
      </c>
      <c r="Q459" s="2710"/>
      <c r="R459" s="2711"/>
      <c r="X459" s="359"/>
      <c r="Y459" s="359"/>
      <c r="Z459" s="359"/>
      <c r="AA459" s="359"/>
      <c r="AB459" s="359"/>
      <c r="AC459" s="359"/>
      <c r="AD459" s="359"/>
      <c r="AE459" s="359"/>
      <c r="AF459" s="359"/>
      <c r="AG459" s="359"/>
      <c r="AH459" s="359"/>
      <c r="AI459" s="359"/>
      <c r="AJ459" s="359"/>
      <c r="AK459" s="359"/>
      <c r="AL459" s="359"/>
      <c r="AM459" s="359"/>
      <c r="AN459" s="359"/>
      <c r="AO459" s="359"/>
      <c r="AP459" s="359"/>
      <c r="AQ459" s="359"/>
      <c r="AR459" s="359"/>
      <c r="AS459" s="359"/>
      <c r="AT459" s="359"/>
      <c r="AU459" s="359"/>
      <c r="AV459" s="359"/>
      <c r="AW459" s="359"/>
      <c r="AX459" s="359"/>
      <c r="AY459" s="359"/>
      <c r="AZ459" s="359"/>
      <c r="BA459" s="359"/>
      <c r="BB459" s="359"/>
      <c r="BC459" s="359"/>
      <c r="BD459" s="359"/>
      <c r="BE459" s="359"/>
      <c r="BF459" s="359"/>
      <c r="BG459" s="359"/>
      <c r="BH459" s="359"/>
      <c r="BI459" s="359"/>
      <c r="BJ459" s="359"/>
      <c r="BK459" s="359"/>
      <c r="BL459" s="359"/>
      <c r="BM459" s="359"/>
      <c r="BN459" s="359"/>
      <c r="BO459" s="359"/>
      <c r="BP459" s="359"/>
      <c r="BQ459" s="359"/>
      <c r="BR459" s="359"/>
      <c r="BS459" s="359"/>
      <c r="BT459" s="359"/>
      <c r="BU459" s="359"/>
      <c r="BV459" s="359"/>
      <c r="BW459" s="359"/>
      <c r="BX459" s="359"/>
      <c r="BY459" s="359"/>
      <c r="BZ459" s="359"/>
      <c r="CA459" s="359"/>
      <c r="CB459" s="359"/>
      <c r="CC459" s="359"/>
      <c r="CD459" s="359"/>
      <c r="CE459" s="359"/>
      <c r="CF459" s="359"/>
      <c r="CG459" s="359"/>
      <c r="CH459" s="359"/>
      <c r="CI459" s="359"/>
      <c r="CJ459" s="359"/>
      <c r="CK459" s="359"/>
      <c r="CL459" s="359"/>
      <c r="CM459" s="359"/>
      <c r="CN459" s="359"/>
      <c r="CO459" s="359"/>
      <c r="CP459" s="359"/>
      <c r="CQ459" s="359"/>
      <c r="CR459" s="359"/>
      <c r="CS459" s="359"/>
      <c r="CT459" s="359"/>
      <c r="CU459" s="359"/>
      <c r="CV459" s="359"/>
      <c r="CW459" s="359"/>
      <c r="CX459" s="359"/>
      <c r="CY459" s="359"/>
      <c r="CZ459" s="359"/>
      <c r="DA459" s="359"/>
      <c r="DB459" s="359"/>
      <c r="DC459" s="359"/>
      <c r="DD459" s="359"/>
      <c r="DE459" s="359"/>
      <c r="DF459" s="359"/>
      <c r="DG459" s="359"/>
      <c r="DH459" s="359"/>
      <c r="DI459" s="359"/>
      <c r="DJ459" s="359"/>
      <c r="DK459" s="359"/>
      <c r="DL459" s="359"/>
      <c r="DM459" s="359"/>
      <c r="DN459" s="359"/>
      <c r="DO459" s="359"/>
      <c r="DP459" s="359"/>
      <c r="DQ459" s="359"/>
      <c r="DR459" s="359"/>
      <c r="DS459" s="359"/>
      <c r="DT459" s="359"/>
      <c r="DU459" s="359"/>
      <c r="DV459" s="359"/>
      <c r="DW459" s="359"/>
      <c r="DX459" s="359"/>
      <c r="DY459" s="359"/>
      <c r="DZ459" s="359"/>
      <c r="EA459" s="359"/>
      <c r="EB459" s="359"/>
      <c r="EC459" s="359"/>
      <c r="ED459" s="359"/>
      <c r="EE459" s="359"/>
      <c r="EF459" s="359"/>
      <c r="EG459" s="359"/>
      <c r="EH459" s="359"/>
      <c r="EI459" s="359"/>
      <c r="EJ459" s="359"/>
      <c r="EK459" s="359"/>
      <c r="EL459" s="359"/>
      <c r="EM459" s="359"/>
      <c r="EN459" s="359"/>
      <c r="EO459" s="359"/>
      <c r="EP459" s="359"/>
      <c r="EQ459" s="359"/>
      <c r="ER459" s="359"/>
      <c r="ES459" s="359"/>
      <c r="ET459" s="359"/>
      <c r="EU459" s="359"/>
      <c r="EV459" s="359"/>
      <c r="EW459" s="359"/>
      <c r="EX459" s="359"/>
      <c r="EY459" s="359"/>
      <c r="EZ459" s="359"/>
      <c r="FA459" s="359"/>
      <c r="FB459" s="359"/>
      <c r="FC459" s="359"/>
      <c r="FD459" s="359"/>
      <c r="FE459" s="359"/>
      <c r="FF459" s="359"/>
      <c r="FG459" s="359"/>
      <c r="FH459" s="359"/>
      <c r="FI459" s="359"/>
      <c r="FJ459" s="359"/>
      <c r="FK459" s="359"/>
      <c r="FL459" s="359"/>
      <c r="FM459" s="359"/>
      <c r="FN459" s="359"/>
      <c r="FO459" s="359"/>
      <c r="FP459" s="359"/>
      <c r="FQ459" s="359"/>
      <c r="FR459" s="359"/>
      <c r="FS459" s="359"/>
      <c r="FT459" s="359"/>
      <c r="FU459" s="359"/>
      <c r="FV459" s="359"/>
      <c r="FW459" s="359"/>
      <c r="FX459" s="359"/>
      <c r="FY459" s="359"/>
      <c r="FZ459" s="359"/>
      <c r="GA459" s="359"/>
      <c r="GB459" s="359"/>
      <c r="GC459" s="359"/>
      <c r="GD459" s="359"/>
      <c r="GE459" s="359"/>
      <c r="GF459" s="359"/>
      <c r="GG459" s="359"/>
      <c r="GH459" s="359"/>
      <c r="GI459" s="359"/>
      <c r="GJ459" s="359"/>
      <c r="GK459" s="359"/>
      <c r="GL459" s="359"/>
      <c r="GM459" s="359"/>
      <c r="GN459" s="359"/>
      <c r="GO459" s="359"/>
      <c r="GP459" s="359"/>
      <c r="GQ459" s="359"/>
      <c r="GR459" s="359"/>
      <c r="GS459" s="359"/>
      <c r="GT459" s="359"/>
      <c r="GU459" s="359"/>
      <c r="GV459" s="359"/>
      <c r="GW459" s="359"/>
      <c r="GX459" s="359"/>
      <c r="GY459" s="359"/>
      <c r="GZ459" s="359"/>
      <c r="HA459" s="359"/>
      <c r="HB459" s="359"/>
      <c r="HC459" s="359"/>
      <c r="HD459" s="359"/>
      <c r="HE459" s="359"/>
      <c r="HF459" s="359"/>
      <c r="HG459" s="359"/>
      <c r="HH459" s="359"/>
      <c r="HI459" s="359"/>
      <c r="HJ459" s="359"/>
      <c r="HK459" s="359"/>
      <c r="HL459" s="359"/>
      <c r="HM459" s="359"/>
      <c r="HN459" s="359"/>
      <c r="HO459" s="359"/>
      <c r="HP459" s="359"/>
      <c r="HQ459" s="359"/>
      <c r="HR459" s="359"/>
      <c r="HS459" s="359"/>
      <c r="HT459" s="359"/>
      <c r="HU459" s="359"/>
      <c r="HV459" s="359"/>
      <c r="HW459" s="359"/>
      <c r="HX459" s="359"/>
      <c r="HY459" s="359"/>
      <c r="HZ459" s="359"/>
      <c r="IA459" s="359"/>
      <c r="IB459" s="359"/>
      <c r="IC459" s="359"/>
      <c r="ID459" s="359"/>
      <c r="IE459" s="359"/>
      <c r="IF459" s="359"/>
      <c r="IG459" s="359"/>
      <c r="IH459" s="359"/>
      <c r="II459" s="359"/>
      <c r="IJ459" s="359"/>
      <c r="IK459" s="359"/>
      <c r="IL459" s="359"/>
      <c r="IM459" s="359"/>
      <c r="IN459" s="359"/>
      <c r="IO459" s="359"/>
      <c r="IP459" s="359"/>
      <c r="IQ459" s="359"/>
      <c r="IR459" s="359"/>
      <c r="IS459" s="359"/>
      <c r="IT459" s="359"/>
      <c r="IU459" s="359"/>
      <c r="IV459" s="359"/>
      <c r="IW459" s="359"/>
      <c r="IX459" s="359"/>
      <c r="IY459" s="359"/>
      <c r="IZ459" s="359"/>
      <c r="JA459" s="359"/>
      <c r="JB459" s="359"/>
      <c r="JC459" s="359"/>
      <c r="JD459" s="359"/>
      <c r="JE459" s="359"/>
      <c r="JF459" s="359"/>
      <c r="JG459" s="359"/>
      <c r="JH459" s="359"/>
      <c r="JI459" s="2469"/>
      <c r="JJ459" s="2469"/>
      <c r="JK459" s="2469"/>
      <c r="JL459" s="2469"/>
      <c r="JM459" s="2469"/>
      <c r="JN459" s="2469"/>
      <c r="JO459" s="2469"/>
      <c r="JP459" s="2469"/>
      <c r="JQ459" s="2469"/>
      <c r="JR459" s="2469"/>
      <c r="JS459" s="2469"/>
      <c r="JT459" s="2469"/>
      <c r="JU459" s="2469"/>
      <c r="JV459" s="2469"/>
      <c r="JW459" s="2469"/>
      <c r="JX459" s="2469"/>
      <c r="JY459" s="2469"/>
      <c r="JZ459" s="2469"/>
      <c r="KA459" s="2469"/>
      <c r="KB459" s="2469"/>
      <c r="KC459" s="2469"/>
      <c r="KD459" s="2469"/>
      <c r="KE459" s="2469"/>
      <c r="KF459" s="2469"/>
      <c r="KG459" s="2469"/>
      <c r="KH459" s="2469"/>
      <c r="KI459" s="2469"/>
      <c r="KJ459" s="2469"/>
      <c r="KK459" s="2469"/>
      <c r="KL459" s="2469"/>
      <c r="KM459" s="2469"/>
      <c r="KN459" s="2469"/>
      <c r="KO459" s="2469"/>
      <c r="KP459" s="2469"/>
      <c r="KQ459" s="2469"/>
      <c r="KR459" s="2469"/>
      <c r="KS459" s="2469"/>
      <c r="KT459" s="2469"/>
      <c r="KU459" s="2469"/>
      <c r="KV459" s="2469"/>
      <c r="KW459" s="2469"/>
      <c r="KX459" s="2469"/>
      <c r="KY459" s="2469"/>
      <c r="KZ459" s="2469"/>
      <c r="LA459" s="2469"/>
      <c r="LB459" s="2469"/>
      <c r="LC459" s="2469"/>
      <c r="LD459" s="2469"/>
      <c r="LE459" s="2469"/>
      <c r="LF459" s="2469"/>
      <c r="LG459" s="2469"/>
      <c r="LH459" s="2469"/>
      <c r="LI459" s="2469"/>
      <c r="LJ459" s="2469"/>
      <c r="LK459" s="2469"/>
      <c r="LL459" s="2469"/>
      <c r="LM459" s="2469"/>
      <c r="LN459" s="2469"/>
      <c r="LO459" s="2469"/>
      <c r="LP459" s="2469"/>
      <c r="LQ459" s="2469"/>
      <c r="LR459" s="2469"/>
      <c r="LS459" s="2469"/>
      <c r="LT459" s="2469"/>
      <c r="LU459" s="2469"/>
      <c r="LV459" s="1409"/>
      <c r="LW459" s="1409"/>
      <c r="LX459" s="1409"/>
      <c r="LY459" s="1409"/>
      <c r="LZ459" s="1409"/>
      <c r="MA459" s="1409"/>
      <c r="MB459" s="1409"/>
      <c r="MC459" s="1409"/>
      <c r="MD459" s="1409"/>
      <c r="ME459" s="1409"/>
      <c r="MF459" s="1409"/>
      <c r="MG459" s="1409"/>
      <c r="MH459" s="1409"/>
      <c r="MI459" s="1409"/>
      <c r="MJ459" s="1409"/>
      <c r="MK459" s="1409"/>
      <c r="ML459" s="1409"/>
      <c r="MM459" s="1409"/>
      <c r="MN459" s="1409"/>
      <c r="MO459" s="1409"/>
      <c r="MP459" s="359"/>
      <c r="MQ459" s="359"/>
      <c r="MR459" s="359"/>
      <c r="MS459" s="359"/>
      <c r="MT459" s="359"/>
      <c r="MU459" s="359"/>
      <c r="MV459" s="359"/>
      <c r="MW459" s="359"/>
      <c r="MX459" s="359"/>
      <c r="MY459" s="359"/>
      <c r="MZ459" s="359"/>
      <c r="NA459" s="359"/>
      <c r="NB459" s="359"/>
      <c r="NC459" s="359"/>
      <c r="ND459" s="359"/>
      <c r="NE459" s="359"/>
      <c r="NF459" s="359"/>
      <c r="NG459" s="359"/>
      <c r="NH459" s="359"/>
      <c r="NI459" s="359"/>
      <c r="NJ459" s="359"/>
      <c r="NK459" s="359"/>
      <c r="NL459" s="359"/>
      <c r="NM459" s="359"/>
      <c r="NN459" s="359"/>
      <c r="NO459" s="359"/>
      <c r="NP459" s="359"/>
      <c r="NQ459" s="359"/>
      <c r="NR459" s="359"/>
      <c r="NS459" s="359"/>
      <c r="NT459" s="1409" t="s">
        <v>2956</v>
      </c>
      <c r="NU459" s="1409" t="s">
        <v>2957</v>
      </c>
      <c r="NV459" s="1409" t="s">
        <v>2958</v>
      </c>
      <c r="NW459" s="1409" t="s">
        <v>2959</v>
      </c>
      <c r="NX459" s="1409" t="s">
        <v>2960</v>
      </c>
      <c r="NY459" s="359" t="s">
        <v>4172</v>
      </c>
      <c r="NZ459" s="359" t="s">
        <v>4173</v>
      </c>
      <c r="OA459" s="359" t="s">
        <v>4174</v>
      </c>
      <c r="OB459" s="359" t="s">
        <v>4175</v>
      </c>
      <c r="OC459" s="359" t="s">
        <v>4176</v>
      </c>
      <c r="OZ459" s="1784">
        <v>6</v>
      </c>
    </row>
    <row r="460" spans="1:416" s="358" customFormat="1" ht="12.6" customHeight="1">
      <c r="A460" s="2712"/>
      <c r="B460" s="2718" t="s">
        <v>3991</v>
      </c>
      <c r="E460" s="1639"/>
      <c r="G460" s="1784" t="str">
        <f>'Part V-Revenues &amp; Expenses'!G7</f>
        <v>No</v>
      </c>
      <c r="I460" s="1536" t="s">
        <v>3936</v>
      </c>
      <c r="J460" s="2714" t="s">
        <v>741</v>
      </c>
      <c r="K460" s="2714" t="s">
        <v>3096</v>
      </c>
      <c r="L460" s="2715"/>
      <c r="M460" s="2715"/>
      <c r="N460" s="2715"/>
      <c r="O460" s="2719" t="s">
        <v>3973</v>
      </c>
      <c r="P460" s="2720">
        <f>'Part V-Revenues &amp; Expenses'!P7</f>
        <v>45748</v>
      </c>
      <c r="Q460" s="2710"/>
      <c r="R460" s="1639" t="s">
        <v>2449</v>
      </c>
      <c r="S460" s="1639"/>
      <c r="X460" s="359"/>
      <c r="Y460" s="359"/>
      <c r="Z460" s="359"/>
      <c r="AA460" s="359"/>
      <c r="AB460" s="359"/>
      <c r="AC460" s="359"/>
      <c r="AD460" s="359"/>
      <c r="AE460" s="359"/>
      <c r="AF460" s="359"/>
      <c r="AG460" s="359"/>
      <c r="AH460" s="359"/>
      <c r="AI460" s="359"/>
      <c r="AJ460" s="359"/>
      <c r="AK460" s="359"/>
      <c r="AL460" s="359"/>
      <c r="AM460" s="359"/>
      <c r="AN460" s="359"/>
      <c r="AO460" s="359"/>
      <c r="AP460" s="359"/>
      <c r="AQ460" s="359"/>
      <c r="AR460" s="359"/>
      <c r="AS460" s="359"/>
      <c r="AT460" s="359"/>
      <c r="AU460" s="359"/>
      <c r="AV460" s="359"/>
      <c r="AW460" s="359"/>
      <c r="AX460" s="359"/>
      <c r="AY460" s="359"/>
      <c r="AZ460" s="359"/>
      <c r="BA460" s="359"/>
      <c r="BB460" s="359"/>
      <c r="BC460" s="359"/>
      <c r="BD460" s="359"/>
      <c r="BE460" s="359"/>
      <c r="BF460" s="359"/>
      <c r="BG460" s="359"/>
      <c r="BH460" s="359"/>
      <c r="BI460" s="359"/>
      <c r="BJ460" s="359"/>
      <c r="BK460" s="359"/>
      <c r="BL460" s="359"/>
      <c r="BM460" s="359"/>
      <c r="BN460" s="359"/>
      <c r="BO460" s="359"/>
      <c r="BP460" s="359"/>
      <c r="BQ460" s="359"/>
      <c r="BR460" s="359"/>
      <c r="BS460" s="359"/>
      <c r="BT460" s="359"/>
      <c r="BU460" s="359"/>
      <c r="BV460" s="359"/>
      <c r="BW460" s="359"/>
      <c r="BX460" s="359"/>
      <c r="BY460" s="359"/>
      <c r="BZ460" s="359"/>
      <c r="CA460" s="359"/>
      <c r="CB460" s="359"/>
      <c r="CC460" s="359"/>
      <c r="CD460" s="359"/>
      <c r="CE460" s="359"/>
      <c r="CF460" s="359"/>
      <c r="CG460" s="359"/>
      <c r="CH460" s="359"/>
      <c r="CI460" s="359"/>
      <c r="CJ460" s="359"/>
      <c r="CK460" s="359"/>
      <c r="CL460" s="359"/>
      <c r="CM460" s="359"/>
      <c r="CN460" s="359"/>
      <c r="CO460" s="359"/>
      <c r="CP460" s="359"/>
      <c r="CQ460" s="359"/>
      <c r="CR460" s="359"/>
      <c r="CS460" s="359"/>
      <c r="CT460" s="359"/>
      <c r="CU460" s="359"/>
      <c r="CV460" s="359"/>
      <c r="CW460" s="359"/>
      <c r="CX460" s="359"/>
      <c r="CY460" s="359"/>
      <c r="CZ460" s="359"/>
      <c r="DA460" s="359"/>
      <c r="DB460" s="359"/>
      <c r="DC460" s="359"/>
      <c r="DD460" s="359"/>
      <c r="DE460" s="359"/>
      <c r="DF460" s="359"/>
      <c r="DG460" s="359"/>
      <c r="DH460" s="359"/>
      <c r="DI460" s="359"/>
      <c r="DJ460" s="359"/>
      <c r="DK460" s="359"/>
      <c r="DL460" s="359"/>
      <c r="DM460" s="359"/>
      <c r="DN460" s="359"/>
      <c r="DO460" s="359"/>
      <c r="DP460" s="359"/>
      <c r="DQ460" s="359"/>
      <c r="DR460" s="359"/>
      <c r="DS460" s="359"/>
      <c r="DT460" s="359"/>
      <c r="DU460" s="359"/>
      <c r="DV460" s="359"/>
      <c r="DW460" s="359"/>
      <c r="DX460" s="359"/>
      <c r="DY460" s="359"/>
      <c r="DZ460" s="359"/>
      <c r="EA460" s="359"/>
      <c r="EB460" s="359"/>
      <c r="EC460" s="359"/>
      <c r="ED460" s="359"/>
      <c r="EE460" s="359"/>
      <c r="EF460" s="359"/>
      <c r="EG460" s="359"/>
      <c r="EH460" s="359"/>
      <c r="EI460" s="359"/>
      <c r="EJ460" s="359"/>
      <c r="EK460" s="359"/>
      <c r="EL460" s="359"/>
      <c r="EM460" s="359"/>
      <c r="EN460" s="359"/>
      <c r="EO460" s="359"/>
      <c r="EP460" s="359"/>
      <c r="EQ460" s="359"/>
      <c r="ER460" s="359"/>
      <c r="ES460" s="359"/>
      <c r="ET460" s="359"/>
      <c r="EU460" s="359"/>
      <c r="EV460" s="359"/>
      <c r="EW460" s="359"/>
      <c r="EX460" s="359"/>
      <c r="EY460" s="359"/>
      <c r="EZ460" s="359"/>
      <c r="FA460" s="359"/>
      <c r="FB460" s="359"/>
      <c r="FC460" s="359"/>
      <c r="FD460" s="359"/>
      <c r="FE460" s="359"/>
      <c r="FF460" s="359"/>
      <c r="FG460" s="359"/>
      <c r="FH460" s="359"/>
      <c r="FI460" s="359"/>
      <c r="FJ460" s="359"/>
      <c r="FK460" s="359"/>
      <c r="FL460" s="359"/>
      <c r="FM460" s="359"/>
      <c r="FN460" s="359"/>
      <c r="FO460" s="359"/>
      <c r="FP460" s="359"/>
      <c r="FQ460" s="359"/>
      <c r="FR460" s="359"/>
      <c r="FS460" s="359"/>
      <c r="FT460" s="359"/>
      <c r="FU460" s="359"/>
      <c r="FV460" s="359"/>
      <c r="FW460" s="359"/>
      <c r="FX460" s="359"/>
      <c r="FY460" s="359"/>
      <c r="FZ460" s="359"/>
      <c r="GA460" s="359"/>
      <c r="GB460" s="359"/>
      <c r="GC460" s="359"/>
      <c r="GD460" s="359"/>
      <c r="GE460" s="359"/>
      <c r="GF460" s="359"/>
      <c r="GG460" s="359"/>
      <c r="GH460" s="359"/>
      <c r="GI460" s="359"/>
      <c r="GJ460" s="359"/>
      <c r="GK460" s="359"/>
      <c r="GL460" s="359"/>
      <c r="GM460" s="359"/>
      <c r="GN460" s="359"/>
      <c r="GO460" s="359"/>
      <c r="GP460" s="359"/>
      <c r="GQ460" s="359"/>
      <c r="GR460" s="359"/>
      <c r="GS460" s="359"/>
      <c r="GT460" s="359"/>
      <c r="GU460" s="359"/>
      <c r="GV460" s="359"/>
      <c r="GW460" s="359"/>
      <c r="GX460" s="359"/>
      <c r="GY460" s="359"/>
      <c r="GZ460" s="359"/>
      <c r="HA460" s="359"/>
      <c r="HB460" s="359"/>
      <c r="HC460" s="359"/>
      <c r="HD460" s="359"/>
      <c r="HE460" s="359"/>
      <c r="HF460" s="359"/>
      <c r="HG460" s="359"/>
      <c r="HH460" s="359"/>
      <c r="HI460" s="359"/>
      <c r="HJ460" s="359"/>
      <c r="HK460" s="359"/>
      <c r="HL460" s="359"/>
      <c r="HM460" s="359"/>
      <c r="HN460" s="359"/>
      <c r="HO460" s="359"/>
      <c r="HP460" s="359"/>
      <c r="HQ460" s="359"/>
      <c r="HR460" s="359"/>
      <c r="HS460" s="359"/>
      <c r="HT460" s="359"/>
      <c r="HU460" s="359"/>
      <c r="HV460" s="359"/>
      <c r="HW460" s="359"/>
      <c r="HX460" s="359"/>
      <c r="HY460" s="359"/>
      <c r="HZ460" s="359"/>
      <c r="IA460" s="359"/>
      <c r="IB460" s="359"/>
      <c r="IC460" s="359"/>
      <c r="ID460" s="359"/>
      <c r="IE460" s="359"/>
      <c r="IF460" s="359"/>
      <c r="IG460" s="359"/>
      <c r="IH460" s="359"/>
      <c r="II460" s="359"/>
      <c r="IJ460" s="359"/>
      <c r="IK460" s="359"/>
      <c r="IL460" s="359"/>
      <c r="IM460" s="359"/>
      <c r="IN460" s="359"/>
      <c r="IO460" s="359"/>
      <c r="IP460" s="359"/>
      <c r="IQ460" s="359"/>
      <c r="IR460" s="359"/>
      <c r="IS460" s="359"/>
      <c r="IT460" s="359"/>
      <c r="IU460" s="359"/>
      <c r="IV460" s="359"/>
      <c r="IW460" s="359"/>
      <c r="IX460" s="359"/>
      <c r="IY460" s="359"/>
      <c r="IZ460" s="359"/>
      <c r="JA460" s="359"/>
      <c r="JB460" s="359"/>
      <c r="JC460" s="359"/>
      <c r="JD460" s="359"/>
      <c r="JE460" s="359"/>
      <c r="JF460" s="359"/>
      <c r="JG460" s="359"/>
      <c r="JH460" s="359"/>
      <c r="JI460" s="2469"/>
      <c r="JJ460" s="2469"/>
      <c r="JK460" s="2469"/>
      <c r="JL460" s="2469"/>
      <c r="JM460" s="2469"/>
      <c r="JN460" s="2469"/>
      <c r="JO460" s="2469"/>
      <c r="JP460" s="2469"/>
      <c r="JQ460" s="2469"/>
      <c r="JR460" s="2469"/>
      <c r="JS460" s="2469"/>
      <c r="JT460" s="2469"/>
      <c r="JU460" s="2469"/>
      <c r="JV460" s="2469"/>
      <c r="JW460" s="2469"/>
      <c r="JX460" s="2469"/>
      <c r="JY460" s="2469"/>
      <c r="JZ460" s="2469"/>
      <c r="KA460" s="2469"/>
      <c r="KB460" s="2469"/>
      <c r="KC460" s="2469"/>
      <c r="KD460" s="2469"/>
      <c r="KE460" s="2469"/>
      <c r="KF460" s="2469"/>
      <c r="KG460" s="2469"/>
      <c r="KH460" s="2469"/>
      <c r="KI460" s="2469"/>
      <c r="KJ460" s="2469"/>
      <c r="KK460" s="2469"/>
      <c r="KL460" s="2469"/>
      <c r="KM460" s="2469"/>
      <c r="KN460" s="2469"/>
      <c r="KO460" s="2469"/>
      <c r="KP460" s="2469"/>
      <c r="KQ460" s="2469"/>
      <c r="KR460" s="2469"/>
      <c r="KS460" s="2469"/>
      <c r="KT460" s="2469"/>
      <c r="KU460" s="2469"/>
      <c r="KV460" s="2469"/>
      <c r="KW460" s="2469"/>
      <c r="KX460" s="2469"/>
      <c r="KY460" s="2469"/>
      <c r="KZ460" s="2469"/>
      <c r="LA460" s="2469"/>
      <c r="LB460" s="2469"/>
      <c r="LC460" s="2469"/>
      <c r="LD460" s="2469"/>
      <c r="LE460" s="2469"/>
      <c r="LF460" s="2469"/>
      <c r="LG460" s="2469"/>
      <c r="LH460" s="2469"/>
      <c r="LI460" s="2469"/>
      <c r="LJ460" s="2469"/>
      <c r="LK460" s="2469"/>
      <c r="LL460" s="2469"/>
      <c r="LM460" s="2469"/>
      <c r="LN460" s="2469"/>
      <c r="LO460" s="2469"/>
      <c r="LP460" s="2469"/>
      <c r="LQ460" s="2469"/>
      <c r="LR460" s="2469"/>
      <c r="LS460" s="2469"/>
      <c r="LT460" s="2469"/>
      <c r="LU460" s="2469"/>
      <c r="LV460" s="1409"/>
      <c r="LW460" s="1409"/>
      <c r="LX460" s="1409"/>
      <c r="LY460" s="1409"/>
      <c r="LZ460" s="1409"/>
      <c r="MA460" s="1409"/>
      <c r="MB460" s="1409"/>
      <c r="MC460" s="1409"/>
      <c r="MD460" s="1409"/>
      <c r="ME460" s="1409"/>
      <c r="MF460" s="1409"/>
      <c r="MG460" s="1409"/>
      <c r="MH460" s="1409"/>
      <c r="MI460" s="1409"/>
      <c r="MJ460" s="1409"/>
      <c r="MK460" s="1409"/>
      <c r="ML460" s="1409"/>
      <c r="MM460" s="1409"/>
      <c r="MN460" s="1409"/>
      <c r="MO460" s="1409"/>
      <c r="MP460" s="359"/>
      <c r="MQ460" s="359"/>
      <c r="MR460" s="359"/>
      <c r="MS460" s="359"/>
      <c r="MT460" s="359"/>
      <c r="MU460" s="359"/>
      <c r="MV460" s="359"/>
      <c r="MW460" s="359"/>
      <c r="MX460" s="359"/>
      <c r="MY460" s="359"/>
      <c r="MZ460" s="359"/>
      <c r="NA460" s="359"/>
      <c r="NB460" s="359"/>
      <c r="NC460" s="359"/>
      <c r="ND460" s="359"/>
      <c r="NE460" s="359"/>
      <c r="NF460" s="359"/>
      <c r="NG460" s="359"/>
      <c r="NH460" s="359"/>
      <c r="NI460" s="359"/>
      <c r="NJ460" s="359"/>
      <c r="NK460" s="359"/>
      <c r="NL460" s="359"/>
      <c r="NM460" s="359"/>
      <c r="NN460" s="359"/>
      <c r="NO460" s="359"/>
      <c r="NP460" s="359"/>
      <c r="NQ460" s="359"/>
      <c r="NR460" s="359"/>
      <c r="NS460" s="359"/>
      <c r="NT460" s="1409"/>
      <c r="NU460" s="1409"/>
      <c r="NV460" s="1409"/>
      <c r="NW460" s="1409"/>
      <c r="NX460" s="1409"/>
      <c r="NY460" s="359"/>
      <c r="NZ460" s="359"/>
      <c r="OA460" s="359"/>
      <c r="OB460" s="359"/>
      <c r="OC460" s="359"/>
      <c r="OZ460" s="1784">
        <v>7</v>
      </c>
    </row>
    <row r="461" spans="1:416" s="358" customFormat="1" ht="12.6" customHeight="1">
      <c r="A461" s="2712"/>
      <c r="B461" s="2714" t="s">
        <v>3641</v>
      </c>
      <c r="I461" s="1536"/>
      <c r="J461" s="2714" t="s">
        <v>742</v>
      </c>
      <c r="K461" s="2714" t="s">
        <v>3097</v>
      </c>
      <c r="N461" s="2721" t="s">
        <v>4371</v>
      </c>
      <c r="O461" s="2547" t="str">
        <f>'Part V-Revenues &amp; Expenses'!O8</f>
        <v>Novogradac Rent &amp; Income Calculator</v>
      </c>
      <c r="P461" s="2547"/>
      <c r="Q461" s="2710"/>
      <c r="R461" s="1639"/>
      <c r="S461" s="2706" t="s">
        <v>2446</v>
      </c>
      <c r="X461" s="359"/>
      <c r="Y461" s="359"/>
      <c r="Z461" s="359"/>
      <c r="AA461" s="359"/>
      <c r="AB461" s="359"/>
      <c r="AC461" s="359"/>
      <c r="AD461" s="359"/>
      <c r="AE461" s="359"/>
      <c r="AF461" s="359"/>
      <c r="AG461" s="359"/>
      <c r="AH461" s="359"/>
      <c r="AI461" s="359"/>
      <c r="AJ461" s="359"/>
      <c r="AK461" s="359"/>
      <c r="AL461" s="359"/>
      <c r="AM461" s="359"/>
      <c r="AN461" s="359"/>
      <c r="AO461" s="359"/>
      <c r="AP461" s="359"/>
      <c r="AQ461" s="359"/>
      <c r="AR461" s="359"/>
      <c r="AS461" s="359"/>
      <c r="AT461" s="359"/>
      <c r="AU461" s="359"/>
      <c r="AV461" s="359"/>
      <c r="AW461" s="359"/>
      <c r="AX461" s="359"/>
      <c r="AY461" s="359"/>
      <c r="AZ461" s="359"/>
      <c r="BA461" s="359"/>
      <c r="BB461" s="359"/>
      <c r="BC461" s="359"/>
      <c r="BD461" s="359"/>
      <c r="BE461" s="359"/>
      <c r="BF461" s="359"/>
      <c r="BG461" s="359"/>
      <c r="BH461" s="359"/>
      <c r="BI461" s="359"/>
      <c r="BJ461" s="359"/>
      <c r="BK461" s="359"/>
      <c r="BL461" s="359"/>
      <c r="BM461" s="359"/>
      <c r="BN461" s="359"/>
      <c r="BO461" s="359"/>
      <c r="BP461" s="359"/>
      <c r="BQ461" s="359"/>
      <c r="BR461" s="359"/>
      <c r="BS461" s="359"/>
      <c r="BT461" s="359"/>
      <c r="BU461" s="359"/>
      <c r="BV461" s="359"/>
      <c r="BW461" s="359"/>
      <c r="BX461" s="359"/>
      <c r="BY461" s="359"/>
      <c r="BZ461" s="359"/>
      <c r="CA461" s="359"/>
      <c r="CB461" s="359"/>
      <c r="CC461" s="359"/>
      <c r="CD461" s="359"/>
      <c r="CE461" s="359"/>
      <c r="CF461" s="359"/>
      <c r="CG461" s="359"/>
      <c r="CH461" s="359"/>
      <c r="CI461" s="359"/>
      <c r="CJ461" s="359"/>
      <c r="CK461" s="359"/>
      <c r="CL461" s="359"/>
      <c r="CM461" s="359"/>
      <c r="CN461" s="359"/>
      <c r="CO461" s="359"/>
      <c r="CP461" s="359"/>
      <c r="CQ461" s="359"/>
      <c r="CR461" s="359"/>
      <c r="CS461" s="359"/>
      <c r="CT461" s="359"/>
      <c r="CU461" s="359"/>
      <c r="CV461" s="359"/>
      <c r="CW461" s="359"/>
      <c r="CX461" s="359"/>
      <c r="CY461" s="359"/>
      <c r="CZ461" s="359"/>
      <c r="DA461" s="359"/>
      <c r="DB461" s="359"/>
      <c r="DC461" s="359"/>
      <c r="DD461" s="359"/>
      <c r="DE461" s="359"/>
      <c r="DF461" s="359"/>
      <c r="DG461" s="359"/>
      <c r="DH461" s="359"/>
      <c r="DI461" s="359"/>
      <c r="DJ461" s="359"/>
      <c r="DK461" s="359"/>
      <c r="DL461" s="359"/>
      <c r="DM461" s="359"/>
      <c r="DN461" s="359"/>
      <c r="DO461" s="359"/>
      <c r="DP461" s="359"/>
      <c r="DQ461" s="359"/>
      <c r="DR461" s="359"/>
      <c r="DS461" s="359"/>
      <c r="DT461" s="359"/>
      <c r="DU461" s="359"/>
      <c r="DV461" s="359"/>
      <c r="DW461" s="359"/>
      <c r="DX461" s="359"/>
      <c r="DY461" s="359"/>
      <c r="DZ461" s="359"/>
      <c r="EA461" s="359"/>
      <c r="EB461" s="359"/>
      <c r="EC461" s="359"/>
      <c r="ED461" s="359"/>
      <c r="EE461" s="359"/>
      <c r="EF461" s="359"/>
      <c r="EG461" s="359"/>
      <c r="EH461" s="359"/>
      <c r="EI461" s="359"/>
      <c r="EJ461" s="359"/>
      <c r="EK461" s="359"/>
      <c r="EL461" s="359"/>
      <c r="EM461" s="359"/>
      <c r="EN461" s="359"/>
      <c r="EO461" s="359"/>
      <c r="EP461" s="359"/>
      <c r="EQ461" s="359"/>
      <c r="ER461" s="359"/>
      <c r="ES461" s="359"/>
      <c r="ET461" s="359"/>
      <c r="EU461" s="359"/>
      <c r="EV461" s="359"/>
      <c r="EW461" s="359"/>
      <c r="EX461" s="359"/>
      <c r="EY461" s="359"/>
      <c r="EZ461" s="359"/>
      <c r="FA461" s="359"/>
      <c r="FB461" s="359"/>
      <c r="FC461" s="359"/>
      <c r="FD461" s="359"/>
      <c r="FE461" s="359"/>
      <c r="FF461" s="359"/>
      <c r="FG461" s="359"/>
      <c r="FH461" s="359"/>
      <c r="FI461" s="359"/>
      <c r="FJ461" s="359"/>
      <c r="FK461" s="359"/>
      <c r="FL461" s="359"/>
      <c r="FM461" s="359"/>
      <c r="FN461" s="359"/>
      <c r="FO461" s="359"/>
      <c r="FP461" s="359"/>
      <c r="FQ461" s="359"/>
      <c r="FR461" s="359"/>
      <c r="FS461" s="359"/>
      <c r="FT461" s="359"/>
      <c r="FU461" s="359"/>
      <c r="FV461" s="359"/>
      <c r="FW461" s="359"/>
      <c r="FX461" s="359"/>
      <c r="FY461" s="359"/>
      <c r="FZ461" s="359"/>
      <c r="GA461" s="359"/>
      <c r="GB461" s="359"/>
      <c r="GC461" s="359"/>
      <c r="GD461" s="359"/>
      <c r="GE461" s="359"/>
      <c r="GF461" s="359"/>
      <c r="GG461" s="359"/>
      <c r="GH461" s="359"/>
      <c r="GI461" s="359"/>
      <c r="GJ461" s="359"/>
      <c r="GK461" s="359"/>
      <c r="GL461" s="359"/>
      <c r="GM461" s="359"/>
      <c r="GN461" s="359"/>
      <c r="GO461" s="359"/>
      <c r="GP461" s="359"/>
      <c r="GQ461" s="359"/>
      <c r="GR461" s="359"/>
      <c r="GS461" s="359"/>
      <c r="GT461" s="359"/>
      <c r="GU461" s="359"/>
      <c r="GV461" s="359"/>
      <c r="GW461" s="359"/>
      <c r="GX461" s="359"/>
      <c r="GY461" s="359"/>
      <c r="GZ461" s="359"/>
      <c r="HA461" s="359"/>
      <c r="HB461" s="359"/>
      <c r="HC461" s="359"/>
      <c r="HD461" s="359"/>
      <c r="HE461" s="359"/>
      <c r="HF461" s="359"/>
      <c r="HG461" s="359"/>
      <c r="HH461" s="359"/>
      <c r="HI461" s="359"/>
      <c r="HJ461" s="359"/>
      <c r="HK461" s="359"/>
      <c r="HL461" s="359"/>
      <c r="HM461" s="359"/>
      <c r="HN461" s="359"/>
      <c r="HO461" s="359"/>
      <c r="HP461" s="359"/>
      <c r="HQ461" s="359"/>
      <c r="HR461" s="359"/>
      <c r="HS461" s="359"/>
      <c r="HT461" s="359"/>
      <c r="HU461" s="359"/>
      <c r="HV461" s="359"/>
      <c r="HW461" s="359"/>
      <c r="HX461" s="359"/>
      <c r="HY461" s="359"/>
      <c r="HZ461" s="359"/>
      <c r="IA461" s="359"/>
      <c r="IB461" s="359"/>
      <c r="IC461" s="359"/>
      <c r="ID461" s="359"/>
      <c r="IE461" s="359"/>
      <c r="IF461" s="359"/>
      <c r="IG461" s="359"/>
      <c r="IH461" s="359"/>
      <c r="II461" s="359"/>
      <c r="IJ461" s="359"/>
      <c r="IK461" s="359"/>
      <c r="IL461" s="359"/>
      <c r="IM461" s="359"/>
      <c r="IN461" s="359"/>
      <c r="IO461" s="359"/>
      <c r="IP461" s="359"/>
      <c r="IQ461" s="359"/>
      <c r="IR461" s="359"/>
      <c r="IS461" s="359"/>
      <c r="IT461" s="359"/>
      <c r="IU461" s="359"/>
      <c r="IV461" s="359"/>
      <c r="IW461" s="359"/>
      <c r="IX461" s="359"/>
      <c r="IY461" s="359"/>
      <c r="IZ461" s="359"/>
      <c r="JA461" s="359"/>
      <c r="JB461" s="359"/>
      <c r="JC461" s="359"/>
      <c r="JD461" s="359"/>
      <c r="JE461" s="359"/>
      <c r="JF461" s="359"/>
      <c r="JG461" s="359"/>
      <c r="JH461" s="359"/>
      <c r="JI461" s="2469"/>
      <c r="JJ461" s="2469"/>
      <c r="JK461" s="2469"/>
      <c r="JL461" s="2469"/>
      <c r="JM461" s="2469"/>
      <c r="JN461" s="2469"/>
      <c r="JO461" s="2469"/>
      <c r="JP461" s="2469"/>
      <c r="JQ461" s="2469"/>
      <c r="JR461" s="2469"/>
      <c r="JS461" s="2469"/>
      <c r="JT461" s="2469"/>
      <c r="JU461" s="2469"/>
      <c r="JV461" s="2469"/>
      <c r="JW461" s="2469"/>
      <c r="JX461" s="2469"/>
      <c r="JY461" s="2469"/>
      <c r="JZ461" s="2469"/>
      <c r="KA461" s="2469"/>
      <c r="KB461" s="2469"/>
      <c r="KC461" s="2469"/>
      <c r="KD461" s="2469"/>
      <c r="KE461" s="2469"/>
      <c r="KF461" s="2469"/>
      <c r="KG461" s="2469"/>
      <c r="KH461" s="2468" t="s">
        <v>525</v>
      </c>
      <c r="KI461" s="2468" t="s">
        <v>2238</v>
      </c>
      <c r="KJ461" s="2468" t="s">
        <v>2239</v>
      </c>
      <c r="KK461" s="2468" t="s">
        <v>2240</v>
      </c>
      <c r="KL461" s="2468" t="s">
        <v>2241</v>
      </c>
      <c r="KM461" s="2468" t="s">
        <v>525</v>
      </c>
      <c r="KN461" s="2468" t="s">
        <v>2238</v>
      </c>
      <c r="KO461" s="2468" t="s">
        <v>2239</v>
      </c>
      <c r="KP461" s="2468" t="s">
        <v>2240</v>
      </c>
      <c r="KQ461" s="2468" t="s">
        <v>2241</v>
      </c>
      <c r="KR461" s="2468" t="s">
        <v>525</v>
      </c>
      <c r="KS461" s="2468" t="s">
        <v>2238</v>
      </c>
      <c r="KT461" s="2468" t="s">
        <v>2239</v>
      </c>
      <c r="KU461" s="2468" t="s">
        <v>2240</v>
      </c>
      <c r="KV461" s="2468" t="s">
        <v>2241</v>
      </c>
      <c r="KW461" s="2468" t="s">
        <v>525</v>
      </c>
      <c r="KX461" s="2468" t="s">
        <v>2238</v>
      </c>
      <c r="KY461" s="2468" t="s">
        <v>2239</v>
      </c>
      <c r="KZ461" s="2468" t="s">
        <v>2240</v>
      </c>
      <c r="LA461" s="2468" t="s">
        <v>2241</v>
      </c>
      <c r="LB461" s="2468" t="s">
        <v>525</v>
      </c>
      <c r="LC461" s="2468" t="s">
        <v>2238</v>
      </c>
      <c r="LD461" s="2468" t="s">
        <v>2239</v>
      </c>
      <c r="LE461" s="2468" t="s">
        <v>2240</v>
      </c>
      <c r="LF461" s="2468" t="s">
        <v>2241</v>
      </c>
      <c r="LG461" s="2468" t="s">
        <v>525</v>
      </c>
      <c r="LH461" s="2468" t="s">
        <v>2238</v>
      </c>
      <c r="LI461" s="2468" t="s">
        <v>2239</v>
      </c>
      <c r="LJ461" s="2468" t="s">
        <v>2240</v>
      </c>
      <c r="LK461" s="2468" t="s">
        <v>2241</v>
      </c>
      <c r="LL461" s="2468" t="s">
        <v>525</v>
      </c>
      <c r="LM461" s="2468" t="s">
        <v>2238</v>
      </c>
      <c r="LN461" s="2468" t="s">
        <v>2239</v>
      </c>
      <c r="LO461" s="2468" t="s">
        <v>2240</v>
      </c>
      <c r="LP461" s="2468" t="s">
        <v>2241</v>
      </c>
      <c r="LQ461" s="2468" t="s">
        <v>525</v>
      </c>
      <c r="LR461" s="2468" t="s">
        <v>2238</v>
      </c>
      <c r="LS461" s="2468" t="s">
        <v>2239</v>
      </c>
      <c r="LT461" s="2468" t="s">
        <v>2240</v>
      </c>
      <c r="LU461" s="2468" t="s">
        <v>2241</v>
      </c>
      <c r="LV461" s="2468" t="s">
        <v>525</v>
      </c>
      <c r="LW461" s="2468" t="s">
        <v>2238</v>
      </c>
      <c r="LX461" s="2468" t="s">
        <v>2239</v>
      </c>
      <c r="LY461" s="2468" t="s">
        <v>2240</v>
      </c>
      <c r="LZ461" s="2468" t="s">
        <v>2241</v>
      </c>
      <c r="MA461" s="2468" t="s">
        <v>525</v>
      </c>
      <c r="MB461" s="2468" t="s">
        <v>2238</v>
      </c>
      <c r="MC461" s="2468" t="s">
        <v>2239</v>
      </c>
      <c r="MD461" s="2468" t="s">
        <v>2240</v>
      </c>
      <c r="ME461" s="2468" t="s">
        <v>2241</v>
      </c>
      <c r="MF461" s="2468" t="s">
        <v>525</v>
      </c>
      <c r="MG461" s="2468" t="s">
        <v>2238</v>
      </c>
      <c r="MH461" s="2468" t="s">
        <v>2239</v>
      </c>
      <c r="MI461" s="2468" t="s">
        <v>2240</v>
      </c>
      <c r="MJ461" s="2468" t="s">
        <v>2241</v>
      </c>
      <c r="MK461" s="2468" t="s">
        <v>525</v>
      </c>
      <c r="ML461" s="2468" t="s">
        <v>2238</v>
      </c>
      <c r="MM461" s="2468" t="s">
        <v>2239</v>
      </c>
      <c r="MN461" s="2468" t="s">
        <v>2240</v>
      </c>
      <c r="MO461" s="2468" t="s">
        <v>2241</v>
      </c>
      <c r="MP461" s="359"/>
      <c r="MQ461" s="359"/>
      <c r="MR461" s="359"/>
      <c r="MS461" s="359"/>
      <c r="MT461" s="359"/>
      <c r="MU461" s="359"/>
      <c r="MV461" s="359"/>
      <c r="MW461" s="359"/>
      <c r="MX461" s="359"/>
      <c r="MY461" s="359"/>
      <c r="MZ461" s="359"/>
      <c r="NA461" s="359"/>
      <c r="NB461" s="359"/>
      <c r="NC461" s="359"/>
      <c r="ND461" s="359"/>
      <c r="NE461" s="359"/>
      <c r="NF461" s="359"/>
      <c r="NG461" s="359"/>
      <c r="NH461" s="359"/>
      <c r="NI461" s="359"/>
      <c r="NJ461" s="359"/>
      <c r="NK461" s="359"/>
      <c r="NL461" s="359"/>
      <c r="NM461" s="359"/>
      <c r="NN461" s="359"/>
      <c r="NO461" s="359"/>
      <c r="NP461" s="359"/>
      <c r="NQ461" s="359"/>
      <c r="NR461" s="359"/>
      <c r="NS461" s="359"/>
      <c r="NT461" s="1409"/>
      <c r="NU461" s="1409"/>
      <c r="NV461" s="1409"/>
      <c r="NW461" s="1409"/>
      <c r="NX461" s="1409"/>
      <c r="NY461" s="359"/>
      <c r="NZ461" s="359"/>
      <c r="OA461" s="359"/>
      <c r="OB461" s="359"/>
      <c r="OC461" s="359"/>
      <c r="OZ461" s="1784">
        <v>8</v>
      </c>
    </row>
    <row r="462" spans="1:416" s="359" customFormat="1" ht="11.25" customHeight="1">
      <c r="A462" s="2712"/>
      <c r="B462" s="2714" t="s">
        <v>3642</v>
      </c>
      <c r="C462" s="2714" t="s">
        <v>165</v>
      </c>
      <c r="D462" s="2714" t="s">
        <v>509</v>
      </c>
      <c r="E462" s="2714" t="s">
        <v>1380</v>
      </c>
      <c r="F462" s="2714" t="s">
        <v>1380</v>
      </c>
      <c r="G462" s="1536" t="s">
        <v>3987</v>
      </c>
      <c r="H462" s="2711" t="s">
        <v>3215</v>
      </c>
      <c r="I462" s="1536"/>
      <c r="J462" s="2722" t="s">
        <v>3981</v>
      </c>
      <c r="K462" s="2714" t="s">
        <v>5141</v>
      </c>
      <c r="L462" s="1536" t="s">
        <v>139</v>
      </c>
      <c r="M462" s="1536"/>
      <c r="N462" s="2714" t="s">
        <v>2177</v>
      </c>
      <c r="O462" s="2714" t="s">
        <v>4374</v>
      </c>
      <c r="P462" s="2710" t="s">
        <v>5142</v>
      </c>
      <c r="Q462" s="2710"/>
      <c r="R462" s="2714" t="s">
        <v>2445</v>
      </c>
      <c r="S462" s="2714" t="s">
        <v>2447</v>
      </c>
      <c r="T462" s="2714"/>
      <c r="JI462" s="359" t="s">
        <v>1369</v>
      </c>
      <c r="JJ462" s="2468" t="s">
        <v>2238</v>
      </c>
      <c r="JK462" s="2468" t="s">
        <v>2239</v>
      </c>
      <c r="JL462" s="2468" t="s">
        <v>2240</v>
      </c>
      <c r="JM462" s="2468" t="s">
        <v>2241</v>
      </c>
      <c r="JN462" s="359" t="s">
        <v>2292</v>
      </c>
      <c r="JO462" s="359" t="s">
        <v>2292</v>
      </c>
      <c r="JP462" s="359" t="s">
        <v>2292</v>
      </c>
      <c r="JQ462" s="359" t="s">
        <v>2292</v>
      </c>
      <c r="JR462" s="359" t="s">
        <v>2292</v>
      </c>
      <c r="JS462" s="359" t="s">
        <v>2927</v>
      </c>
      <c r="JT462" s="359" t="s">
        <v>2927</v>
      </c>
      <c r="JU462" s="359" t="s">
        <v>2927</v>
      </c>
      <c r="JV462" s="359" t="s">
        <v>2927</v>
      </c>
      <c r="JW462" s="359" t="s">
        <v>2927</v>
      </c>
      <c r="JX462" s="2468" t="s">
        <v>525</v>
      </c>
      <c r="JY462" s="2468" t="s">
        <v>2238</v>
      </c>
      <c r="JZ462" s="2468" t="s">
        <v>2239</v>
      </c>
      <c r="KA462" s="2468" t="s">
        <v>2240</v>
      </c>
      <c r="KB462" s="2468" t="s">
        <v>2241</v>
      </c>
      <c r="KC462" s="2468" t="s">
        <v>525</v>
      </c>
      <c r="KD462" s="2468" t="s">
        <v>2238</v>
      </c>
      <c r="KE462" s="2468" t="s">
        <v>2239</v>
      </c>
      <c r="KF462" s="2468" t="s">
        <v>2240</v>
      </c>
      <c r="KG462" s="2468" t="s">
        <v>2241</v>
      </c>
      <c r="KH462" s="359" t="s">
        <v>4177</v>
      </c>
      <c r="KI462" s="359" t="s">
        <v>4177</v>
      </c>
      <c r="KJ462" s="359" t="s">
        <v>4177</v>
      </c>
      <c r="KK462" s="359" t="s">
        <v>4177</v>
      </c>
      <c r="KL462" s="359" t="s">
        <v>4177</v>
      </c>
      <c r="KM462" s="359" t="s">
        <v>4178</v>
      </c>
      <c r="KN462" s="359" t="s">
        <v>4178</v>
      </c>
      <c r="KO462" s="359" t="s">
        <v>4178</v>
      </c>
      <c r="KP462" s="359" t="s">
        <v>4178</v>
      </c>
      <c r="KQ462" s="359" t="s">
        <v>4178</v>
      </c>
      <c r="KR462" s="359" t="s">
        <v>4180</v>
      </c>
      <c r="KS462" s="359" t="s">
        <v>4180</v>
      </c>
      <c r="KT462" s="359" t="s">
        <v>4180</v>
      </c>
      <c r="KU462" s="359" t="s">
        <v>4180</v>
      </c>
      <c r="KV462" s="359" t="s">
        <v>4180</v>
      </c>
      <c r="KW462" s="359" t="s">
        <v>4181</v>
      </c>
      <c r="KX462" s="359" t="s">
        <v>4181</v>
      </c>
      <c r="KY462" s="359" t="s">
        <v>4181</v>
      </c>
      <c r="KZ462" s="359" t="s">
        <v>4181</v>
      </c>
      <c r="LA462" s="359" t="s">
        <v>4181</v>
      </c>
      <c r="LB462" s="359" t="s">
        <v>4182</v>
      </c>
      <c r="LC462" s="359" t="s">
        <v>4182</v>
      </c>
      <c r="LD462" s="359" t="s">
        <v>4182</v>
      </c>
      <c r="LE462" s="359" t="s">
        <v>4182</v>
      </c>
      <c r="LF462" s="359" t="s">
        <v>4182</v>
      </c>
      <c r="LG462" s="359" t="s">
        <v>4375</v>
      </c>
      <c r="LH462" s="359" t="s">
        <v>4375</v>
      </c>
      <c r="LI462" s="359" t="s">
        <v>4375</v>
      </c>
      <c r="LJ462" s="359" t="s">
        <v>4375</v>
      </c>
      <c r="LK462" s="359" t="s">
        <v>4375</v>
      </c>
      <c r="LL462" s="359" t="s">
        <v>5077</v>
      </c>
      <c r="LM462" s="359" t="s">
        <v>5077</v>
      </c>
      <c r="LN462" s="359" t="s">
        <v>5077</v>
      </c>
      <c r="LO462" s="359" t="s">
        <v>5077</v>
      </c>
      <c r="LP462" s="359" t="s">
        <v>5077</v>
      </c>
      <c r="LQ462" s="359" t="s">
        <v>5078</v>
      </c>
      <c r="LR462" s="359" t="s">
        <v>5078</v>
      </c>
      <c r="LS462" s="359" t="s">
        <v>5078</v>
      </c>
      <c r="LT462" s="359" t="s">
        <v>5078</v>
      </c>
      <c r="LU462" s="359" t="s">
        <v>5078</v>
      </c>
      <c r="LV462" s="359" t="s">
        <v>4184</v>
      </c>
      <c r="LW462" s="359" t="s">
        <v>4184</v>
      </c>
      <c r="LX462" s="359" t="s">
        <v>4184</v>
      </c>
      <c r="LY462" s="359" t="s">
        <v>4184</v>
      </c>
      <c r="LZ462" s="359" t="s">
        <v>4184</v>
      </c>
      <c r="MA462" s="359" t="s">
        <v>4376</v>
      </c>
      <c r="MB462" s="359" t="s">
        <v>4376</v>
      </c>
      <c r="MC462" s="359" t="s">
        <v>4376</v>
      </c>
      <c r="MD462" s="359" t="s">
        <v>4376</v>
      </c>
      <c r="ME462" s="359" t="s">
        <v>4376</v>
      </c>
      <c r="MF462" s="359" t="s">
        <v>5079</v>
      </c>
      <c r="MG462" s="359" t="s">
        <v>5079</v>
      </c>
      <c r="MH462" s="359" t="s">
        <v>5079</v>
      </c>
      <c r="MI462" s="359" t="s">
        <v>5079</v>
      </c>
      <c r="MJ462" s="359" t="s">
        <v>5079</v>
      </c>
      <c r="MK462" s="359" t="s">
        <v>5080</v>
      </c>
      <c r="ML462" s="359" t="s">
        <v>5080</v>
      </c>
      <c r="MM462" s="359" t="s">
        <v>5080</v>
      </c>
      <c r="MN462" s="359" t="s">
        <v>5080</v>
      </c>
      <c r="MO462" s="359" t="s">
        <v>5080</v>
      </c>
      <c r="NT462" s="1409"/>
      <c r="NU462" s="1409"/>
      <c r="NV462" s="1409"/>
      <c r="NW462" s="1409"/>
      <c r="NX462" s="1409"/>
      <c r="OZ462" s="2468">
        <v>9</v>
      </c>
    </row>
    <row r="463" spans="1:416" s="359" customFormat="1" ht="11.25" customHeight="1">
      <c r="A463" s="2712"/>
      <c r="B463" s="2723" t="s">
        <v>3803</v>
      </c>
      <c r="C463" s="2714" t="s">
        <v>164</v>
      </c>
      <c r="D463" s="2714" t="s">
        <v>166</v>
      </c>
      <c r="E463" s="2714" t="s">
        <v>1381</v>
      </c>
      <c r="F463" s="2714" t="s">
        <v>1201</v>
      </c>
      <c r="G463" s="1536"/>
      <c r="H463" s="2714" t="s">
        <v>3988</v>
      </c>
      <c r="I463" s="1536"/>
      <c r="J463" s="2722"/>
      <c r="K463" s="2724" t="s">
        <v>334</v>
      </c>
      <c r="L463" s="2714" t="s">
        <v>1430</v>
      </c>
      <c r="M463" s="2714" t="s">
        <v>503</v>
      </c>
      <c r="N463" s="2714" t="s">
        <v>1380</v>
      </c>
      <c r="O463" s="2714" t="s">
        <v>4388</v>
      </c>
      <c r="P463" s="2710"/>
      <c r="Q463" s="2710"/>
      <c r="R463" s="2714" t="s">
        <v>1382</v>
      </c>
      <c r="S463" s="2714" t="s">
        <v>2448</v>
      </c>
      <c r="T463" s="360" t="s">
        <v>1705</v>
      </c>
      <c r="W463" s="360"/>
      <c r="JJ463" s="2468" t="s">
        <v>2291</v>
      </c>
      <c r="JK463" s="2468" t="s">
        <v>2291</v>
      </c>
      <c r="JL463" s="2468" t="s">
        <v>2291</v>
      </c>
      <c r="JM463" s="2468" t="s">
        <v>2291</v>
      </c>
      <c r="JX463" s="2468" t="s">
        <v>2293</v>
      </c>
      <c r="JY463" s="2468" t="s">
        <v>2293</v>
      </c>
      <c r="JZ463" s="2468" t="s">
        <v>2293</v>
      </c>
      <c r="KA463" s="2468" t="s">
        <v>2293</v>
      </c>
      <c r="KB463" s="2468" t="s">
        <v>2293</v>
      </c>
      <c r="KC463" s="2468" t="s">
        <v>2928</v>
      </c>
      <c r="KD463" s="2468" t="s">
        <v>2928</v>
      </c>
      <c r="KE463" s="2468" t="s">
        <v>2928</v>
      </c>
      <c r="KF463" s="2468" t="s">
        <v>2928</v>
      </c>
      <c r="KG463" s="2468" t="s">
        <v>2928</v>
      </c>
      <c r="NT463" s="1409"/>
      <c r="NU463" s="1409"/>
      <c r="NV463" s="1409"/>
      <c r="NW463" s="1409"/>
      <c r="NX463" s="1409"/>
      <c r="OZ463" s="1784">
        <v>10</v>
      </c>
    </row>
    <row r="464" spans="1:416" ht="12" customHeight="1">
      <c r="A464" s="2706" t="str">
        <f t="shared" ref="A464:A510" si="0">IF(AND(E464&gt;0,OR(B464="",C464="",D464="",F464="",G464="", H464="",I464="",N464="",O464="",P464="",Q464="")),1,"")</f>
        <v/>
      </c>
      <c r="B464" s="2725" t="str">
        <f>'Part V-Revenues &amp; Expenses'!B11</f>
        <v>N/A-CS</v>
      </c>
      <c r="C464" s="2726">
        <f>'Part V-Revenues &amp; Expenses'!C11</f>
        <v>0</v>
      </c>
      <c r="D464" s="2727">
        <f>'Part V-Revenues &amp; Expenses'!D11</f>
        <v>0</v>
      </c>
      <c r="E464" s="2728">
        <f>'Part V-Revenues &amp; Expenses'!E11</f>
        <v>0</v>
      </c>
      <c r="F464" s="2728">
        <f>'Part V-Revenues &amp; Expenses'!F11</f>
        <v>0</v>
      </c>
      <c r="G464" s="2728">
        <f>'Part V-Revenues &amp; Expenses'!G11</f>
        <v>0</v>
      </c>
      <c r="H464" s="2728">
        <f>'Part V-Revenues &amp; Expenses'!H11</f>
        <v>0</v>
      </c>
      <c r="I464" s="2728">
        <f>'Part V-Revenues &amp; Expenses'!I11</f>
        <v>0</v>
      </c>
      <c r="J464" s="2728">
        <f>'Part V-Revenues &amp; Expenses'!J11</f>
        <v>0</v>
      </c>
      <c r="K464" s="2729">
        <f>'Part V-Revenues &amp; Expenses'!K11</f>
        <v>0</v>
      </c>
      <c r="L464" s="2730">
        <f t="shared" ref="L464:L510" si="1">MAX(0,H464-I464-J464)</f>
        <v>0</v>
      </c>
      <c r="M464" s="2730">
        <f t="shared" ref="M464:M510" si="2">MAX(0,E464*L464)</f>
        <v>0</v>
      </c>
      <c r="N464" s="2580">
        <f>'Part V-Revenues &amp; Expenses'!N11</f>
        <v>0</v>
      </c>
      <c r="O464" s="1248">
        <f>'Part V-Revenues &amp; Expenses'!O11</f>
        <v>0</v>
      </c>
      <c r="P464" s="2580">
        <f>'Part V-Revenues &amp; Expenses'!P11</f>
        <v>0</v>
      </c>
      <c r="Q464" s="2469">
        <f>'Part V-Revenues &amp; Expenses'!Q11</f>
        <v>0</v>
      </c>
      <c r="R464" s="2731"/>
      <c r="S464" s="2732"/>
      <c r="T464" s="2647"/>
      <c r="U464" s="2647"/>
      <c r="V464" s="2647"/>
      <c r="W464" s="2647"/>
      <c r="X464" s="356" t="str">
        <f t="shared" ref="X464:X510" si="3">IF(AND(C464="Efficiency",B464=80,NOT(N464="Common Space")),E464,"")</f>
        <v/>
      </c>
      <c r="Y464" s="356" t="str">
        <f t="shared" ref="Y464:Y510" si="4">IF(AND(C464=1,B464=80,NOT(N464="Common Space")),E464,"")</f>
        <v/>
      </c>
      <c r="Z464" s="356" t="str">
        <f t="shared" ref="Z464:Z510" si="5">IF(AND(C464=2,B464=80,NOT(N464="Common Space")),E464,"")</f>
        <v/>
      </c>
      <c r="AA464" s="356" t="str">
        <f t="shared" ref="AA464:AA510" si="6">IF(AND(C464=3,B464=80,NOT(N464="Common Space")),E464,"")</f>
        <v/>
      </c>
      <c r="AB464" s="356" t="str">
        <f t="shared" ref="AB464:AB510" si="7">IF(AND(C464=4,B464=80,NOT(N464="Common Space")),E464,"")</f>
        <v/>
      </c>
      <c r="AC464" s="356" t="str">
        <f t="shared" ref="AC464:AC510" si="8">IF(AND(C464="Efficiency",B464=70,NOT(N464="Common Space")),E464,"")</f>
        <v/>
      </c>
      <c r="AD464" s="356" t="str">
        <f t="shared" ref="AD464:AD510" si="9">IF(AND(C464=1,B464=70,NOT(N464="Common Space")),E464,"")</f>
        <v/>
      </c>
      <c r="AE464" s="356" t="str">
        <f t="shared" ref="AE464:AE510" si="10">IF(AND(C464=2,B464=70,NOT(N464="Common Space")),E464,"")</f>
        <v/>
      </c>
      <c r="AF464" s="356" t="str">
        <f t="shared" ref="AF464:AF510" si="11">IF(AND(C464=3,B464=70,NOT(N464="Common Space")),E464,"")</f>
        <v/>
      </c>
      <c r="AG464" s="356" t="str">
        <f t="shared" ref="AG464:AG510" si="12">IF(AND(C464=4,B464=70,NOT(N464="Common Space")),E464,"")</f>
        <v/>
      </c>
      <c r="AH464" s="356" t="str">
        <f t="shared" ref="AH464:AH510" si="13">IF(AND(C464="Efficiency",B464=60,NOT(N464="Common Space")),E464,"")</f>
        <v/>
      </c>
      <c r="AI464" s="356" t="str">
        <f t="shared" ref="AI464:AI510" si="14">IF(AND(C464=1,B464=60,NOT(N464="Common Space")),E464,"")</f>
        <v/>
      </c>
      <c r="AJ464" s="356" t="str">
        <f t="shared" ref="AJ464:AJ510" si="15">IF(AND(C464=2,B464=60,NOT(N464="Common Space")),E464,"")</f>
        <v/>
      </c>
      <c r="AK464" s="356" t="str">
        <f t="shared" ref="AK464:AK510" si="16">IF(AND(C464=3,B464=60,NOT(N464="Common Space")),E464,"")</f>
        <v/>
      </c>
      <c r="AL464" s="356" t="str">
        <f t="shared" ref="AL464:AL510" si="17">IF(AND(C464=4,B464=60,NOT(N464="Common Space")),E464,"")</f>
        <v/>
      </c>
      <c r="AM464" s="356" t="str">
        <f t="shared" ref="AM464:AM510" si="18">IF(AND(C464="Efficiency",B464=50,NOT(N464="Common Space")),E464,"")</f>
        <v/>
      </c>
      <c r="AN464" s="356" t="str">
        <f t="shared" ref="AN464:AN510" si="19">IF(AND(C464=1,B464=50,NOT(N464="Common Space")),E464,"")</f>
        <v/>
      </c>
      <c r="AO464" s="356" t="str">
        <f t="shared" ref="AO464:AO510" si="20">IF(AND(C464=2,B464=50,NOT(N464="Common Space")),E464,"")</f>
        <v/>
      </c>
      <c r="AP464" s="356" t="str">
        <f t="shared" ref="AP464:AP510" si="21">IF(AND(C464=3,B464=50,NOT(N464="Common Space")),E464,"")</f>
        <v/>
      </c>
      <c r="AQ464" s="356" t="str">
        <f t="shared" ref="AQ464:AQ510" si="22">IF(AND(C464=4,B464=50,NOT(N464="Common Space")),E464,"")</f>
        <v/>
      </c>
      <c r="AR464" s="356" t="str">
        <f t="shared" ref="AR464:AR510" si="23">IF(AND(C464="Efficiency",B464=40,NOT(N464="Common Space")),E464,"")</f>
        <v/>
      </c>
      <c r="AS464" s="356" t="str">
        <f t="shared" ref="AS464:AS510" si="24">IF(AND(C464=1,B464=40,NOT(N464="Common Space")),E464,"")</f>
        <v/>
      </c>
      <c r="AT464" s="356" t="str">
        <f t="shared" ref="AT464:AT510" si="25">IF(AND(C464=2,B464=40,NOT(N464="Common Space")),E464,"")</f>
        <v/>
      </c>
      <c r="AU464" s="356" t="str">
        <f t="shared" ref="AU464:AU510" si="26">IF(AND(C464=3,B464=40,NOT(N464="Common Space")),E464,"")</f>
        <v/>
      </c>
      <c r="AV464" s="356" t="str">
        <f t="shared" ref="AV464:AV510" si="27">IF(AND(C464=4,B464=40,NOT(N464="Common Space")),E464,"")</f>
        <v/>
      </c>
      <c r="AW464" s="356" t="str">
        <f t="shared" ref="AW464:AW510" si="28">IF(AND(C464="Efficiency",B464=30,NOT(N464="Common Space")),E464,"")</f>
        <v/>
      </c>
      <c r="AX464" s="356" t="str">
        <f t="shared" ref="AX464:AX510" si="29">IF(AND(C464=1,B464=30,NOT(N464="Common Space")),E464,"")</f>
        <v/>
      </c>
      <c r="AY464" s="356" t="str">
        <f t="shared" ref="AY464:AY510" si="30">IF(AND(C464=2,B464=30,NOT(N464="Common Space")),E464,"")</f>
        <v/>
      </c>
      <c r="AZ464" s="356" t="str">
        <f t="shared" ref="AZ464:AZ510" si="31">IF(AND(C464=3,B464=30,NOT(N464="Common Space")),E464,"")</f>
        <v/>
      </c>
      <c r="BA464" s="356" t="str">
        <f t="shared" ref="BA464:BA510" si="32">IF(AND(C464=4,B464=30,NOT(N464="Common Space")),E464,"")</f>
        <v/>
      </c>
      <c r="BB464" s="356" t="str">
        <f t="shared" ref="BB464:BB510" si="33">IF(AND(C464="Efficiency",B464=20,NOT(N464="Common Space")),E464,"")</f>
        <v/>
      </c>
      <c r="BC464" s="356" t="str">
        <f t="shared" ref="BC464:BC510" si="34">IF(AND(C464=1,B464=20,NOT(N464="Common Space")),E464,"")</f>
        <v/>
      </c>
      <c r="BD464" s="356" t="str">
        <f t="shared" ref="BD464:BD510" si="35">IF(AND(C464=2,B464=20,NOT(N464="Common Space")),E464,"")</f>
        <v/>
      </c>
      <c r="BE464" s="356" t="str">
        <f t="shared" ref="BE464:BE510" si="36">IF(AND(C464=3,B464=20,NOT(N464="Common Space")),E464,"")</f>
        <v/>
      </c>
      <c r="BF464" s="356" t="str">
        <f t="shared" ref="BF464:BF510" si="37">IF(AND(C464=4,B464=20,NOT(N464="Common Space")),E464,"")</f>
        <v/>
      </c>
      <c r="BG464" s="356" t="str">
        <f t="shared" ref="BG464:BG510" si="38">IF(AND(C464="Efficiency",B464="Unrestricted",NOT(N464="Common Space")),E464,"")</f>
        <v/>
      </c>
      <c r="BH464" s="356" t="str">
        <f t="shared" ref="BH464:BH510" si="39">IF(AND(C464=1,B464="Unrestricted",NOT(N464="Common Space")),E464,"")</f>
        <v/>
      </c>
      <c r="BI464" s="356" t="str">
        <f t="shared" ref="BI464:BI510" si="40">IF(AND(C464=2,B464="Unrestricted",NOT(N464="Common Space")),E464,"")</f>
        <v/>
      </c>
      <c r="BJ464" s="356" t="str">
        <f t="shared" ref="BJ464:BJ510" si="41">IF(AND(C464=3,B464="Unrestricted",NOT(N464="Common Space")),E464,"")</f>
        <v/>
      </c>
      <c r="BK464" s="356" t="str">
        <f t="shared" ref="BK464:BK510" si="42">IF(AND(C464=4,B464="Unrestricted",NOT(N464="Common Space")),E464,"")</f>
        <v/>
      </c>
      <c r="BL464" s="356" t="str">
        <f t="shared" ref="BL464:BL510" si="43">IF(OR(AND($C464="Efficiency",NOT($K464=""),NOT($K464="PHA Oper Sub"),$B464=20,NOT($N464="Common Space")),AND($C464="Efficiency",NOT($K464=""),NOT($K464="PHA Oper Sub"),$B464="HOME 20",NOT($N464="Common Space"))),$E464,"")</f>
        <v/>
      </c>
      <c r="BM464" s="356" t="str">
        <f t="shared" ref="BM464:BM510" si="44">IF(OR(AND($C464=1,NOT($K464=""),NOT($K464="PHA Oper Sub"),$B464=20,NOT($N464="Common Space")),AND($C464=1,NOT($K464=""),NOT($K464="PHA Oper Sub"),$B464="HOME 20",NOT($N464="Common Space"))),$E464,"")</f>
        <v/>
      </c>
      <c r="BN464" s="356" t="str">
        <f t="shared" ref="BN464:BN510" si="45">IF(OR(AND($C464=2,NOT($K464=""),NOT($K464="PHA Oper Sub"),$B464=20,NOT($N464="Common Space")),AND($C464=2,NOT($K464=""),NOT($K464="PHA Oper Sub"),$B464="HOME 20",NOT($N464="Common Space"))),$E464,"")</f>
        <v/>
      </c>
      <c r="BO464" s="356" t="str">
        <f t="shared" ref="BO464:BO510" si="46">IF(OR(AND($C464=3,NOT($K464=""),NOT($K464="PHA Oper Sub"),$B464=20,NOT($N464="Common Space")),AND($C464=3,NOT($K464=""),NOT($K464="PHA Oper Sub"),$B464="HOME 20",NOT($N464="Common Space"))),$E464,"")</f>
        <v/>
      </c>
      <c r="BP464" s="356" t="str">
        <f t="shared" ref="BP464:BP510" si="47">IF(OR(AND($C464=4,NOT($K464=""),NOT($K464="PHA Oper Sub"),$B464=20,NOT($N464="Common Space")),AND($C464=4,NOT($K464=""),NOT($K464="PHA Oper Sub"),$B464="HOME 20",NOT($N464="Common Space"))),$E464,"")</f>
        <v/>
      </c>
      <c r="BQ464" s="356" t="str">
        <f t="shared" ref="BQ464:BQ510" si="48">IF(OR(AND($C464="Efficiency",NOT($K464=""),NOT($K464="PHA Oper Sub"),$B464=30,NOT($N464="Common Space")),AND($C464="Efficiency",NOT($K464=""),NOT($K464="PHA Oper Sub"),$B464="HOME 30",NOT($N464="Common Space"))),$E464,"")</f>
        <v/>
      </c>
      <c r="BR464" s="356" t="str">
        <f t="shared" ref="BR464:BR510" si="49">IF(OR(AND($C464=1,NOT($K464=""),NOT($K464="PHA Oper Sub"),$B464=30,NOT($N464="Common Space")),AND($C464=1,NOT($K464=""),NOT($K464="PHA Oper Sub"),$B464="HOME 30",NOT($N464="Common Space"))),$E464,"")</f>
        <v/>
      </c>
      <c r="BS464" s="356" t="str">
        <f t="shared" ref="BS464:BS510" si="50">IF(OR(AND($C464=2,NOT($K464=""),NOT($K464="PHA Oper Sub"),$B464=30,NOT($N464="Common Space")),AND($C464=2,NOT($K464=""),NOT($K464="PHA Oper Sub"),$B464="HOME 30",NOT($N464="Common Space"))),$E464,"")</f>
        <v/>
      </c>
      <c r="BT464" s="356" t="str">
        <f t="shared" ref="BT464:BT510" si="51">IF(OR(AND($C464=3,NOT($K464=""),NOT($K464="PHA Oper Sub"),$B464=30,NOT($N464="Common Space")),AND($C464=3,NOT($K464=""),NOT($K464="PHA Oper Sub"),$B464="HOME 30",NOT($N464="Common Space"))),$E464,"")</f>
        <v/>
      </c>
      <c r="BU464" s="356" t="str">
        <f t="shared" ref="BU464:BU510" si="52">IF(OR(AND($C464=4,NOT($K464=""),NOT($K464="PHA Oper Sub"),$B464=30,NOT($N464="Common Space")),AND($C464=4,NOT($K464=""),NOT($K464="PHA Oper Sub"),$B464="HOME 30",NOT($N464="Common Space"))),$E464,"")</f>
        <v/>
      </c>
      <c r="BV464" s="356" t="str">
        <f t="shared" ref="BV464:BV510" si="53">IF(OR(AND($C464="Efficiency",NOT($K464=""),NOT($K464="PHA Oper Sub"),$B464=40,NOT($N464="Common Space")),AND($C464="Efficiency",NOT($K464=""),NOT($K464="PHA Oper Sub"),$B464="HOME 40",NOT($N464="Common Space"))),$E464,"")</f>
        <v/>
      </c>
      <c r="BW464" s="356" t="str">
        <f t="shared" ref="BW464:BW510" si="54">IF(OR(AND($C464=1,NOT($K464=""),NOT($K464="PHA Oper Sub"),$B464=40,NOT($N464="Common Space")),AND($C464=1,NOT($K464=""),NOT($K464="PHA Oper Sub"),$B464="HOME 40",NOT($N464="Common Space"))),$E464,"")</f>
        <v/>
      </c>
      <c r="BX464" s="356" t="str">
        <f t="shared" ref="BX464:BX510" si="55">IF(OR(AND($C464=2,NOT($K464=""),NOT($K464="PHA Oper Sub"),$B464=40,NOT($N464="Common Space")),AND($C464=2,NOT($K464=""),NOT($K464="PHA Oper Sub"),$B464="HOME 40",NOT($N464="Common Space"))),$E464,"")</f>
        <v/>
      </c>
      <c r="BY464" s="356" t="str">
        <f t="shared" ref="BY464:BY510" si="56">IF(OR(AND($C464=3,NOT($K464=""),NOT($K464="PHA Oper Sub"),$B464=40,NOT($N464="Common Space")),AND($C464=3,NOT($K464=""),NOT($K464="PHA Oper Sub"),$B464="HOME 40",NOT($N464="Common Space"))),$E464,"")</f>
        <v/>
      </c>
      <c r="BZ464" s="356" t="str">
        <f t="shared" ref="BZ464:BZ510" si="57">IF(OR(AND($C464=4,NOT($K464=""),NOT($K464="PHA Oper Sub"),$B464=40,NOT($N464="Common Space")),AND($C464=4,NOT($K464=""),NOT($K464="PHA Oper Sub"),$B464="HOME 40",NOT($N464="Common Space"))),$E464,"")</f>
        <v/>
      </c>
      <c r="CA464" s="356" t="str">
        <f t="shared" ref="CA464:CA510" si="58">IF(OR(AND($C464="Efficiency",NOT($K464=""),NOT($K464="PHA Oper Sub"),NOT($K464=0),$B464=50,NOT($N464="Common Space")),AND($C464="Efficiency",NOT($K464=""),NOT($K464=0),NOT($K464="PHA Oper Sub"),$B464="HOME 50",NOT($N464="Common Space"))),$E464,"")</f>
        <v/>
      </c>
      <c r="CB464" s="356" t="str">
        <f t="shared" ref="CB464:CB510" si="59">IF(OR(AND($C464=1,NOT($K464=""),NOT($K464=0),NOT($K464="PHA Oper Sub"),$B464=50,NOT($N464="Common Space")),AND($C464=1,NOT($K464=""),NOT($K464=0),NOT($K464="PHA Oper Sub"),$B464="HOME 50",NOT($N464="Common Space"))),$E464,"")</f>
        <v/>
      </c>
      <c r="CC464" s="356" t="str">
        <f t="shared" ref="CC464:CC510" si="60">IF(OR(AND($C464=2,NOT($K464=""),NOT($K464=0),NOT($K464="PHA Oper Sub"),$B464=50,NOT($N464="Common Space")),AND($C464=2,NOT($K464=""),NOT($K464=0),NOT($K464="PHA Oper Sub"),$B464="HOME 50",NOT($N464="Common Space"))),$E464,"")</f>
        <v/>
      </c>
      <c r="CD464" s="356" t="str">
        <f t="shared" ref="CD464:CD510" si="61">IF(OR(AND($C464=3,NOT($K464=""),NOT($K464=0),NOT($K464="PHA Oper Sub"),$B464=50,NOT($N464="Common Space")),AND($C464=3,NOT($K464=""),NOT($K464=0),NOT($K464="PHA Oper Sub"),$B464="HOME 50",NOT($N464="Common Space"))),$E464,"")</f>
        <v/>
      </c>
      <c r="CE464" s="356" t="str">
        <f t="shared" ref="CE464:CE510" si="62">IF(OR(AND($C464=4,NOT($K464=""),NOT($K464=0),NOT($K464="PHA Oper Sub"),$B464=50,NOT($N464="Common Space")),AND($C464=4,NOT($K464=""),NOT($K464=0),NOT($K464="PHA Oper Sub"),$B464="HOME 50",NOT($N464="Common Space"))),$E464,"")</f>
        <v/>
      </c>
      <c r="CF464" s="356" t="str">
        <f t="shared" ref="CF464:CF510" si="63">IF(OR(AND($C464="Efficiency",NOT($K464=""),NOT($K464=0),NOT($K464="PHA Oper Sub"),$B464=60,NOT($N464="Common Space")),AND($C464="Efficiency",NOT($K464=""),NOT($K464=0),NOT($K464="PHA Oper Sub"),$B464="HOME 60",NOT($N464="Common Space"))),$E464,"")</f>
        <v/>
      </c>
      <c r="CG464" s="356" t="str">
        <f t="shared" ref="CG464:CG510" si="64">IF(OR(AND($C464=1,NOT($K464=""),NOT($K464=0),NOT($K464="PHA Oper Sub"),$B464=60,NOT($N464="Common Space")),AND($C464=1,NOT($K464=""),NOT($K464=0),NOT($K464="PHA Oper Sub"),$B464="HOME 60",NOT($N464="Common Space"))),$E464,"")</f>
        <v/>
      </c>
      <c r="CH464" s="356" t="str">
        <f t="shared" ref="CH464:CH510" si="65">IF(OR(AND($C464=2,NOT($K464=""),NOT($K464=0),NOT($K464="PHA Oper Sub"),$B464=60,NOT($N464="Common Space")),AND($C464=2,NOT($K464=""),NOT($K464=0),NOT($K464="PHA Oper Sub"),$B464="HOME 60",NOT($N464="Common Space"))),$E464,"")</f>
        <v/>
      </c>
      <c r="CI464" s="356" t="str">
        <f t="shared" ref="CI464:CI510" si="66">IF(OR(AND($C464=3,NOT($K464=""),NOT($K464=0),NOT($K464="PHA Oper Sub"),$B464=60,NOT($N464="Common Space")),AND($C464=3,NOT($K464=""),NOT($K464=0),NOT($K464="PHA Oper Sub"),$B464="HOME 60",NOT($N464="Common Space"))),$E464,"")</f>
        <v/>
      </c>
      <c r="CJ464" s="356" t="str">
        <f t="shared" ref="CJ464:CJ510" si="67">IF(OR(AND($C464=4,NOT($K464=""),NOT($K464=0),NOT($K464="PHA Oper Sub"),$B464=60,NOT($N464="Common Space")),AND($C464=4,NOT($K464=""),NOT($K464=0),NOT($K464="PHA Oper Sub"),$B464="HOME 60",NOT($N464="Common Space"))),$E464,"")</f>
        <v/>
      </c>
      <c r="CK464" s="356" t="str">
        <f t="shared" ref="CK464:CK510" si="68">IF(OR(AND($C464="Efficiency",NOT($K464=""),NOT($K464="PHA Oper Sub"),$B464=70,NOT($N464="Common Space")),AND($C464="Efficiency",NOT($K464=""),NOT($K464="PHA Oper Sub"),$B464="HOME 70",NOT($N464="Common Space"))),$E464,"")</f>
        <v/>
      </c>
      <c r="CL464" s="356" t="str">
        <f t="shared" ref="CL464:CL510" si="69">IF(OR(AND($C464=1,NOT($K464=""),NOT($K464="PHA Oper Sub"),$B464=70,NOT($N464="Common Space")),AND($C464=1,NOT($K464=""),NOT($K464="PHA Oper Sub"),$B464="HOME 70",NOT($N464="Common Space"))),$E464,"")</f>
        <v/>
      </c>
      <c r="CM464" s="356" t="str">
        <f t="shared" ref="CM464:CM510" si="70">IF(OR(AND($C464=2,NOT($K464=""),NOT($K464="PHA Oper Sub"),$B464=70,NOT($N464="Common Space")),AND($C464=2,NOT($K464=""),NOT($K464="PHA Oper Sub"),$B464="HOME 70",NOT($N464="Common Space"))),$E464,"")</f>
        <v/>
      </c>
      <c r="CN464" s="356" t="str">
        <f t="shared" ref="CN464:CN510" si="71">IF(OR(AND($C464=3,NOT($K464=""),NOT($K464="PHA Oper Sub"),$B464=70,NOT($N464="Common Space")),AND($C464=3,NOT($K464=""),NOT($K464="PHA Oper Sub"),$B464="HOME 70",NOT($N464="Common Space"))),$E464,"")</f>
        <v/>
      </c>
      <c r="CO464" s="356" t="str">
        <f t="shared" ref="CO464:CO510" si="72">IF(OR(AND($C464=4,NOT($K464=""),NOT($K464="PHA Oper Sub"),$B464=70,NOT($N464="Common Space")),AND($C464=4,NOT($K464=""),NOT($K464="PHA Oper Sub"),$B464="HOME 70",NOT($N464="Common Space"))),$E464,"")</f>
        <v/>
      </c>
      <c r="CP464" s="356" t="str">
        <f t="shared" ref="CP464:CP510" si="73">IF(OR(AND($C464="Efficiency",NOT($K464=""),NOT($K464="PHA Oper Sub"),$B464=80,NOT($N464="Common Space")),AND($C464="Efficiency",NOT($K464=""),NOT($K464="PHA Oper Sub"),$B464="HOME 80",NOT($N464="Common Space"))),$E464,"")</f>
        <v/>
      </c>
      <c r="CQ464" s="356" t="str">
        <f t="shared" ref="CQ464:CQ510" si="74">IF(OR(AND($C464=1,NOT($K464=""),NOT($K464="PHA Oper Sub"),$B464=80,NOT($N464="Common Space")),AND($C464=1,NOT($K464=""),NOT($K464="PHA Oper Sub"),$B464="HOME 80",NOT($N464="Common Space"))),$E464,"")</f>
        <v/>
      </c>
      <c r="CR464" s="356" t="str">
        <f t="shared" ref="CR464:CR510" si="75">IF(OR(AND($C464=2,NOT($K464=""),NOT($K464="PHA Oper Sub"),$B464=80,NOT($N464="Common Space")),AND($C464=2,NOT($K464=""),NOT($K464="PHA Oper Sub"),$B464="HOME 80",NOT($N464="Common Space"))),$E464,"")</f>
        <v/>
      </c>
      <c r="CS464" s="356" t="str">
        <f t="shared" ref="CS464:CS510" si="76">IF(OR(AND($C464=3,NOT($K464=""),NOT($K464="PHA Oper Sub"),$B464=80,NOT($N464="Common Space")),AND($C464=3,NOT($K464=""),NOT($K464="PHA Oper Sub"),$B464="HOME 80",NOT($N464="Common Space"))),$E464,"")</f>
        <v/>
      </c>
      <c r="CT464" s="356" t="str">
        <f t="shared" ref="CT464:CT510" si="77">IF(OR(AND($C464=4,NOT($K464=""),NOT($K464="PHA Oper Sub"),$B464=80,NOT($N464="Common Space")),AND($C464=4,NOT($K464=""),NOT($K464="PHA Oper Sub"),$B464="HOME 80",NOT($N464="Common Space"))),$E464,"")</f>
        <v/>
      </c>
      <c r="CU464" s="356" t="str">
        <f t="shared" ref="CU464:CU510" si="78">IF(OR(AND($C464="Efficiency",$K464="PHA Oper Sub",$B464=20,NOT($N464="Common Space")),AND($C464="Efficiency",$K464="PHA Oper Sub",$B464="HOME 20",NOT($N464="Common Space"))),$E464,"")</f>
        <v/>
      </c>
      <c r="CV464" s="356" t="str">
        <f t="shared" ref="CV464:CV510" si="79">IF(OR(AND($C464=1,$K464="PHA Oper Sub",$B464=20,NOT($N464="Common Space")),AND($C464=1,$K464="PHA Oper Sub",$B464="HOME 20",NOT($N464="Common Space"))),$E464,"")</f>
        <v/>
      </c>
      <c r="CW464" s="356" t="str">
        <f t="shared" ref="CW464:CW510" si="80">IF(OR(AND($C464=2,$K464="PHA Oper Sub",$B464=20,NOT($N464="Common Space")),AND($C464=2,$K464="PHA Oper Sub",$B464="HOME 20",NOT($N464="Common Space"))),$E464,"")</f>
        <v/>
      </c>
      <c r="CX464" s="356" t="str">
        <f t="shared" ref="CX464:CX510" si="81">IF(OR(AND($C464=3,$K464="PHA Oper Sub",$B464=20,NOT($N464="Common Space")),AND($C464=3,$K464="PHA Oper Sub",$B464="HOME 20",NOT($N464="Common Space"))),$E464,"")</f>
        <v/>
      </c>
      <c r="CY464" s="356" t="str">
        <f t="shared" ref="CY464:CY510" si="82">IF(OR(AND($C464=4,$K464="PHA Oper Sub",$B464=20,NOT($N464="Common Space")),AND($C464=4,$K464="PHA Oper Sub",$B464="HOME 20",NOT($N464="Common Space"))),$E464,"")</f>
        <v/>
      </c>
      <c r="CZ464" s="356" t="str">
        <f t="shared" ref="CZ464:CZ510" si="83">IF(OR(AND($C464="Efficiency",$K464="PHA Oper Sub",$B464=30,NOT($N464="Common Space")),AND($C464="Efficiency",$K464="PHA Oper Sub",$B464="HOME 30",NOT($N464="Common Space"))),$E464,"")</f>
        <v/>
      </c>
      <c r="DA464" s="356" t="str">
        <f t="shared" ref="DA464:DA510" si="84">IF(OR(AND($C464=1,$K464="PHA Oper Sub",$B464=30,NOT($N464="Common Space")),AND($C464=1,$K464="PHA Oper Sub",$B464="HOME 30",NOT($N464="Common Space"))),$E464,"")</f>
        <v/>
      </c>
      <c r="DB464" s="356" t="str">
        <f t="shared" ref="DB464:DB510" si="85">IF(OR(AND($C464=2,$K464="PHA Oper Sub",$B464=30,NOT($N464="Common Space")),AND($C464=2,$K464="PHA Oper Sub",$B464="HOME 30",NOT($N464="Common Space"))),$E464,"")</f>
        <v/>
      </c>
      <c r="DC464" s="356" t="str">
        <f t="shared" ref="DC464:DC510" si="86">IF(OR(AND($C464=3,$K464="PHA Oper Sub",$B464=30,NOT($N464="Common Space")),AND($C464=3,$K464="PHA Oper Sub",$B464="HOME 30",NOT($N464="Common Space"))),$E464,"")</f>
        <v/>
      </c>
      <c r="DD464" s="356" t="str">
        <f t="shared" ref="DD464:DD510" si="87">IF(OR(AND($C464=4,$K464="PHA Oper Sub",$B464=30,NOT($N464="Common Space")),AND($C464=4,$K464="PHA Oper Sub",$B464="HOME 30",NOT($N464="Common Space"))),$E464,"")</f>
        <v/>
      </c>
      <c r="DE464" s="356" t="str">
        <f t="shared" ref="DE464:DE510" si="88">IF(OR(AND($C464="Efficiency",$K464="PHA Oper Sub",$B464=40,NOT($N464="Common Space")),AND($C464="Efficiency",$K464="PHA Oper Sub",$B464="HOME 40",NOT($N464="Common Space"))),$E464,"")</f>
        <v/>
      </c>
      <c r="DF464" s="356" t="str">
        <f t="shared" ref="DF464:DF510" si="89">IF(OR(AND($C464=1,$K464="PHA Oper Sub",$B464=40,NOT($N464="Common Space")),AND($C464=1,$K464="PHA Oper Sub",$B464="HOME 40",NOT($N464="Common Space"))),$E464,"")</f>
        <v/>
      </c>
      <c r="DG464" s="356" t="str">
        <f t="shared" ref="DG464:DG510" si="90">IF(OR(AND($C464=2,$K464="PHA Oper Sub",$B464=40,NOT($N464="Common Space")),AND($C464=2,$K464="PHA Oper Sub",$B464="HOME 40",NOT($N464="Common Space"))),$E464,"")</f>
        <v/>
      </c>
      <c r="DH464" s="356" t="str">
        <f t="shared" ref="DH464:DH510" si="91">IF(OR(AND($C464=3,$K464="PHA Oper Sub",$B464=40,NOT($N464="Common Space")),AND($C464=3,$K464="PHA Oper Sub",$B464="HOME 40",NOT($N464="Common Space"))),$E464,"")</f>
        <v/>
      </c>
      <c r="DI464" s="356" t="str">
        <f t="shared" ref="DI464:DI510" si="92">IF(OR(AND($C464=4,$K464="PHA Oper Sub",$B464=40,NOT($N464="Common Space")),AND($C464=4,$K464="PHA Oper Sub",$B464="HOME 40",NOT($N464="Common Space"))),$E464,"")</f>
        <v/>
      </c>
      <c r="DJ464" s="356" t="str">
        <f t="shared" ref="DJ464:DJ510" si="93">IF(OR(AND($C464="Efficiency",$K464="PHA Oper Sub",$B464=50,NOT($N464="Common Space")),AND($C464="Efficiency",$K464="PHA Oper Sub",$B464="HOME 50",NOT($N464="Common Space"))),$E464,"")</f>
        <v/>
      </c>
      <c r="DK464" s="356" t="str">
        <f t="shared" ref="DK464:DK510" si="94">IF(OR(AND($C464=1,$K464="PHA Oper Sub",$B464=50,NOT($N464="Common Space")),AND($C464=1,$K464="PHA Oper Sub",$B464="HOME 50",NOT($N464="Common Space"))),$E464,"")</f>
        <v/>
      </c>
      <c r="DL464" s="356" t="str">
        <f t="shared" ref="DL464:DL510" si="95">IF(OR(AND($C464=2,$K464="PHA Oper Sub",$B464=50,NOT($N464="Common Space")),AND($C464=2,$K464="PHA Oper Sub",$B464="HOME 50",NOT($N464="Common Space"))),$E464,"")</f>
        <v/>
      </c>
      <c r="DM464" s="356" t="str">
        <f t="shared" ref="DM464:DM510" si="96">IF(OR(AND($C464=3,$K464="PHA Oper Sub",$B464=50,NOT($N464="Common Space")),AND($C464=3,$K464="PHA Oper Sub",$B464="HOME 50",NOT($N464="Common Space"))),$E464,"")</f>
        <v/>
      </c>
      <c r="DN464" s="356" t="str">
        <f t="shared" ref="DN464:DN510" si="97">IF(OR(AND($C464=4,$K464="PHA Oper Sub",$B464=50,NOT($N464="Common Space")),AND($C464=4,$K464="PHA Oper Sub",$B464="HOME 50",NOT($N464="Common Space"))),$E464,"")</f>
        <v/>
      </c>
      <c r="DO464" s="356" t="str">
        <f t="shared" ref="DO464:DO510" si="98">IF(OR(AND($C464="Efficiency",$K464="PHA Oper Sub",$B464=60,NOT($N464="Common Space")),AND($C464="Efficiency",$K464="PHA Oper Sub",$B464="HOME 60",NOT($N464="Common Space"))),$E464,"")</f>
        <v/>
      </c>
      <c r="DP464" s="356" t="str">
        <f t="shared" ref="DP464:DP510" si="99">IF(OR(AND($C464=1,$K464="PHA Oper Sub",$B464=60,NOT($N464="Common Space")),AND($C464=1,$K464="PHA Oper Sub",$B464="HOME 60",NOT($N464="Common Space"))),$E464,"")</f>
        <v/>
      </c>
      <c r="DQ464" s="356" t="str">
        <f t="shared" ref="DQ464:DQ510" si="100">IF(OR(AND($C464=2,$K464="PHA Oper Sub",$B464=60,NOT($N464="Common Space")),AND($C464=2,$K464="PHA Oper Sub",$B464="HOME 60",NOT($N464="Common Space"))),$E464,"")</f>
        <v/>
      </c>
      <c r="DR464" s="356" t="str">
        <f t="shared" ref="DR464:DR510" si="101">IF(OR(AND($C464=3,$K464="PHA Oper Sub",$B464=60,NOT($N464="Common Space")),AND($C464=3,$K464="PHA Oper Sub",$B464="HOME 60",NOT($N464="Common Space"))),$E464,"")</f>
        <v/>
      </c>
      <c r="DS464" s="356" t="str">
        <f t="shared" ref="DS464:DS510" si="102">IF(OR(AND($C464=4,$K464="PHA Oper Sub",$B464=60,NOT($N464="Common Space")),AND($C464=4,$K464="PHA Oper Sub",$B464="HOME 60",NOT($N464="Common Space"))),$E464,"")</f>
        <v/>
      </c>
      <c r="DT464" s="356" t="str">
        <f t="shared" ref="DT464:DT510" si="103">IF(OR(AND($C464="Efficiency",$K464="PHA Oper Sub",$B464=70,NOT($N464="Common Space")),AND($C464="Efficiency",$K464="PHA Oper Sub",$B464="HOME 70",NOT($N464="Common Space"))),$E464,"")</f>
        <v/>
      </c>
      <c r="DU464" s="356" t="str">
        <f t="shared" ref="DU464:DU510" si="104">IF(OR(AND($C464=1,$K464="PHA Oper Sub",$B464=70,NOT($N464="Common Space")),AND($C464=1,$K464="PHA Oper Sub",$B464="HOME 70",NOT($N464="Common Space"))),$E464,"")</f>
        <v/>
      </c>
      <c r="DV464" s="356" t="str">
        <f t="shared" ref="DV464:DV510" si="105">IF(OR(AND($C464=2,$K464="PHA Oper Sub",$B464=70,NOT($N464="Common Space")),AND($C464=2,$K464="PHA Oper Sub",$B464="HOME 70",NOT($N464="Common Space"))),$E464,"")</f>
        <v/>
      </c>
      <c r="DW464" s="356" t="str">
        <f t="shared" ref="DW464:DW510" si="106">IF(OR(AND($C464=3,$K464="PHA Oper Sub",$B464=70,NOT($N464="Common Space")),AND($C464=3,$K464="PHA Oper Sub",$B464="HOME 70",NOT($N464="Common Space"))),$E464,"")</f>
        <v/>
      </c>
      <c r="DX464" s="356" t="str">
        <f t="shared" ref="DX464:DX510" si="107">IF(OR(AND($C464=4,$K464="PHA Oper Sub",$B464=70,NOT($N464="Common Space")),AND($C464=4,$K464="PHA Oper Sub",$B464="HOME 70",NOT($N464="Common Space"))),$E464,"")</f>
        <v/>
      </c>
      <c r="DY464" s="356" t="str">
        <f t="shared" ref="DY464:DY510" si="108">IF(OR(AND($C464="Efficiency",$K464="PHA Oper Sub",$B464=80,NOT($N464="Common Space")),AND($C464="Efficiency",$K464="PHA Oper Sub",$B464="HOME 80",NOT($N464="Common Space"))),$E464,"")</f>
        <v/>
      </c>
      <c r="DZ464" s="356" t="str">
        <f t="shared" ref="DZ464:DZ510" si="109">IF(OR(AND($C464=1,$K464="PHA Oper Sub",$B464=80,NOT($N464="Common Space")),AND($C464=1,$K464="PHA Oper Sub",$B464="HOME 80",NOT($N464="Common Space"))),$E464,"")</f>
        <v/>
      </c>
      <c r="EA464" s="356" t="str">
        <f t="shared" ref="EA464:EA510" si="110">IF(OR(AND($C464=2,$K464="PHA Oper Sub",$B464=80,NOT($N464="Common Space")),AND($C464=2,$K464="PHA Oper Sub",$B464="HOME 80",NOT($N464="Common Space"))),$E464,"")</f>
        <v/>
      </c>
      <c r="EB464" s="356" t="str">
        <f t="shared" ref="EB464:EB510" si="111">IF(OR(AND($C464=3,$K464="PHA Oper Sub",$B464=80,NOT($N464="Common Space")),AND($C464=3,$K464="PHA Oper Sub",$B464="HOME 80",NOT($N464="Common Space"))),$E464,"")</f>
        <v/>
      </c>
      <c r="EC464" s="356" t="str">
        <f t="shared" ref="EC464:EC510" si="112">IF(OR(AND($C464=4,$K464="PHA Oper Sub",$B464=80,NOT($N464="Common Space")),AND($C464=4,$K464="PHA Oper Sub",$B464="HOME 80",NOT($N464="Common Space"))),$E464,"")</f>
        <v/>
      </c>
      <c r="ED464" s="356" t="str">
        <f t="shared" ref="ED464:ED510" si="113">IF(OR(AND($C464="Efficiency",$K464="PBV",$B464=20,NOT($N464="Common Space")),AND($C464="Efficiency",$K464="PBV",$B464="HOME 20",NOT($N464="Common Space"))),$E464,"")</f>
        <v/>
      </c>
      <c r="EE464" s="356" t="str">
        <f t="shared" ref="EE464:EE510" si="114">IF(OR(AND($C464=1,$K464="PBV",$B464=20,NOT($N464="Common Space")),AND($C464=1,$K464="PBV",$B464="HOME 20",NOT($N464="Common Space"))),$E464,"")</f>
        <v/>
      </c>
      <c r="EF464" s="356" t="str">
        <f t="shared" ref="EF464:EF510" si="115">IF(OR(AND($C464=2,$K464="PBV",$B464=20,NOT($N464="Common Space")),AND($C464=2,$K464="PBV",$B464="HOME 20",NOT($N464="Common Space"))),$E464,"")</f>
        <v/>
      </c>
      <c r="EG464" s="356" t="str">
        <f t="shared" ref="EG464:EG510" si="116">IF(OR(AND($C464=3,$K464="PBV",$B464=20,NOT($N464="Common Space")),AND($C464=3,$K464="PBV",$B464="HOME 20",NOT($N464="Common Space"))),$E464,"")</f>
        <v/>
      </c>
      <c r="EH464" s="356" t="str">
        <f t="shared" ref="EH464:EH510" si="117">IF(OR(AND($C464=4,$K464="PBV",$B464=20,NOT($N464="Common Space")),AND($C464=4,$K464="PBV",$B464="HOME 20",NOT($N464="Common Space"))),$E464,"")</f>
        <v/>
      </c>
      <c r="EI464" s="356" t="str">
        <f t="shared" ref="EI464:EI510" si="118">IF(OR(AND($C464="Efficiency",$K464="PBV",$B464=30,NOT($N464="Common Space")),AND($C464="Efficiency",$K464="PBV",$B464="HOME 30",NOT($N464="Common Space"))),$E464,"")</f>
        <v/>
      </c>
      <c r="EJ464" s="356" t="str">
        <f t="shared" ref="EJ464:EJ510" si="119">IF(OR(AND($C464=1,$K464="PBV",$B464=30,NOT($N464="Common Space")),AND($C464=1,$K464="PBV",$B464="HOME 30",NOT($N464="Common Space"))),$E464,"")</f>
        <v/>
      </c>
      <c r="EK464" s="356" t="str">
        <f t="shared" ref="EK464:EK510" si="120">IF(OR(AND($C464=2,$K464="PBV",$B464=30,NOT($N464="Common Space")),AND($C464=2,$K464="PBV",$B464="HOME 30",NOT($N464="Common Space"))),$E464,"")</f>
        <v/>
      </c>
      <c r="EL464" s="356" t="str">
        <f t="shared" ref="EL464:EL510" si="121">IF(OR(AND($C464=3,$K464="PBV",$B464=30,NOT($N464="Common Space")),AND($C464=3,$K464="PBV",$B464="HOME 30",NOT($N464="Common Space"))),$E464,"")</f>
        <v/>
      </c>
      <c r="EM464" s="356" t="str">
        <f t="shared" ref="EM464:EM510" si="122">IF(OR(AND($C464=4,$K464="PBV",$B464=30,NOT($N464="Common Space")),AND($C464=4,$K464="PBV",$B464="HOME 30",NOT($N464="Common Space"))),$E464,"")</f>
        <v/>
      </c>
      <c r="EN464" s="356" t="str">
        <f t="shared" ref="EN464:EN510" si="123">IF(OR(AND($C464="Efficiency",$K464="PBV",$B464=40,NOT($N464="Common Space")),AND($C464="Efficiency",$K464="PBV",$B464="HOME 40",NOT($N464="Common Space"))),$E464,"")</f>
        <v/>
      </c>
      <c r="EO464" s="356" t="str">
        <f t="shared" ref="EO464:EO510" si="124">IF(OR(AND($C464=1,$K464="PBV",$B464=40,NOT($N464="Common Space")),AND($C464=1,$K464="PBV",$B464="HOME 40",NOT($N464="Common Space"))),$E464,"")</f>
        <v/>
      </c>
      <c r="EP464" s="356" t="str">
        <f t="shared" ref="EP464:EP510" si="125">IF(OR(AND($C464=2,$K464="PBV",$B464=40,NOT($N464="Common Space")),AND($C464=2,$K464="PBV",$B464="HOME 40",NOT($N464="Common Space"))),$E464,"")</f>
        <v/>
      </c>
      <c r="EQ464" s="356" t="str">
        <f t="shared" ref="EQ464:EQ510" si="126">IF(OR(AND($C464=3,$K464="PBV",$B464=40,NOT($N464="Common Space")),AND($C464=3,$K464="PBV",$B464="HOME 40",NOT($N464="Common Space"))),$E464,"")</f>
        <v/>
      </c>
      <c r="ER464" s="356" t="str">
        <f t="shared" ref="ER464:ER510" si="127">IF(OR(AND($C464=4,$K464="PBV",$B464=40,NOT($N464="Common Space")),AND($C464=4,$K464="PBV",$B464="HOME 40",NOT($N464="Common Space"))),$E464,"")</f>
        <v/>
      </c>
      <c r="ES464" s="356" t="str">
        <f t="shared" ref="ES464:ES510" si="128">IF(OR(AND($C464="Efficiency",$K464="PBV",$B464=50,NOT($N464="Common Space")),AND($C464="Efficiency",$K464="PBV",$B464="HOME 50",NOT($N464="Common Space"))),$E464,"")</f>
        <v/>
      </c>
      <c r="ET464" s="356" t="str">
        <f t="shared" ref="ET464:ET510" si="129">IF(OR(AND($C464=1,$K464="PBV",$B464=50,NOT($N464="Common Space")),AND($C464=1,$K464="PBV",$B464="HOME 50",NOT($N464="Common Space"))),$E464,"")</f>
        <v/>
      </c>
      <c r="EU464" s="356" t="str">
        <f t="shared" ref="EU464:EU510" si="130">IF(OR(AND($C464=2,$K464="PBV",$B464=50,NOT($N464="Common Space")),AND($C464=2,$K464="PBV",$B464="HOME 50",NOT($N464="Common Space"))),$E464,"")</f>
        <v/>
      </c>
      <c r="EV464" s="356" t="str">
        <f t="shared" ref="EV464:EV510" si="131">IF(OR(AND($C464=3,$K464="PBV",$B464=50,NOT($N464="Common Space")),AND($C464=3,$K464="PBV",$B464="HOME 50",NOT($N464="Common Space"))),$E464,"")</f>
        <v/>
      </c>
      <c r="EW464" s="356" t="str">
        <f t="shared" ref="EW464:EW510" si="132">IF(OR(AND($C464=4,$K464="PBV",$B464=50,NOT($N464="Common Space")),AND($C464=4,$K464="PBV",$B464="HOME 50",NOT($N464="Common Space"))),$E464,"")</f>
        <v/>
      </c>
      <c r="EX464" s="356" t="str">
        <f t="shared" ref="EX464:EX510" si="133">IF(OR(AND($C464="Efficiency",$K464="PBV",$B464=60,NOT($N464="Common Space")),AND($C464="Efficiency",$K464="PBV",$B464="HOME 60",NOT($N464="Common Space"))),$E464,"")</f>
        <v/>
      </c>
      <c r="EY464" s="356" t="str">
        <f t="shared" ref="EY464:EY510" si="134">IF(OR(AND($C464=1,$K464="PBV",$B464=60,NOT($N464="Common Space")),AND($C464=1,$K464="PBV",$B464="HOME 60",NOT($N464="Common Space"))),$E464,"")</f>
        <v/>
      </c>
      <c r="EZ464" s="356" t="str">
        <f t="shared" ref="EZ464:EZ510" si="135">IF(OR(AND($C464=2,$K464="PBV",$B464=60,NOT($N464="Common Space")),AND($C464=2,$K464="PBV",$B464="HOME 60",NOT($N464="Common Space"))),$E464,"")</f>
        <v/>
      </c>
      <c r="FA464" s="356" t="str">
        <f t="shared" ref="FA464:FA510" si="136">IF(OR(AND($C464=3,$K464="PBV",$B464=60,NOT($N464="Common Space")),AND($C464=3,$K464="PBV",$B464="HOME 60",NOT($N464="Common Space"))),$E464,"")</f>
        <v/>
      </c>
      <c r="FB464" s="356" t="str">
        <f t="shared" ref="FB464:FB510" si="137">IF(OR(AND($C464=4,$K464="PBV",$B464=60,NOT($N464="Common Space")),AND($C464=4,$K464="PBV",$B464="HOME 60",NOT($N464="Common Space"))),$E464,"")</f>
        <v/>
      </c>
      <c r="FC464" s="356" t="str">
        <f t="shared" ref="FC464:FC510" si="138">IF(OR(AND($C464="Efficiency",$K464="PBV",$B464=70,NOT($N464="Common Space")),AND($C464="Efficiency",$K464="PBV",$B464="HOME 70",NOT($N464="Common Space"))),$E464,"")</f>
        <v/>
      </c>
      <c r="FD464" s="356" t="str">
        <f t="shared" ref="FD464:FD510" si="139">IF(OR(AND($C464=1,$K464="PBV",$B464=70,NOT($N464="Common Space")),AND($C464=1,$K464="PBV",$B464="HOME 70",NOT($N464="Common Space"))),$E464,"")</f>
        <v/>
      </c>
      <c r="FE464" s="356" t="str">
        <f t="shared" ref="FE464:FE510" si="140">IF(OR(AND($C464=2,$K464="PBV",$B464=70,NOT($N464="Common Space")),AND($C464=2,$K464="PBV",$B464="HOME 70",NOT($N464="Common Space"))),$E464,"")</f>
        <v/>
      </c>
      <c r="FF464" s="356" t="str">
        <f t="shared" ref="FF464:FF510" si="141">IF(OR(AND($C464=3,$K464="PBV",$B464=70,NOT($N464="Common Space")),AND($C464=3,$K464="PBV",$B464="HOME 70",NOT($N464="Common Space"))),$E464,"")</f>
        <v/>
      </c>
      <c r="FG464" s="356" t="str">
        <f t="shared" ref="FG464:FG510" si="142">IF(OR(AND($C464=4,$K464="PBV",$B464=70,NOT($N464="Common Space")),AND($C464=4,$K464="PBV",$B464="HOME 70",NOT($N464="Common Space"))),$E464,"")</f>
        <v/>
      </c>
      <c r="FH464" s="356" t="str">
        <f t="shared" ref="FH464:FH510" si="143">IF(OR(AND($C464="Efficiency",$K464="PBV",$B464=80,NOT($N464="Common Space")),AND($C464="Efficiency",$K464="PBV",$B464="HOME 80",NOT($N464="Common Space"))),$E464,"")</f>
        <v/>
      </c>
      <c r="FI464" s="356" t="str">
        <f t="shared" ref="FI464:FI510" si="144">IF(OR(AND($C464=1,$K464="PBV",$B464=80,NOT($N464="Common Space")),AND($C464=1,$K464="PBV",$B464="HOME 80",NOT($N464="Common Space"))),$E464,"")</f>
        <v/>
      </c>
      <c r="FJ464" s="356" t="str">
        <f t="shared" ref="FJ464:FJ510" si="145">IF(OR(AND($C464=2,$K464="PBV",$B464=80,NOT($N464="Common Space")),AND($C464=2,$K464="PBV",$B464="HOME 80",NOT($N464="Common Space"))),$E464,"")</f>
        <v/>
      </c>
      <c r="FK464" s="356" t="str">
        <f t="shared" ref="FK464:FK510" si="146">IF(OR(AND($C464=3,$K464="PBV",$B464=80,NOT($N464="Common Space")),AND($C464=3,$K464="PBV",$B464="HOME 80",NOT($N464="Common Space"))),$E464,"")</f>
        <v/>
      </c>
      <c r="FL464" s="356" t="str">
        <f t="shared" ref="FL464:FL510" si="147">IF(OR(AND($C464=4,$K464="PBV",$B464=80,NOT($N464="Common Space")),AND($C464=4,$K464="PBV",$B464="HOME 80",NOT($N464="Common Space"))),$E464,"")</f>
        <v/>
      </c>
      <c r="FM464" s="356" t="str">
        <f t="shared" ref="FM464:FM510" si="148">IF(AND(C464="Efficiency",N464="Common Space"),E464,"")</f>
        <v/>
      </c>
      <c r="FN464" s="356" t="str">
        <f t="shared" ref="FN464:FN510" si="149">IF(AND(C464=1,N464="Common Space"),E464,"")</f>
        <v/>
      </c>
      <c r="FO464" s="356" t="str">
        <f t="shared" ref="FO464:FO510" si="150">IF(AND(C464=2,N464="Common Space"),E464,"")</f>
        <v/>
      </c>
      <c r="FP464" s="356" t="str">
        <f t="shared" ref="FP464:FP510" si="151">IF(AND(C464=3,N464="Common Space"),E464,"")</f>
        <v/>
      </c>
      <c r="FQ464" s="356" t="str">
        <f t="shared" ref="FQ464:FQ510" si="152">IF(AND(C464=4,N464="Common Space"),E464,"")</f>
        <v/>
      </c>
      <c r="FR464" s="356" t="str">
        <f t="shared" ref="FR464:FR510" si="153">IF(OR(AND($C464="Efficiency",$B464=80,NOT($N464="Common Space")),AND($C464="Efficiency",$B464="HOME 80",NOT($N464="Common Space"))),$E464*$F464,"")</f>
        <v/>
      </c>
      <c r="FS464" s="356" t="str">
        <f t="shared" ref="FS464:FS510" si="154">IF(OR(AND($C464=1,$B464=80,NOT($N464="Common Space")),AND($C464=1,$B464="HOME 80",NOT($N464="Common Space"))),$E464*$F464,"")</f>
        <v/>
      </c>
      <c r="FT464" s="356" t="str">
        <f t="shared" ref="FT464:FT510" si="155">IF(OR(AND($C464=2,$B464=80,NOT($N464="Common Space")),AND($C464=2,$B464="HOME 80",NOT($N464="Common Space"))),$E464*$F464,"")</f>
        <v/>
      </c>
      <c r="FU464" s="356" t="str">
        <f t="shared" ref="FU464:FU510" si="156">IF(OR(AND($C464=3,$B464=80,NOT($N464="Common Space")),AND($C464=3,$B464="HOME 80",NOT($N464="Common Space"))),$E464*$F464,"")</f>
        <v/>
      </c>
      <c r="FV464" s="356" t="str">
        <f t="shared" ref="FV464:FV510" si="157">IF(OR(AND($C464=4,$B464=80,NOT($N464="Common Space")),AND($C464=4,$B464="HOME 80",NOT($N464="Common Space"))),$E464*$F464,"")</f>
        <v/>
      </c>
      <c r="FW464" s="356" t="str">
        <f t="shared" ref="FW464:FW510" si="158">IF(OR(AND($C464="Efficiency",$B464=70,NOT($N464="Common Space")),AND($C464="Efficiency",$B464="HOME 70",NOT($N464="Common Space"))),$E464*$F464,"")</f>
        <v/>
      </c>
      <c r="FX464" s="356" t="str">
        <f t="shared" ref="FX464:FX510" si="159">IF(OR(AND($C464=1,$B464=70,NOT($N464="Common Space")),AND($C464=1,$B464="HOME 70",NOT($N464="Common Space"))),$E464*$F464,"")</f>
        <v/>
      </c>
      <c r="FY464" s="356" t="str">
        <f t="shared" ref="FY464:FY510" si="160">IF(OR(AND($C464=2,$B464=70,NOT($N464="Common Space")),AND($C464=2,$B464="HOME 70",NOT($N464="Common Space"))),$E464*$F464,"")</f>
        <v/>
      </c>
      <c r="FZ464" s="356" t="str">
        <f t="shared" ref="FZ464:FZ510" si="161">IF(OR(AND($C464=3,$B464=70,NOT($N464="Common Space")),AND($C464=3,$B464="HOME 70",NOT($N464="Common Space"))),$E464*$F464,"")</f>
        <v/>
      </c>
      <c r="GA464" s="356" t="str">
        <f t="shared" ref="GA464:GA510" si="162">IF(OR(AND($C464=4,$B464=70,NOT($N464="Common Space")),AND($C464=4,$B464="HOME 70",NOT($N464="Common Space"))),$E464*$F464,"")</f>
        <v/>
      </c>
      <c r="GB464" s="356" t="str">
        <f t="shared" ref="GB464:GB510" si="163">IF(OR(AND($C464="Efficiency",$B464=60,NOT($N464="Common Space")),AND($C464="Efficiency",$B464="HOME 60",NOT($N464="Common Space"))),$E464*$F464,"")</f>
        <v/>
      </c>
      <c r="GC464" s="356" t="str">
        <f t="shared" ref="GC464:GC510" si="164">IF(OR(AND($C464=1,$B464=60,NOT($N464="Common Space")),AND($C464=1,$B464="HOME 60",NOT($N464="Common Space"))),$E464*$F464,"")</f>
        <v/>
      </c>
      <c r="GD464" s="356" t="str">
        <f t="shared" ref="GD464:GD510" si="165">IF(OR(AND($C464=2,$B464=60,NOT($N464="Common Space")),AND($C464=2,$B464="HOME 60",NOT($N464="Common Space"))),$E464*$F464,"")</f>
        <v/>
      </c>
      <c r="GE464" s="356" t="str">
        <f t="shared" ref="GE464:GE510" si="166">IF(OR(AND($C464=3,$B464=60,NOT($N464="Common Space")),AND($C464=3,$B464="HOME 60",NOT($N464="Common Space"))),$E464*$F464,"")</f>
        <v/>
      </c>
      <c r="GF464" s="356" t="str">
        <f t="shared" ref="GF464:GF510" si="167">IF(OR(AND($C464=4,$B464=60,NOT($N464="Common Space")),AND($C464=4,$B464="HOME 60",NOT($N464="Common Space"))),$E464*$F464,"")</f>
        <v/>
      </c>
      <c r="GG464" s="356" t="str">
        <f t="shared" ref="GG464:GG510" si="168">IF(OR(AND($C464="Efficiency",$B464=50,NOT($N464="Common Space")),AND($C464="Efficiency",$B464="HOME 50",NOT($N464="Common Space"))),$E464*$F464,"")</f>
        <v/>
      </c>
      <c r="GH464" s="356" t="str">
        <f t="shared" ref="GH464:GH510" si="169">IF(OR(AND($C464=1,$B464=50,NOT($N464="Common Space")),AND($C464=1,$B464="HOME 50",NOT($N464="Common Space"))),$E464*$F464,"")</f>
        <v/>
      </c>
      <c r="GI464" s="356" t="str">
        <f t="shared" ref="GI464:GI510" si="170">IF(OR(AND($C464=2,$B464=50,NOT($N464="Common Space")),AND($C464=2,$B464="HOME 50",NOT($N464="Common Space"))),$E464*$F464,"")</f>
        <v/>
      </c>
      <c r="GJ464" s="356" t="str">
        <f t="shared" ref="GJ464:GJ510" si="171">IF(OR(AND($C464=3,$B464=50,NOT($N464="Common Space")),AND($C464=3,$B464="HOME 50",NOT($N464="Common Space"))),$E464*$F464,"")</f>
        <v/>
      </c>
      <c r="GK464" s="356" t="str">
        <f t="shared" ref="GK464:GK510" si="172">IF(OR(AND($C464=4,$B464=50,NOT($N464="Common Space")),AND($C464=4,$B464="HOME 50",NOT($N464="Common Space"))),$E464*$F464,"")</f>
        <v/>
      </c>
      <c r="GL464" s="356" t="str">
        <f t="shared" ref="GL464:GL510" si="173">IF(OR(AND($C464="Efficiency",$B464=40,NOT($N464="Common Space")),AND($C464="Efficiency",$B464="HOME 40",NOT($N464="Common Space"))),$E464*$F464,"")</f>
        <v/>
      </c>
      <c r="GM464" s="356" t="str">
        <f t="shared" ref="GM464:GM510" si="174">IF(OR(AND($C464=1,$B464=40,NOT($N464="Common Space")),AND($C464=1,$B464="HOME 40",NOT($N464="Common Space"))),$E464*$F464,"")</f>
        <v/>
      </c>
      <c r="GN464" s="356" t="str">
        <f t="shared" ref="GN464:GN510" si="175">IF(OR(AND($C464=2,$B464=40,NOT($N464="Common Space")),AND($C464=2,$B464="HOME 40",NOT($N464="Common Space"))),$E464*$F464,"")</f>
        <v/>
      </c>
      <c r="GO464" s="356" t="str">
        <f t="shared" ref="GO464:GO510" si="176">IF(OR(AND($C464=3,$B464=40,NOT($N464="Common Space")),AND($C464=3,$B464="HOME 40",NOT($N464="Common Space"))),$E464*$F464,"")</f>
        <v/>
      </c>
      <c r="GP464" s="356" t="str">
        <f t="shared" ref="GP464:GP510" si="177">IF(OR(AND($C464=4,$B464=40,NOT($N464="Common Space")),AND($C464=4,$B464="HOME 40",NOT($N464="Common Space"))),$E464*$F464,"")</f>
        <v/>
      </c>
      <c r="GQ464" s="356" t="str">
        <f t="shared" ref="GQ464:GQ510" si="178">IF(OR(AND($C464="Efficiency",$B464=30,NOT($N464="Common Space")),AND($C464="Efficiency",$B464="HOME 30",NOT($N464="Common Space"))),$E464*$F464,"")</f>
        <v/>
      </c>
      <c r="GR464" s="356" t="str">
        <f t="shared" ref="GR464:GR510" si="179">IF(OR(AND($C464=1,$B464=30,NOT($N464="Common Space")),AND($C464=1,$B464="HOME 30",NOT($N464="Common Space"))),$E464*$F464,"")</f>
        <v/>
      </c>
      <c r="GS464" s="356" t="str">
        <f t="shared" ref="GS464:GS510" si="180">IF(OR(AND($C464=2,$B464=30,NOT($N464="Common Space")),AND($C464=2,$B464="HOME 30",NOT($N464="Common Space"))),$E464*$F464,"")</f>
        <v/>
      </c>
      <c r="GT464" s="356" t="str">
        <f t="shared" ref="GT464:GT510" si="181">IF(OR(AND($C464=3,$B464=30,NOT($N464="Common Space")),AND($C464=3,$B464="HOME 30",NOT($N464="Common Space"))),$E464*$F464,"")</f>
        <v/>
      </c>
      <c r="GU464" s="356" t="str">
        <f t="shared" ref="GU464:GU510" si="182">IF(OR(AND($C464=4,$B464=30,NOT($N464="Common Space")),AND($C464=4,$B464="HOME 30",NOT($N464="Common Space"))),$E464*$F464,"")</f>
        <v/>
      </c>
      <c r="GV464" s="356" t="str">
        <f t="shared" ref="GV464:GV510" si="183">IF(OR(AND($C464="Efficiency",$B464=20,NOT($N464="Common Space")),AND($C464="Efficiency",$B464="HOME 20",NOT($N464="Common Space"))),$E464*$F464,"")</f>
        <v/>
      </c>
      <c r="GW464" s="356" t="str">
        <f t="shared" ref="GW464:GW510" si="184">IF(OR(AND($C464=1,$B464=20,NOT($N464="Common Space")),AND($C464=1,$B464="HOME 20",NOT($N464="Common Space"))),$E464*$F464,"")</f>
        <v/>
      </c>
      <c r="GX464" s="356" t="str">
        <f t="shared" ref="GX464:GX510" si="185">IF(OR(AND($C464=2,$B464=20,NOT($N464="Common Space")),AND($C464=2,$B464="HOME 20",NOT($N464="Common Space"))),$E464*$F464,"")</f>
        <v/>
      </c>
      <c r="GY464" s="356" t="str">
        <f t="shared" ref="GY464:GY510" si="186">IF(OR(AND($C464=3,$B464=20,NOT($N464="Common Space")),AND($C464=3,$B464="HOME 20",NOT($N464="Common Space"))),$E464*$F464,"")</f>
        <v/>
      </c>
      <c r="GZ464" s="356" t="str">
        <f t="shared" ref="GZ464:GZ510" si="187">IF(OR(AND($C464=4,$B464=20,NOT($N464="Common Space")),AND($C464=4,$B464="HOME 20",NOT($N464="Common Space"))),$E464*$F464,"")</f>
        <v/>
      </c>
      <c r="HA464" s="356" t="str">
        <f t="shared" ref="HA464:HA510" si="188">IF(AND(C464="Efficiency",B464="Unrestricted",NOT(N464="Common Space")),E464*F464,"")</f>
        <v/>
      </c>
      <c r="HB464" s="356" t="str">
        <f t="shared" ref="HB464:HB510" si="189">IF(AND(C464=1,B464="Unrestricted",NOT(N464="Common Space")),E464*F464,"")</f>
        <v/>
      </c>
      <c r="HC464" s="356" t="str">
        <f t="shared" ref="HC464:HC510" si="190">IF(AND(C464=2,B464="Unrestricted",NOT(N464="Common Space")),E464*F464,"")</f>
        <v/>
      </c>
      <c r="HD464" s="356" t="str">
        <f t="shared" ref="HD464:HD510" si="191">IF(AND(C464=3,B464="Unrestricted",NOT(N464="Common Space")),E464*F464,"")</f>
        <v/>
      </c>
      <c r="HE464" s="356" t="str">
        <f t="shared" ref="HE464:HE510" si="192">IF(AND(C464=4,B464="Unrestricted",NOT(N464="Common Space")),E464*F464,"")</f>
        <v/>
      </c>
      <c r="HF464" s="356" t="str">
        <f t="shared" ref="HF464:HF510" si="193">IF(AND(C464="Efficiency",NOT(K464=""),NOT($K464=0),NOT(N464="Common Space")),E464*F464,"")</f>
        <v/>
      </c>
      <c r="HG464" s="356" t="str">
        <f t="shared" ref="HG464:HG510" si="194">IF(AND(C464=1,NOT(K464=""),NOT($K464=0),NOT(N464="Common Space")),E464*F464,"")</f>
        <v/>
      </c>
      <c r="HH464" s="356" t="str">
        <f t="shared" ref="HH464:HH510" si="195">IF(AND(C464=2,NOT(K464=""),NOT($K464=0),NOT(N464="Common Space")),E464*F464,"")</f>
        <v/>
      </c>
      <c r="HI464" s="356" t="str">
        <f t="shared" ref="HI464:HI510" si="196">IF(AND(C464=3,NOT(K464=""),NOT($K464=0),NOT(N464="Common Space")),E464*F464,"")</f>
        <v/>
      </c>
      <c r="HJ464" s="356" t="str">
        <f t="shared" ref="HJ464:HJ510" si="197">IF(AND(C464=4,NOT(K464=""),NOT($K464=0),NOT(N464="Common Space")),E464*F464,"")</f>
        <v/>
      </c>
      <c r="HK464" s="356" t="str">
        <f t="shared" ref="HK464:HK510" si="198">IF(AND(C464="Efficiency",N464="Common Space"),E464*F464,"")</f>
        <v/>
      </c>
      <c r="HL464" s="356" t="str">
        <f t="shared" ref="HL464:HL510" si="199">IF(AND(C464=1,N464="Common Space"),E464*F464,"")</f>
        <v/>
      </c>
      <c r="HM464" s="356" t="str">
        <f t="shared" ref="HM464:HM510" si="200">IF(AND(C464=2,N464="Common Space"),E464*F464,"")</f>
        <v/>
      </c>
      <c r="HN464" s="356" t="str">
        <f t="shared" ref="HN464:HN510" si="201">IF(AND(C464=3,N464="Common Space"),E464*F464,"")</f>
        <v/>
      </c>
      <c r="HO464" s="356" t="str">
        <f t="shared" ref="HO464:HO510" si="202">IF(AND(C464=4,N464="Common Space"),E464*F464,"")</f>
        <v/>
      </c>
      <c r="HP464" s="356" t="str">
        <f t="shared" ref="HP464:HP510" si="203">IF(AND($C464="Efficiency", $P464="New Construction",NOT($B464="Unrestricted"),NOT($B464="NSP 120"),NOT($B464="N/A-CS"),NOT($N464="Common Space")),$E464,"")</f>
        <v/>
      </c>
      <c r="HQ464" s="356" t="str">
        <f t="shared" ref="HQ464:HQ510" si="204">IF(AND($C464=1, $P464="New Construction",NOT($B464="Unrestricted"),NOT($B464="NSP 120"),NOT($B464="N/A-CS"),NOT($N464="Common Space")),$E464,"")</f>
        <v/>
      </c>
      <c r="HR464" s="356" t="str">
        <f t="shared" ref="HR464:HR510" si="205">IF(AND($C464=2, $P464="New Construction",NOT($B464="Unrestricted"),NOT($B464="NSP 120"),NOT($B464="N/A-CS"),NOT($N464="Common Space")),$E464,"")</f>
        <v/>
      </c>
      <c r="HS464" s="356" t="str">
        <f t="shared" ref="HS464:HS510" si="206">IF(AND($C464=3, $P464="New Construction",NOT($B464="Unrestricted"),NOT($B464="NSP 120"),NOT($B464="N/A-CS"),NOT($N464="Common Space")),$E464,"")</f>
        <v/>
      </c>
      <c r="HT464" s="356" t="str">
        <f t="shared" ref="HT464:HT510" si="207">IF(AND($C464=4, $P464="New Construction",NOT($B464="Unrestricted"),NOT($B464="NSP 120"),NOT($B464="N/A-CS"),NOT($N464="Common Space")),$E464,"")</f>
        <v/>
      </c>
      <c r="HU464" s="356" t="str">
        <f t="shared" ref="HU464:HU510" si="208">IF(AND($C464="Efficiency", $P464="New Construction",$B464="Unrestricted",NOT($B464="N/A-CS"),NOT($N464="Common Space")),$E464,"")</f>
        <v/>
      </c>
      <c r="HV464" s="356" t="str">
        <f t="shared" ref="HV464:HV510" si="209">IF(AND($C464=1, $P464="New Construction",$B464="Unrestricted",NOT($B464="N/A-CS"),NOT($N464="Common Space")),$E464,"")</f>
        <v/>
      </c>
      <c r="HW464" s="356" t="str">
        <f t="shared" ref="HW464:HW510" si="210">IF(AND($C464=2, $P464="New Construction",$B464="Unrestricted",NOT($B464="N/A-CS"),NOT($N464="Common Space")),$E464,"")</f>
        <v/>
      </c>
      <c r="HX464" s="356" t="str">
        <f t="shared" ref="HX464:HX510" si="211">IF(AND($C464=3, $P464="New Construction",$B464="Unrestricted",NOT($B464="N/A-CS"),NOT($N464="Common Space")),$E464,"")</f>
        <v/>
      </c>
      <c r="HY464" s="356" t="str">
        <f t="shared" ref="HY464:HY510" si="212">IF(AND($C464=4, $P464="New Construction",$B464="Unrestricted",NOT($B464="N/A-CS"),NOT($N464="Common Space")),$E464,"")</f>
        <v/>
      </c>
      <c r="HZ464" s="356" t="str">
        <f t="shared" ref="HZ464:HZ510" si="213">IF(AND($C464="Efficiency", $P464="New Construction",$B464="N/A-CS",$N464="Common Space"),$E464,"")</f>
        <v/>
      </c>
      <c r="IA464" s="356" t="str">
        <f t="shared" ref="IA464:IA510" si="214">IF(AND($C464=1, $P464="New Construction",$B464="N/A-CS",$N464="Common Space"),$E464,"")</f>
        <v/>
      </c>
      <c r="IB464" s="356" t="str">
        <f t="shared" ref="IB464:IB510" si="215">IF(AND($C464=2, $P464="New Construction",$B464="N/A-CS",$N464="Common Space"),$E464,"")</f>
        <v/>
      </c>
      <c r="IC464" s="356" t="str">
        <f t="shared" ref="IC464:IC510" si="216">IF(AND($C464=3, $P464="New Construction",$B464="N/A-CS",$N464="Common Space"),$E464,"")</f>
        <v/>
      </c>
      <c r="ID464" s="356" t="str">
        <f t="shared" ref="ID464:ID510" si="217">IF(AND($C464=4, $P464="New Construction",$B464="N/A-CS",$N464="Common Space"),$E464,"")</f>
        <v/>
      </c>
      <c r="IE464" s="356" t="str">
        <f t="shared" ref="IE464:IE510" si="218">IF(AND($C464="Efficiency", $P464="Acquisition/Rehab",NOT($B464="Unrestricted"),NOT($B464="NSP 120"),NOT($B464="N/A-CS"),NOT($N464="Common Space")),$E464,"")</f>
        <v/>
      </c>
      <c r="IF464" s="356" t="str">
        <f t="shared" ref="IF464:IF510" si="219">IF(AND($C464=1, $P464="Acquisition/Rehab",NOT($B464="Unrestricted"),NOT($B464="NSP 120"),NOT($B464="N/A-CS"),NOT($N464="Common Space")),$E464,"")</f>
        <v/>
      </c>
      <c r="IG464" s="356" t="str">
        <f t="shared" ref="IG464:IG510" si="220">IF(AND($C464=2, $P464="Acquisition/Rehab",NOT($B464="Unrestricted"),NOT($B464="NSP 120"),NOT($B464="N/A-CS"),NOT($N464="Common Space")),$E464,"")</f>
        <v/>
      </c>
      <c r="IH464" s="356" t="str">
        <f t="shared" ref="IH464:IH510" si="221">IF(AND($C464=3, $P464="Acquisition/Rehab",NOT($B464="Unrestricted"),NOT($B464="NSP 120"),NOT($B464="N/A-CS"),NOT($N464="Common Space")),$E464,"")</f>
        <v/>
      </c>
      <c r="II464" s="356" t="str">
        <f t="shared" ref="II464:II510" si="222">IF(AND($C464=4, $P464="Acquisition/Rehab",NOT($B464="Unrestricted"),NOT($B464="NSP 120"),NOT($B464="N/A-CS"),NOT($N464="Common Space")),$E464,"")</f>
        <v/>
      </c>
      <c r="IJ464" s="356" t="str">
        <f t="shared" ref="IJ464:IJ510" si="223">IF(AND($C464="Efficiency", $P464="Acquisition/Rehab",$B464="Unrestricted",NOT($B464="N/A-CS"),NOT($N464="Common Space")),$E464,"")</f>
        <v/>
      </c>
      <c r="IK464" s="356" t="str">
        <f t="shared" ref="IK464:IK510" si="224">IF(AND($C464=1, $P464="Acquisition/Rehab",$B464="Unrestricted",NOT($B464="N/A-CS"),NOT($N464="Common Space")),$E464,"")</f>
        <v/>
      </c>
      <c r="IL464" s="356" t="str">
        <f t="shared" ref="IL464:IL510" si="225">IF(AND($C464=2, $P464="Acquisition/Rehab",$B464="Unrestricted",NOT($B464="N/A-CS"),NOT($N464="Common Space")),$E464,"")</f>
        <v/>
      </c>
      <c r="IM464" s="356" t="str">
        <f t="shared" ref="IM464:IM510" si="226">IF(AND($C464=3, $P464="Acquisition/Rehab",$B464="Unrestricted",NOT($B464="N/A-CS"),NOT($N464="Common Space")),$E464,"")</f>
        <v/>
      </c>
      <c r="IN464" s="356" t="str">
        <f t="shared" ref="IN464:IN510" si="227">IF(AND($C464=4, $P464="Acquisition/Rehab",$B464="Unrestricted",NOT($B464="N/A-CS"),NOT($N464="Common Space")),$E464,"")</f>
        <v/>
      </c>
      <c r="IO464" s="356" t="str">
        <f t="shared" ref="IO464:IO510" si="228">IF(AND($C464="Efficiency", $P464="Acquisition/Rehab",$B464="N/A-CS",$N464="Common Space"),$E464,"")</f>
        <v/>
      </c>
      <c r="IP464" s="356" t="str">
        <f t="shared" ref="IP464:IP510" si="229">IF(AND($C464=1, $P464="Acquisition/Rehab",$B464="N/A-CS",$N464="Common Space"),$E464,"")</f>
        <v/>
      </c>
      <c r="IQ464" s="356" t="str">
        <f t="shared" ref="IQ464:IQ510" si="230">IF(AND($C464=2, $P464="Acquisition/Rehab",$B464="N/A-CS",$N464="Common Space"),$E464,"")</f>
        <v/>
      </c>
      <c r="IR464" s="356" t="str">
        <f t="shared" ref="IR464:IR510" si="231">IF(AND($C464=3, $P464="Acquisition/Rehab",$B464="N/A-CS",$N464="Common Space"),$E464,"")</f>
        <v/>
      </c>
      <c r="IS464" s="356" t="str">
        <f t="shared" ref="IS464:IS510" si="232">IF(AND($C464=4, $P464="Acquisition/Rehab",$B464="N/A-CS",$N464="Common Space"),$E464,"")</f>
        <v/>
      </c>
      <c r="IT464" s="356" t="str">
        <f t="shared" ref="IT464:IT510" si="233">IF(AND($C464="Efficiency", $P464="Rehabilitation",NOT($B464="Unrestricted"),NOT($B464="NSP 120"),NOT($B464="N/A-CS"),NOT($N464="Common Space")),$E464,"")</f>
        <v/>
      </c>
      <c r="IU464" s="356" t="str">
        <f t="shared" ref="IU464:IU510" si="234">IF(AND($C464=1, $P464="Rehabilitation",NOT($B464="Unrestricted"),NOT($B464="NSP 120"),NOT($B464="N/A-CS"),NOT($N464="Common Space")),$E464,"")</f>
        <v/>
      </c>
      <c r="IV464" s="356" t="str">
        <f t="shared" ref="IV464:IV510" si="235">IF(AND($C464=2, $P464="Rehabilitation",NOT($B464="Unrestricted"),NOT($B464="NSP 120"),NOT($B464="N/A-CS"),NOT($N464="Common Space")),$E464,"")</f>
        <v/>
      </c>
      <c r="IW464" s="356" t="str">
        <f t="shared" ref="IW464:IW510" si="236">IF(AND($C464=3, $P464="Rehabilitation",NOT($B464="Unrestricted"),NOT($B464="NSP 120"),NOT($B464="N/A-CS"),NOT($N464="Common Space")),$E464,"")</f>
        <v/>
      </c>
      <c r="IX464" s="356" t="str">
        <f t="shared" ref="IX464:IX510" si="237">IF(AND($C464=4, $P464="Rehabilitation",NOT($B464="Unrestricted"),NOT($B464="NSP 120"),NOT($B464="N/A-CS"),NOT($N464="Common Space")),$E464,"")</f>
        <v/>
      </c>
      <c r="IY464" s="356" t="str">
        <f t="shared" ref="IY464:IY510" si="238">IF(AND($C464="Efficiency", $P464="Rehabilitation",$B464="Unrestricted",NOT($B464="N/A-CS"),NOT($N464="Common Space")),$E464,"")</f>
        <v/>
      </c>
      <c r="IZ464" s="356" t="str">
        <f t="shared" ref="IZ464:IZ510" si="239">IF(AND($C464=1, $P464="Rehabilitation",$B464="Unrestricted",NOT($B464="N/A-CS"),NOT($N464="Common Space")),$E464,"")</f>
        <v/>
      </c>
      <c r="JA464" s="356" t="str">
        <f t="shared" ref="JA464:JA510" si="240">IF(AND($C464=2, $P464="Rehabilitation",$B464="Unrestricted",NOT($B464="N/A-CS"),NOT($N464="Common Space")),$E464,"")</f>
        <v/>
      </c>
      <c r="JB464" s="356" t="str">
        <f t="shared" ref="JB464:JB510" si="241">IF(AND($C464=3, $P464="Rehabilitation",$B464="Unrestricted",NOT($B464="N/A-CS"),NOT($N464="Common Space")),$E464,"")</f>
        <v/>
      </c>
      <c r="JC464" s="356" t="str">
        <f t="shared" ref="JC464:JC510" si="242">IF(AND($C464=4, $P464="Rehabilitation",$B464="Unrestricted",NOT($B464="N/A-CS"),NOT($N464="Common Space")),$E464,"")</f>
        <v/>
      </c>
      <c r="JD464" s="356" t="str">
        <f t="shared" ref="JD464:JD510" si="243">IF(AND($C464="Efficiency", $P464="Rehabilitation",$B464="N/A-CS",$N464="Common Space"),$E464,"")</f>
        <v/>
      </c>
      <c r="JE464" s="356" t="str">
        <f t="shared" ref="JE464:JE510" si="244">IF(AND($C464=1, $P464="Rehabilitation",$B464="N/A-CS",$N464="Common Space"),$E464,"")</f>
        <v/>
      </c>
      <c r="JF464" s="356" t="str">
        <f t="shared" ref="JF464:JF510" si="245">IF(AND($C464=2, $P464="Rehabilitation",$B464="N/A-CS",$N464="Common Space"),$E464,"")</f>
        <v/>
      </c>
      <c r="JG464" s="356" t="str">
        <f t="shared" ref="JG464:JG510" si="246">IF(AND($C464=3, $P464="Rehabilitation",$B464="N/A-CS",$N464="Common Space"),$E464,"")</f>
        <v/>
      </c>
      <c r="JH464" s="356" t="str">
        <f t="shared" ref="JH464:JH510" si="247">IF(AND($C464=4, $P464="Rehabilitation",$B464="N/A-CS",$N464="Common Space"),$E464,"")</f>
        <v/>
      </c>
      <c r="JI464" s="1785" t="str">
        <f t="shared" ref="JI464:JI510" si="248">IF(AND($C464="Efficiency", NOT(OR($O464="SF Detached",$O464="Mfd Home",$O464="Semi-Detached",$O464="Row House/TH"))),$E464,"")</f>
        <v/>
      </c>
      <c r="JJ464" s="1785" t="str">
        <f t="shared" ref="JJ464:JJ510" si="249">IF(AND($C464=1, NOT(OR($O464="SF Detached",$O464="Mfd Home",$O464="Semi-Detached",$O464="Row House/TH"))),$E464,"")</f>
        <v/>
      </c>
      <c r="JK464" s="1785" t="str">
        <f t="shared" ref="JK464:JK510" si="250">IF(AND($C464=2, NOT(OR($O464="SF Detached",$O464="Mfd Home",$O464="Semi-Detached",$O464="Row House/TH"))),$E464,"")</f>
        <v/>
      </c>
      <c r="JL464" s="1785" t="str">
        <f t="shared" ref="JL464:JL510" si="251">IF(AND($C464=3, NOT(OR($O464="SF Detached",$O464="Mfd Home",$O464="Semi-Detached",$O464="Row House/TH"))),$E464,"")</f>
        <v/>
      </c>
      <c r="JM464" s="1785" t="str">
        <f t="shared" ref="JM464:JM510" si="252">IF(AND($C464=4, NOT(OR($O464="SF Detached",$O464="Mfd Home",$O464="Semi-Detached",$O464="Row House/TH"))),$E464,"")</f>
        <v/>
      </c>
      <c r="JN464" s="1785" t="str">
        <f t="shared" ref="JN464:JN510" si="253">IF(AND($C464="Efficiency", $O464="SF Detached",NOT($Q464="Yes")),$E464,"")</f>
        <v/>
      </c>
      <c r="JO464" s="1785" t="str">
        <f t="shared" ref="JO464:JO510" si="254">IF(AND($C464=1, $O464="SF Detached",NOT($Q464="Yes")),$E464,"")</f>
        <v/>
      </c>
      <c r="JP464" s="1785" t="str">
        <f t="shared" ref="JP464:JP510" si="255">IF(AND($C464=2, $O464="SF Detached",NOT($Q464="Yes")),$E464,"")</f>
        <v/>
      </c>
      <c r="JQ464" s="1785" t="str">
        <f t="shared" ref="JQ464:JQ510" si="256">IF(AND($C464=3, $O464="SF Detached",NOT($Q464="Yes")),$E464,"")</f>
        <v/>
      </c>
      <c r="JR464" s="1785" t="str">
        <f t="shared" ref="JR464:JR510" si="257">IF(AND($C464=4, $O464="SF Detached",NOT($Q464="Yes")),$E464,"")</f>
        <v/>
      </c>
      <c r="JS464" s="1785" t="str">
        <f t="shared" ref="JS464:JS510" si="258">IF(AND($C464="Efficiency", $O464="SF Detached",$Q464="Yes"),$E464,"")</f>
        <v/>
      </c>
      <c r="JT464" s="1785" t="str">
        <f t="shared" ref="JT464:JT510" si="259">IF(AND($C464=1, $O464="SF Detached",$Q464="Yes"),$E464,"")</f>
        <v/>
      </c>
      <c r="JU464" s="1785" t="str">
        <f t="shared" ref="JU464:JU510" si="260">IF(AND($C464=2, $O464="SF Detached",$Q464="Yes"),$E464,"")</f>
        <v/>
      </c>
      <c r="JV464" s="1785" t="str">
        <f t="shared" ref="JV464:JV510" si="261">IF(AND($C464=3, $O464="SF Detached",$Q464="Yes"),$E464,"")</f>
        <v/>
      </c>
      <c r="JW464" s="1785" t="str">
        <f t="shared" ref="JW464:JW510" si="262">IF(AND($C464=4, $O464="SF Detached",$Q464="Yes"),$E464,"")</f>
        <v/>
      </c>
      <c r="JX464" s="1785" t="str">
        <f t="shared" ref="JX464:JX510" si="263">IF(AND($C464="Efficiency", $O464="Mfd Home",NOT($Q464="Yes")),$E464,"")</f>
        <v/>
      </c>
      <c r="JY464" s="1785" t="str">
        <f t="shared" ref="JY464:JY510" si="264">IF(AND($C464=1, $O464="Mfd Home",NOT($Q464="Yes")),$E464,"")</f>
        <v/>
      </c>
      <c r="JZ464" s="1785" t="str">
        <f t="shared" ref="JZ464:JZ510" si="265">IF(AND($C464=2, $O464="Mfd Home",NOT($Q464="Yes")),$E464,"")</f>
        <v/>
      </c>
      <c r="KA464" s="1785" t="str">
        <f t="shared" ref="KA464:KA510" si="266">IF(AND($C464=3, $O464="Mfd Home",NOT($Q464="Yes")),$E464,"")</f>
        <v/>
      </c>
      <c r="KB464" s="1785" t="str">
        <f t="shared" ref="KB464:KB510" si="267">IF(AND($C464=4, $O464="Mfd Home",NOT($Q464="Yes")),$E464,"")</f>
        <v/>
      </c>
      <c r="KC464" s="1785" t="str">
        <f t="shared" ref="KC464:KC510" si="268">IF(AND($C464="Efficiency", $O464="Mfd Home",$Q464="Yes"),$E464,"")</f>
        <v/>
      </c>
      <c r="KD464" s="1785" t="str">
        <f t="shared" ref="KD464:KD510" si="269">IF(AND($C464=1, $O464="Mfd Home",$Q464="Yes"),$E464,"")</f>
        <v/>
      </c>
      <c r="KE464" s="1785" t="str">
        <f t="shared" ref="KE464:KE510" si="270">IF(AND($C464=2, $O464="Mfd Home",$Q464="Yes"),$E464,"")</f>
        <v/>
      </c>
      <c r="KF464" s="1785" t="str">
        <f t="shared" ref="KF464:KF510" si="271">IF(AND($C464=3, $O464="Mfd Home",$Q464="Yes"),$E464,"")</f>
        <v/>
      </c>
      <c r="KG464" s="1785" t="str">
        <f t="shared" ref="KG464:KG510" si="272">IF(AND($C464=4, $O464="Mfd Home",$Q464="Yes"),$E464,"")</f>
        <v/>
      </c>
      <c r="KH464" s="1785" t="str">
        <f t="shared" ref="KH464:KH510" si="273">IF(AND($C464="Efficiency", $O464="Semi-Detached",NOT($Q464="Yes")),$E464,"")</f>
        <v/>
      </c>
      <c r="KI464" s="1785" t="str">
        <f t="shared" ref="KI464:KI510" si="274">IF(AND($C464=1, $O464="Semi-Detached",NOT($Q464="Yes")),$E464,"")</f>
        <v/>
      </c>
      <c r="KJ464" s="1785" t="str">
        <f t="shared" ref="KJ464:KJ510" si="275">IF(AND($C464=2, $O464="Semi-Detached",NOT($Q464="Yes")),$E464,"")</f>
        <v/>
      </c>
      <c r="KK464" s="1785" t="str">
        <f t="shared" ref="KK464:KK510" si="276">IF(AND($C464=3, $O464="Semi-Detached",NOT($Q464="Yes")),$E464,"")</f>
        <v/>
      </c>
      <c r="KL464" s="1785" t="str">
        <f t="shared" ref="KL464:KL510" si="277">IF(AND($C464=4, $O464="Semi-Detached",NOT($Q464="Yes")),$E464,"")</f>
        <v/>
      </c>
      <c r="KM464" s="1785" t="str">
        <f t="shared" ref="KM464:KM510" si="278">IF(AND($C464="Efficiency", $O464="Semi-Detached",$Q464="Yes"),$E464,"")</f>
        <v/>
      </c>
      <c r="KN464" s="1785" t="str">
        <f t="shared" ref="KN464:KN510" si="279">IF(AND($C464=1, $O464="Semi-Detached",$Q464="Yes"),$E464,"")</f>
        <v/>
      </c>
      <c r="KO464" s="1785" t="str">
        <f t="shared" ref="KO464:KO510" si="280">IF(AND($C464=2, $O464="Semi-Detached",$Q464="Yes"),$E464,"")</f>
        <v/>
      </c>
      <c r="KP464" s="1785" t="str">
        <f t="shared" ref="KP464:KP510" si="281">IF(AND($C464=3, $O464="Semi-Detached",$Q464="Yes"),$E464,"")</f>
        <v/>
      </c>
      <c r="KQ464" s="1785" t="str">
        <f t="shared" ref="KQ464:KQ510" si="282">IF(AND($C464=4, $O464="Semi-Detached",$Q464="Yes"),$E464,"")</f>
        <v/>
      </c>
      <c r="KR464" s="1785" t="str">
        <f t="shared" ref="KR464:KR510" si="283">IF(AND($C464="Efficiency", $O464="Row House/TH",NOT($Q464="Yes")),$E464,"")</f>
        <v/>
      </c>
      <c r="KS464" s="1785" t="str">
        <f t="shared" ref="KS464:KS510" si="284">IF(AND($C464=1, $O464="Row House/TH",NOT($Q464="Yes")),$E464,"")</f>
        <v/>
      </c>
      <c r="KT464" s="1785" t="str">
        <f t="shared" ref="KT464:KT510" si="285">IF(AND($C464=2, $O464="Row House/TH",NOT($Q464="Yes")),$E464,"")</f>
        <v/>
      </c>
      <c r="KU464" s="1785" t="str">
        <f t="shared" ref="KU464:KU510" si="286">IF(AND($C464=3, $O464="Row House/TH",NOT($Q464="Yes")),$E464,"")</f>
        <v/>
      </c>
      <c r="KV464" s="1785" t="str">
        <f t="shared" ref="KV464:KV510" si="287">IF(AND($C464=4, $O464="Row House/TH",NOT($Q464="Yes")),$E464,"")</f>
        <v/>
      </c>
      <c r="KW464" s="1785" t="str">
        <f t="shared" ref="KW464:KW510" si="288">IF(AND($C464="Efficiency", $O464="Row House/TH",$Q464="Yes"),$E464,"")</f>
        <v/>
      </c>
      <c r="KX464" s="1785" t="str">
        <f t="shared" ref="KX464:KX510" si="289">IF(AND($C464=1, $O464="Row House/TH",$Q464="Yes"),$E464,"")</f>
        <v/>
      </c>
      <c r="KY464" s="1785" t="str">
        <f t="shared" ref="KY464:KY510" si="290">IF(AND($C464=2, $O464="Row House/TH",$Q464="Yes"),$E464,"")</f>
        <v/>
      </c>
      <c r="KZ464" s="1785" t="str">
        <f t="shared" ref="KZ464:KZ510" si="291">IF(AND($C464=3, $O464="Row House/TH",$Q464="Yes"),$E464,"")</f>
        <v/>
      </c>
      <c r="LA464" s="1785" t="str">
        <f t="shared" ref="LA464:LA510" si="292">IF(AND($C464=4, $O464="Row House/TH",$Q464="Yes"),$E464,"")</f>
        <v/>
      </c>
      <c r="LB464" s="1785" t="str">
        <f t="shared" ref="LB464:LB510" si="293">IF(AND($C464="Efficiency", $O464="Low-Rise Apt",NOT($Q464="Yes")),$E464,"")</f>
        <v/>
      </c>
      <c r="LC464" s="1785" t="str">
        <f t="shared" ref="LC464:LC510" si="294">IF(AND($C464=1, $O464="Low-Rise Apt",NOT($Q464="Yes")),$E464,"")</f>
        <v/>
      </c>
      <c r="LD464" s="1785" t="str">
        <f t="shared" ref="LD464:LD510" si="295">IF(AND($C464=2, $O464="Low-Rise Apt",NOT($Q464="Yes")),$E464,"")</f>
        <v/>
      </c>
      <c r="LE464" s="1785" t="str">
        <f t="shared" ref="LE464:LE510" si="296">IF(AND($C464=3, $O464="Low-Rise Apt",NOT($Q464="Yes")),$E464,"")</f>
        <v/>
      </c>
      <c r="LF464" s="1785" t="str">
        <f t="shared" ref="LF464:LF510" si="297">IF(AND($C464=4, $O464="Low-Rise Apt",NOT($Q464="Yes")),$E464,"")</f>
        <v/>
      </c>
      <c r="LG464" s="1785" t="str">
        <f t="shared" ref="LG464:LG510" si="298">IF(AND($C464="Efficiency", $O464="Low-Rise Elevator",NOT($Q464="Yes")),$E464,"")</f>
        <v/>
      </c>
      <c r="LH464" s="1785" t="str">
        <f t="shared" ref="LH464:LH510" si="299">IF(AND($C464=1, $O464="Low-Rise Elevator",NOT($Q464="Yes")),$E464,"")</f>
        <v/>
      </c>
      <c r="LI464" s="1785" t="str">
        <f t="shared" ref="LI464:LI510" si="300">IF(AND($C464=2, $O464="Low-Rise Elevator",NOT($Q464="Yes")),$E464,"")</f>
        <v/>
      </c>
      <c r="LJ464" s="1785" t="str">
        <f t="shared" ref="LJ464:LJ510" si="301">IF(AND($C464=3, $O464="Low-Rise Elevator",NOT($Q464="Yes")),$E464,"")</f>
        <v/>
      </c>
      <c r="LK464" s="1785" t="str">
        <f t="shared" ref="LK464:LK510" si="302">IF(AND($C464=4, $O464="Low-Rise Elevator",NOT($Q464="Yes")),$E464,"")</f>
        <v/>
      </c>
      <c r="LL464" s="1785" t="str">
        <f t="shared" ref="LL464:LL510" si="303">IF(AND($C464="Efficiency", $O464="Low-Rise Apt",$Q464="Yes"),$E464,"")</f>
        <v/>
      </c>
      <c r="LM464" s="1785" t="str">
        <f t="shared" ref="LM464:LM510" si="304">IF(AND($C464=1, $O464="Low-Rise Apt",$Q464="Yes"),$E464,"")</f>
        <v/>
      </c>
      <c r="LN464" s="1785" t="str">
        <f t="shared" ref="LN464:LN510" si="305">IF(AND($C464=2, $O464="Low-Rise Apt",$Q464="Yes"),$E464,"")</f>
        <v/>
      </c>
      <c r="LO464" s="1785" t="str">
        <f t="shared" ref="LO464:LO510" si="306">IF(AND($C464=3, $O464="Low-Rise Apt",$Q464="Yes"),$E464,"")</f>
        <v/>
      </c>
      <c r="LP464" s="1785" t="str">
        <f t="shared" ref="LP464:LP510" si="307">IF(AND($C464=4, $O464="Low-Rise Apt",$Q464="Yes"),$E464,"")</f>
        <v/>
      </c>
      <c r="LQ464" s="1785" t="str">
        <f t="shared" ref="LQ464:LQ510" si="308">IF(AND($C464="Efficiency", $O464="Low-Rise Elevator",$Q464="Yes"),$E464,"")</f>
        <v/>
      </c>
      <c r="LR464" s="1785" t="str">
        <f t="shared" ref="LR464:LR510" si="309">IF(AND($C464=1, $O464="Low-Rise Elevator",$Q464="Yes"),$E464,"")</f>
        <v/>
      </c>
      <c r="LS464" s="1785" t="str">
        <f t="shared" ref="LS464:LS510" si="310">IF(AND($C464=2, $O464="Low-Rise Elevator",$Q464="Yes"),$E464,"")</f>
        <v/>
      </c>
      <c r="LT464" s="1785" t="str">
        <f t="shared" ref="LT464:LT510" si="311">IF(AND($C464=3, $O464="Low-Rise Elevator",$Q464="Yes"),$E464,"")</f>
        <v/>
      </c>
      <c r="LU464" s="1785" t="str">
        <f t="shared" ref="LU464:LU510" si="312">IF(AND($C464=4, $O464="Low-Rise Elevator",$Q464="Yes"),$E464,"")</f>
        <v/>
      </c>
      <c r="LV464" s="1785" t="str">
        <f t="shared" ref="LV464:LV510" si="313">IF(AND($C464="Efficiency", $O464="High-Rise Apt",NOT($Q464="Yes")),$E464,"")</f>
        <v/>
      </c>
      <c r="LW464" s="1785" t="str">
        <f t="shared" ref="LW464:LW510" si="314">IF(AND($C464=1, $O464="High-Rise Apt",NOT($Q464="Yes")),$E464,"")</f>
        <v/>
      </c>
      <c r="LX464" s="1785" t="str">
        <f t="shared" ref="LX464:LX510" si="315">IF(AND($C464=2, $O464="High-Rise Apt",NOT($Q464="Yes")),$E464,"")</f>
        <v/>
      </c>
      <c r="LY464" s="1785" t="str">
        <f t="shared" ref="LY464:LY510" si="316">IF(AND($C464=3, $O464="High-Rise Apt",NOT($Q464="Yes")),$E464,"")</f>
        <v/>
      </c>
      <c r="LZ464" s="1785" t="str">
        <f t="shared" ref="LZ464:LZ510" si="317">IF(AND($C464=4, $O464="High-Rise Apt",NOT($Q464="Yes")),$E464,"")</f>
        <v/>
      </c>
      <c r="MA464" s="1785" t="str">
        <f t="shared" ref="MA464:MA510" si="318">IF(AND($C464="Efficiency", $O464="High-Rise Elevator",NOT($Q464="Yes")),$E464,"")</f>
        <v/>
      </c>
      <c r="MB464" s="1785" t="str">
        <f t="shared" ref="MB464:MB510" si="319">IF(AND($C464=1, $O464="High-Rise Elevator",NOT($Q464="Yes")),$E464,"")</f>
        <v/>
      </c>
      <c r="MC464" s="1785" t="str">
        <f t="shared" ref="MC464:MC510" si="320">IF(AND($C464=2, $O464="High-Rise Elevator",NOT($Q464="Yes")),$E464,"")</f>
        <v/>
      </c>
      <c r="MD464" s="1785" t="str">
        <f t="shared" ref="MD464:MD510" si="321">IF(AND($C464=3, $O464="High-Rise Elevator",NOT($Q464="Yes")),$E464,"")</f>
        <v/>
      </c>
      <c r="ME464" s="1785" t="str">
        <f t="shared" ref="ME464:ME510" si="322">IF(AND($C464=4, $O464="High-Rise Elevator",NOT($Q464="Yes")),$E464,"")</f>
        <v/>
      </c>
      <c r="MF464" s="1785" t="str">
        <f t="shared" ref="MF464:MF510" si="323">IF(AND($C464="Efficiency", $O464="High-Rise Apt",$Q464="Yes"),$E464,"")</f>
        <v/>
      </c>
      <c r="MG464" s="1785" t="str">
        <f t="shared" ref="MG464:MG510" si="324">IF(AND($C464=1, $O464="High-Rise Apt",$Q464="Yes"),$E464,"")</f>
        <v/>
      </c>
      <c r="MH464" s="1785" t="str">
        <f t="shared" ref="MH464:MH510" si="325">IF(AND($C464=2, $O464="High-Rise Apt",$Q464="Yes"),$E464,"")</f>
        <v/>
      </c>
      <c r="MI464" s="1785" t="str">
        <f t="shared" ref="MI464:MI510" si="326">IF(AND($C464=3, $O464="High-Rise Apt",$Q464="Yes"),$E464,"")</f>
        <v/>
      </c>
      <c r="MJ464" s="1785" t="str">
        <f t="shared" ref="MJ464:MJ510" si="327">IF(AND($C464=4, $O464="High-Rise Apt",$Q464="Yes"),$E464,"")</f>
        <v/>
      </c>
      <c r="MK464" s="1785" t="str">
        <f t="shared" ref="MK464:MK510" si="328">IF(AND($C464="Efficiency", $O464="High-Rise Elevator",$Q464="Yes"),$E464,"")</f>
        <v/>
      </c>
      <c r="ML464" s="1785" t="str">
        <f t="shared" ref="ML464:ML510" si="329">IF(AND($C464=1, $O464="High-Rise Elevator",$Q464="Yes"),$E464,"")</f>
        <v/>
      </c>
      <c r="MM464" s="1785" t="str">
        <f t="shared" ref="MM464:MM510" si="330">IF(AND($C464=2, $O464="High-Rise Elevator",$Q464="Yes"),$E464,"")</f>
        <v/>
      </c>
      <c r="MN464" s="1785" t="str">
        <f t="shared" ref="MN464:MN510" si="331">IF(AND($C464=3, $O464="High-Rise Elevator",$Q464="Yes"),$E464,"")</f>
        <v/>
      </c>
      <c r="MO464" s="1785" t="str">
        <f t="shared" ref="MO464:MO510" si="332">IF(AND($C464=4, $O464="High-Rise Elevator",$Q464="Yes"),$E464,"")</f>
        <v/>
      </c>
      <c r="MP464" s="2470" t="str">
        <f t="shared" ref="MP464:MP510" si="333">IF(AND($B464="NSP 120% AMI",$C464="Efficiency", NOT($N464="Common Space")),$E464,"")</f>
        <v/>
      </c>
      <c r="MQ464" s="2470" t="str">
        <f t="shared" ref="MQ464:MQ510" si="334">IF(AND($B464="NSP 120% AMI",$C464=1,NOT($N464="Common Space")),$E464,"")</f>
        <v/>
      </c>
      <c r="MR464" s="2470" t="str">
        <f t="shared" ref="MR464:MR510" si="335">IF(AND($B464="NSP 120% AMI",$C464=2,NOT($N464="Common Space")),$E464,"")</f>
        <v/>
      </c>
      <c r="MS464" s="2470" t="str">
        <f t="shared" ref="MS464:MS510" si="336">IF(AND($B464="NSP 120% AMI",$C464=3,NOT($N464="Common Space")),$E464,"")</f>
        <v/>
      </c>
      <c r="MT464" s="2470" t="str">
        <f t="shared" ref="MT464:MT510" si="337">IF(AND($B464="NSP 120% AMI",$C464=4,NOT($N464="Common Space")),$E464,"")</f>
        <v/>
      </c>
      <c r="MU464" s="356" t="str">
        <f t="shared" ref="MU464:MU510" si="338">IF(AND(C464="Efficiency",B464="NSP 120% AMI",NOT(N464="Common Space")),E464*F464,"")</f>
        <v/>
      </c>
      <c r="MV464" s="356" t="str">
        <f t="shared" ref="MV464:MV510" si="339">IF(AND(C464=1,B464="NSP 120% AMI",NOT(N464="Common Space")),E464*F464,"")</f>
        <v/>
      </c>
      <c r="MW464" s="356" t="str">
        <f t="shared" ref="MW464:MW510" si="340">IF(AND(C464=2,B464="NSP 120% AMI",NOT(N464="Common Space")),E464*F464,"")</f>
        <v/>
      </c>
      <c r="MX464" s="356" t="str">
        <f t="shared" ref="MX464:MX510" si="341">IF(AND(C464=3,B464="NSP 120% AMI",NOT(N464="Common Space")),E464*F464,"")</f>
        <v/>
      </c>
      <c r="MY464" s="356" t="str">
        <f t="shared" ref="MY464:MY510" si="342">IF(AND(C464=4,B464="NSP 120% AMI",NOT(N464="Common Space")),E464*F464,"")</f>
        <v/>
      </c>
      <c r="MZ464" s="356" t="str">
        <f t="shared" ref="MZ464:MZ510" si="343">IF(AND($C464="Efficiency", $P464="New Construction",$B464="NSP 120% AMI",NOT($N464="Common Space")),$E464,"")</f>
        <v/>
      </c>
      <c r="NA464" s="356" t="str">
        <f t="shared" ref="NA464:NA510" si="344">IF(AND($C464=1, $P464="New Construction",$B464="NSP 120% AMI",NOT($N464="Common Space")),$E464,"")</f>
        <v/>
      </c>
      <c r="NB464" s="356" t="str">
        <f t="shared" ref="NB464:NB510" si="345">IF(AND($C464=2, $P464="New Construction",$B464="NSP 120% AMI",NOT($N464="Common Space")),$E464,"")</f>
        <v/>
      </c>
      <c r="NC464" s="356" t="str">
        <f t="shared" ref="NC464:NC510" si="346">IF(AND($C464=3, $P464="New Construction",$B464="NSP 120% AMI",NOT($N464="Common Space")),$E464,"")</f>
        <v/>
      </c>
      <c r="ND464" s="356" t="str">
        <f t="shared" ref="ND464:ND510" si="347">IF(AND($C464=4, $P464="New Construction",$B464="NSP 120% AMI",NOT($N464="Common Space")),$E464,"")</f>
        <v/>
      </c>
      <c r="NE464" s="356" t="str">
        <f t="shared" ref="NE464:NE510" si="348">IF(AND($C464="Efficiency", $P464="Acquisition/Rehab",$B464="NSP 120% AMI",NOT($N464="Common Space")),$E464,"")</f>
        <v/>
      </c>
      <c r="NF464" s="356" t="str">
        <f t="shared" ref="NF464:NF510" si="349">IF(AND($C464=1, $P464="Acquisition/Rehab",$B464="NSP 120% AMI",NOT($N464="Common Space")),$E464,"")</f>
        <v/>
      </c>
      <c r="NG464" s="356" t="str">
        <f t="shared" ref="NG464:NG510" si="350">IF(AND($C464=2, $P464="Acquisition/Rehab",$B464="NSP 120% AMI",NOT($N464="Common Space")),$E464,"")</f>
        <v/>
      </c>
      <c r="NH464" s="356" t="str">
        <f t="shared" ref="NH464:NH510" si="351">IF(AND($C464=3, $P464="Acquisition/Rehab",$B464="NSP 120% AMI",NOT($N464="Common Space")),$E464,"")</f>
        <v/>
      </c>
      <c r="NI464" s="356" t="str">
        <f t="shared" ref="NI464:NI510" si="352">IF(AND($C464=4, $P464="Acquisition/Rehab",$B464="NSP 120% AMI",NOT($N464="Common Space")),$E464,"")</f>
        <v/>
      </c>
      <c r="NJ464" s="356" t="str">
        <f t="shared" ref="NJ464:NJ510" si="353">IF(AND($C464="Efficiency", $P464="Rehabilitation",$B464="NSP 120% AMI",NOT($N464="Common Space")),$E464,"")</f>
        <v/>
      </c>
      <c r="NK464" s="356" t="str">
        <f t="shared" ref="NK464:NK510" si="354">IF(AND($C464=1, $P464="Rehabilitation",$B464="NSP 120% AMI",NOT($N464="Common Space")),$E464,"")</f>
        <v/>
      </c>
      <c r="NL464" s="356" t="str">
        <f t="shared" ref="NL464:NL510" si="355">IF(AND($C464=2, $P464="Rehabilitation",$B464="NSP 120% AMI",NOT($N464="Common Space")),$E464,"")</f>
        <v/>
      </c>
      <c r="NM464" s="356" t="str">
        <f t="shared" ref="NM464:NM510" si="356">IF(AND($C464=3, $P464="Rehabilitation",$B464="NSP 120% AMI",NOT($N464="Common Space")),$E464,"")</f>
        <v/>
      </c>
      <c r="NN464" s="356" t="str">
        <f t="shared" ref="NN464:NN510" si="357">IF(AND($C464=4, $P464="Rehabilitation",$B464="NSP 120% AMI",NOT($N464="Common Space")),$E464,"")</f>
        <v/>
      </c>
      <c r="NO464" s="1640">
        <f t="shared" ref="NO464:NO510" si="358">IF(AND($C464="Efficiency",$E464&gt;0,OR($O464="Low-Rise Apt",$O464="Low-Rise Elevator",$O464="High-Rise Apt",$O464="High-Rise Elevator",$O464="Row House/TH"),OR($P464="Acquisition/Rehab",$P464="Rehabilitation"),NOT($Q464="Yes")),$E464,0)</f>
        <v>0</v>
      </c>
      <c r="NP464" s="1640">
        <f t="shared" ref="NP464:NP510" si="359">IF(AND($C464=1,$E464&gt;0,OR($O464="Low-Rise Apt",$O464="Low-Rise Elevator",$O464="High-Rise Apt",$O464="High-Rise Elevator",$O464="Row House/TH"),OR($P464="Acquisition/Rehab",$P464="Rehabilitation"),NOT($Q464="Yes")),$E464,0)</f>
        <v>0</v>
      </c>
      <c r="NQ464" s="1640">
        <f t="shared" ref="NQ464:NQ510" si="360">IF(AND($C464=2,$E464&gt;0,OR($O464="Low-Rise Apt",$O464="Low-Rise Elevator",$O464="High-Rise Apt",$O464="High-Rise Elevator",$O464="Row House/TH"),OR($P464="Acquisition/Rehab",$P464="Rehabilitation"),NOT($Q464="Yes")),$E464,0)</f>
        <v>0</v>
      </c>
      <c r="NR464" s="1640">
        <f t="shared" ref="NR464:NR510" si="361">IF(AND($C464=3,$E464&gt;0,OR($O464="Low-Rise Apt",$O464="Low-Rise Elevator",$O464="High-Rise Apt",$O464="High-Rise Elevator",$O464="Row House/TH"),OR($P464="Acquisition/Rehab",$P464="Rehabilitation"),NOT($Q464="Yes")),$E464,0)</f>
        <v>0</v>
      </c>
      <c r="NS464" s="1640">
        <f t="shared" ref="NS464:NS510" si="362">IF(AND($C464=4,$E464&gt;0,OR($O464="Low-Rise Apt",$O464="Low-Rise Elevator",$O464="High-Rise Apt",$O464="High-Rise Elevator",$O464="Row House/TH"),OR($P464="Acquisition/Rehab",$P464="Rehabilitation"),NOT($Q464="Yes")),$E464,0)</f>
        <v>0</v>
      </c>
      <c r="NT464" s="1640">
        <f>IF(AND($C464="Efficiency",$E464&gt;0,OR($O464="Low-Rise Apt",$O464="Low-Rise Elevator",$O464="High-Rise Apt",$O464="High-Rise Elevator",$O464="Row House/TH"),$P464="New Construction"),$E464,0)</f>
        <v>0</v>
      </c>
      <c r="NU464" s="1640">
        <f>IF(AND($C464=1,$E464&gt;0,OR($O464="Low-Rise Apt",$O464="Low-Rise Elevator",$O464="High-Rise Apt",$O464="High-Rise Elevator",$O464="Row House/TH"),$P464="New Construction"),$E464,0)</f>
        <v>0</v>
      </c>
      <c r="NV464" s="1640">
        <f>IF(AND($C464=2,$E464&gt;0,OR($O464="Low-Rise Apt",$O464="Low-Rise Elevator",$O464="High-Rise Apt",$O464="High-Rise Elevator",$O464="Row House/TH"),$P464="New Construction"),$E464,0)</f>
        <v>0</v>
      </c>
      <c r="NW464" s="1640">
        <f>IF(AND($C464=3,$E464&gt;0,OR($O464="Low-Rise Apt",$O464="Low-Rise Elevator",$O464="High-Rise Apt",$O464="High-Rise Elevator",$O464="Row House/TH"),$P464="New Construction"),$E464,0)</f>
        <v>0</v>
      </c>
      <c r="NX464" s="1640">
        <f>IF(AND($C464=4,$E464&gt;0,OR($O464="Low-Rise Apt",$O464="Low-Rise Elevator",$O464="High-Rise Apt",$O464="High-Rise Elevator",$O464="Row House/TH"),$P464="New Construction"),$E464,0)</f>
        <v>0</v>
      </c>
      <c r="NY464" s="1640">
        <f t="shared" ref="NY464:NY510" si="363">IF(AND($C464="Efficiency",$E464&gt;0,OR($O464="SF Detached",$O464="Semi-Detached",$O464="Mfd Home"),NOT($Q464="Yes")),$E464,0)</f>
        <v>0</v>
      </c>
      <c r="NZ464" s="1640">
        <f t="shared" ref="NZ464:NZ510" si="364">IF(AND($C464=1,$E464&gt;0,OR($O464="SF Detached",$O464="Semi-Detached",$O464="Mfd Home"),NOT($Q464="Yes")),$E464,0)</f>
        <v>0</v>
      </c>
      <c r="OA464" s="1640">
        <f t="shared" ref="OA464:OA510" si="365">IF(AND($C464=2,$E464&gt;0,OR($O464="SF Detached",$O464="Semi-Detached",$O464="Mfd Home"),NOT($Q464="Yes")),$E464,0)</f>
        <v>0</v>
      </c>
      <c r="OB464" s="1640">
        <f t="shared" ref="OB464:OB510" si="366">IF(AND($C464=3,$E464&gt;0,OR($O464="SF Detached",$O464="Semi-Detached",$O464="Mfd Home"),NOT($Q464="Yes")),$E464,0)</f>
        <v>0</v>
      </c>
      <c r="OC464" s="1640">
        <f t="shared" ref="OC464:OC510" si="367">IF(AND($C464=4,$E464&gt;0,OR($O464="SF Detached",$O464="Semi-Detached",$O464="Mfd Home"),NOT($Q464="Yes")),$E464,0)</f>
        <v>0</v>
      </c>
      <c r="OY464" s="356" t="s">
        <v>4297</v>
      </c>
      <c r="OZ464" s="1640">
        <v>11</v>
      </c>
    </row>
    <row r="465" spans="1:416" ht="12" customHeight="1">
      <c r="A465" s="2706" t="str">
        <f t="shared" si="0"/>
        <v/>
      </c>
      <c r="B465" s="2725" t="str">
        <f>'Part V-Revenues &amp; Expenses'!B12</f>
        <v>N/A-CS</v>
      </c>
      <c r="C465" s="2726">
        <f>'Part V-Revenues &amp; Expenses'!C12</f>
        <v>0</v>
      </c>
      <c r="D465" s="2727">
        <f>'Part V-Revenues &amp; Expenses'!D12</f>
        <v>0</v>
      </c>
      <c r="E465" s="2728">
        <f>'Part V-Revenues &amp; Expenses'!E12</f>
        <v>0</v>
      </c>
      <c r="F465" s="2728">
        <f>'Part V-Revenues &amp; Expenses'!F12</f>
        <v>0</v>
      </c>
      <c r="G465" s="2728">
        <f>'Part V-Revenues &amp; Expenses'!G12</f>
        <v>0</v>
      </c>
      <c r="H465" s="2728">
        <f>'Part V-Revenues &amp; Expenses'!H12</f>
        <v>0</v>
      </c>
      <c r="I465" s="2728">
        <f>'Part V-Revenues &amp; Expenses'!I12</f>
        <v>0</v>
      </c>
      <c r="J465" s="2728">
        <f>'Part V-Revenues &amp; Expenses'!J12</f>
        <v>0</v>
      </c>
      <c r="K465" s="2729">
        <f>'Part V-Revenues &amp; Expenses'!K12</f>
        <v>0</v>
      </c>
      <c r="L465" s="2730">
        <f t="shared" si="1"/>
        <v>0</v>
      </c>
      <c r="M465" s="2730">
        <f t="shared" si="2"/>
        <v>0</v>
      </c>
      <c r="N465" s="2580">
        <f>'Part V-Revenues &amp; Expenses'!N12</f>
        <v>0</v>
      </c>
      <c r="O465" s="1248">
        <f>'Part V-Revenues &amp; Expenses'!O12</f>
        <v>0</v>
      </c>
      <c r="P465" s="2580">
        <f>'Part V-Revenues &amp; Expenses'!P12</f>
        <v>0</v>
      </c>
      <c r="Q465" s="2469">
        <f>'Part V-Revenues &amp; Expenses'!Q12</f>
        <v>0</v>
      </c>
      <c r="R465" s="2731"/>
      <c r="S465" s="2732"/>
      <c r="T465" s="2647"/>
      <c r="U465" s="2647"/>
      <c r="V465" s="2647"/>
      <c r="W465" s="2647"/>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356" t="str">
        <f t="shared" si="213"/>
        <v/>
      </c>
      <c r="IA465" s="356" t="str">
        <f t="shared" si="214"/>
        <v/>
      </c>
      <c r="IB465" s="356" t="str">
        <f t="shared" si="215"/>
        <v/>
      </c>
      <c r="IC465" s="356" t="str">
        <f t="shared" si="216"/>
        <v/>
      </c>
      <c r="ID465" s="356" t="str">
        <f t="shared" si="217"/>
        <v/>
      </c>
      <c r="IE465" s="356" t="str">
        <f t="shared" si="218"/>
        <v/>
      </c>
      <c r="IF465" s="356" t="str">
        <f t="shared" si="219"/>
        <v/>
      </c>
      <c r="IG465" s="356" t="str">
        <f t="shared" si="220"/>
        <v/>
      </c>
      <c r="IH465" s="356" t="str">
        <f t="shared" si="221"/>
        <v/>
      </c>
      <c r="II465" s="356" t="str">
        <f t="shared" si="222"/>
        <v/>
      </c>
      <c r="IJ465" s="356" t="str">
        <f t="shared" si="223"/>
        <v/>
      </c>
      <c r="IK465" s="356" t="str">
        <f t="shared" si="224"/>
        <v/>
      </c>
      <c r="IL465" s="356" t="str">
        <f t="shared" si="225"/>
        <v/>
      </c>
      <c r="IM465" s="356" t="str">
        <f t="shared" si="226"/>
        <v/>
      </c>
      <c r="IN465" s="356" t="str">
        <f t="shared" si="227"/>
        <v/>
      </c>
      <c r="IO465" s="356" t="str">
        <f t="shared" si="228"/>
        <v/>
      </c>
      <c r="IP465" s="356" t="str">
        <f t="shared" si="229"/>
        <v/>
      </c>
      <c r="IQ465" s="356" t="str">
        <f t="shared" si="230"/>
        <v/>
      </c>
      <c r="IR465" s="356" t="str">
        <f t="shared" si="231"/>
        <v/>
      </c>
      <c r="IS465" s="356" t="str">
        <f t="shared" si="232"/>
        <v/>
      </c>
      <c r="IT465" s="356" t="str">
        <f t="shared" si="233"/>
        <v/>
      </c>
      <c r="IU465" s="356" t="str">
        <f t="shared" si="234"/>
        <v/>
      </c>
      <c r="IV465" s="356" t="str">
        <f t="shared" si="235"/>
        <v/>
      </c>
      <c r="IW465" s="356" t="str">
        <f t="shared" si="236"/>
        <v/>
      </c>
      <c r="IX465" s="356" t="str">
        <f t="shared" si="237"/>
        <v/>
      </c>
      <c r="IY465" s="356" t="str">
        <f t="shared" si="238"/>
        <v/>
      </c>
      <c r="IZ465" s="356" t="str">
        <f t="shared" si="239"/>
        <v/>
      </c>
      <c r="JA465" s="356" t="str">
        <f t="shared" si="240"/>
        <v/>
      </c>
      <c r="JB465" s="356" t="str">
        <f t="shared" si="241"/>
        <v/>
      </c>
      <c r="JC465" s="356" t="str">
        <f t="shared" si="242"/>
        <v/>
      </c>
      <c r="JD465" s="356" t="str">
        <f t="shared" si="243"/>
        <v/>
      </c>
      <c r="JE465" s="356" t="str">
        <f t="shared" si="244"/>
        <v/>
      </c>
      <c r="JF465" s="356" t="str">
        <f t="shared" si="245"/>
        <v/>
      </c>
      <c r="JG465" s="356" t="str">
        <f t="shared" si="246"/>
        <v/>
      </c>
      <c r="JH465" s="356" t="str">
        <f t="shared" si="247"/>
        <v/>
      </c>
      <c r="JI465" s="1785" t="str">
        <f t="shared" si="248"/>
        <v/>
      </c>
      <c r="JJ465" s="1785" t="str">
        <f t="shared" si="249"/>
        <v/>
      </c>
      <c r="JK465" s="1785" t="str">
        <f t="shared" si="250"/>
        <v/>
      </c>
      <c r="JL465" s="1785" t="str">
        <f t="shared" si="251"/>
        <v/>
      </c>
      <c r="JM465" s="1785" t="str">
        <f t="shared" si="252"/>
        <v/>
      </c>
      <c r="JN465" s="1785" t="str">
        <f t="shared" si="253"/>
        <v/>
      </c>
      <c r="JO465" s="1785" t="str">
        <f t="shared" si="254"/>
        <v/>
      </c>
      <c r="JP465" s="1785" t="str">
        <f t="shared" si="255"/>
        <v/>
      </c>
      <c r="JQ465" s="1785" t="str">
        <f t="shared" si="256"/>
        <v/>
      </c>
      <c r="JR465" s="1785" t="str">
        <f t="shared" si="257"/>
        <v/>
      </c>
      <c r="JS465" s="1785" t="str">
        <f t="shared" si="258"/>
        <v/>
      </c>
      <c r="JT465" s="1785" t="str">
        <f t="shared" si="259"/>
        <v/>
      </c>
      <c r="JU465" s="1785" t="str">
        <f t="shared" si="260"/>
        <v/>
      </c>
      <c r="JV465" s="1785" t="str">
        <f t="shared" si="261"/>
        <v/>
      </c>
      <c r="JW465" s="1785" t="str">
        <f t="shared" si="262"/>
        <v/>
      </c>
      <c r="JX465" s="1785" t="str">
        <f t="shared" si="263"/>
        <v/>
      </c>
      <c r="JY465" s="1785" t="str">
        <f t="shared" si="264"/>
        <v/>
      </c>
      <c r="JZ465" s="1785" t="str">
        <f t="shared" si="265"/>
        <v/>
      </c>
      <c r="KA465" s="1785" t="str">
        <f t="shared" si="266"/>
        <v/>
      </c>
      <c r="KB465" s="1785" t="str">
        <f t="shared" si="267"/>
        <v/>
      </c>
      <c r="KC465" s="1785" t="str">
        <f t="shared" si="268"/>
        <v/>
      </c>
      <c r="KD465" s="1785" t="str">
        <f t="shared" si="269"/>
        <v/>
      </c>
      <c r="KE465" s="1785" t="str">
        <f t="shared" si="270"/>
        <v/>
      </c>
      <c r="KF465" s="1785" t="str">
        <f t="shared" si="271"/>
        <v/>
      </c>
      <c r="KG465" s="1785" t="str">
        <f t="shared" si="272"/>
        <v/>
      </c>
      <c r="KH465" s="1785" t="str">
        <f t="shared" si="273"/>
        <v/>
      </c>
      <c r="KI465" s="1785" t="str">
        <f t="shared" si="274"/>
        <v/>
      </c>
      <c r="KJ465" s="1785" t="str">
        <f t="shared" si="275"/>
        <v/>
      </c>
      <c r="KK465" s="1785" t="str">
        <f t="shared" si="276"/>
        <v/>
      </c>
      <c r="KL465" s="1785" t="str">
        <f t="shared" si="277"/>
        <v/>
      </c>
      <c r="KM465" s="1785" t="str">
        <f t="shared" si="278"/>
        <v/>
      </c>
      <c r="KN465" s="1785" t="str">
        <f t="shared" si="279"/>
        <v/>
      </c>
      <c r="KO465" s="1785" t="str">
        <f t="shared" si="280"/>
        <v/>
      </c>
      <c r="KP465" s="1785" t="str">
        <f t="shared" si="281"/>
        <v/>
      </c>
      <c r="KQ465" s="1785" t="str">
        <f t="shared" si="282"/>
        <v/>
      </c>
      <c r="KR465" s="1785" t="str">
        <f t="shared" si="283"/>
        <v/>
      </c>
      <c r="KS465" s="1785" t="str">
        <f t="shared" si="284"/>
        <v/>
      </c>
      <c r="KT465" s="1785" t="str">
        <f t="shared" si="285"/>
        <v/>
      </c>
      <c r="KU465" s="1785" t="str">
        <f t="shared" si="286"/>
        <v/>
      </c>
      <c r="KV465" s="1785" t="str">
        <f t="shared" si="287"/>
        <v/>
      </c>
      <c r="KW465" s="1785" t="str">
        <f t="shared" si="288"/>
        <v/>
      </c>
      <c r="KX465" s="1785" t="str">
        <f t="shared" si="289"/>
        <v/>
      </c>
      <c r="KY465" s="1785" t="str">
        <f t="shared" si="290"/>
        <v/>
      </c>
      <c r="KZ465" s="1785" t="str">
        <f t="shared" si="291"/>
        <v/>
      </c>
      <c r="LA465" s="1785" t="str">
        <f t="shared" si="292"/>
        <v/>
      </c>
      <c r="LB465" s="1785" t="str">
        <f t="shared" si="293"/>
        <v/>
      </c>
      <c r="LC465" s="1785" t="str">
        <f t="shared" si="294"/>
        <v/>
      </c>
      <c r="LD465" s="1785" t="str">
        <f t="shared" si="295"/>
        <v/>
      </c>
      <c r="LE465" s="1785" t="str">
        <f t="shared" si="296"/>
        <v/>
      </c>
      <c r="LF465" s="1785" t="str">
        <f t="shared" si="297"/>
        <v/>
      </c>
      <c r="LG465" s="1785" t="str">
        <f t="shared" si="298"/>
        <v/>
      </c>
      <c r="LH465" s="1785" t="str">
        <f t="shared" si="299"/>
        <v/>
      </c>
      <c r="LI465" s="1785" t="str">
        <f t="shared" si="300"/>
        <v/>
      </c>
      <c r="LJ465" s="1785" t="str">
        <f t="shared" si="301"/>
        <v/>
      </c>
      <c r="LK465" s="1785" t="str">
        <f t="shared" si="302"/>
        <v/>
      </c>
      <c r="LL465" s="1785" t="str">
        <f t="shared" si="303"/>
        <v/>
      </c>
      <c r="LM465" s="1785" t="str">
        <f t="shared" si="304"/>
        <v/>
      </c>
      <c r="LN465" s="1785" t="str">
        <f t="shared" si="305"/>
        <v/>
      </c>
      <c r="LO465" s="1785" t="str">
        <f t="shared" si="306"/>
        <v/>
      </c>
      <c r="LP465" s="1785" t="str">
        <f t="shared" si="307"/>
        <v/>
      </c>
      <c r="LQ465" s="1785" t="str">
        <f t="shared" si="308"/>
        <v/>
      </c>
      <c r="LR465" s="1785" t="str">
        <f t="shared" si="309"/>
        <v/>
      </c>
      <c r="LS465" s="1785" t="str">
        <f t="shared" si="310"/>
        <v/>
      </c>
      <c r="LT465" s="1785" t="str">
        <f t="shared" si="311"/>
        <v/>
      </c>
      <c r="LU465" s="1785" t="str">
        <f t="shared" si="312"/>
        <v/>
      </c>
      <c r="LV465" s="1785" t="str">
        <f t="shared" si="313"/>
        <v/>
      </c>
      <c r="LW465" s="1785" t="str">
        <f t="shared" si="314"/>
        <v/>
      </c>
      <c r="LX465" s="1785" t="str">
        <f t="shared" si="315"/>
        <v/>
      </c>
      <c r="LY465" s="1785" t="str">
        <f t="shared" si="316"/>
        <v/>
      </c>
      <c r="LZ465" s="1785" t="str">
        <f t="shared" si="317"/>
        <v/>
      </c>
      <c r="MA465" s="1785" t="str">
        <f t="shared" si="318"/>
        <v/>
      </c>
      <c r="MB465" s="1785" t="str">
        <f t="shared" si="319"/>
        <v/>
      </c>
      <c r="MC465" s="1785" t="str">
        <f t="shared" si="320"/>
        <v/>
      </c>
      <c r="MD465" s="1785" t="str">
        <f t="shared" si="321"/>
        <v/>
      </c>
      <c r="ME465" s="1785" t="str">
        <f t="shared" si="322"/>
        <v/>
      </c>
      <c r="MF465" s="1785" t="str">
        <f t="shared" si="323"/>
        <v/>
      </c>
      <c r="MG465" s="1785" t="str">
        <f t="shared" si="324"/>
        <v/>
      </c>
      <c r="MH465" s="1785" t="str">
        <f t="shared" si="325"/>
        <v/>
      </c>
      <c r="MI465" s="1785" t="str">
        <f t="shared" si="326"/>
        <v/>
      </c>
      <c r="MJ465" s="1785" t="str">
        <f t="shared" si="327"/>
        <v/>
      </c>
      <c r="MK465" s="1785" t="str">
        <f t="shared" si="328"/>
        <v/>
      </c>
      <c r="ML465" s="1785" t="str">
        <f t="shared" si="329"/>
        <v/>
      </c>
      <c r="MM465" s="1785" t="str">
        <f t="shared" si="330"/>
        <v/>
      </c>
      <c r="MN465" s="1785" t="str">
        <f t="shared" si="331"/>
        <v/>
      </c>
      <c r="MO465" s="1785" t="str">
        <f t="shared" si="332"/>
        <v/>
      </c>
      <c r="MP465" s="2470" t="str">
        <f t="shared" si="333"/>
        <v/>
      </c>
      <c r="MQ465" s="2470" t="str">
        <f t="shared" si="334"/>
        <v/>
      </c>
      <c r="MR465" s="2470" t="str">
        <f t="shared" si="335"/>
        <v/>
      </c>
      <c r="MS465" s="2470" t="str">
        <f t="shared" si="336"/>
        <v/>
      </c>
      <c r="MT465" s="2470" t="str">
        <f t="shared" si="337"/>
        <v/>
      </c>
      <c r="MU465" s="356" t="str">
        <f t="shared" si="338"/>
        <v/>
      </c>
      <c r="MV465" s="356" t="str">
        <f t="shared" si="339"/>
        <v/>
      </c>
      <c r="MW465" s="356" t="str">
        <f t="shared" si="340"/>
        <v/>
      </c>
      <c r="MX465" s="356" t="str">
        <f t="shared" si="341"/>
        <v/>
      </c>
      <c r="MY465" s="356" t="str">
        <f t="shared" si="342"/>
        <v/>
      </c>
      <c r="MZ465" s="356" t="str">
        <f t="shared" si="343"/>
        <v/>
      </c>
      <c r="NA465" s="356" t="str">
        <f t="shared" si="344"/>
        <v/>
      </c>
      <c r="NB465" s="356" t="str">
        <f t="shared" si="345"/>
        <v/>
      </c>
      <c r="NC465" s="356" t="str">
        <f t="shared" si="346"/>
        <v/>
      </c>
      <c r="ND465" s="356" t="str">
        <f t="shared" si="347"/>
        <v/>
      </c>
      <c r="NE465" s="356" t="str">
        <f t="shared" si="348"/>
        <v/>
      </c>
      <c r="NF465" s="356" t="str">
        <f t="shared" si="349"/>
        <v/>
      </c>
      <c r="NG465" s="356" t="str">
        <f t="shared" si="350"/>
        <v/>
      </c>
      <c r="NH465" s="356" t="str">
        <f t="shared" si="351"/>
        <v/>
      </c>
      <c r="NI465" s="356" t="str">
        <f t="shared" si="352"/>
        <v/>
      </c>
      <c r="NJ465" s="356" t="str">
        <f t="shared" si="353"/>
        <v/>
      </c>
      <c r="NK465" s="356" t="str">
        <f t="shared" si="354"/>
        <v/>
      </c>
      <c r="NL465" s="356" t="str">
        <f t="shared" si="355"/>
        <v/>
      </c>
      <c r="NM465" s="356" t="str">
        <f t="shared" si="356"/>
        <v/>
      </c>
      <c r="NN465" s="356" t="str">
        <f t="shared" si="357"/>
        <v/>
      </c>
      <c r="NO465" s="1640">
        <f t="shared" si="358"/>
        <v>0</v>
      </c>
      <c r="NP465" s="1640">
        <f t="shared" si="359"/>
        <v>0</v>
      </c>
      <c r="NQ465" s="1640">
        <f t="shared" si="360"/>
        <v>0</v>
      </c>
      <c r="NR465" s="1640">
        <f t="shared" si="361"/>
        <v>0</v>
      </c>
      <c r="NS465" s="1640">
        <f t="shared" si="362"/>
        <v>0</v>
      </c>
      <c r="NT465" s="1640">
        <f t="shared" ref="NT465:NT510" si="368">IF(AND($C465="Efficiency",$E465&gt;0,OR($O465="Low-Rise Apt",$O465="Low-Rise Elevator",$O465="High-Rise Apt",$O465="High-Rise Elevator",$O465="Row House/TH"),$P465="New Construction"),$E465,0)</f>
        <v>0</v>
      </c>
      <c r="NU465" s="1640">
        <f t="shared" ref="NU465:NU510" si="369">IF(AND($C465=1,$E465&gt;0,OR($O465="Low-Rise Apt",$O465="Low-Rise Elevator",$O465="High-Rise Apt",$O465="High-Rise Elevator",$O465="Row House/TH"),$P465="New Construction"),$E465,0)</f>
        <v>0</v>
      </c>
      <c r="NV465" s="1640">
        <f t="shared" ref="NV465:NV510" si="370">IF(AND($C465=2,$E465&gt;0,OR($O465="Low-Rise Apt",$O465="Low-Rise Elevator",$O465="High-Rise Apt",$O465="High-Rise Elevator",$O465="Row House/TH"),$P465="New Construction"),$E465,0)</f>
        <v>0</v>
      </c>
      <c r="NW465" s="1640">
        <f t="shared" ref="NW465:NW510" si="371">IF(AND($C465=3,$E465&gt;0,OR($O465="Low-Rise Apt",$O465="Low-Rise Elevator",$O465="High-Rise Apt",$O465="High-Rise Elevator",$O465="Row House/TH"),$P465="New Construction"),$E465,0)</f>
        <v>0</v>
      </c>
      <c r="NX465" s="1640">
        <f t="shared" ref="NX465:NX510" si="372">IF(AND($C465=4,$E465&gt;0,OR($O465="Low-Rise Apt",$O465="Low-Rise Elevator",$O465="High-Rise Apt",$O465="High-Rise Elevator",$O465="Row House/TH"),$P465="New Construction"),$E465,0)</f>
        <v>0</v>
      </c>
      <c r="NY465" s="1640">
        <f t="shared" si="363"/>
        <v>0</v>
      </c>
      <c r="NZ465" s="1640">
        <f t="shared" si="364"/>
        <v>0</v>
      </c>
      <c r="OA465" s="1640">
        <f t="shared" si="365"/>
        <v>0</v>
      </c>
      <c r="OB465" s="1640">
        <f t="shared" si="366"/>
        <v>0</v>
      </c>
      <c r="OC465" s="1640">
        <f t="shared" si="367"/>
        <v>0</v>
      </c>
      <c r="OY465" s="356" t="s">
        <v>4298</v>
      </c>
      <c r="OZ465" s="1784">
        <v>12</v>
      </c>
    </row>
    <row r="466" spans="1:416" ht="12" customHeight="1">
      <c r="A466" s="2706" t="str">
        <f t="shared" si="0"/>
        <v/>
      </c>
      <c r="B466" s="2725" t="str">
        <f>'Part V-Revenues &amp; Expenses'!B13</f>
        <v>Unrestricted</v>
      </c>
      <c r="C466" s="2726">
        <f>'Part V-Revenues &amp; Expenses'!C13</f>
        <v>0</v>
      </c>
      <c r="D466" s="2727">
        <f>'Part V-Revenues &amp; Expenses'!D13</f>
        <v>0</v>
      </c>
      <c r="E466" s="2728">
        <f>'Part V-Revenues &amp; Expenses'!E13</f>
        <v>0</v>
      </c>
      <c r="F466" s="2728">
        <f>'Part V-Revenues &amp; Expenses'!F13</f>
        <v>0</v>
      </c>
      <c r="G466" s="2728">
        <f>'Part V-Revenues &amp; Expenses'!G13</f>
        <v>0</v>
      </c>
      <c r="H466" s="2728">
        <f>'Part V-Revenues &amp; Expenses'!H13</f>
        <v>0</v>
      </c>
      <c r="I466" s="2728">
        <f>'Part V-Revenues &amp; Expenses'!I13</f>
        <v>0</v>
      </c>
      <c r="J466" s="2728">
        <f>'Part V-Revenues &amp; Expenses'!J13</f>
        <v>0</v>
      </c>
      <c r="K466" s="2729">
        <f>'Part V-Revenues &amp; Expenses'!K13</f>
        <v>0</v>
      </c>
      <c r="L466" s="2730">
        <f t="shared" si="1"/>
        <v>0</v>
      </c>
      <c r="M466" s="2730">
        <f t="shared" si="2"/>
        <v>0</v>
      </c>
      <c r="N466" s="2580">
        <f>'Part V-Revenues &amp; Expenses'!N13</f>
        <v>0</v>
      </c>
      <c r="O466" s="1248">
        <f>'Part V-Revenues &amp; Expenses'!O13</f>
        <v>0</v>
      </c>
      <c r="P466" s="2580">
        <f>'Part V-Revenues &amp; Expenses'!P13</f>
        <v>0</v>
      </c>
      <c r="Q466" s="2469">
        <f>'Part V-Revenues &amp; Expenses'!Q13</f>
        <v>0</v>
      </c>
      <c r="R466" s="2731"/>
      <c r="S466" s="2732"/>
      <c r="T466" s="2647"/>
      <c r="U466" s="2647"/>
      <c r="V466" s="2647"/>
      <c r="W466" s="2647"/>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356" t="str">
        <f t="shared" si="213"/>
        <v/>
      </c>
      <c r="IA466" s="356" t="str">
        <f t="shared" si="214"/>
        <v/>
      </c>
      <c r="IB466" s="356" t="str">
        <f t="shared" si="215"/>
        <v/>
      </c>
      <c r="IC466" s="356" t="str">
        <f t="shared" si="216"/>
        <v/>
      </c>
      <c r="ID466" s="356" t="str">
        <f t="shared" si="217"/>
        <v/>
      </c>
      <c r="IE466" s="356" t="str">
        <f t="shared" si="218"/>
        <v/>
      </c>
      <c r="IF466" s="356" t="str">
        <f t="shared" si="219"/>
        <v/>
      </c>
      <c r="IG466" s="356" t="str">
        <f t="shared" si="220"/>
        <v/>
      </c>
      <c r="IH466" s="356" t="str">
        <f t="shared" si="221"/>
        <v/>
      </c>
      <c r="II466" s="356" t="str">
        <f t="shared" si="222"/>
        <v/>
      </c>
      <c r="IJ466" s="356" t="str">
        <f t="shared" si="223"/>
        <v/>
      </c>
      <c r="IK466" s="356" t="str">
        <f t="shared" si="224"/>
        <v/>
      </c>
      <c r="IL466" s="356" t="str">
        <f t="shared" si="225"/>
        <v/>
      </c>
      <c r="IM466" s="356" t="str">
        <f t="shared" si="226"/>
        <v/>
      </c>
      <c r="IN466" s="356" t="str">
        <f t="shared" si="227"/>
        <v/>
      </c>
      <c r="IO466" s="356" t="str">
        <f t="shared" si="228"/>
        <v/>
      </c>
      <c r="IP466" s="356" t="str">
        <f t="shared" si="229"/>
        <v/>
      </c>
      <c r="IQ466" s="356" t="str">
        <f t="shared" si="230"/>
        <v/>
      </c>
      <c r="IR466" s="356" t="str">
        <f t="shared" si="231"/>
        <v/>
      </c>
      <c r="IS466" s="356" t="str">
        <f t="shared" si="232"/>
        <v/>
      </c>
      <c r="IT466" s="356" t="str">
        <f t="shared" si="233"/>
        <v/>
      </c>
      <c r="IU466" s="356" t="str">
        <f t="shared" si="234"/>
        <v/>
      </c>
      <c r="IV466" s="356" t="str">
        <f t="shared" si="235"/>
        <v/>
      </c>
      <c r="IW466" s="356" t="str">
        <f t="shared" si="236"/>
        <v/>
      </c>
      <c r="IX466" s="356" t="str">
        <f t="shared" si="237"/>
        <v/>
      </c>
      <c r="IY466" s="356" t="str">
        <f t="shared" si="238"/>
        <v/>
      </c>
      <c r="IZ466" s="356" t="str">
        <f t="shared" si="239"/>
        <v/>
      </c>
      <c r="JA466" s="356" t="str">
        <f t="shared" si="240"/>
        <v/>
      </c>
      <c r="JB466" s="356" t="str">
        <f t="shared" si="241"/>
        <v/>
      </c>
      <c r="JC466" s="356" t="str">
        <f t="shared" si="242"/>
        <v/>
      </c>
      <c r="JD466" s="356" t="str">
        <f t="shared" si="243"/>
        <v/>
      </c>
      <c r="JE466" s="356" t="str">
        <f t="shared" si="244"/>
        <v/>
      </c>
      <c r="JF466" s="356" t="str">
        <f t="shared" si="245"/>
        <v/>
      </c>
      <c r="JG466" s="356" t="str">
        <f t="shared" si="246"/>
        <v/>
      </c>
      <c r="JH466" s="356" t="str">
        <f t="shared" si="247"/>
        <v/>
      </c>
      <c r="JI466" s="1785" t="str">
        <f t="shared" si="248"/>
        <v/>
      </c>
      <c r="JJ466" s="1785" t="str">
        <f t="shared" si="249"/>
        <v/>
      </c>
      <c r="JK466" s="1785" t="str">
        <f t="shared" si="250"/>
        <v/>
      </c>
      <c r="JL466" s="1785" t="str">
        <f t="shared" si="251"/>
        <v/>
      </c>
      <c r="JM466" s="1785" t="str">
        <f t="shared" si="252"/>
        <v/>
      </c>
      <c r="JN466" s="1785" t="str">
        <f t="shared" si="253"/>
        <v/>
      </c>
      <c r="JO466" s="1785" t="str">
        <f t="shared" si="254"/>
        <v/>
      </c>
      <c r="JP466" s="1785" t="str">
        <f t="shared" si="255"/>
        <v/>
      </c>
      <c r="JQ466" s="1785" t="str">
        <f t="shared" si="256"/>
        <v/>
      </c>
      <c r="JR466" s="1785" t="str">
        <f t="shared" si="257"/>
        <v/>
      </c>
      <c r="JS466" s="1785" t="str">
        <f t="shared" si="258"/>
        <v/>
      </c>
      <c r="JT466" s="1785" t="str">
        <f t="shared" si="259"/>
        <v/>
      </c>
      <c r="JU466" s="1785" t="str">
        <f t="shared" si="260"/>
        <v/>
      </c>
      <c r="JV466" s="1785" t="str">
        <f t="shared" si="261"/>
        <v/>
      </c>
      <c r="JW466" s="1785" t="str">
        <f t="shared" si="262"/>
        <v/>
      </c>
      <c r="JX466" s="1785" t="str">
        <f t="shared" si="263"/>
        <v/>
      </c>
      <c r="JY466" s="1785" t="str">
        <f t="shared" si="264"/>
        <v/>
      </c>
      <c r="JZ466" s="1785" t="str">
        <f t="shared" si="265"/>
        <v/>
      </c>
      <c r="KA466" s="1785" t="str">
        <f t="shared" si="266"/>
        <v/>
      </c>
      <c r="KB466" s="1785" t="str">
        <f t="shared" si="267"/>
        <v/>
      </c>
      <c r="KC466" s="1785" t="str">
        <f t="shared" si="268"/>
        <v/>
      </c>
      <c r="KD466" s="1785" t="str">
        <f t="shared" si="269"/>
        <v/>
      </c>
      <c r="KE466" s="1785" t="str">
        <f t="shared" si="270"/>
        <v/>
      </c>
      <c r="KF466" s="1785" t="str">
        <f t="shared" si="271"/>
        <v/>
      </c>
      <c r="KG466" s="1785" t="str">
        <f t="shared" si="272"/>
        <v/>
      </c>
      <c r="KH466" s="1785" t="str">
        <f t="shared" si="273"/>
        <v/>
      </c>
      <c r="KI466" s="1785" t="str">
        <f t="shared" si="274"/>
        <v/>
      </c>
      <c r="KJ466" s="1785" t="str">
        <f t="shared" si="275"/>
        <v/>
      </c>
      <c r="KK466" s="1785" t="str">
        <f t="shared" si="276"/>
        <v/>
      </c>
      <c r="KL466" s="1785" t="str">
        <f t="shared" si="277"/>
        <v/>
      </c>
      <c r="KM466" s="1785" t="str">
        <f t="shared" si="278"/>
        <v/>
      </c>
      <c r="KN466" s="1785" t="str">
        <f t="shared" si="279"/>
        <v/>
      </c>
      <c r="KO466" s="1785" t="str">
        <f t="shared" si="280"/>
        <v/>
      </c>
      <c r="KP466" s="1785" t="str">
        <f t="shared" si="281"/>
        <v/>
      </c>
      <c r="KQ466" s="1785" t="str">
        <f t="shared" si="282"/>
        <v/>
      </c>
      <c r="KR466" s="1785" t="str">
        <f t="shared" si="283"/>
        <v/>
      </c>
      <c r="KS466" s="1785" t="str">
        <f t="shared" si="284"/>
        <v/>
      </c>
      <c r="KT466" s="1785" t="str">
        <f t="shared" si="285"/>
        <v/>
      </c>
      <c r="KU466" s="1785" t="str">
        <f t="shared" si="286"/>
        <v/>
      </c>
      <c r="KV466" s="1785" t="str">
        <f t="shared" si="287"/>
        <v/>
      </c>
      <c r="KW466" s="1785" t="str">
        <f t="shared" si="288"/>
        <v/>
      </c>
      <c r="KX466" s="1785" t="str">
        <f t="shared" si="289"/>
        <v/>
      </c>
      <c r="KY466" s="1785" t="str">
        <f t="shared" si="290"/>
        <v/>
      </c>
      <c r="KZ466" s="1785" t="str">
        <f t="shared" si="291"/>
        <v/>
      </c>
      <c r="LA466" s="1785" t="str">
        <f t="shared" si="292"/>
        <v/>
      </c>
      <c r="LB466" s="1785" t="str">
        <f t="shared" si="293"/>
        <v/>
      </c>
      <c r="LC466" s="1785" t="str">
        <f t="shared" si="294"/>
        <v/>
      </c>
      <c r="LD466" s="1785" t="str">
        <f t="shared" si="295"/>
        <v/>
      </c>
      <c r="LE466" s="1785" t="str">
        <f t="shared" si="296"/>
        <v/>
      </c>
      <c r="LF466" s="1785" t="str">
        <f t="shared" si="297"/>
        <v/>
      </c>
      <c r="LG466" s="1785" t="str">
        <f t="shared" si="298"/>
        <v/>
      </c>
      <c r="LH466" s="1785" t="str">
        <f t="shared" si="299"/>
        <v/>
      </c>
      <c r="LI466" s="1785" t="str">
        <f t="shared" si="300"/>
        <v/>
      </c>
      <c r="LJ466" s="1785" t="str">
        <f t="shared" si="301"/>
        <v/>
      </c>
      <c r="LK466" s="1785" t="str">
        <f t="shared" si="302"/>
        <v/>
      </c>
      <c r="LL466" s="1785" t="str">
        <f t="shared" si="303"/>
        <v/>
      </c>
      <c r="LM466" s="1785" t="str">
        <f t="shared" si="304"/>
        <v/>
      </c>
      <c r="LN466" s="1785" t="str">
        <f t="shared" si="305"/>
        <v/>
      </c>
      <c r="LO466" s="1785" t="str">
        <f t="shared" si="306"/>
        <v/>
      </c>
      <c r="LP466" s="1785" t="str">
        <f t="shared" si="307"/>
        <v/>
      </c>
      <c r="LQ466" s="1785" t="str">
        <f t="shared" si="308"/>
        <v/>
      </c>
      <c r="LR466" s="1785" t="str">
        <f t="shared" si="309"/>
        <v/>
      </c>
      <c r="LS466" s="1785" t="str">
        <f t="shared" si="310"/>
        <v/>
      </c>
      <c r="LT466" s="1785" t="str">
        <f t="shared" si="311"/>
        <v/>
      </c>
      <c r="LU466" s="1785" t="str">
        <f t="shared" si="312"/>
        <v/>
      </c>
      <c r="LV466" s="1785" t="str">
        <f t="shared" si="313"/>
        <v/>
      </c>
      <c r="LW466" s="1785" t="str">
        <f t="shared" si="314"/>
        <v/>
      </c>
      <c r="LX466" s="1785" t="str">
        <f t="shared" si="315"/>
        <v/>
      </c>
      <c r="LY466" s="1785" t="str">
        <f t="shared" si="316"/>
        <v/>
      </c>
      <c r="LZ466" s="1785" t="str">
        <f t="shared" si="317"/>
        <v/>
      </c>
      <c r="MA466" s="1785" t="str">
        <f t="shared" si="318"/>
        <v/>
      </c>
      <c r="MB466" s="1785" t="str">
        <f t="shared" si="319"/>
        <v/>
      </c>
      <c r="MC466" s="1785" t="str">
        <f t="shared" si="320"/>
        <v/>
      </c>
      <c r="MD466" s="1785" t="str">
        <f t="shared" si="321"/>
        <v/>
      </c>
      <c r="ME466" s="1785" t="str">
        <f t="shared" si="322"/>
        <v/>
      </c>
      <c r="MF466" s="1785" t="str">
        <f t="shared" si="323"/>
        <v/>
      </c>
      <c r="MG466" s="1785" t="str">
        <f t="shared" si="324"/>
        <v/>
      </c>
      <c r="MH466" s="1785" t="str">
        <f t="shared" si="325"/>
        <v/>
      </c>
      <c r="MI466" s="1785" t="str">
        <f t="shared" si="326"/>
        <v/>
      </c>
      <c r="MJ466" s="1785" t="str">
        <f t="shared" si="327"/>
        <v/>
      </c>
      <c r="MK466" s="1785" t="str">
        <f t="shared" si="328"/>
        <v/>
      </c>
      <c r="ML466" s="1785" t="str">
        <f t="shared" si="329"/>
        <v/>
      </c>
      <c r="MM466" s="1785" t="str">
        <f t="shared" si="330"/>
        <v/>
      </c>
      <c r="MN466" s="1785" t="str">
        <f t="shared" si="331"/>
        <v/>
      </c>
      <c r="MO466" s="1785" t="str">
        <f t="shared" si="332"/>
        <v/>
      </c>
      <c r="MP466" s="2470" t="str">
        <f t="shared" si="333"/>
        <v/>
      </c>
      <c r="MQ466" s="2470" t="str">
        <f t="shared" si="334"/>
        <v/>
      </c>
      <c r="MR466" s="2470" t="str">
        <f t="shared" si="335"/>
        <v/>
      </c>
      <c r="MS466" s="2470" t="str">
        <f t="shared" si="336"/>
        <v/>
      </c>
      <c r="MT466" s="2470" t="str">
        <f t="shared" si="337"/>
        <v/>
      </c>
      <c r="MU466" s="356" t="str">
        <f t="shared" si="338"/>
        <v/>
      </c>
      <c r="MV466" s="356" t="str">
        <f t="shared" si="339"/>
        <v/>
      </c>
      <c r="MW466" s="356" t="str">
        <f t="shared" si="340"/>
        <v/>
      </c>
      <c r="MX466" s="356" t="str">
        <f t="shared" si="341"/>
        <v/>
      </c>
      <c r="MY466" s="356" t="str">
        <f t="shared" si="342"/>
        <v/>
      </c>
      <c r="MZ466" s="356" t="str">
        <f t="shared" si="343"/>
        <v/>
      </c>
      <c r="NA466" s="356" t="str">
        <f t="shared" si="344"/>
        <v/>
      </c>
      <c r="NB466" s="356" t="str">
        <f t="shared" si="345"/>
        <v/>
      </c>
      <c r="NC466" s="356" t="str">
        <f t="shared" si="346"/>
        <v/>
      </c>
      <c r="ND466" s="356" t="str">
        <f t="shared" si="347"/>
        <v/>
      </c>
      <c r="NE466" s="356" t="str">
        <f t="shared" si="348"/>
        <v/>
      </c>
      <c r="NF466" s="356" t="str">
        <f t="shared" si="349"/>
        <v/>
      </c>
      <c r="NG466" s="356" t="str">
        <f t="shared" si="350"/>
        <v/>
      </c>
      <c r="NH466" s="356" t="str">
        <f t="shared" si="351"/>
        <v/>
      </c>
      <c r="NI466" s="356" t="str">
        <f t="shared" si="352"/>
        <v/>
      </c>
      <c r="NJ466" s="356" t="str">
        <f t="shared" si="353"/>
        <v/>
      </c>
      <c r="NK466" s="356" t="str">
        <f t="shared" si="354"/>
        <v/>
      </c>
      <c r="NL466" s="356" t="str">
        <f t="shared" si="355"/>
        <v/>
      </c>
      <c r="NM466" s="356" t="str">
        <f t="shared" si="356"/>
        <v/>
      </c>
      <c r="NN466" s="356" t="str">
        <f t="shared" si="357"/>
        <v/>
      </c>
      <c r="NO466" s="1640">
        <f t="shared" si="358"/>
        <v>0</v>
      </c>
      <c r="NP466" s="1640">
        <f t="shared" si="359"/>
        <v>0</v>
      </c>
      <c r="NQ466" s="1640">
        <f t="shared" si="360"/>
        <v>0</v>
      </c>
      <c r="NR466" s="1640">
        <f t="shared" si="361"/>
        <v>0</v>
      </c>
      <c r="NS466" s="1640">
        <f t="shared" si="362"/>
        <v>0</v>
      </c>
      <c r="NT466" s="1640">
        <f t="shared" si="368"/>
        <v>0</v>
      </c>
      <c r="NU466" s="1640">
        <f t="shared" si="369"/>
        <v>0</v>
      </c>
      <c r="NV466" s="1640">
        <f t="shared" si="370"/>
        <v>0</v>
      </c>
      <c r="NW466" s="1640">
        <f t="shared" si="371"/>
        <v>0</v>
      </c>
      <c r="NX466" s="1640">
        <f t="shared" si="372"/>
        <v>0</v>
      </c>
      <c r="NY466" s="1640">
        <f t="shared" si="363"/>
        <v>0</v>
      </c>
      <c r="NZ466" s="1640">
        <f t="shared" si="364"/>
        <v>0</v>
      </c>
      <c r="OA466" s="1640">
        <f t="shared" si="365"/>
        <v>0</v>
      </c>
      <c r="OB466" s="1640">
        <f t="shared" si="366"/>
        <v>0</v>
      </c>
      <c r="OC466" s="1640">
        <f t="shared" si="367"/>
        <v>0</v>
      </c>
      <c r="OY466" s="356" t="s">
        <v>4299</v>
      </c>
      <c r="OZ466" s="1784">
        <v>13</v>
      </c>
    </row>
    <row r="467" spans="1:416" ht="12" customHeight="1">
      <c r="A467" s="2706" t="str">
        <f t="shared" si="0"/>
        <v/>
      </c>
      <c r="B467" s="2725" t="str">
        <f>'Part V-Revenues &amp; Expenses'!B14</f>
        <v>Unrestricted</v>
      </c>
      <c r="C467" s="2726">
        <f>'Part V-Revenues &amp; Expenses'!C14</f>
        <v>0</v>
      </c>
      <c r="D467" s="2727">
        <f>'Part V-Revenues &amp; Expenses'!D14</f>
        <v>0</v>
      </c>
      <c r="E467" s="2728">
        <f>'Part V-Revenues &amp; Expenses'!E14</f>
        <v>0</v>
      </c>
      <c r="F467" s="2728">
        <f>'Part V-Revenues &amp; Expenses'!F14</f>
        <v>0</v>
      </c>
      <c r="G467" s="2728">
        <f>'Part V-Revenues &amp; Expenses'!G14</f>
        <v>0</v>
      </c>
      <c r="H467" s="2728">
        <f>'Part V-Revenues &amp; Expenses'!H14</f>
        <v>0</v>
      </c>
      <c r="I467" s="2728">
        <f>'Part V-Revenues &amp; Expenses'!I14</f>
        <v>0</v>
      </c>
      <c r="J467" s="2728">
        <f>'Part V-Revenues &amp; Expenses'!J14</f>
        <v>0</v>
      </c>
      <c r="K467" s="2729">
        <f>'Part V-Revenues &amp; Expenses'!K14</f>
        <v>0</v>
      </c>
      <c r="L467" s="2730">
        <f t="shared" si="1"/>
        <v>0</v>
      </c>
      <c r="M467" s="2730">
        <f t="shared" si="2"/>
        <v>0</v>
      </c>
      <c r="N467" s="2580">
        <f>'Part V-Revenues &amp; Expenses'!N14</f>
        <v>0</v>
      </c>
      <c r="O467" s="1248">
        <f>'Part V-Revenues &amp; Expenses'!O14</f>
        <v>0</v>
      </c>
      <c r="P467" s="2580">
        <f>'Part V-Revenues &amp; Expenses'!P14</f>
        <v>0</v>
      </c>
      <c r="Q467" s="2469">
        <f>'Part V-Revenues &amp; Expenses'!Q14</f>
        <v>0</v>
      </c>
      <c r="R467" s="2731"/>
      <c r="S467" s="2732"/>
      <c r="T467" s="2647"/>
      <c r="U467" s="2647"/>
      <c r="V467" s="2647"/>
      <c r="W467" s="2647"/>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356" t="str">
        <f t="shared" si="213"/>
        <v/>
      </c>
      <c r="IA467" s="356" t="str">
        <f t="shared" si="214"/>
        <v/>
      </c>
      <c r="IB467" s="356" t="str">
        <f t="shared" si="215"/>
        <v/>
      </c>
      <c r="IC467" s="356" t="str">
        <f t="shared" si="216"/>
        <v/>
      </c>
      <c r="ID467" s="356" t="str">
        <f t="shared" si="217"/>
        <v/>
      </c>
      <c r="IE467" s="356" t="str">
        <f t="shared" si="218"/>
        <v/>
      </c>
      <c r="IF467" s="356" t="str">
        <f t="shared" si="219"/>
        <v/>
      </c>
      <c r="IG467" s="356" t="str">
        <f t="shared" si="220"/>
        <v/>
      </c>
      <c r="IH467" s="356" t="str">
        <f t="shared" si="221"/>
        <v/>
      </c>
      <c r="II467" s="356" t="str">
        <f t="shared" si="222"/>
        <v/>
      </c>
      <c r="IJ467" s="356" t="str">
        <f t="shared" si="223"/>
        <v/>
      </c>
      <c r="IK467" s="356" t="str">
        <f t="shared" si="224"/>
        <v/>
      </c>
      <c r="IL467" s="356" t="str">
        <f t="shared" si="225"/>
        <v/>
      </c>
      <c r="IM467" s="356" t="str">
        <f t="shared" si="226"/>
        <v/>
      </c>
      <c r="IN467" s="356" t="str">
        <f t="shared" si="227"/>
        <v/>
      </c>
      <c r="IO467" s="356" t="str">
        <f t="shared" si="228"/>
        <v/>
      </c>
      <c r="IP467" s="356" t="str">
        <f t="shared" si="229"/>
        <v/>
      </c>
      <c r="IQ467" s="356" t="str">
        <f t="shared" si="230"/>
        <v/>
      </c>
      <c r="IR467" s="356" t="str">
        <f t="shared" si="231"/>
        <v/>
      </c>
      <c r="IS467" s="356" t="str">
        <f t="shared" si="232"/>
        <v/>
      </c>
      <c r="IT467" s="356" t="str">
        <f t="shared" si="233"/>
        <v/>
      </c>
      <c r="IU467" s="356" t="str">
        <f t="shared" si="234"/>
        <v/>
      </c>
      <c r="IV467" s="356" t="str">
        <f t="shared" si="235"/>
        <v/>
      </c>
      <c r="IW467" s="356" t="str">
        <f t="shared" si="236"/>
        <v/>
      </c>
      <c r="IX467" s="356" t="str">
        <f t="shared" si="237"/>
        <v/>
      </c>
      <c r="IY467" s="356" t="str">
        <f t="shared" si="238"/>
        <v/>
      </c>
      <c r="IZ467" s="356" t="str">
        <f t="shared" si="239"/>
        <v/>
      </c>
      <c r="JA467" s="356" t="str">
        <f t="shared" si="240"/>
        <v/>
      </c>
      <c r="JB467" s="356" t="str">
        <f t="shared" si="241"/>
        <v/>
      </c>
      <c r="JC467" s="356" t="str">
        <f t="shared" si="242"/>
        <v/>
      </c>
      <c r="JD467" s="356" t="str">
        <f t="shared" si="243"/>
        <v/>
      </c>
      <c r="JE467" s="356" t="str">
        <f t="shared" si="244"/>
        <v/>
      </c>
      <c r="JF467" s="356" t="str">
        <f t="shared" si="245"/>
        <v/>
      </c>
      <c r="JG467" s="356" t="str">
        <f t="shared" si="246"/>
        <v/>
      </c>
      <c r="JH467" s="356" t="str">
        <f t="shared" si="247"/>
        <v/>
      </c>
      <c r="JI467" s="1785" t="str">
        <f t="shared" si="248"/>
        <v/>
      </c>
      <c r="JJ467" s="1785" t="str">
        <f t="shared" si="249"/>
        <v/>
      </c>
      <c r="JK467" s="1785" t="str">
        <f t="shared" si="250"/>
        <v/>
      </c>
      <c r="JL467" s="1785" t="str">
        <f t="shared" si="251"/>
        <v/>
      </c>
      <c r="JM467" s="1785" t="str">
        <f t="shared" si="252"/>
        <v/>
      </c>
      <c r="JN467" s="1785" t="str">
        <f t="shared" si="253"/>
        <v/>
      </c>
      <c r="JO467" s="1785" t="str">
        <f t="shared" si="254"/>
        <v/>
      </c>
      <c r="JP467" s="1785" t="str">
        <f t="shared" si="255"/>
        <v/>
      </c>
      <c r="JQ467" s="1785" t="str">
        <f t="shared" si="256"/>
        <v/>
      </c>
      <c r="JR467" s="1785" t="str">
        <f t="shared" si="257"/>
        <v/>
      </c>
      <c r="JS467" s="1785" t="str">
        <f t="shared" si="258"/>
        <v/>
      </c>
      <c r="JT467" s="1785" t="str">
        <f t="shared" si="259"/>
        <v/>
      </c>
      <c r="JU467" s="1785" t="str">
        <f t="shared" si="260"/>
        <v/>
      </c>
      <c r="JV467" s="1785" t="str">
        <f t="shared" si="261"/>
        <v/>
      </c>
      <c r="JW467" s="1785" t="str">
        <f t="shared" si="262"/>
        <v/>
      </c>
      <c r="JX467" s="1785" t="str">
        <f t="shared" si="263"/>
        <v/>
      </c>
      <c r="JY467" s="1785" t="str">
        <f t="shared" si="264"/>
        <v/>
      </c>
      <c r="JZ467" s="1785" t="str">
        <f t="shared" si="265"/>
        <v/>
      </c>
      <c r="KA467" s="1785" t="str">
        <f t="shared" si="266"/>
        <v/>
      </c>
      <c r="KB467" s="1785" t="str">
        <f t="shared" si="267"/>
        <v/>
      </c>
      <c r="KC467" s="1785" t="str">
        <f t="shared" si="268"/>
        <v/>
      </c>
      <c r="KD467" s="1785" t="str">
        <f t="shared" si="269"/>
        <v/>
      </c>
      <c r="KE467" s="1785" t="str">
        <f t="shared" si="270"/>
        <v/>
      </c>
      <c r="KF467" s="1785" t="str">
        <f t="shared" si="271"/>
        <v/>
      </c>
      <c r="KG467" s="1785" t="str">
        <f t="shared" si="272"/>
        <v/>
      </c>
      <c r="KH467" s="1785" t="str">
        <f t="shared" si="273"/>
        <v/>
      </c>
      <c r="KI467" s="1785" t="str">
        <f t="shared" si="274"/>
        <v/>
      </c>
      <c r="KJ467" s="1785" t="str">
        <f t="shared" si="275"/>
        <v/>
      </c>
      <c r="KK467" s="1785" t="str">
        <f t="shared" si="276"/>
        <v/>
      </c>
      <c r="KL467" s="1785" t="str">
        <f t="shared" si="277"/>
        <v/>
      </c>
      <c r="KM467" s="1785" t="str">
        <f t="shared" si="278"/>
        <v/>
      </c>
      <c r="KN467" s="1785" t="str">
        <f t="shared" si="279"/>
        <v/>
      </c>
      <c r="KO467" s="1785" t="str">
        <f t="shared" si="280"/>
        <v/>
      </c>
      <c r="KP467" s="1785" t="str">
        <f t="shared" si="281"/>
        <v/>
      </c>
      <c r="KQ467" s="1785" t="str">
        <f t="shared" si="282"/>
        <v/>
      </c>
      <c r="KR467" s="1785" t="str">
        <f t="shared" si="283"/>
        <v/>
      </c>
      <c r="KS467" s="1785" t="str">
        <f t="shared" si="284"/>
        <v/>
      </c>
      <c r="KT467" s="1785" t="str">
        <f t="shared" si="285"/>
        <v/>
      </c>
      <c r="KU467" s="1785" t="str">
        <f t="shared" si="286"/>
        <v/>
      </c>
      <c r="KV467" s="1785" t="str">
        <f t="shared" si="287"/>
        <v/>
      </c>
      <c r="KW467" s="1785" t="str">
        <f t="shared" si="288"/>
        <v/>
      </c>
      <c r="KX467" s="1785" t="str">
        <f t="shared" si="289"/>
        <v/>
      </c>
      <c r="KY467" s="1785" t="str">
        <f t="shared" si="290"/>
        <v/>
      </c>
      <c r="KZ467" s="1785" t="str">
        <f t="shared" si="291"/>
        <v/>
      </c>
      <c r="LA467" s="1785" t="str">
        <f t="shared" si="292"/>
        <v/>
      </c>
      <c r="LB467" s="1785" t="str">
        <f t="shared" si="293"/>
        <v/>
      </c>
      <c r="LC467" s="1785" t="str">
        <f t="shared" si="294"/>
        <v/>
      </c>
      <c r="LD467" s="1785" t="str">
        <f t="shared" si="295"/>
        <v/>
      </c>
      <c r="LE467" s="1785" t="str">
        <f t="shared" si="296"/>
        <v/>
      </c>
      <c r="LF467" s="1785" t="str">
        <f t="shared" si="297"/>
        <v/>
      </c>
      <c r="LG467" s="1785" t="str">
        <f t="shared" si="298"/>
        <v/>
      </c>
      <c r="LH467" s="1785" t="str">
        <f t="shared" si="299"/>
        <v/>
      </c>
      <c r="LI467" s="1785" t="str">
        <f t="shared" si="300"/>
        <v/>
      </c>
      <c r="LJ467" s="1785" t="str">
        <f t="shared" si="301"/>
        <v/>
      </c>
      <c r="LK467" s="1785" t="str">
        <f t="shared" si="302"/>
        <v/>
      </c>
      <c r="LL467" s="1785" t="str">
        <f t="shared" si="303"/>
        <v/>
      </c>
      <c r="LM467" s="1785" t="str">
        <f t="shared" si="304"/>
        <v/>
      </c>
      <c r="LN467" s="1785" t="str">
        <f t="shared" si="305"/>
        <v/>
      </c>
      <c r="LO467" s="1785" t="str">
        <f t="shared" si="306"/>
        <v/>
      </c>
      <c r="LP467" s="1785" t="str">
        <f t="shared" si="307"/>
        <v/>
      </c>
      <c r="LQ467" s="1785" t="str">
        <f t="shared" si="308"/>
        <v/>
      </c>
      <c r="LR467" s="1785" t="str">
        <f t="shared" si="309"/>
        <v/>
      </c>
      <c r="LS467" s="1785" t="str">
        <f t="shared" si="310"/>
        <v/>
      </c>
      <c r="LT467" s="1785" t="str">
        <f t="shared" si="311"/>
        <v/>
      </c>
      <c r="LU467" s="1785" t="str">
        <f t="shared" si="312"/>
        <v/>
      </c>
      <c r="LV467" s="1785" t="str">
        <f t="shared" si="313"/>
        <v/>
      </c>
      <c r="LW467" s="1785" t="str">
        <f t="shared" si="314"/>
        <v/>
      </c>
      <c r="LX467" s="1785" t="str">
        <f t="shared" si="315"/>
        <v/>
      </c>
      <c r="LY467" s="1785" t="str">
        <f t="shared" si="316"/>
        <v/>
      </c>
      <c r="LZ467" s="1785" t="str">
        <f t="shared" si="317"/>
        <v/>
      </c>
      <c r="MA467" s="1785" t="str">
        <f t="shared" si="318"/>
        <v/>
      </c>
      <c r="MB467" s="1785" t="str">
        <f t="shared" si="319"/>
        <v/>
      </c>
      <c r="MC467" s="1785" t="str">
        <f t="shared" si="320"/>
        <v/>
      </c>
      <c r="MD467" s="1785" t="str">
        <f t="shared" si="321"/>
        <v/>
      </c>
      <c r="ME467" s="1785" t="str">
        <f t="shared" si="322"/>
        <v/>
      </c>
      <c r="MF467" s="1785" t="str">
        <f t="shared" si="323"/>
        <v/>
      </c>
      <c r="MG467" s="1785" t="str">
        <f t="shared" si="324"/>
        <v/>
      </c>
      <c r="MH467" s="1785" t="str">
        <f t="shared" si="325"/>
        <v/>
      </c>
      <c r="MI467" s="1785" t="str">
        <f t="shared" si="326"/>
        <v/>
      </c>
      <c r="MJ467" s="1785" t="str">
        <f t="shared" si="327"/>
        <v/>
      </c>
      <c r="MK467" s="1785" t="str">
        <f t="shared" si="328"/>
        <v/>
      </c>
      <c r="ML467" s="1785" t="str">
        <f t="shared" si="329"/>
        <v/>
      </c>
      <c r="MM467" s="1785" t="str">
        <f t="shared" si="330"/>
        <v/>
      </c>
      <c r="MN467" s="1785" t="str">
        <f t="shared" si="331"/>
        <v/>
      </c>
      <c r="MO467" s="1785" t="str">
        <f t="shared" si="332"/>
        <v/>
      </c>
      <c r="MP467" s="2470" t="str">
        <f t="shared" si="333"/>
        <v/>
      </c>
      <c r="MQ467" s="2470" t="str">
        <f t="shared" si="334"/>
        <v/>
      </c>
      <c r="MR467" s="2470" t="str">
        <f t="shared" si="335"/>
        <v/>
      </c>
      <c r="MS467" s="2470" t="str">
        <f t="shared" si="336"/>
        <v/>
      </c>
      <c r="MT467" s="2470" t="str">
        <f t="shared" si="337"/>
        <v/>
      </c>
      <c r="MU467" s="356" t="str">
        <f t="shared" si="338"/>
        <v/>
      </c>
      <c r="MV467" s="356" t="str">
        <f t="shared" si="339"/>
        <v/>
      </c>
      <c r="MW467" s="356" t="str">
        <f t="shared" si="340"/>
        <v/>
      </c>
      <c r="MX467" s="356" t="str">
        <f t="shared" si="341"/>
        <v/>
      </c>
      <c r="MY467" s="356" t="str">
        <f t="shared" si="342"/>
        <v/>
      </c>
      <c r="MZ467" s="356" t="str">
        <f t="shared" si="343"/>
        <v/>
      </c>
      <c r="NA467" s="356" t="str">
        <f t="shared" si="344"/>
        <v/>
      </c>
      <c r="NB467" s="356" t="str">
        <f t="shared" si="345"/>
        <v/>
      </c>
      <c r="NC467" s="356" t="str">
        <f t="shared" si="346"/>
        <v/>
      </c>
      <c r="ND467" s="356" t="str">
        <f t="shared" si="347"/>
        <v/>
      </c>
      <c r="NE467" s="356" t="str">
        <f t="shared" si="348"/>
        <v/>
      </c>
      <c r="NF467" s="356" t="str">
        <f t="shared" si="349"/>
        <v/>
      </c>
      <c r="NG467" s="356" t="str">
        <f t="shared" si="350"/>
        <v/>
      </c>
      <c r="NH467" s="356" t="str">
        <f t="shared" si="351"/>
        <v/>
      </c>
      <c r="NI467" s="356" t="str">
        <f t="shared" si="352"/>
        <v/>
      </c>
      <c r="NJ467" s="356" t="str">
        <f t="shared" si="353"/>
        <v/>
      </c>
      <c r="NK467" s="356" t="str">
        <f t="shared" si="354"/>
        <v/>
      </c>
      <c r="NL467" s="356" t="str">
        <f t="shared" si="355"/>
        <v/>
      </c>
      <c r="NM467" s="356" t="str">
        <f t="shared" si="356"/>
        <v/>
      </c>
      <c r="NN467" s="356" t="str">
        <f t="shared" si="357"/>
        <v/>
      </c>
      <c r="NO467" s="1640">
        <f t="shared" si="358"/>
        <v>0</v>
      </c>
      <c r="NP467" s="1640">
        <f t="shared" si="359"/>
        <v>0</v>
      </c>
      <c r="NQ467" s="1640">
        <f t="shared" si="360"/>
        <v>0</v>
      </c>
      <c r="NR467" s="1640">
        <f t="shared" si="361"/>
        <v>0</v>
      </c>
      <c r="NS467" s="1640">
        <f t="shared" si="362"/>
        <v>0</v>
      </c>
      <c r="NT467" s="1640">
        <f t="shared" si="368"/>
        <v>0</v>
      </c>
      <c r="NU467" s="1640">
        <f t="shared" si="369"/>
        <v>0</v>
      </c>
      <c r="NV467" s="1640">
        <f t="shared" si="370"/>
        <v>0</v>
      </c>
      <c r="NW467" s="1640">
        <f t="shared" si="371"/>
        <v>0</v>
      </c>
      <c r="NX467" s="1640">
        <f t="shared" si="372"/>
        <v>0</v>
      </c>
      <c r="NY467" s="1640">
        <f t="shared" si="363"/>
        <v>0</v>
      </c>
      <c r="NZ467" s="1640">
        <f t="shared" si="364"/>
        <v>0</v>
      </c>
      <c r="OA467" s="1640">
        <f t="shared" si="365"/>
        <v>0</v>
      </c>
      <c r="OB467" s="1640">
        <f t="shared" si="366"/>
        <v>0</v>
      </c>
      <c r="OC467" s="1640">
        <f t="shared" si="367"/>
        <v>0</v>
      </c>
      <c r="OY467" s="356" t="s">
        <v>4300</v>
      </c>
      <c r="OZ467" s="1640">
        <v>14</v>
      </c>
    </row>
    <row r="468" spans="1:416" ht="12" customHeight="1">
      <c r="A468" s="2706" t="str">
        <f t="shared" si="0"/>
        <v/>
      </c>
      <c r="B468" s="2725" t="str">
        <f>'Part V-Revenues &amp; Expenses'!B15</f>
        <v>Unrestricted</v>
      </c>
      <c r="C468" s="2726">
        <f>'Part V-Revenues &amp; Expenses'!C15</f>
        <v>0</v>
      </c>
      <c r="D468" s="2727">
        <f>'Part V-Revenues &amp; Expenses'!D15</f>
        <v>0</v>
      </c>
      <c r="E468" s="2728">
        <f>'Part V-Revenues &amp; Expenses'!E15</f>
        <v>0</v>
      </c>
      <c r="F468" s="2728">
        <f>'Part V-Revenues &amp; Expenses'!F15</f>
        <v>0</v>
      </c>
      <c r="G468" s="2728">
        <f>'Part V-Revenues &amp; Expenses'!G15</f>
        <v>0</v>
      </c>
      <c r="H468" s="2728">
        <f>'Part V-Revenues &amp; Expenses'!H15</f>
        <v>0</v>
      </c>
      <c r="I468" s="2728">
        <f>'Part V-Revenues &amp; Expenses'!I15</f>
        <v>0</v>
      </c>
      <c r="J468" s="2728">
        <f>'Part V-Revenues &amp; Expenses'!J15</f>
        <v>0</v>
      </c>
      <c r="K468" s="2729">
        <f>'Part V-Revenues &amp; Expenses'!K15</f>
        <v>0</v>
      </c>
      <c r="L468" s="2730">
        <f t="shared" si="1"/>
        <v>0</v>
      </c>
      <c r="M468" s="2730">
        <f t="shared" si="2"/>
        <v>0</v>
      </c>
      <c r="N468" s="2580">
        <f>'Part V-Revenues &amp; Expenses'!N15</f>
        <v>0</v>
      </c>
      <c r="O468" s="1248">
        <f>'Part V-Revenues &amp; Expenses'!O15</f>
        <v>0</v>
      </c>
      <c r="P468" s="2580">
        <f>'Part V-Revenues &amp; Expenses'!P15</f>
        <v>0</v>
      </c>
      <c r="Q468" s="2469">
        <f>'Part V-Revenues &amp; Expenses'!Q15</f>
        <v>0</v>
      </c>
      <c r="R468" s="2731"/>
      <c r="S468" s="2732"/>
      <c r="T468" s="2647"/>
      <c r="U468" s="2647"/>
      <c r="V468" s="2647"/>
      <c r="W468" s="2647"/>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356" t="str">
        <f t="shared" si="213"/>
        <v/>
      </c>
      <c r="IA468" s="356" t="str">
        <f t="shared" si="214"/>
        <v/>
      </c>
      <c r="IB468" s="356" t="str">
        <f t="shared" si="215"/>
        <v/>
      </c>
      <c r="IC468" s="356" t="str">
        <f t="shared" si="216"/>
        <v/>
      </c>
      <c r="ID468" s="356" t="str">
        <f t="shared" si="217"/>
        <v/>
      </c>
      <c r="IE468" s="356" t="str">
        <f t="shared" si="218"/>
        <v/>
      </c>
      <c r="IF468" s="356" t="str">
        <f t="shared" si="219"/>
        <v/>
      </c>
      <c r="IG468" s="356" t="str">
        <f t="shared" si="220"/>
        <v/>
      </c>
      <c r="IH468" s="356" t="str">
        <f t="shared" si="221"/>
        <v/>
      </c>
      <c r="II468" s="356" t="str">
        <f t="shared" si="222"/>
        <v/>
      </c>
      <c r="IJ468" s="356" t="str">
        <f t="shared" si="223"/>
        <v/>
      </c>
      <c r="IK468" s="356" t="str">
        <f t="shared" si="224"/>
        <v/>
      </c>
      <c r="IL468" s="356" t="str">
        <f t="shared" si="225"/>
        <v/>
      </c>
      <c r="IM468" s="356" t="str">
        <f t="shared" si="226"/>
        <v/>
      </c>
      <c r="IN468" s="356" t="str">
        <f t="shared" si="227"/>
        <v/>
      </c>
      <c r="IO468" s="356" t="str">
        <f t="shared" si="228"/>
        <v/>
      </c>
      <c r="IP468" s="356" t="str">
        <f t="shared" si="229"/>
        <v/>
      </c>
      <c r="IQ468" s="356" t="str">
        <f t="shared" si="230"/>
        <v/>
      </c>
      <c r="IR468" s="356" t="str">
        <f t="shared" si="231"/>
        <v/>
      </c>
      <c r="IS468" s="356" t="str">
        <f t="shared" si="232"/>
        <v/>
      </c>
      <c r="IT468" s="356" t="str">
        <f t="shared" si="233"/>
        <v/>
      </c>
      <c r="IU468" s="356" t="str">
        <f t="shared" si="234"/>
        <v/>
      </c>
      <c r="IV468" s="356" t="str">
        <f t="shared" si="235"/>
        <v/>
      </c>
      <c r="IW468" s="356" t="str">
        <f t="shared" si="236"/>
        <v/>
      </c>
      <c r="IX468" s="356" t="str">
        <f t="shared" si="237"/>
        <v/>
      </c>
      <c r="IY468" s="356" t="str">
        <f t="shared" si="238"/>
        <v/>
      </c>
      <c r="IZ468" s="356" t="str">
        <f t="shared" si="239"/>
        <v/>
      </c>
      <c r="JA468" s="356" t="str">
        <f t="shared" si="240"/>
        <v/>
      </c>
      <c r="JB468" s="356" t="str">
        <f t="shared" si="241"/>
        <v/>
      </c>
      <c r="JC468" s="356" t="str">
        <f t="shared" si="242"/>
        <v/>
      </c>
      <c r="JD468" s="356" t="str">
        <f t="shared" si="243"/>
        <v/>
      </c>
      <c r="JE468" s="356" t="str">
        <f t="shared" si="244"/>
        <v/>
      </c>
      <c r="JF468" s="356" t="str">
        <f t="shared" si="245"/>
        <v/>
      </c>
      <c r="JG468" s="356" t="str">
        <f t="shared" si="246"/>
        <v/>
      </c>
      <c r="JH468" s="356" t="str">
        <f t="shared" si="247"/>
        <v/>
      </c>
      <c r="JI468" s="1785" t="str">
        <f t="shared" si="248"/>
        <v/>
      </c>
      <c r="JJ468" s="1785" t="str">
        <f t="shared" si="249"/>
        <v/>
      </c>
      <c r="JK468" s="1785" t="str">
        <f t="shared" si="250"/>
        <v/>
      </c>
      <c r="JL468" s="1785" t="str">
        <f t="shared" si="251"/>
        <v/>
      </c>
      <c r="JM468" s="1785" t="str">
        <f t="shared" si="252"/>
        <v/>
      </c>
      <c r="JN468" s="1785" t="str">
        <f t="shared" si="253"/>
        <v/>
      </c>
      <c r="JO468" s="1785" t="str">
        <f t="shared" si="254"/>
        <v/>
      </c>
      <c r="JP468" s="1785" t="str">
        <f t="shared" si="255"/>
        <v/>
      </c>
      <c r="JQ468" s="1785" t="str">
        <f t="shared" si="256"/>
        <v/>
      </c>
      <c r="JR468" s="1785" t="str">
        <f t="shared" si="257"/>
        <v/>
      </c>
      <c r="JS468" s="1785" t="str">
        <f t="shared" si="258"/>
        <v/>
      </c>
      <c r="JT468" s="1785" t="str">
        <f t="shared" si="259"/>
        <v/>
      </c>
      <c r="JU468" s="1785" t="str">
        <f t="shared" si="260"/>
        <v/>
      </c>
      <c r="JV468" s="1785" t="str">
        <f t="shared" si="261"/>
        <v/>
      </c>
      <c r="JW468" s="1785" t="str">
        <f t="shared" si="262"/>
        <v/>
      </c>
      <c r="JX468" s="1785" t="str">
        <f t="shared" si="263"/>
        <v/>
      </c>
      <c r="JY468" s="1785" t="str">
        <f t="shared" si="264"/>
        <v/>
      </c>
      <c r="JZ468" s="1785" t="str">
        <f t="shared" si="265"/>
        <v/>
      </c>
      <c r="KA468" s="1785" t="str">
        <f t="shared" si="266"/>
        <v/>
      </c>
      <c r="KB468" s="1785" t="str">
        <f t="shared" si="267"/>
        <v/>
      </c>
      <c r="KC468" s="1785" t="str">
        <f t="shared" si="268"/>
        <v/>
      </c>
      <c r="KD468" s="1785" t="str">
        <f t="shared" si="269"/>
        <v/>
      </c>
      <c r="KE468" s="1785" t="str">
        <f t="shared" si="270"/>
        <v/>
      </c>
      <c r="KF468" s="1785" t="str">
        <f t="shared" si="271"/>
        <v/>
      </c>
      <c r="KG468" s="1785" t="str">
        <f t="shared" si="272"/>
        <v/>
      </c>
      <c r="KH468" s="1785" t="str">
        <f t="shared" si="273"/>
        <v/>
      </c>
      <c r="KI468" s="1785" t="str">
        <f t="shared" si="274"/>
        <v/>
      </c>
      <c r="KJ468" s="1785" t="str">
        <f t="shared" si="275"/>
        <v/>
      </c>
      <c r="KK468" s="1785" t="str">
        <f t="shared" si="276"/>
        <v/>
      </c>
      <c r="KL468" s="1785" t="str">
        <f t="shared" si="277"/>
        <v/>
      </c>
      <c r="KM468" s="1785" t="str">
        <f t="shared" si="278"/>
        <v/>
      </c>
      <c r="KN468" s="1785" t="str">
        <f t="shared" si="279"/>
        <v/>
      </c>
      <c r="KO468" s="1785" t="str">
        <f t="shared" si="280"/>
        <v/>
      </c>
      <c r="KP468" s="1785" t="str">
        <f t="shared" si="281"/>
        <v/>
      </c>
      <c r="KQ468" s="1785" t="str">
        <f t="shared" si="282"/>
        <v/>
      </c>
      <c r="KR468" s="1785" t="str">
        <f t="shared" si="283"/>
        <v/>
      </c>
      <c r="KS468" s="1785" t="str">
        <f t="shared" si="284"/>
        <v/>
      </c>
      <c r="KT468" s="1785" t="str">
        <f t="shared" si="285"/>
        <v/>
      </c>
      <c r="KU468" s="1785" t="str">
        <f t="shared" si="286"/>
        <v/>
      </c>
      <c r="KV468" s="1785" t="str">
        <f t="shared" si="287"/>
        <v/>
      </c>
      <c r="KW468" s="1785" t="str">
        <f t="shared" si="288"/>
        <v/>
      </c>
      <c r="KX468" s="1785" t="str">
        <f t="shared" si="289"/>
        <v/>
      </c>
      <c r="KY468" s="1785" t="str">
        <f t="shared" si="290"/>
        <v/>
      </c>
      <c r="KZ468" s="1785" t="str">
        <f t="shared" si="291"/>
        <v/>
      </c>
      <c r="LA468" s="1785" t="str">
        <f t="shared" si="292"/>
        <v/>
      </c>
      <c r="LB468" s="1785" t="str">
        <f t="shared" si="293"/>
        <v/>
      </c>
      <c r="LC468" s="1785" t="str">
        <f t="shared" si="294"/>
        <v/>
      </c>
      <c r="LD468" s="1785" t="str">
        <f t="shared" si="295"/>
        <v/>
      </c>
      <c r="LE468" s="1785" t="str">
        <f t="shared" si="296"/>
        <v/>
      </c>
      <c r="LF468" s="1785" t="str">
        <f t="shared" si="297"/>
        <v/>
      </c>
      <c r="LG468" s="1785" t="str">
        <f t="shared" si="298"/>
        <v/>
      </c>
      <c r="LH468" s="1785" t="str">
        <f t="shared" si="299"/>
        <v/>
      </c>
      <c r="LI468" s="1785" t="str">
        <f t="shared" si="300"/>
        <v/>
      </c>
      <c r="LJ468" s="1785" t="str">
        <f t="shared" si="301"/>
        <v/>
      </c>
      <c r="LK468" s="1785" t="str">
        <f t="shared" si="302"/>
        <v/>
      </c>
      <c r="LL468" s="1785" t="str">
        <f t="shared" si="303"/>
        <v/>
      </c>
      <c r="LM468" s="1785" t="str">
        <f t="shared" si="304"/>
        <v/>
      </c>
      <c r="LN468" s="1785" t="str">
        <f t="shared" si="305"/>
        <v/>
      </c>
      <c r="LO468" s="1785" t="str">
        <f t="shared" si="306"/>
        <v/>
      </c>
      <c r="LP468" s="1785" t="str">
        <f t="shared" si="307"/>
        <v/>
      </c>
      <c r="LQ468" s="1785" t="str">
        <f t="shared" si="308"/>
        <v/>
      </c>
      <c r="LR468" s="1785" t="str">
        <f t="shared" si="309"/>
        <v/>
      </c>
      <c r="LS468" s="1785" t="str">
        <f t="shared" si="310"/>
        <v/>
      </c>
      <c r="LT468" s="1785" t="str">
        <f t="shared" si="311"/>
        <v/>
      </c>
      <c r="LU468" s="1785" t="str">
        <f t="shared" si="312"/>
        <v/>
      </c>
      <c r="LV468" s="1785" t="str">
        <f t="shared" si="313"/>
        <v/>
      </c>
      <c r="LW468" s="1785" t="str">
        <f t="shared" si="314"/>
        <v/>
      </c>
      <c r="LX468" s="1785" t="str">
        <f t="shared" si="315"/>
        <v/>
      </c>
      <c r="LY468" s="1785" t="str">
        <f t="shared" si="316"/>
        <v/>
      </c>
      <c r="LZ468" s="1785" t="str">
        <f t="shared" si="317"/>
        <v/>
      </c>
      <c r="MA468" s="1785" t="str">
        <f t="shared" si="318"/>
        <v/>
      </c>
      <c r="MB468" s="1785" t="str">
        <f t="shared" si="319"/>
        <v/>
      </c>
      <c r="MC468" s="1785" t="str">
        <f t="shared" si="320"/>
        <v/>
      </c>
      <c r="MD468" s="1785" t="str">
        <f t="shared" si="321"/>
        <v/>
      </c>
      <c r="ME468" s="1785" t="str">
        <f t="shared" si="322"/>
        <v/>
      </c>
      <c r="MF468" s="1785" t="str">
        <f t="shared" si="323"/>
        <v/>
      </c>
      <c r="MG468" s="1785" t="str">
        <f t="shared" si="324"/>
        <v/>
      </c>
      <c r="MH468" s="1785" t="str">
        <f t="shared" si="325"/>
        <v/>
      </c>
      <c r="MI468" s="1785" t="str">
        <f t="shared" si="326"/>
        <v/>
      </c>
      <c r="MJ468" s="1785" t="str">
        <f t="shared" si="327"/>
        <v/>
      </c>
      <c r="MK468" s="1785" t="str">
        <f t="shared" si="328"/>
        <v/>
      </c>
      <c r="ML468" s="1785" t="str">
        <f t="shared" si="329"/>
        <v/>
      </c>
      <c r="MM468" s="1785" t="str">
        <f t="shared" si="330"/>
        <v/>
      </c>
      <c r="MN468" s="1785" t="str">
        <f t="shared" si="331"/>
        <v/>
      </c>
      <c r="MO468" s="1785" t="str">
        <f t="shared" si="332"/>
        <v/>
      </c>
      <c r="MP468" s="2470" t="str">
        <f t="shared" si="333"/>
        <v/>
      </c>
      <c r="MQ468" s="2470" t="str">
        <f t="shared" si="334"/>
        <v/>
      </c>
      <c r="MR468" s="2470" t="str">
        <f t="shared" si="335"/>
        <v/>
      </c>
      <c r="MS468" s="2470" t="str">
        <f t="shared" si="336"/>
        <v/>
      </c>
      <c r="MT468" s="2470" t="str">
        <f t="shared" si="337"/>
        <v/>
      </c>
      <c r="MU468" s="356" t="str">
        <f t="shared" si="338"/>
        <v/>
      </c>
      <c r="MV468" s="356" t="str">
        <f t="shared" si="339"/>
        <v/>
      </c>
      <c r="MW468" s="356" t="str">
        <f t="shared" si="340"/>
        <v/>
      </c>
      <c r="MX468" s="356" t="str">
        <f t="shared" si="341"/>
        <v/>
      </c>
      <c r="MY468" s="356" t="str">
        <f t="shared" si="342"/>
        <v/>
      </c>
      <c r="MZ468" s="356" t="str">
        <f t="shared" si="343"/>
        <v/>
      </c>
      <c r="NA468" s="356" t="str">
        <f t="shared" si="344"/>
        <v/>
      </c>
      <c r="NB468" s="356" t="str">
        <f t="shared" si="345"/>
        <v/>
      </c>
      <c r="NC468" s="356" t="str">
        <f t="shared" si="346"/>
        <v/>
      </c>
      <c r="ND468" s="356" t="str">
        <f t="shared" si="347"/>
        <v/>
      </c>
      <c r="NE468" s="356" t="str">
        <f t="shared" si="348"/>
        <v/>
      </c>
      <c r="NF468" s="356" t="str">
        <f t="shared" si="349"/>
        <v/>
      </c>
      <c r="NG468" s="356" t="str">
        <f t="shared" si="350"/>
        <v/>
      </c>
      <c r="NH468" s="356" t="str">
        <f t="shared" si="351"/>
        <v/>
      </c>
      <c r="NI468" s="356" t="str">
        <f t="shared" si="352"/>
        <v/>
      </c>
      <c r="NJ468" s="356" t="str">
        <f t="shared" si="353"/>
        <v/>
      </c>
      <c r="NK468" s="356" t="str">
        <f t="shared" si="354"/>
        <v/>
      </c>
      <c r="NL468" s="356" t="str">
        <f t="shared" si="355"/>
        <v/>
      </c>
      <c r="NM468" s="356" t="str">
        <f t="shared" si="356"/>
        <v/>
      </c>
      <c r="NN468" s="356" t="str">
        <f t="shared" si="357"/>
        <v/>
      </c>
      <c r="NO468" s="1640">
        <f t="shared" si="358"/>
        <v>0</v>
      </c>
      <c r="NP468" s="1640">
        <f t="shared" si="359"/>
        <v>0</v>
      </c>
      <c r="NQ468" s="1640">
        <f t="shared" si="360"/>
        <v>0</v>
      </c>
      <c r="NR468" s="1640">
        <f t="shared" si="361"/>
        <v>0</v>
      </c>
      <c r="NS468" s="1640">
        <f t="shared" si="362"/>
        <v>0</v>
      </c>
      <c r="NT468" s="1640">
        <f t="shared" si="368"/>
        <v>0</v>
      </c>
      <c r="NU468" s="1640">
        <f t="shared" si="369"/>
        <v>0</v>
      </c>
      <c r="NV468" s="1640">
        <f t="shared" si="370"/>
        <v>0</v>
      </c>
      <c r="NW468" s="1640">
        <f t="shared" si="371"/>
        <v>0</v>
      </c>
      <c r="NX468" s="1640">
        <f t="shared" si="372"/>
        <v>0</v>
      </c>
      <c r="NY468" s="1640">
        <f t="shared" si="363"/>
        <v>0</v>
      </c>
      <c r="NZ468" s="1640">
        <f t="shared" si="364"/>
        <v>0</v>
      </c>
      <c r="OA468" s="1640">
        <f t="shared" si="365"/>
        <v>0</v>
      </c>
      <c r="OB468" s="1640">
        <f t="shared" si="366"/>
        <v>0</v>
      </c>
      <c r="OC468" s="1640">
        <f t="shared" si="367"/>
        <v>0</v>
      </c>
      <c r="OY468" s="356" t="s">
        <v>4301</v>
      </c>
      <c r="OZ468" s="1784">
        <v>15</v>
      </c>
    </row>
    <row r="469" spans="1:416" ht="12" customHeight="1">
      <c r="A469" s="2706" t="str">
        <f t="shared" si="0"/>
        <v/>
      </c>
      <c r="B469" s="2725" t="str">
        <f>'Part V-Revenues &amp; Expenses'!B16</f>
        <v>Unrestricted</v>
      </c>
      <c r="C469" s="2726">
        <f>'Part V-Revenues &amp; Expenses'!C16</f>
        <v>0</v>
      </c>
      <c r="D469" s="2727">
        <f>'Part V-Revenues &amp; Expenses'!D16</f>
        <v>0</v>
      </c>
      <c r="E469" s="2728">
        <f>'Part V-Revenues &amp; Expenses'!E16</f>
        <v>0</v>
      </c>
      <c r="F469" s="2728">
        <f>'Part V-Revenues &amp; Expenses'!F16</f>
        <v>0</v>
      </c>
      <c r="G469" s="2728">
        <f>'Part V-Revenues &amp; Expenses'!G16</f>
        <v>0</v>
      </c>
      <c r="H469" s="2728">
        <f>'Part V-Revenues &amp; Expenses'!H16</f>
        <v>0</v>
      </c>
      <c r="I469" s="2728">
        <f>'Part V-Revenues &amp; Expenses'!I16</f>
        <v>0</v>
      </c>
      <c r="J469" s="2728">
        <f>'Part V-Revenues &amp; Expenses'!J16</f>
        <v>0</v>
      </c>
      <c r="K469" s="2729">
        <f>'Part V-Revenues &amp; Expenses'!K16</f>
        <v>0</v>
      </c>
      <c r="L469" s="2730">
        <f t="shared" si="1"/>
        <v>0</v>
      </c>
      <c r="M469" s="2730">
        <f t="shared" si="2"/>
        <v>0</v>
      </c>
      <c r="N469" s="2580">
        <f>'Part V-Revenues &amp; Expenses'!N16</f>
        <v>0</v>
      </c>
      <c r="O469" s="1248">
        <f>'Part V-Revenues &amp; Expenses'!O16</f>
        <v>0</v>
      </c>
      <c r="P469" s="2580">
        <f>'Part V-Revenues &amp; Expenses'!P16</f>
        <v>0</v>
      </c>
      <c r="Q469" s="2469">
        <f>'Part V-Revenues &amp; Expenses'!Q16</f>
        <v>0</v>
      </c>
      <c r="R469" s="2731"/>
      <c r="S469" s="2732"/>
      <c r="T469" s="2647"/>
      <c r="U469" s="2647"/>
      <c r="V469" s="2647"/>
      <c r="W469" s="2647"/>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356" t="str">
        <f t="shared" si="213"/>
        <v/>
      </c>
      <c r="IA469" s="356" t="str">
        <f t="shared" si="214"/>
        <v/>
      </c>
      <c r="IB469" s="356" t="str">
        <f t="shared" si="215"/>
        <v/>
      </c>
      <c r="IC469" s="356" t="str">
        <f t="shared" si="216"/>
        <v/>
      </c>
      <c r="ID469" s="356" t="str">
        <f t="shared" si="217"/>
        <v/>
      </c>
      <c r="IE469" s="356" t="str">
        <f t="shared" si="218"/>
        <v/>
      </c>
      <c r="IF469" s="356" t="str">
        <f t="shared" si="219"/>
        <v/>
      </c>
      <c r="IG469" s="356" t="str">
        <f t="shared" si="220"/>
        <v/>
      </c>
      <c r="IH469" s="356" t="str">
        <f t="shared" si="221"/>
        <v/>
      </c>
      <c r="II469" s="356" t="str">
        <f t="shared" si="222"/>
        <v/>
      </c>
      <c r="IJ469" s="356" t="str">
        <f t="shared" si="223"/>
        <v/>
      </c>
      <c r="IK469" s="356" t="str">
        <f t="shared" si="224"/>
        <v/>
      </c>
      <c r="IL469" s="356" t="str">
        <f t="shared" si="225"/>
        <v/>
      </c>
      <c r="IM469" s="356" t="str">
        <f t="shared" si="226"/>
        <v/>
      </c>
      <c r="IN469" s="356" t="str">
        <f t="shared" si="227"/>
        <v/>
      </c>
      <c r="IO469" s="356" t="str">
        <f t="shared" si="228"/>
        <v/>
      </c>
      <c r="IP469" s="356" t="str">
        <f t="shared" si="229"/>
        <v/>
      </c>
      <c r="IQ469" s="356" t="str">
        <f t="shared" si="230"/>
        <v/>
      </c>
      <c r="IR469" s="356" t="str">
        <f t="shared" si="231"/>
        <v/>
      </c>
      <c r="IS469" s="356" t="str">
        <f t="shared" si="232"/>
        <v/>
      </c>
      <c r="IT469" s="356" t="str">
        <f t="shared" si="233"/>
        <v/>
      </c>
      <c r="IU469" s="356" t="str">
        <f t="shared" si="234"/>
        <v/>
      </c>
      <c r="IV469" s="356" t="str">
        <f t="shared" si="235"/>
        <v/>
      </c>
      <c r="IW469" s="356" t="str">
        <f t="shared" si="236"/>
        <v/>
      </c>
      <c r="IX469" s="356" t="str">
        <f t="shared" si="237"/>
        <v/>
      </c>
      <c r="IY469" s="356" t="str">
        <f t="shared" si="238"/>
        <v/>
      </c>
      <c r="IZ469" s="356" t="str">
        <f t="shared" si="239"/>
        <v/>
      </c>
      <c r="JA469" s="356" t="str">
        <f t="shared" si="240"/>
        <v/>
      </c>
      <c r="JB469" s="356" t="str">
        <f t="shared" si="241"/>
        <v/>
      </c>
      <c r="JC469" s="356" t="str">
        <f t="shared" si="242"/>
        <v/>
      </c>
      <c r="JD469" s="356" t="str">
        <f t="shared" si="243"/>
        <v/>
      </c>
      <c r="JE469" s="356" t="str">
        <f t="shared" si="244"/>
        <v/>
      </c>
      <c r="JF469" s="356" t="str">
        <f t="shared" si="245"/>
        <v/>
      </c>
      <c r="JG469" s="356" t="str">
        <f t="shared" si="246"/>
        <v/>
      </c>
      <c r="JH469" s="356" t="str">
        <f t="shared" si="247"/>
        <v/>
      </c>
      <c r="JI469" s="1785" t="str">
        <f t="shared" si="248"/>
        <v/>
      </c>
      <c r="JJ469" s="1785" t="str">
        <f t="shared" si="249"/>
        <v/>
      </c>
      <c r="JK469" s="1785" t="str">
        <f t="shared" si="250"/>
        <v/>
      </c>
      <c r="JL469" s="1785" t="str">
        <f t="shared" si="251"/>
        <v/>
      </c>
      <c r="JM469" s="1785" t="str">
        <f t="shared" si="252"/>
        <v/>
      </c>
      <c r="JN469" s="1785" t="str">
        <f t="shared" si="253"/>
        <v/>
      </c>
      <c r="JO469" s="1785" t="str">
        <f t="shared" si="254"/>
        <v/>
      </c>
      <c r="JP469" s="1785" t="str">
        <f t="shared" si="255"/>
        <v/>
      </c>
      <c r="JQ469" s="1785" t="str">
        <f t="shared" si="256"/>
        <v/>
      </c>
      <c r="JR469" s="1785" t="str">
        <f t="shared" si="257"/>
        <v/>
      </c>
      <c r="JS469" s="1785" t="str">
        <f t="shared" si="258"/>
        <v/>
      </c>
      <c r="JT469" s="1785" t="str">
        <f t="shared" si="259"/>
        <v/>
      </c>
      <c r="JU469" s="1785" t="str">
        <f t="shared" si="260"/>
        <v/>
      </c>
      <c r="JV469" s="1785" t="str">
        <f t="shared" si="261"/>
        <v/>
      </c>
      <c r="JW469" s="1785" t="str">
        <f t="shared" si="262"/>
        <v/>
      </c>
      <c r="JX469" s="1785" t="str">
        <f t="shared" si="263"/>
        <v/>
      </c>
      <c r="JY469" s="1785" t="str">
        <f t="shared" si="264"/>
        <v/>
      </c>
      <c r="JZ469" s="1785" t="str">
        <f t="shared" si="265"/>
        <v/>
      </c>
      <c r="KA469" s="1785" t="str">
        <f t="shared" si="266"/>
        <v/>
      </c>
      <c r="KB469" s="1785" t="str">
        <f t="shared" si="267"/>
        <v/>
      </c>
      <c r="KC469" s="1785" t="str">
        <f t="shared" si="268"/>
        <v/>
      </c>
      <c r="KD469" s="1785" t="str">
        <f t="shared" si="269"/>
        <v/>
      </c>
      <c r="KE469" s="1785" t="str">
        <f t="shared" si="270"/>
        <v/>
      </c>
      <c r="KF469" s="1785" t="str">
        <f t="shared" si="271"/>
        <v/>
      </c>
      <c r="KG469" s="1785" t="str">
        <f t="shared" si="272"/>
        <v/>
      </c>
      <c r="KH469" s="1785" t="str">
        <f t="shared" si="273"/>
        <v/>
      </c>
      <c r="KI469" s="1785" t="str">
        <f t="shared" si="274"/>
        <v/>
      </c>
      <c r="KJ469" s="1785" t="str">
        <f t="shared" si="275"/>
        <v/>
      </c>
      <c r="KK469" s="1785" t="str">
        <f t="shared" si="276"/>
        <v/>
      </c>
      <c r="KL469" s="1785" t="str">
        <f t="shared" si="277"/>
        <v/>
      </c>
      <c r="KM469" s="1785" t="str">
        <f t="shared" si="278"/>
        <v/>
      </c>
      <c r="KN469" s="1785" t="str">
        <f t="shared" si="279"/>
        <v/>
      </c>
      <c r="KO469" s="1785" t="str">
        <f t="shared" si="280"/>
        <v/>
      </c>
      <c r="KP469" s="1785" t="str">
        <f t="shared" si="281"/>
        <v/>
      </c>
      <c r="KQ469" s="1785" t="str">
        <f t="shared" si="282"/>
        <v/>
      </c>
      <c r="KR469" s="1785" t="str">
        <f t="shared" si="283"/>
        <v/>
      </c>
      <c r="KS469" s="1785" t="str">
        <f t="shared" si="284"/>
        <v/>
      </c>
      <c r="KT469" s="1785" t="str">
        <f t="shared" si="285"/>
        <v/>
      </c>
      <c r="KU469" s="1785" t="str">
        <f t="shared" si="286"/>
        <v/>
      </c>
      <c r="KV469" s="1785" t="str">
        <f t="shared" si="287"/>
        <v/>
      </c>
      <c r="KW469" s="1785" t="str">
        <f t="shared" si="288"/>
        <v/>
      </c>
      <c r="KX469" s="1785" t="str">
        <f t="shared" si="289"/>
        <v/>
      </c>
      <c r="KY469" s="1785" t="str">
        <f t="shared" si="290"/>
        <v/>
      </c>
      <c r="KZ469" s="1785" t="str">
        <f t="shared" si="291"/>
        <v/>
      </c>
      <c r="LA469" s="1785" t="str">
        <f t="shared" si="292"/>
        <v/>
      </c>
      <c r="LB469" s="1785" t="str">
        <f t="shared" si="293"/>
        <v/>
      </c>
      <c r="LC469" s="1785" t="str">
        <f t="shared" si="294"/>
        <v/>
      </c>
      <c r="LD469" s="1785" t="str">
        <f t="shared" si="295"/>
        <v/>
      </c>
      <c r="LE469" s="1785" t="str">
        <f t="shared" si="296"/>
        <v/>
      </c>
      <c r="LF469" s="1785" t="str">
        <f t="shared" si="297"/>
        <v/>
      </c>
      <c r="LG469" s="1785" t="str">
        <f t="shared" si="298"/>
        <v/>
      </c>
      <c r="LH469" s="1785" t="str">
        <f t="shared" si="299"/>
        <v/>
      </c>
      <c r="LI469" s="1785" t="str">
        <f t="shared" si="300"/>
        <v/>
      </c>
      <c r="LJ469" s="1785" t="str">
        <f t="shared" si="301"/>
        <v/>
      </c>
      <c r="LK469" s="1785" t="str">
        <f t="shared" si="302"/>
        <v/>
      </c>
      <c r="LL469" s="1785" t="str">
        <f t="shared" si="303"/>
        <v/>
      </c>
      <c r="LM469" s="1785" t="str">
        <f t="shared" si="304"/>
        <v/>
      </c>
      <c r="LN469" s="1785" t="str">
        <f t="shared" si="305"/>
        <v/>
      </c>
      <c r="LO469" s="1785" t="str">
        <f t="shared" si="306"/>
        <v/>
      </c>
      <c r="LP469" s="1785" t="str">
        <f t="shared" si="307"/>
        <v/>
      </c>
      <c r="LQ469" s="1785" t="str">
        <f t="shared" si="308"/>
        <v/>
      </c>
      <c r="LR469" s="1785" t="str">
        <f t="shared" si="309"/>
        <v/>
      </c>
      <c r="LS469" s="1785" t="str">
        <f t="shared" si="310"/>
        <v/>
      </c>
      <c r="LT469" s="1785" t="str">
        <f t="shared" si="311"/>
        <v/>
      </c>
      <c r="LU469" s="1785" t="str">
        <f t="shared" si="312"/>
        <v/>
      </c>
      <c r="LV469" s="1785" t="str">
        <f t="shared" si="313"/>
        <v/>
      </c>
      <c r="LW469" s="1785" t="str">
        <f t="shared" si="314"/>
        <v/>
      </c>
      <c r="LX469" s="1785" t="str">
        <f t="shared" si="315"/>
        <v/>
      </c>
      <c r="LY469" s="1785" t="str">
        <f t="shared" si="316"/>
        <v/>
      </c>
      <c r="LZ469" s="1785" t="str">
        <f t="shared" si="317"/>
        <v/>
      </c>
      <c r="MA469" s="1785" t="str">
        <f t="shared" si="318"/>
        <v/>
      </c>
      <c r="MB469" s="1785" t="str">
        <f t="shared" si="319"/>
        <v/>
      </c>
      <c r="MC469" s="1785" t="str">
        <f t="shared" si="320"/>
        <v/>
      </c>
      <c r="MD469" s="1785" t="str">
        <f t="shared" si="321"/>
        <v/>
      </c>
      <c r="ME469" s="1785" t="str">
        <f t="shared" si="322"/>
        <v/>
      </c>
      <c r="MF469" s="1785" t="str">
        <f t="shared" si="323"/>
        <v/>
      </c>
      <c r="MG469" s="1785" t="str">
        <f t="shared" si="324"/>
        <v/>
      </c>
      <c r="MH469" s="1785" t="str">
        <f t="shared" si="325"/>
        <v/>
      </c>
      <c r="MI469" s="1785" t="str">
        <f t="shared" si="326"/>
        <v/>
      </c>
      <c r="MJ469" s="1785" t="str">
        <f t="shared" si="327"/>
        <v/>
      </c>
      <c r="MK469" s="1785" t="str">
        <f t="shared" si="328"/>
        <v/>
      </c>
      <c r="ML469" s="1785" t="str">
        <f t="shared" si="329"/>
        <v/>
      </c>
      <c r="MM469" s="1785" t="str">
        <f t="shared" si="330"/>
        <v/>
      </c>
      <c r="MN469" s="1785" t="str">
        <f t="shared" si="331"/>
        <v/>
      </c>
      <c r="MO469" s="1785" t="str">
        <f t="shared" si="332"/>
        <v/>
      </c>
      <c r="MP469" s="2470" t="str">
        <f t="shared" si="333"/>
        <v/>
      </c>
      <c r="MQ469" s="2470" t="str">
        <f t="shared" si="334"/>
        <v/>
      </c>
      <c r="MR469" s="2470" t="str">
        <f t="shared" si="335"/>
        <v/>
      </c>
      <c r="MS469" s="2470" t="str">
        <f t="shared" si="336"/>
        <v/>
      </c>
      <c r="MT469" s="2470" t="str">
        <f t="shared" si="337"/>
        <v/>
      </c>
      <c r="MU469" s="356" t="str">
        <f t="shared" si="338"/>
        <v/>
      </c>
      <c r="MV469" s="356" t="str">
        <f t="shared" si="339"/>
        <v/>
      </c>
      <c r="MW469" s="356" t="str">
        <f t="shared" si="340"/>
        <v/>
      </c>
      <c r="MX469" s="356" t="str">
        <f t="shared" si="341"/>
        <v/>
      </c>
      <c r="MY469" s="356" t="str">
        <f t="shared" si="342"/>
        <v/>
      </c>
      <c r="MZ469" s="356" t="str">
        <f t="shared" si="343"/>
        <v/>
      </c>
      <c r="NA469" s="356" t="str">
        <f t="shared" si="344"/>
        <v/>
      </c>
      <c r="NB469" s="356" t="str">
        <f t="shared" si="345"/>
        <v/>
      </c>
      <c r="NC469" s="356" t="str">
        <f t="shared" si="346"/>
        <v/>
      </c>
      <c r="ND469" s="356" t="str">
        <f t="shared" si="347"/>
        <v/>
      </c>
      <c r="NE469" s="356" t="str">
        <f t="shared" si="348"/>
        <v/>
      </c>
      <c r="NF469" s="356" t="str">
        <f t="shared" si="349"/>
        <v/>
      </c>
      <c r="NG469" s="356" t="str">
        <f t="shared" si="350"/>
        <v/>
      </c>
      <c r="NH469" s="356" t="str">
        <f t="shared" si="351"/>
        <v/>
      </c>
      <c r="NI469" s="356" t="str">
        <f t="shared" si="352"/>
        <v/>
      </c>
      <c r="NJ469" s="356" t="str">
        <f t="shared" si="353"/>
        <v/>
      </c>
      <c r="NK469" s="356" t="str">
        <f t="shared" si="354"/>
        <v/>
      </c>
      <c r="NL469" s="356" t="str">
        <f t="shared" si="355"/>
        <v/>
      </c>
      <c r="NM469" s="356" t="str">
        <f t="shared" si="356"/>
        <v/>
      </c>
      <c r="NN469" s="356" t="str">
        <f t="shared" si="357"/>
        <v/>
      </c>
      <c r="NO469" s="1640">
        <f t="shared" si="358"/>
        <v>0</v>
      </c>
      <c r="NP469" s="1640">
        <f t="shared" si="359"/>
        <v>0</v>
      </c>
      <c r="NQ469" s="1640">
        <f t="shared" si="360"/>
        <v>0</v>
      </c>
      <c r="NR469" s="1640">
        <f t="shared" si="361"/>
        <v>0</v>
      </c>
      <c r="NS469" s="1640">
        <f t="shared" si="362"/>
        <v>0</v>
      </c>
      <c r="NT469" s="1640">
        <f t="shared" si="368"/>
        <v>0</v>
      </c>
      <c r="NU469" s="1640">
        <f t="shared" si="369"/>
        <v>0</v>
      </c>
      <c r="NV469" s="1640">
        <f t="shared" si="370"/>
        <v>0</v>
      </c>
      <c r="NW469" s="1640">
        <f t="shared" si="371"/>
        <v>0</v>
      </c>
      <c r="NX469" s="1640">
        <f t="shared" si="372"/>
        <v>0</v>
      </c>
      <c r="NY469" s="1640">
        <f t="shared" si="363"/>
        <v>0</v>
      </c>
      <c r="NZ469" s="1640">
        <f t="shared" si="364"/>
        <v>0</v>
      </c>
      <c r="OA469" s="1640">
        <f t="shared" si="365"/>
        <v>0</v>
      </c>
      <c r="OB469" s="1640">
        <f t="shared" si="366"/>
        <v>0</v>
      </c>
      <c r="OC469" s="1640">
        <f t="shared" si="367"/>
        <v>0</v>
      </c>
      <c r="OY469" s="356" t="s">
        <v>4302</v>
      </c>
      <c r="OZ469" s="1784">
        <v>16</v>
      </c>
    </row>
    <row r="470" spans="1:416" ht="12" customHeight="1">
      <c r="A470" s="2706" t="str">
        <f t="shared" si="0"/>
        <v/>
      </c>
      <c r="B470" s="2725" t="str">
        <f>'Part V-Revenues &amp; Expenses'!B17</f>
        <v>Unrestricted</v>
      </c>
      <c r="C470" s="2726">
        <f>'Part V-Revenues &amp; Expenses'!C17</f>
        <v>0</v>
      </c>
      <c r="D470" s="2727">
        <f>'Part V-Revenues &amp; Expenses'!D17</f>
        <v>0</v>
      </c>
      <c r="E470" s="2728">
        <f>'Part V-Revenues &amp; Expenses'!E17</f>
        <v>0</v>
      </c>
      <c r="F470" s="2728">
        <f>'Part V-Revenues &amp; Expenses'!F17</f>
        <v>0</v>
      </c>
      <c r="G470" s="2728">
        <f>'Part V-Revenues &amp; Expenses'!G17</f>
        <v>0</v>
      </c>
      <c r="H470" s="2728">
        <f>'Part V-Revenues &amp; Expenses'!H17</f>
        <v>0</v>
      </c>
      <c r="I470" s="2728">
        <f>'Part V-Revenues &amp; Expenses'!I17</f>
        <v>0</v>
      </c>
      <c r="J470" s="2728">
        <f>'Part V-Revenues &amp; Expenses'!J17</f>
        <v>0</v>
      </c>
      <c r="K470" s="2729">
        <f>'Part V-Revenues &amp; Expenses'!K17</f>
        <v>0</v>
      </c>
      <c r="L470" s="2730">
        <f t="shared" si="1"/>
        <v>0</v>
      </c>
      <c r="M470" s="2730">
        <f t="shared" si="2"/>
        <v>0</v>
      </c>
      <c r="N470" s="2580">
        <f>'Part V-Revenues &amp; Expenses'!N17</f>
        <v>0</v>
      </c>
      <c r="O470" s="1248">
        <f>'Part V-Revenues &amp; Expenses'!O17</f>
        <v>0</v>
      </c>
      <c r="P470" s="2580">
        <f>'Part V-Revenues &amp; Expenses'!P17</f>
        <v>0</v>
      </c>
      <c r="Q470" s="2469">
        <f>'Part V-Revenues &amp; Expenses'!Q17</f>
        <v>0</v>
      </c>
      <c r="R470" s="2731"/>
      <c r="S470" s="2732"/>
      <c r="T470" s="2647"/>
      <c r="U470" s="2647"/>
      <c r="V470" s="2647"/>
      <c r="W470" s="2647"/>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356" t="str">
        <f t="shared" si="213"/>
        <v/>
      </c>
      <c r="IA470" s="356" t="str">
        <f t="shared" si="214"/>
        <v/>
      </c>
      <c r="IB470" s="356" t="str">
        <f t="shared" si="215"/>
        <v/>
      </c>
      <c r="IC470" s="356" t="str">
        <f t="shared" si="216"/>
        <v/>
      </c>
      <c r="ID470" s="356" t="str">
        <f t="shared" si="217"/>
        <v/>
      </c>
      <c r="IE470" s="356" t="str">
        <f t="shared" si="218"/>
        <v/>
      </c>
      <c r="IF470" s="356" t="str">
        <f t="shared" si="219"/>
        <v/>
      </c>
      <c r="IG470" s="356" t="str">
        <f t="shared" si="220"/>
        <v/>
      </c>
      <c r="IH470" s="356" t="str">
        <f t="shared" si="221"/>
        <v/>
      </c>
      <c r="II470" s="356" t="str">
        <f t="shared" si="222"/>
        <v/>
      </c>
      <c r="IJ470" s="356" t="str">
        <f t="shared" si="223"/>
        <v/>
      </c>
      <c r="IK470" s="356" t="str">
        <f t="shared" si="224"/>
        <v/>
      </c>
      <c r="IL470" s="356" t="str">
        <f t="shared" si="225"/>
        <v/>
      </c>
      <c r="IM470" s="356" t="str">
        <f t="shared" si="226"/>
        <v/>
      </c>
      <c r="IN470" s="356" t="str">
        <f t="shared" si="227"/>
        <v/>
      </c>
      <c r="IO470" s="356" t="str">
        <f t="shared" si="228"/>
        <v/>
      </c>
      <c r="IP470" s="356" t="str">
        <f t="shared" si="229"/>
        <v/>
      </c>
      <c r="IQ470" s="356" t="str">
        <f t="shared" si="230"/>
        <v/>
      </c>
      <c r="IR470" s="356" t="str">
        <f t="shared" si="231"/>
        <v/>
      </c>
      <c r="IS470" s="356" t="str">
        <f t="shared" si="232"/>
        <v/>
      </c>
      <c r="IT470" s="356" t="str">
        <f t="shared" si="233"/>
        <v/>
      </c>
      <c r="IU470" s="356" t="str">
        <f t="shared" si="234"/>
        <v/>
      </c>
      <c r="IV470" s="356" t="str">
        <f t="shared" si="235"/>
        <v/>
      </c>
      <c r="IW470" s="356" t="str">
        <f t="shared" si="236"/>
        <v/>
      </c>
      <c r="IX470" s="356" t="str">
        <f t="shared" si="237"/>
        <v/>
      </c>
      <c r="IY470" s="356" t="str">
        <f t="shared" si="238"/>
        <v/>
      </c>
      <c r="IZ470" s="356" t="str">
        <f t="shared" si="239"/>
        <v/>
      </c>
      <c r="JA470" s="356" t="str">
        <f t="shared" si="240"/>
        <v/>
      </c>
      <c r="JB470" s="356" t="str">
        <f t="shared" si="241"/>
        <v/>
      </c>
      <c r="JC470" s="356" t="str">
        <f t="shared" si="242"/>
        <v/>
      </c>
      <c r="JD470" s="356" t="str">
        <f t="shared" si="243"/>
        <v/>
      </c>
      <c r="JE470" s="356" t="str">
        <f t="shared" si="244"/>
        <v/>
      </c>
      <c r="JF470" s="356" t="str">
        <f t="shared" si="245"/>
        <v/>
      </c>
      <c r="JG470" s="356" t="str">
        <f t="shared" si="246"/>
        <v/>
      </c>
      <c r="JH470" s="356" t="str">
        <f t="shared" si="247"/>
        <v/>
      </c>
      <c r="JI470" s="1785" t="str">
        <f t="shared" si="248"/>
        <v/>
      </c>
      <c r="JJ470" s="1785" t="str">
        <f t="shared" si="249"/>
        <v/>
      </c>
      <c r="JK470" s="1785" t="str">
        <f t="shared" si="250"/>
        <v/>
      </c>
      <c r="JL470" s="1785" t="str">
        <f t="shared" si="251"/>
        <v/>
      </c>
      <c r="JM470" s="1785" t="str">
        <f t="shared" si="252"/>
        <v/>
      </c>
      <c r="JN470" s="1785" t="str">
        <f t="shared" si="253"/>
        <v/>
      </c>
      <c r="JO470" s="1785" t="str">
        <f t="shared" si="254"/>
        <v/>
      </c>
      <c r="JP470" s="1785" t="str">
        <f t="shared" si="255"/>
        <v/>
      </c>
      <c r="JQ470" s="1785" t="str">
        <f t="shared" si="256"/>
        <v/>
      </c>
      <c r="JR470" s="1785" t="str">
        <f t="shared" si="257"/>
        <v/>
      </c>
      <c r="JS470" s="1785" t="str">
        <f t="shared" si="258"/>
        <v/>
      </c>
      <c r="JT470" s="1785" t="str">
        <f t="shared" si="259"/>
        <v/>
      </c>
      <c r="JU470" s="1785" t="str">
        <f t="shared" si="260"/>
        <v/>
      </c>
      <c r="JV470" s="1785" t="str">
        <f t="shared" si="261"/>
        <v/>
      </c>
      <c r="JW470" s="1785" t="str">
        <f t="shared" si="262"/>
        <v/>
      </c>
      <c r="JX470" s="1785" t="str">
        <f t="shared" si="263"/>
        <v/>
      </c>
      <c r="JY470" s="1785" t="str">
        <f t="shared" si="264"/>
        <v/>
      </c>
      <c r="JZ470" s="1785" t="str">
        <f t="shared" si="265"/>
        <v/>
      </c>
      <c r="KA470" s="1785" t="str">
        <f t="shared" si="266"/>
        <v/>
      </c>
      <c r="KB470" s="1785" t="str">
        <f t="shared" si="267"/>
        <v/>
      </c>
      <c r="KC470" s="1785" t="str">
        <f t="shared" si="268"/>
        <v/>
      </c>
      <c r="KD470" s="1785" t="str">
        <f t="shared" si="269"/>
        <v/>
      </c>
      <c r="KE470" s="1785" t="str">
        <f t="shared" si="270"/>
        <v/>
      </c>
      <c r="KF470" s="1785" t="str">
        <f t="shared" si="271"/>
        <v/>
      </c>
      <c r="KG470" s="1785" t="str">
        <f t="shared" si="272"/>
        <v/>
      </c>
      <c r="KH470" s="1785" t="str">
        <f t="shared" si="273"/>
        <v/>
      </c>
      <c r="KI470" s="1785" t="str">
        <f t="shared" si="274"/>
        <v/>
      </c>
      <c r="KJ470" s="1785" t="str">
        <f t="shared" si="275"/>
        <v/>
      </c>
      <c r="KK470" s="1785" t="str">
        <f t="shared" si="276"/>
        <v/>
      </c>
      <c r="KL470" s="1785" t="str">
        <f t="shared" si="277"/>
        <v/>
      </c>
      <c r="KM470" s="1785" t="str">
        <f t="shared" si="278"/>
        <v/>
      </c>
      <c r="KN470" s="1785" t="str">
        <f t="shared" si="279"/>
        <v/>
      </c>
      <c r="KO470" s="1785" t="str">
        <f t="shared" si="280"/>
        <v/>
      </c>
      <c r="KP470" s="1785" t="str">
        <f t="shared" si="281"/>
        <v/>
      </c>
      <c r="KQ470" s="1785" t="str">
        <f t="shared" si="282"/>
        <v/>
      </c>
      <c r="KR470" s="1785" t="str">
        <f t="shared" si="283"/>
        <v/>
      </c>
      <c r="KS470" s="1785" t="str">
        <f t="shared" si="284"/>
        <v/>
      </c>
      <c r="KT470" s="1785" t="str">
        <f t="shared" si="285"/>
        <v/>
      </c>
      <c r="KU470" s="1785" t="str">
        <f t="shared" si="286"/>
        <v/>
      </c>
      <c r="KV470" s="1785" t="str">
        <f t="shared" si="287"/>
        <v/>
      </c>
      <c r="KW470" s="1785" t="str">
        <f t="shared" si="288"/>
        <v/>
      </c>
      <c r="KX470" s="1785" t="str">
        <f t="shared" si="289"/>
        <v/>
      </c>
      <c r="KY470" s="1785" t="str">
        <f t="shared" si="290"/>
        <v/>
      </c>
      <c r="KZ470" s="1785" t="str">
        <f t="shared" si="291"/>
        <v/>
      </c>
      <c r="LA470" s="1785" t="str">
        <f t="shared" si="292"/>
        <v/>
      </c>
      <c r="LB470" s="1785" t="str">
        <f t="shared" si="293"/>
        <v/>
      </c>
      <c r="LC470" s="1785" t="str">
        <f t="shared" si="294"/>
        <v/>
      </c>
      <c r="LD470" s="1785" t="str">
        <f t="shared" si="295"/>
        <v/>
      </c>
      <c r="LE470" s="1785" t="str">
        <f t="shared" si="296"/>
        <v/>
      </c>
      <c r="LF470" s="1785" t="str">
        <f t="shared" si="297"/>
        <v/>
      </c>
      <c r="LG470" s="1785" t="str">
        <f t="shared" si="298"/>
        <v/>
      </c>
      <c r="LH470" s="1785" t="str">
        <f t="shared" si="299"/>
        <v/>
      </c>
      <c r="LI470" s="1785" t="str">
        <f t="shared" si="300"/>
        <v/>
      </c>
      <c r="LJ470" s="1785" t="str">
        <f t="shared" si="301"/>
        <v/>
      </c>
      <c r="LK470" s="1785" t="str">
        <f t="shared" si="302"/>
        <v/>
      </c>
      <c r="LL470" s="1785" t="str">
        <f t="shared" si="303"/>
        <v/>
      </c>
      <c r="LM470" s="1785" t="str">
        <f t="shared" si="304"/>
        <v/>
      </c>
      <c r="LN470" s="1785" t="str">
        <f t="shared" si="305"/>
        <v/>
      </c>
      <c r="LO470" s="1785" t="str">
        <f t="shared" si="306"/>
        <v/>
      </c>
      <c r="LP470" s="1785" t="str">
        <f t="shared" si="307"/>
        <v/>
      </c>
      <c r="LQ470" s="1785" t="str">
        <f t="shared" si="308"/>
        <v/>
      </c>
      <c r="LR470" s="1785" t="str">
        <f t="shared" si="309"/>
        <v/>
      </c>
      <c r="LS470" s="1785" t="str">
        <f t="shared" si="310"/>
        <v/>
      </c>
      <c r="LT470" s="1785" t="str">
        <f t="shared" si="311"/>
        <v/>
      </c>
      <c r="LU470" s="1785" t="str">
        <f t="shared" si="312"/>
        <v/>
      </c>
      <c r="LV470" s="1785" t="str">
        <f t="shared" si="313"/>
        <v/>
      </c>
      <c r="LW470" s="1785" t="str">
        <f t="shared" si="314"/>
        <v/>
      </c>
      <c r="LX470" s="1785" t="str">
        <f t="shared" si="315"/>
        <v/>
      </c>
      <c r="LY470" s="1785" t="str">
        <f t="shared" si="316"/>
        <v/>
      </c>
      <c r="LZ470" s="1785" t="str">
        <f t="shared" si="317"/>
        <v/>
      </c>
      <c r="MA470" s="1785" t="str">
        <f t="shared" si="318"/>
        <v/>
      </c>
      <c r="MB470" s="1785" t="str">
        <f t="shared" si="319"/>
        <v/>
      </c>
      <c r="MC470" s="1785" t="str">
        <f t="shared" si="320"/>
        <v/>
      </c>
      <c r="MD470" s="1785" t="str">
        <f t="shared" si="321"/>
        <v/>
      </c>
      <c r="ME470" s="1785" t="str">
        <f t="shared" si="322"/>
        <v/>
      </c>
      <c r="MF470" s="1785" t="str">
        <f t="shared" si="323"/>
        <v/>
      </c>
      <c r="MG470" s="1785" t="str">
        <f t="shared" si="324"/>
        <v/>
      </c>
      <c r="MH470" s="1785" t="str">
        <f t="shared" si="325"/>
        <v/>
      </c>
      <c r="MI470" s="1785" t="str">
        <f t="shared" si="326"/>
        <v/>
      </c>
      <c r="MJ470" s="1785" t="str">
        <f t="shared" si="327"/>
        <v/>
      </c>
      <c r="MK470" s="1785" t="str">
        <f t="shared" si="328"/>
        <v/>
      </c>
      <c r="ML470" s="1785" t="str">
        <f t="shared" si="329"/>
        <v/>
      </c>
      <c r="MM470" s="1785" t="str">
        <f t="shared" si="330"/>
        <v/>
      </c>
      <c r="MN470" s="1785" t="str">
        <f t="shared" si="331"/>
        <v/>
      </c>
      <c r="MO470" s="1785" t="str">
        <f t="shared" si="332"/>
        <v/>
      </c>
      <c r="MP470" s="2470" t="str">
        <f t="shared" si="333"/>
        <v/>
      </c>
      <c r="MQ470" s="2470" t="str">
        <f t="shared" si="334"/>
        <v/>
      </c>
      <c r="MR470" s="2470" t="str">
        <f t="shared" si="335"/>
        <v/>
      </c>
      <c r="MS470" s="2470" t="str">
        <f t="shared" si="336"/>
        <v/>
      </c>
      <c r="MT470" s="2470" t="str">
        <f t="shared" si="337"/>
        <v/>
      </c>
      <c r="MU470" s="356" t="str">
        <f t="shared" si="338"/>
        <v/>
      </c>
      <c r="MV470" s="356" t="str">
        <f t="shared" si="339"/>
        <v/>
      </c>
      <c r="MW470" s="356" t="str">
        <f t="shared" si="340"/>
        <v/>
      </c>
      <c r="MX470" s="356" t="str">
        <f t="shared" si="341"/>
        <v/>
      </c>
      <c r="MY470" s="356" t="str">
        <f t="shared" si="342"/>
        <v/>
      </c>
      <c r="MZ470" s="356" t="str">
        <f t="shared" si="343"/>
        <v/>
      </c>
      <c r="NA470" s="356" t="str">
        <f t="shared" si="344"/>
        <v/>
      </c>
      <c r="NB470" s="356" t="str">
        <f t="shared" si="345"/>
        <v/>
      </c>
      <c r="NC470" s="356" t="str">
        <f t="shared" si="346"/>
        <v/>
      </c>
      <c r="ND470" s="356" t="str">
        <f t="shared" si="347"/>
        <v/>
      </c>
      <c r="NE470" s="356" t="str">
        <f t="shared" si="348"/>
        <v/>
      </c>
      <c r="NF470" s="356" t="str">
        <f t="shared" si="349"/>
        <v/>
      </c>
      <c r="NG470" s="356" t="str">
        <f t="shared" si="350"/>
        <v/>
      </c>
      <c r="NH470" s="356" t="str">
        <f t="shared" si="351"/>
        <v/>
      </c>
      <c r="NI470" s="356" t="str">
        <f t="shared" si="352"/>
        <v/>
      </c>
      <c r="NJ470" s="356" t="str">
        <f t="shared" si="353"/>
        <v/>
      </c>
      <c r="NK470" s="356" t="str">
        <f t="shared" si="354"/>
        <v/>
      </c>
      <c r="NL470" s="356" t="str">
        <f t="shared" si="355"/>
        <v/>
      </c>
      <c r="NM470" s="356" t="str">
        <f t="shared" si="356"/>
        <v/>
      </c>
      <c r="NN470" s="356" t="str">
        <f t="shared" si="357"/>
        <v/>
      </c>
      <c r="NO470" s="1640">
        <f t="shared" si="358"/>
        <v>0</v>
      </c>
      <c r="NP470" s="1640">
        <f t="shared" si="359"/>
        <v>0</v>
      </c>
      <c r="NQ470" s="1640">
        <f t="shared" si="360"/>
        <v>0</v>
      </c>
      <c r="NR470" s="1640">
        <f t="shared" si="361"/>
        <v>0</v>
      </c>
      <c r="NS470" s="1640">
        <f t="shared" si="362"/>
        <v>0</v>
      </c>
      <c r="NT470" s="1640">
        <f t="shared" si="368"/>
        <v>0</v>
      </c>
      <c r="NU470" s="1640">
        <f t="shared" si="369"/>
        <v>0</v>
      </c>
      <c r="NV470" s="1640">
        <f t="shared" si="370"/>
        <v>0</v>
      </c>
      <c r="NW470" s="1640">
        <f t="shared" si="371"/>
        <v>0</v>
      </c>
      <c r="NX470" s="1640">
        <f t="shared" si="372"/>
        <v>0</v>
      </c>
      <c r="NY470" s="1640">
        <f t="shared" si="363"/>
        <v>0</v>
      </c>
      <c r="NZ470" s="1640">
        <f t="shared" si="364"/>
        <v>0</v>
      </c>
      <c r="OA470" s="1640">
        <f t="shared" si="365"/>
        <v>0</v>
      </c>
      <c r="OB470" s="1640">
        <f t="shared" si="366"/>
        <v>0</v>
      </c>
      <c r="OC470" s="1640">
        <f t="shared" si="367"/>
        <v>0</v>
      </c>
      <c r="OY470" s="356" t="s">
        <v>4303</v>
      </c>
      <c r="OZ470" s="1784">
        <v>17</v>
      </c>
    </row>
    <row r="471" spans="1:416" ht="12" customHeight="1">
      <c r="A471" s="2706" t="str">
        <f t="shared" si="0"/>
        <v/>
      </c>
      <c r="B471" s="2725">
        <f>'Part V-Revenues &amp; Expenses'!B18</f>
        <v>30</v>
      </c>
      <c r="C471" s="2726">
        <f>'Part V-Revenues &amp; Expenses'!C18</f>
        <v>1</v>
      </c>
      <c r="D471" s="2727">
        <f>'Part V-Revenues &amp; Expenses'!D18</f>
        <v>1</v>
      </c>
      <c r="E471" s="2728">
        <f>'Part V-Revenues &amp; Expenses'!E18</f>
        <v>4</v>
      </c>
      <c r="F471" s="2728">
        <f>'Part V-Revenues &amp; Expenses'!F18</f>
        <v>701</v>
      </c>
      <c r="G471" s="2728">
        <f>'Part V-Revenues &amp; Expenses'!G18</f>
        <v>642</v>
      </c>
      <c r="H471" s="2728">
        <f>'Part V-Revenues &amp; Expenses'!H18</f>
        <v>1818</v>
      </c>
      <c r="I471" s="2728">
        <f>'Part V-Revenues &amp; Expenses'!I18</f>
        <v>0</v>
      </c>
      <c r="J471" s="2728">
        <f>'Part V-Revenues &amp; Expenses'!J18</f>
        <v>68</v>
      </c>
      <c r="K471" s="2729" t="str">
        <f>'Part V-Revenues &amp; Expenses'!K18</f>
        <v>PHA PBRA</v>
      </c>
      <c r="L471" s="2730">
        <f t="shared" si="1"/>
        <v>1750</v>
      </c>
      <c r="M471" s="2730">
        <f t="shared" si="2"/>
        <v>7000</v>
      </c>
      <c r="N471" s="2580" t="str">
        <f>'Part V-Revenues &amp; Expenses'!N18</f>
        <v>No</v>
      </c>
      <c r="O471" s="1248" t="str">
        <f>'Part V-Revenues &amp; Expenses'!O18</f>
        <v>Low-Rise Elevator</v>
      </c>
      <c r="P471" s="2580" t="str">
        <f>'Part V-Revenues &amp; Expenses'!P18</f>
        <v>Rehabilitation</v>
      </c>
      <c r="Q471" s="2469" t="str">
        <f>'Part V-Revenues &amp; Expenses'!Q18</f>
        <v>No</v>
      </c>
      <c r="R471" s="2731"/>
      <c r="S471" s="2732"/>
      <c r="T471" s="2647"/>
      <c r="U471" s="2647"/>
      <c r="V471" s="2647"/>
      <c r="W471" s="2647"/>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f t="shared" si="29"/>
        <v>4</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f t="shared" si="49"/>
        <v>4</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f t="shared" si="179"/>
        <v>2804</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f t="shared" si="194"/>
        <v>2804</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356" t="str">
        <f t="shared" si="213"/>
        <v/>
      </c>
      <c r="IA471" s="356" t="str">
        <f t="shared" si="214"/>
        <v/>
      </c>
      <c r="IB471" s="356" t="str">
        <f t="shared" si="215"/>
        <v/>
      </c>
      <c r="IC471" s="356" t="str">
        <f t="shared" si="216"/>
        <v/>
      </c>
      <c r="ID471" s="356" t="str">
        <f t="shared" si="217"/>
        <v/>
      </c>
      <c r="IE471" s="356" t="str">
        <f t="shared" si="218"/>
        <v/>
      </c>
      <c r="IF471" s="356" t="str">
        <f t="shared" si="219"/>
        <v/>
      </c>
      <c r="IG471" s="356" t="str">
        <f t="shared" si="220"/>
        <v/>
      </c>
      <c r="IH471" s="356" t="str">
        <f t="shared" si="221"/>
        <v/>
      </c>
      <c r="II471" s="356" t="str">
        <f t="shared" si="222"/>
        <v/>
      </c>
      <c r="IJ471" s="356" t="str">
        <f t="shared" si="223"/>
        <v/>
      </c>
      <c r="IK471" s="356" t="str">
        <f t="shared" si="224"/>
        <v/>
      </c>
      <c r="IL471" s="356" t="str">
        <f t="shared" si="225"/>
        <v/>
      </c>
      <c r="IM471" s="356" t="str">
        <f t="shared" si="226"/>
        <v/>
      </c>
      <c r="IN471" s="356" t="str">
        <f t="shared" si="227"/>
        <v/>
      </c>
      <c r="IO471" s="356" t="str">
        <f t="shared" si="228"/>
        <v/>
      </c>
      <c r="IP471" s="356" t="str">
        <f t="shared" si="229"/>
        <v/>
      </c>
      <c r="IQ471" s="356" t="str">
        <f t="shared" si="230"/>
        <v/>
      </c>
      <c r="IR471" s="356" t="str">
        <f t="shared" si="231"/>
        <v/>
      </c>
      <c r="IS471" s="356" t="str">
        <f t="shared" si="232"/>
        <v/>
      </c>
      <c r="IT471" s="356" t="str">
        <f t="shared" si="233"/>
        <v/>
      </c>
      <c r="IU471" s="356">
        <f t="shared" si="234"/>
        <v>4</v>
      </c>
      <c r="IV471" s="356" t="str">
        <f t="shared" si="235"/>
        <v/>
      </c>
      <c r="IW471" s="356" t="str">
        <f t="shared" si="236"/>
        <v/>
      </c>
      <c r="IX471" s="356" t="str">
        <f t="shared" si="237"/>
        <v/>
      </c>
      <c r="IY471" s="356" t="str">
        <f t="shared" si="238"/>
        <v/>
      </c>
      <c r="IZ471" s="356" t="str">
        <f t="shared" si="239"/>
        <v/>
      </c>
      <c r="JA471" s="356" t="str">
        <f t="shared" si="240"/>
        <v/>
      </c>
      <c r="JB471" s="356" t="str">
        <f t="shared" si="241"/>
        <v/>
      </c>
      <c r="JC471" s="356" t="str">
        <f t="shared" si="242"/>
        <v/>
      </c>
      <c r="JD471" s="356" t="str">
        <f t="shared" si="243"/>
        <v/>
      </c>
      <c r="JE471" s="356" t="str">
        <f t="shared" si="244"/>
        <v/>
      </c>
      <c r="JF471" s="356" t="str">
        <f t="shared" si="245"/>
        <v/>
      </c>
      <c r="JG471" s="356" t="str">
        <f t="shared" si="246"/>
        <v/>
      </c>
      <c r="JH471" s="356" t="str">
        <f t="shared" si="247"/>
        <v/>
      </c>
      <c r="JI471" s="1785" t="str">
        <f t="shared" si="248"/>
        <v/>
      </c>
      <c r="JJ471" s="1785">
        <f t="shared" si="249"/>
        <v>4</v>
      </c>
      <c r="JK471" s="1785" t="str">
        <f t="shared" si="250"/>
        <v/>
      </c>
      <c r="JL471" s="1785" t="str">
        <f t="shared" si="251"/>
        <v/>
      </c>
      <c r="JM471" s="1785" t="str">
        <f t="shared" si="252"/>
        <v/>
      </c>
      <c r="JN471" s="1785" t="str">
        <f t="shared" si="253"/>
        <v/>
      </c>
      <c r="JO471" s="1785" t="str">
        <f t="shared" si="254"/>
        <v/>
      </c>
      <c r="JP471" s="1785" t="str">
        <f t="shared" si="255"/>
        <v/>
      </c>
      <c r="JQ471" s="1785" t="str">
        <f t="shared" si="256"/>
        <v/>
      </c>
      <c r="JR471" s="1785" t="str">
        <f t="shared" si="257"/>
        <v/>
      </c>
      <c r="JS471" s="1785" t="str">
        <f t="shared" si="258"/>
        <v/>
      </c>
      <c r="JT471" s="1785" t="str">
        <f t="shared" si="259"/>
        <v/>
      </c>
      <c r="JU471" s="1785" t="str">
        <f t="shared" si="260"/>
        <v/>
      </c>
      <c r="JV471" s="1785" t="str">
        <f t="shared" si="261"/>
        <v/>
      </c>
      <c r="JW471" s="1785" t="str">
        <f t="shared" si="262"/>
        <v/>
      </c>
      <c r="JX471" s="1785" t="str">
        <f t="shared" si="263"/>
        <v/>
      </c>
      <c r="JY471" s="1785" t="str">
        <f t="shared" si="264"/>
        <v/>
      </c>
      <c r="JZ471" s="1785" t="str">
        <f t="shared" si="265"/>
        <v/>
      </c>
      <c r="KA471" s="1785" t="str">
        <f t="shared" si="266"/>
        <v/>
      </c>
      <c r="KB471" s="1785" t="str">
        <f t="shared" si="267"/>
        <v/>
      </c>
      <c r="KC471" s="1785" t="str">
        <f t="shared" si="268"/>
        <v/>
      </c>
      <c r="KD471" s="1785" t="str">
        <f t="shared" si="269"/>
        <v/>
      </c>
      <c r="KE471" s="1785" t="str">
        <f t="shared" si="270"/>
        <v/>
      </c>
      <c r="KF471" s="1785" t="str">
        <f t="shared" si="271"/>
        <v/>
      </c>
      <c r="KG471" s="1785" t="str">
        <f t="shared" si="272"/>
        <v/>
      </c>
      <c r="KH471" s="1785" t="str">
        <f t="shared" si="273"/>
        <v/>
      </c>
      <c r="KI471" s="1785" t="str">
        <f t="shared" si="274"/>
        <v/>
      </c>
      <c r="KJ471" s="1785" t="str">
        <f t="shared" si="275"/>
        <v/>
      </c>
      <c r="KK471" s="1785" t="str">
        <f t="shared" si="276"/>
        <v/>
      </c>
      <c r="KL471" s="1785" t="str">
        <f t="shared" si="277"/>
        <v/>
      </c>
      <c r="KM471" s="1785" t="str">
        <f t="shared" si="278"/>
        <v/>
      </c>
      <c r="KN471" s="1785" t="str">
        <f t="shared" si="279"/>
        <v/>
      </c>
      <c r="KO471" s="1785" t="str">
        <f t="shared" si="280"/>
        <v/>
      </c>
      <c r="KP471" s="1785" t="str">
        <f t="shared" si="281"/>
        <v/>
      </c>
      <c r="KQ471" s="1785" t="str">
        <f t="shared" si="282"/>
        <v/>
      </c>
      <c r="KR471" s="1785" t="str">
        <f t="shared" si="283"/>
        <v/>
      </c>
      <c r="KS471" s="1785" t="str">
        <f t="shared" si="284"/>
        <v/>
      </c>
      <c r="KT471" s="1785" t="str">
        <f t="shared" si="285"/>
        <v/>
      </c>
      <c r="KU471" s="1785" t="str">
        <f t="shared" si="286"/>
        <v/>
      </c>
      <c r="KV471" s="1785" t="str">
        <f t="shared" si="287"/>
        <v/>
      </c>
      <c r="KW471" s="1785" t="str">
        <f t="shared" si="288"/>
        <v/>
      </c>
      <c r="KX471" s="1785" t="str">
        <f t="shared" si="289"/>
        <v/>
      </c>
      <c r="KY471" s="1785" t="str">
        <f t="shared" si="290"/>
        <v/>
      </c>
      <c r="KZ471" s="1785" t="str">
        <f t="shared" si="291"/>
        <v/>
      </c>
      <c r="LA471" s="1785" t="str">
        <f t="shared" si="292"/>
        <v/>
      </c>
      <c r="LB471" s="1785" t="str">
        <f t="shared" si="293"/>
        <v/>
      </c>
      <c r="LC471" s="1785" t="str">
        <f t="shared" si="294"/>
        <v/>
      </c>
      <c r="LD471" s="1785" t="str">
        <f t="shared" si="295"/>
        <v/>
      </c>
      <c r="LE471" s="1785" t="str">
        <f t="shared" si="296"/>
        <v/>
      </c>
      <c r="LF471" s="1785" t="str">
        <f t="shared" si="297"/>
        <v/>
      </c>
      <c r="LG471" s="1785" t="str">
        <f t="shared" si="298"/>
        <v/>
      </c>
      <c r="LH471" s="1785">
        <f t="shared" si="299"/>
        <v>4</v>
      </c>
      <c r="LI471" s="1785" t="str">
        <f t="shared" si="300"/>
        <v/>
      </c>
      <c r="LJ471" s="1785" t="str">
        <f t="shared" si="301"/>
        <v/>
      </c>
      <c r="LK471" s="1785" t="str">
        <f t="shared" si="302"/>
        <v/>
      </c>
      <c r="LL471" s="1785" t="str">
        <f t="shared" si="303"/>
        <v/>
      </c>
      <c r="LM471" s="1785" t="str">
        <f t="shared" si="304"/>
        <v/>
      </c>
      <c r="LN471" s="1785" t="str">
        <f t="shared" si="305"/>
        <v/>
      </c>
      <c r="LO471" s="1785" t="str">
        <f t="shared" si="306"/>
        <v/>
      </c>
      <c r="LP471" s="1785" t="str">
        <f t="shared" si="307"/>
        <v/>
      </c>
      <c r="LQ471" s="1785" t="str">
        <f t="shared" si="308"/>
        <v/>
      </c>
      <c r="LR471" s="1785" t="str">
        <f t="shared" si="309"/>
        <v/>
      </c>
      <c r="LS471" s="1785" t="str">
        <f t="shared" si="310"/>
        <v/>
      </c>
      <c r="LT471" s="1785" t="str">
        <f t="shared" si="311"/>
        <v/>
      </c>
      <c r="LU471" s="1785" t="str">
        <f t="shared" si="312"/>
        <v/>
      </c>
      <c r="LV471" s="1785" t="str">
        <f t="shared" si="313"/>
        <v/>
      </c>
      <c r="LW471" s="1785" t="str">
        <f t="shared" si="314"/>
        <v/>
      </c>
      <c r="LX471" s="1785" t="str">
        <f t="shared" si="315"/>
        <v/>
      </c>
      <c r="LY471" s="1785" t="str">
        <f t="shared" si="316"/>
        <v/>
      </c>
      <c r="LZ471" s="1785" t="str">
        <f t="shared" si="317"/>
        <v/>
      </c>
      <c r="MA471" s="1785" t="str">
        <f t="shared" si="318"/>
        <v/>
      </c>
      <c r="MB471" s="1785" t="str">
        <f t="shared" si="319"/>
        <v/>
      </c>
      <c r="MC471" s="1785" t="str">
        <f t="shared" si="320"/>
        <v/>
      </c>
      <c r="MD471" s="1785" t="str">
        <f t="shared" si="321"/>
        <v/>
      </c>
      <c r="ME471" s="1785" t="str">
        <f t="shared" si="322"/>
        <v/>
      </c>
      <c r="MF471" s="1785" t="str">
        <f t="shared" si="323"/>
        <v/>
      </c>
      <c r="MG471" s="1785" t="str">
        <f t="shared" si="324"/>
        <v/>
      </c>
      <c r="MH471" s="1785" t="str">
        <f t="shared" si="325"/>
        <v/>
      </c>
      <c r="MI471" s="1785" t="str">
        <f t="shared" si="326"/>
        <v/>
      </c>
      <c r="MJ471" s="1785" t="str">
        <f t="shared" si="327"/>
        <v/>
      </c>
      <c r="MK471" s="1785" t="str">
        <f t="shared" si="328"/>
        <v/>
      </c>
      <c r="ML471" s="1785" t="str">
        <f t="shared" si="329"/>
        <v/>
      </c>
      <c r="MM471" s="1785" t="str">
        <f t="shared" si="330"/>
        <v/>
      </c>
      <c r="MN471" s="1785" t="str">
        <f t="shared" si="331"/>
        <v/>
      </c>
      <c r="MO471" s="1785" t="str">
        <f t="shared" si="332"/>
        <v/>
      </c>
      <c r="MP471" s="2470" t="str">
        <f t="shared" si="333"/>
        <v/>
      </c>
      <c r="MQ471" s="2470" t="str">
        <f t="shared" si="334"/>
        <v/>
      </c>
      <c r="MR471" s="2470" t="str">
        <f t="shared" si="335"/>
        <v/>
      </c>
      <c r="MS471" s="2470" t="str">
        <f t="shared" si="336"/>
        <v/>
      </c>
      <c r="MT471" s="2470" t="str">
        <f t="shared" si="337"/>
        <v/>
      </c>
      <c r="MU471" s="356" t="str">
        <f t="shared" si="338"/>
        <v/>
      </c>
      <c r="MV471" s="356" t="str">
        <f t="shared" si="339"/>
        <v/>
      </c>
      <c r="MW471" s="356" t="str">
        <f t="shared" si="340"/>
        <v/>
      </c>
      <c r="MX471" s="356" t="str">
        <f t="shared" si="341"/>
        <v/>
      </c>
      <c r="MY471" s="356" t="str">
        <f t="shared" si="342"/>
        <v/>
      </c>
      <c r="MZ471" s="356" t="str">
        <f t="shared" si="343"/>
        <v/>
      </c>
      <c r="NA471" s="356" t="str">
        <f t="shared" si="344"/>
        <v/>
      </c>
      <c r="NB471" s="356" t="str">
        <f t="shared" si="345"/>
        <v/>
      </c>
      <c r="NC471" s="356" t="str">
        <f t="shared" si="346"/>
        <v/>
      </c>
      <c r="ND471" s="356" t="str">
        <f t="shared" si="347"/>
        <v/>
      </c>
      <c r="NE471" s="356" t="str">
        <f t="shared" si="348"/>
        <v/>
      </c>
      <c r="NF471" s="356" t="str">
        <f t="shared" si="349"/>
        <v/>
      </c>
      <c r="NG471" s="356" t="str">
        <f t="shared" si="350"/>
        <v/>
      </c>
      <c r="NH471" s="356" t="str">
        <f t="shared" si="351"/>
        <v/>
      </c>
      <c r="NI471" s="356" t="str">
        <f t="shared" si="352"/>
        <v/>
      </c>
      <c r="NJ471" s="356" t="str">
        <f t="shared" si="353"/>
        <v/>
      </c>
      <c r="NK471" s="356" t="str">
        <f t="shared" si="354"/>
        <v/>
      </c>
      <c r="NL471" s="356" t="str">
        <f t="shared" si="355"/>
        <v/>
      </c>
      <c r="NM471" s="356" t="str">
        <f t="shared" si="356"/>
        <v/>
      </c>
      <c r="NN471" s="356" t="str">
        <f t="shared" si="357"/>
        <v/>
      </c>
      <c r="NO471" s="1640">
        <f t="shared" si="358"/>
        <v>0</v>
      </c>
      <c r="NP471" s="1640">
        <f t="shared" si="359"/>
        <v>4</v>
      </c>
      <c r="NQ471" s="1640">
        <f t="shared" si="360"/>
        <v>0</v>
      </c>
      <c r="NR471" s="1640">
        <f t="shared" si="361"/>
        <v>0</v>
      </c>
      <c r="NS471" s="1640">
        <f t="shared" si="362"/>
        <v>0</v>
      </c>
      <c r="NT471" s="1640">
        <f t="shared" si="368"/>
        <v>0</v>
      </c>
      <c r="NU471" s="1640">
        <f t="shared" si="369"/>
        <v>0</v>
      </c>
      <c r="NV471" s="1640">
        <f t="shared" si="370"/>
        <v>0</v>
      </c>
      <c r="NW471" s="1640">
        <f t="shared" si="371"/>
        <v>0</v>
      </c>
      <c r="NX471" s="1640">
        <f t="shared" si="372"/>
        <v>0</v>
      </c>
      <c r="NY471" s="1640">
        <f t="shared" si="363"/>
        <v>0</v>
      </c>
      <c r="NZ471" s="1640">
        <f t="shared" si="364"/>
        <v>0</v>
      </c>
      <c r="OA471" s="1640">
        <f t="shared" si="365"/>
        <v>0</v>
      </c>
      <c r="OB471" s="1640">
        <f t="shared" si="366"/>
        <v>0</v>
      </c>
      <c r="OC471" s="1640">
        <f t="shared" si="367"/>
        <v>0</v>
      </c>
      <c r="OY471" s="356" t="s">
        <v>4304</v>
      </c>
      <c r="OZ471" s="1784">
        <v>18</v>
      </c>
    </row>
    <row r="472" spans="1:416" ht="12" customHeight="1">
      <c r="A472" s="2706" t="str">
        <f t="shared" si="0"/>
        <v/>
      </c>
      <c r="B472" s="2725">
        <f>'Part V-Revenues &amp; Expenses'!B19</f>
        <v>50</v>
      </c>
      <c r="C472" s="2726">
        <f>'Part V-Revenues &amp; Expenses'!C19</f>
        <v>1</v>
      </c>
      <c r="D472" s="2727">
        <f>'Part V-Revenues &amp; Expenses'!D19</f>
        <v>1</v>
      </c>
      <c r="E472" s="2728">
        <f>'Part V-Revenues &amp; Expenses'!E19</f>
        <v>4</v>
      </c>
      <c r="F472" s="2728">
        <f>'Part V-Revenues &amp; Expenses'!F19</f>
        <v>701</v>
      </c>
      <c r="G472" s="2728">
        <f>'Part V-Revenues &amp; Expenses'!G19</f>
        <v>1071</v>
      </c>
      <c r="H472" s="2728">
        <f>'Part V-Revenues &amp; Expenses'!H19</f>
        <v>1071</v>
      </c>
      <c r="I472" s="2728">
        <f>'Part V-Revenues &amp; Expenses'!I19</f>
        <v>0</v>
      </c>
      <c r="J472" s="2728">
        <f>'Part V-Revenues &amp; Expenses'!J19</f>
        <v>68</v>
      </c>
      <c r="K472" s="2729">
        <f>'Part V-Revenues &amp; Expenses'!K19</f>
        <v>0</v>
      </c>
      <c r="L472" s="2730">
        <f t="shared" si="1"/>
        <v>1003</v>
      </c>
      <c r="M472" s="2730">
        <f t="shared" si="2"/>
        <v>4012</v>
      </c>
      <c r="N472" s="2580" t="str">
        <f>'Part V-Revenues &amp; Expenses'!N19</f>
        <v>No</v>
      </c>
      <c r="O472" s="1248" t="str">
        <f>'Part V-Revenues &amp; Expenses'!O19</f>
        <v>Low-Rise Elevator</v>
      </c>
      <c r="P472" s="2580" t="str">
        <f>'Part V-Revenues &amp; Expenses'!P19</f>
        <v>Rehabilitation</v>
      </c>
      <c r="Q472" s="2469" t="str">
        <f>'Part V-Revenues &amp; Expenses'!Q19</f>
        <v>No</v>
      </c>
      <c r="R472" s="2731"/>
      <c r="S472" s="2732"/>
      <c r="T472" s="2647"/>
      <c r="U472" s="2647"/>
      <c r="V472" s="2647"/>
      <c r="W472" s="2647"/>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f t="shared" si="19"/>
        <v>4</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f t="shared" si="169"/>
        <v>2804</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356" t="str">
        <f t="shared" si="213"/>
        <v/>
      </c>
      <c r="IA472" s="356" t="str">
        <f t="shared" si="214"/>
        <v/>
      </c>
      <c r="IB472" s="356" t="str">
        <f t="shared" si="215"/>
        <v/>
      </c>
      <c r="IC472" s="356" t="str">
        <f t="shared" si="216"/>
        <v/>
      </c>
      <c r="ID472" s="356" t="str">
        <f t="shared" si="217"/>
        <v/>
      </c>
      <c r="IE472" s="356" t="str">
        <f t="shared" si="218"/>
        <v/>
      </c>
      <c r="IF472" s="356" t="str">
        <f t="shared" si="219"/>
        <v/>
      </c>
      <c r="IG472" s="356" t="str">
        <f t="shared" si="220"/>
        <v/>
      </c>
      <c r="IH472" s="356" t="str">
        <f t="shared" si="221"/>
        <v/>
      </c>
      <c r="II472" s="356" t="str">
        <f t="shared" si="222"/>
        <v/>
      </c>
      <c r="IJ472" s="356" t="str">
        <f t="shared" si="223"/>
        <v/>
      </c>
      <c r="IK472" s="356" t="str">
        <f t="shared" si="224"/>
        <v/>
      </c>
      <c r="IL472" s="356" t="str">
        <f t="shared" si="225"/>
        <v/>
      </c>
      <c r="IM472" s="356" t="str">
        <f t="shared" si="226"/>
        <v/>
      </c>
      <c r="IN472" s="356" t="str">
        <f t="shared" si="227"/>
        <v/>
      </c>
      <c r="IO472" s="356" t="str">
        <f t="shared" si="228"/>
        <v/>
      </c>
      <c r="IP472" s="356" t="str">
        <f t="shared" si="229"/>
        <v/>
      </c>
      <c r="IQ472" s="356" t="str">
        <f t="shared" si="230"/>
        <v/>
      </c>
      <c r="IR472" s="356" t="str">
        <f t="shared" si="231"/>
        <v/>
      </c>
      <c r="IS472" s="356" t="str">
        <f t="shared" si="232"/>
        <v/>
      </c>
      <c r="IT472" s="356" t="str">
        <f t="shared" si="233"/>
        <v/>
      </c>
      <c r="IU472" s="356">
        <f t="shared" si="234"/>
        <v>4</v>
      </c>
      <c r="IV472" s="356" t="str">
        <f t="shared" si="235"/>
        <v/>
      </c>
      <c r="IW472" s="356" t="str">
        <f t="shared" si="236"/>
        <v/>
      </c>
      <c r="IX472" s="356" t="str">
        <f t="shared" si="237"/>
        <v/>
      </c>
      <c r="IY472" s="356" t="str">
        <f t="shared" si="238"/>
        <v/>
      </c>
      <c r="IZ472" s="356" t="str">
        <f t="shared" si="239"/>
        <v/>
      </c>
      <c r="JA472" s="356" t="str">
        <f t="shared" si="240"/>
        <v/>
      </c>
      <c r="JB472" s="356" t="str">
        <f t="shared" si="241"/>
        <v/>
      </c>
      <c r="JC472" s="356" t="str">
        <f t="shared" si="242"/>
        <v/>
      </c>
      <c r="JD472" s="356" t="str">
        <f t="shared" si="243"/>
        <v/>
      </c>
      <c r="JE472" s="356" t="str">
        <f t="shared" si="244"/>
        <v/>
      </c>
      <c r="JF472" s="356" t="str">
        <f t="shared" si="245"/>
        <v/>
      </c>
      <c r="JG472" s="356" t="str">
        <f t="shared" si="246"/>
        <v/>
      </c>
      <c r="JH472" s="356" t="str">
        <f t="shared" si="247"/>
        <v/>
      </c>
      <c r="JI472" s="1785" t="str">
        <f t="shared" si="248"/>
        <v/>
      </c>
      <c r="JJ472" s="1785">
        <f t="shared" si="249"/>
        <v>4</v>
      </c>
      <c r="JK472" s="1785" t="str">
        <f t="shared" si="250"/>
        <v/>
      </c>
      <c r="JL472" s="1785" t="str">
        <f t="shared" si="251"/>
        <v/>
      </c>
      <c r="JM472" s="1785" t="str">
        <f t="shared" si="252"/>
        <v/>
      </c>
      <c r="JN472" s="1785" t="str">
        <f t="shared" si="253"/>
        <v/>
      </c>
      <c r="JO472" s="1785" t="str">
        <f t="shared" si="254"/>
        <v/>
      </c>
      <c r="JP472" s="1785" t="str">
        <f t="shared" si="255"/>
        <v/>
      </c>
      <c r="JQ472" s="1785" t="str">
        <f t="shared" si="256"/>
        <v/>
      </c>
      <c r="JR472" s="1785" t="str">
        <f t="shared" si="257"/>
        <v/>
      </c>
      <c r="JS472" s="1785" t="str">
        <f t="shared" si="258"/>
        <v/>
      </c>
      <c r="JT472" s="1785" t="str">
        <f t="shared" si="259"/>
        <v/>
      </c>
      <c r="JU472" s="1785" t="str">
        <f t="shared" si="260"/>
        <v/>
      </c>
      <c r="JV472" s="1785" t="str">
        <f t="shared" si="261"/>
        <v/>
      </c>
      <c r="JW472" s="1785" t="str">
        <f t="shared" si="262"/>
        <v/>
      </c>
      <c r="JX472" s="1785" t="str">
        <f t="shared" si="263"/>
        <v/>
      </c>
      <c r="JY472" s="1785" t="str">
        <f t="shared" si="264"/>
        <v/>
      </c>
      <c r="JZ472" s="1785" t="str">
        <f t="shared" si="265"/>
        <v/>
      </c>
      <c r="KA472" s="1785" t="str">
        <f t="shared" si="266"/>
        <v/>
      </c>
      <c r="KB472" s="1785" t="str">
        <f t="shared" si="267"/>
        <v/>
      </c>
      <c r="KC472" s="1785" t="str">
        <f t="shared" si="268"/>
        <v/>
      </c>
      <c r="KD472" s="1785" t="str">
        <f t="shared" si="269"/>
        <v/>
      </c>
      <c r="KE472" s="1785" t="str">
        <f t="shared" si="270"/>
        <v/>
      </c>
      <c r="KF472" s="1785" t="str">
        <f t="shared" si="271"/>
        <v/>
      </c>
      <c r="KG472" s="1785" t="str">
        <f t="shared" si="272"/>
        <v/>
      </c>
      <c r="KH472" s="1785" t="str">
        <f t="shared" si="273"/>
        <v/>
      </c>
      <c r="KI472" s="1785" t="str">
        <f t="shared" si="274"/>
        <v/>
      </c>
      <c r="KJ472" s="1785" t="str">
        <f t="shared" si="275"/>
        <v/>
      </c>
      <c r="KK472" s="1785" t="str">
        <f t="shared" si="276"/>
        <v/>
      </c>
      <c r="KL472" s="1785" t="str">
        <f t="shared" si="277"/>
        <v/>
      </c>
      <c r="KM472" s="1785" t="str">
        <f t="shared" si="278"/>
        <v/>
      </c>
      <c r="KN472" s="1785" t="str">
        <f t="shared" si="279"/>
        <v/>
      </c>
      <c r="KO472" s="1785" t="str">
        <f t="shared" si="280"/>
        <v/>
      </c>
      <c r="KP472" s="1785" t="str">
        <f t="shared" si="281"/>
        <v/>
      </c>
      <c r="KQ472" s="1785" t="str">
        <f t="shared" si="282"/>
        <v/>
      </c>
      <c r="KR472" s="1785" t="str">
        <f t="shared" si="283"/>
        <v/>
      </c>
      <c r="KS472" s="1785" t="str">
        <f t="shared" si="284"/>
        <v/>
      </c>
      <c r="KT472" s="1785" t="str">
        <f t="shared" si="285"/>
        <v/>
      </c>
      <c r="KU472" s="1785" t="str">
        <f t="shared" si="286"/>
        <v/>
      </c>
      <c r="KV472" s="1785" t="str">
        <f t="shared" si="287"/>
        <v/>
      </c>
      <c r="KW472" s="1785" t="str">
        <f t="shared" si="288"/>
        <v/>
      </c>
      <c r="KX472" s="1785" t="str">
        <f t="shared" si="289"/>
        <v/>
      </c>
      <c r="KY472" s="1785" t="str">
        <f t="shared" si="290"/>
        <v/>
      </c>
      <c r="KZ472" s="1785" t="str">
        <f t="shared" si="291"/>
        <v/>
      </c>
      <c r="LA472" s="1785" t="str">
        <f t="shared" si="292"/>
        <v/>
      </c>
      <c r="LB472" s="1785" t="str">
        <f t="shared" si="293"/>
        <v/>
      </c>
      <c r="LC472" s="1785" t="str">
        <f t="shared" si="294"/>
        <v/>
      </c>
      <c r="LD472" s="1785" t="str">
        <f t="shared" si="295"/>
        <v/>
      </c>
      <c r="LE472" s="1785" t="str">
        <f t="shared" si="296"/>
        <v/>
      </c>
      <c r="LF472" s="1785" t="str">
        <f t="shared" si="297"/>
        <v/>
      </c>
      <c r="LG472" s="1785" t="str">
        <f t="shared" si="298"/>
        <v/>
      </c>
      <c r="LH472" s="1785">
        <f t="shared" si="299"/>
        <v>4</v>
      </c>
      <c r="LI472" s="1785" t="str">
        <f t="shared" si="300"/>
        <v/>
      </c>
      <c r="LJ472" s="1785" t="str">
        <f t="shared" si="301"/>
        <v/>
      </c>
      <c r="LK472" s="1785" t="str">
        <f t="shared" si="302"/>
        <v/>
      </c>
      <c r="LL472" s="1785" t="str">
        <f t="shared" si="303"/>
        <v/>
      </c>
      <c r="LM472" s="1785" t="str">
        <f t="shared" si="304"/>
        <v/>
      </c>
      <c r="LN472" s="1785" t="str">
        <f t="shared" si="305"/>
        <v/>
      </c>
      <c r="LO472" s="1785" t="str">
        <f t="shared" si="306"/>
        <v/>
      </c>
      <c r="LP472" s="1785" t="str">
        <f t="shared" si="307"/>
        <v/>
      </c>
      <c r="LQ472" s="1785" t="str">
        <f t="shared" si="308"/>
        <v/>
      </c>
      <c r="LR472" s="1785" t="str">
        <f t="shared" si="309"/>
        <v/>
      </c>
      <c r="LS472" s="1785" t="str">
        <f t="shared" si="310"/>
        <v/>
      </c>
      <c r="LT472" s="1785" t="str">
        <f t="shared" si="311"/>
        <v/>
      </c>
      <c r="LU472" s="1785" t="str">
        <f t="shared" si="312"/>
        <v/>
      </c>
      <c r="LV472" s="1785" t="str">
        <f t="shared" si="313"/>
        <v/>
      </c>
      <c r="LW472" s="1785" t="str">
        <f t="shared" si="314"/>
        <v/>
      </c>
      <c r="LX472" s="1785" t="str">
        <f t="shared" si="315"/>
        <v/>
      </c>
      <c r="LY472" s="1785" t="str">
        <f t="shared" si="316"/>
        <v/>
      </c>
      <c r="LZ472" s="1785" t="str">
        <f t="shared" si="317"/>
        <v/>
      </c>
      <c r="MA472" s="1785" t="str">
        <f t="shared" si="318"/>
        <v/>
      </c>
      <c r="MB472" s="1785" t="str">
        <f t="shared" si="319"/>
        <v/>
      </c>
      <c r="MC472" s="1785" t="str">
        <f t="shared" si="320"/>
        <v/>
      </c>
      <c r="MD472" s="1785" t="str">
        <f t="shared" si="321"/>
        <v/>
      </c>
      <c r="ME472" s="1785" t="str">
        <f t="shared" si="322"/>
        <v/>
      </c>
      <c r="MF472" s="1785" t="str">
        <f t="shared" si="323"/>
        <v/>
      </c>
      <c r="MG472" s="1785" t="str">
        <f t="shared" si="324"/>
        <v/>
      </c>
      <c r="MH472" s="1785" t="str">
        <f t="shared" si="325"/>
        <v/>
      </c>
      <c r="MI472" s="1785" t="str">
        <f t="shared" si="326"/>
        <v/>
      </c>
      <c r="MJ472" s="1785" t="str">
        <f t="shared" si="327"/>
        <v/>
      </c>
      <c r="MK472" s="1785" t="str">
        <f t="shared" si="328"/>
        <v/>
      </c>
      <c r="ML472" s="1785" t="str">
        <f t="shared" si="329"/>
        <v/>
      </c>
      <c r="MM472" s="1785" t="str">
        <f t="shared" si="330"/>
        <v/>
      </c>
      <c r="MN472" s="1785" t="str">
        <f t="shared" si="331"/>
        <v/>
      </c>
      <c r="MO472" s="1785" t="str">
        <f t="shared" si="332"/>
        <v/>
      </c>
      <c r="MP472" s="2470" t="str">
        <f t="shared" si="333"/>
        <v/>
      </c>
      <c r="MQ472" s="2470" t="str">
        <f t="shared" si="334"/>
        <v/>
      </c>
      <c r="MR472" s="2470" t="str">
        <f t="shared" si="335"/>
        <v/>
      </c>
      <c r="MS472" s="2470" t="str">
        <f t="shared" si="336"/>
        <v/>
      </c>
      <c r="MT472" s="2470" t="str">
        <f t="shared" si="337"/>
        <v/>
      </c>
      <c r="MU472" s="356" t="str">
        <f t="shared" si="338"/>
        <v/>
      </c>
      <c r="MV472" s="356" t="str">
        <f t="shared" si="339"/>
        <v/>
      </c>
      <c r="MW472" s="356" t="str">
        <f t="shared" si="340"/>
        <v/>
      </c>
      <c r="MX472" s="356" t="str">
        <f t="shared" si="341"/>
        <v/>
      </c>
      <c r="MY472" s="356" t="str">
        <f t="shared" si="342"/>
        <v/>
      </c>
      <c r="MZ472" s="356" t="str">
        <f t="shared" si="343"/>
        <v/>
      </c>
      <c r="NA472" s="356" t="str">
        <f t="shared" si="344"/>
        <v/>
      </c>
      <c r="NB472" s="356" t="str">
        <f t="shared" si="345"/>
        <v/>
      </c>
      <c r="NC472" s="356" t="str">
        <f t="shared" si="346"/>
        <v/>
      </c>
      <c r="ND472" s="356" t="str">
        <f t="shared" si="347"/>
        <v/>
      </c>
      <c r="NE472" s="356" t="str">
        <f t="shared" si="348"/>
        <v/>
      </c>
      <c r="NF472" s="356" t="str">
        <f t="shared" si="349"/>
        <v/>
      </c>
      <c r="NG472" s="356" t="str">
        <f t="shared" si="350"/>
        <v/>
      </c>
      <c r="NH472" s="356" t="str">
        <f t="shared" si="351"/>
        <v/>
      </c>
      <c r="NI472" s="356" t="str">
        <f t="shared" si="352"/>
        <v/>
      </c>
      <c r="NJ472" s="356" t="str">
        <f t="shared" si="353"/>
        <v/>
      </c>
      <c r="NK472" s="356" t="str">
        <f t="shared" si="354"/>
        <v/>
      </c>
      <c r="NL472" s="356" t="str">
        <f t="shared" si="355"/>
        <v/>
      </c>
      <c r="NM472" s="356" t="str">
        <f t="shared" si="356"/>
        <v/>
      </c>
      <c r="NN472" s="356" t="str">
        <f t="shared" si="357"/>
        <v/>
      </c>
      <c r="NO472" s="1640">
        <f t="shared" si="358"/>
        <v>0</v>
      </c>
      <c r="NP472" s="1640">
        <f t="shared" si="359"/>
        <v>4</v>
      </c>
      <c r="NQ472" s="1640">
        <f t="shared" si="360"/>
        <v>0</v>
      </c>
      <c r="NR472" s="1640">
        <f t="shared" si="361"/>
        <v>0</v>
      </c>
      <c r="NS472" s="1640">
        <f t="shared" si="362"/>
        <v>0</v>
      </c>
      <c r="NT472" s="1640">
        <f t="shared" si="368"/>
        <v>0</v>
      </c>
      <c r="NU472" s="1640">
        <f t="shared" si="369"/>
        <v>0</v>
      </c>
      <c r="NV472" s="1640">
        <f t="shared" si="370"/>
        <v>0</v>
      </c>
      <c r="NW472" s="1640">
        <f t="shared" si="371"/>
        <v>0</v>
      </c>
      <c r="NX472" s="1640">
        <f t="shared" si="372"/>
        <v>0</v>
      </c>
      <c r="NY472" s="1640">
        <f t="shared" si="363"/>
        <v>0</v>
      </c>
      <c r="NZ472" s="1640">
        <f t="shared" si="364"/>
        <v>0</v>
      </c>
      <c r="OA472" s="1640">
        <f t="shared" si="365"/>
        <v>0</v>
      </c>
      <c r="OB472" s="1640">
        <f t="shared" si="366"/>
        <v>0</v>
      </c>
      <c r="OC472" s="1640">
        <f t="shared" si="367"/>
        <v>0</v>
      </c>
      <c r="OY472" s="356" t="s">
        <v>4305</v>
      </c>
      <c r="OZ472" s="1784">
        <v>19</v>
      </c>
    </row>
    <row r="473" spans="1:416" ht="12" customHeight="1">
      <c r="A473" s="2706" t="str">
        <f t="shared" si="0"/>
        <v/>
      </c>
      <c r="B473" s="2725">
        <f>'Part V-Revenues &amp; Expenses'!B20</f>
        <v>60</v>
      </c>
      <c r="C473" s="2726">
        <f>'Part V-Revenues &amp; Expenses'!C20</f>
        <v>1</v>
      </c>
      <c r="D473" s="2727">
        <f>'Part V-Revenues &amp; Expenses'!D20</f>
        <v>1</v>
      </c>
      <c r="E473" s="2728">
        <f>'Part V-Revenues &amp; Expenses'!E20</f>
        <v>24</v>
      </c>
      <c r="F473" s="2728">
        <f>'Part V-Revenues &amp; Expenses'!F20</f>
        <v>701</v>
      </c>
      <c r="G473" s="2728">
        <f>'Part V-Revenues &amp; Expenses'!G20</f>
        <v>1285</v>
      </c>
      <c r="H473" s="2728">
        <f>'Part V-Revenues &amp; Expenses'!H20</f>
        <v>1212</v>
      </c>
      <c r="I473" s="2728">
        <f>'Part V-Revenues &amp; Expenses'!I20</f>
        <v>0</v>
      </c>
      <c r="J473" s="2728">
        <f>'Part V-Revenues &amp; Expenses'!J20</f>
        <v>68</v>
      </c>
      <c r="K473" s="2729">
        <f>'Part V-Revenues &amp; Expenses'!K20</f>
        <v>0</v>
      </c>
      <c r="L473" s="2730">
        <f t="shared" si="1"/>
        <v>1144</v>
      </c>
      <c r="M473" s="2730">
        <f t="shared" si="2"/>
        <v>27456</v>
      </c>
      <c r="N473" s="2580" t="str">
        <f>'Part V-Revenues &amp; Expenses'!N20</f>
        <v>No</v>
      </c>
      <c r="O473" s="1248" t="str">
        <f>'Part V-Revenues &amp; Expenses'!O20</f>
        <v>Low-Rise Elevator</v>
      </c>
      <c r="P473" s="2580" t="str">
        <f>'Part V-Revenues &amp; Expenses'!P20</f>
        <v>Rehabilitation</v>
      </c>
      <c r="Q473" s="2469" t="str">
        <f>'Part V-Revenues &amp; Expenses'!Q20</f>
        <v>No</v>
      </c>
      <c r="R473" s="2731"/>
      <c r="S473" s="2732"/>
      <c r="T473" s="2647"/>
      <c r="U473" s="2647"/>
      <c r="V473" s="2647"/>
      <c r="W473" s="2647"/>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f t="shared" si="14"/>
        <v>24</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f t="shared" si="164"/>
        <v>16824</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356" t="str">
        <f t="shared" si="213"/>
        <v/>
      </c>
      <c r="IA473" s="356" t="str">
        <f t="shared" si="214"/>
        <v/>
      </c>
      <c r="IB473" s="356" t="str">
        <f t="shared" si="215"/>
        <v/>
      </c>
      <c r="IC473" s="356" t="str">
        <f t="shared" si="216"/>
        <v/>
      </c>
      <c r="ID473" s="356" t="str">
        <f t="shared" si="217"/>
        <v/>
      </c>
      <c r="IE473" s="356" t="str">
        <f t="shared" si="218"/>
        <v/>
      </c>
      <c r="IF473" s="356" t="str">
        <f t="shared" si="219"/>
        <v/>
      </c>
      <c r="IG473" s="356" t="str">
        <f t="shared" si="220"/>
        <v/>
      </c>
      <c r="IH473" s="356" t="str">
        <f t="shared" si="221"/>
        <v/>
      </c>
      <c r="II473" s="356" t="str">
        <f t="shared" si="222"/>
        <v/>
      </c>
      <c r="IJ473" s="356" t="str">
        <f t="shared" si="223"/>
        <v/>
      </c>
      <c r="IK473" s="356" t="str">
        <f t="shared" si="224"/>
        <v/>
      </c>
      <c r="IL473" s="356" t="str">
        <f t="shared" si="225"/>
        <v/>
      </c>
      <c r="IM473" s="356" t="str">
        <f t="shared" si="226"/>
        <v/>
      </c>
      <c r="IN473" s="356" t="str">
        <f t="shared" si="227"/>
        <v/>
      </c>
      <c r="IO473" s="356" t="str">
        <f t="shared" si="228"/>
        <v/>
      </c>
      <c r="IP473" s="356" t="str">
        <f t="shared" si="229"/>
        <v/>
      </c>
      <c r="IQ473" s="356" t="str">
        <f t="shared" si="230"/>
        <v/>
      </c>
      <c r="IR473" s="356" t="str">
        <f t="shared" si="231"/>
        <v/>
      </c>
      <c r="IS473" s="356" t="str">
        <f t="shared" si="232"/>
        <v/>
      </c>
      <c r="IT473" s="356" t="str">
        <f t="shared" si="233"/>
        <v/>
      </c>
      <c r="IU473" s="356">
        <f t="shared" si="234"/>
        <v>24</v>
      </c>
      <c r="IV473" s="356" t="str">
        <f t="shared" si="235"/>
        <v/>
      </c>
      <c r="IW473" s="356" t="str">
        <f t="shared" si="236"/>
        <v/>
      </c>
      <c r="IX473" s="356" t="str">
        <f t="shared" si="237"/>
        <v/>
      </c>
      <c r="IY473" s="356" t="str">
        <f t="shared" si="238"/>
        <v/>
      </c>
      <c r="IZ473" s="356" t="str">
        <f t="shared" si="239"/>
        <v/>
      </c>
      <c r="JA473" s="356" t="str">
        <f t="shared" si="240"/>
        <v/>
      </c>
      <c r="JB473" s="356" t="str">
        <f t="shared" si="241"/>
        <v/>
      </c>
      <c r="JC473" s="356" t="str">
        <f t="shared" si="242"/>
        <v/>
      </c>
      <c r="JD473" s="356" t="str">
        <f t="shared" si="243"/>
        <v/>
      </c>
      <c r="JE473" s="356" t="str">
        <f t="shared" si="244"/>
        <v/>
      </c>
      <c r="JF473" s="356" t="str">
        <f t="shared" si="245"/>
        <v/>
      </c>
      <c r="JG473" s="356" t="str">
        <f t="shared" si="246"/>
        <v/>
      </c>
      <c r="JH473" s="356" t="str">
        <f t="shared" si="247"/>
        <v/>
      </c>
      <c r="JI473" s="1785" t="str">
        <f t="shared" si="248"/>
        <v/>
      </c>
      <c r="JJ473" s="1785">
        <f t="shared" si="249"/>
        <v>24</v>
      </c>
      <c r="JK473" s="1785" t="str">
        <f t="shared" si="250"/>
        <v/>
      </c>
      <c r="JL473" s="1785" t="str">
        <f t="shared" si="251"/>
        <v/>
      </c>
      <c r="JM473" s="1785" t="str">
        <f t="shared" si="252"/>
        <v/>
      </c>
      <c r="JN473" s="1785" t="str">
        <f t="shared" si="253"/>
        <v/>
      </c>
      <c r="JO473" s="1785" t="str">
        <f t="shared" si="254"/>
        <v/>
      </c>
      <c r="JP473" s="1785" t="str">
        <f t="shared" si="255"/>
        <v/>
      </c>
      <c r="JQ473" s="1785" t="str">
        <f t="shared" si="256"/>
        <v/>
      </c>
      <c r="JR473" s="1785" t="str">
        <f t="shared" si="257"/>
        <v/>
      </c>
      <c r="JS473" s="1785" t="str">
        <f t="shared" si="258"/>
        <v/>
      </c>
      <c r="JT473" s="1785" t="str">
        <f t="shared" si="259"/>
        <v/>
      </c>
      <c r="JU473" s="1785" t="str">
        <f t="shared" si="260"/>
        <v/>
      </c>
      <c r="JV473" s="1785" t="str">
        <f t="shared" si="261"/>
        <v/>
      </c>
      <c r="JW473" s="1785" t="str">
        <f t="shared" si="262"/>
        <v/>
      </c>
      <c r="JX473" s="1785" t="str">
        <f t="shared" si="263"/>
        <v/>
      </c>
      <c r="JY473" s="1785" t="str">
        <f t="shared" si="264"/>
        <v/>
      </c>
      <c r="JZ473" s="1785" t="str">
        <f t="shared" si="265"/>
        <v/>
      </c>
      <c r="KA473" s="1785" t="str">
        <f t="shared" si="266"/>
        <v/>
      </c>
      <c r="KB473" s="1785" t="str">
        <f t="shared" si="267"/>
        <v/>
      </c>
      <c r="KC473" s="1785" t="str">
        <f t="shared" si="268"/>
        <v/>
      </c>
      <c r="KD473" s="1785" t="str">
        <f t="shared" si="269"/>
        <v/>
      </c>
      <c r="KE473" s="1785" t="str">
        <f t="shared" si="270"/>
        <v/>
      </c>
      <c r="KF473" s="1785" t="str">
        <f t="shared" si="271"/>
        <v/>
      </c>
      <c r="KG473" s="1785" t="str">
        <f t="shared" si="272"/>
        <v/>
      </c>
      <c r="KH473" s="1785" t="str">
        <f t="shared" si="273"/>
        <v/>
      </c>
      <c r="KI473" s="1785" t="str">
        <f t="shared" si="274"/>
        <v/>
      </c>
      <c r="KJ473" s="1785" t="str">
        <f t="shared" si="275"/>
        <v/>
      </c>
      <c r="KK473" s="1785" t="str">
        <f t="shared" si="276"/>
        <v/>
      </c>
      <c r="KL473" s="1785" t="str">
        <f t="shared" si="277"/>
        <v/>
      </c>
      <c r="KM473" s="1785" t="str">
        <f t="shared" si="278"/>
        <v/>
      </c>
      <c r="KN473" s="1785" t="str">
        <f t="shared" si="279"/>
        <v/>
      </c>
      <c r="KO473" s="1785" t="str">
        <f t="shared" si="280"/>
        <v/>
      </c>
      <c r="KP473" s="1785" t="str">
        <f t="shared" si="281"/>
        <v/>
      </c>
      <c r="KQ473" s="1785" t="str">
        <f t="shared" si="282"/>
        <v/>
      </c>
      <c r="KR473" s="1785" t="str">
        <f t="shared" si="283"/>
        <v/>
      </c>
      <c r="KS473" s="1785" t="str">
        <f t="shared" si="284"/>
        <v/>
      </c>
      <c r="KT473" s="1785" t="str">
        <f t="shared" si="285"/>
        <v/>
      </c>
      <c r="KU473" s="1785" t="str">
        <f t="shared" si="286"/>
        <v/>
      </c>
      <c r="KV473" s="1785" t="str">
        <f t="shared" si="287"/>
        <v/>
      </c>
      <c r="KW473" s="1785" t="str">
        <f t="shared" si="288"/>
        <v/>
      </c>
      <c r="KX473" s="1785" t="str">
        <f t="shared" si="289"/>
        <v/>
      </c>
      <c r="KY473" s="1785" t="str">
        <f t="shared" si="290"/>
        <v/>
      </c>
      <c r="KZ473" s="1785" t="str">
        <f t="shared" si="291"/>
        <v/>
      </c>
      <c r="LA473" s="1785" t="str">
        <f t="shared" si="292"/>
        <v/>
      </c>
      <c r="LB473" s="1785" t="str">
        <f t="shared" si="293"/>
        <v/>
      </c>
      <c r="LC473" s="1785" t="str">
        <f t="shared" si="294"/>
        <v/>
      </c>
      <c r="LD473" s="1785" t="str">
        <f t="shared" si="295"/>
        <v/>
      </c>
      <c r="LE473" s="1785" t="str">
        <f t="shared" si="296"/>
        <v/>
      </c>
      <c r="LF473" s="1785" t="str">
        <f t="shared" si="297"/>
        <v/>
      </c>
      <c r="LG473" s="1785" t="str">
        <f t="shared" si="298"/>
        <v/>
      </c>
      <c r="LH473" s="1785">
        <f t="shared" si="299"/>
        <v>24</v>
      </c>
      <c r="LI473" s="1785" t="str">
        <f t="shared" si="300"/>
        <v/>
      </c>
      <c r="LJ473" s="1785" t="str">
        <f t="shared" si="301"/>
        <v/>
      </c>
      <c r="LK473" s="1785" t="str">
        <f t="shared" si="302"/>
        <v/>
      </c>
      <c r="LL473" s="1785" t="str">
        <f t="shared" si="303"/>
        <v/>
      </c>
      <c r="LM473" s="1785" t="str">
        <f t="shared" si="304"/>
        <v/>
      </c>
      <c r="LN473" s="1785" t="str">
        <f t="shared" si="305"/>
        <v/>
      </c>
      <c r="LO473" s="1785" t="str">
        <f t="shared" si="306"/>
        <v/>
      </c>
      <c r="LP473" s="1785" t="str">
        <f t="shared" si="307"/>
        <v/>
      </c>
      <c r="LQ473" s="1785" t="str">
        <f t="shared" si="308"/>
        <v/>
      </c>
      <c r="LR473" s="1785" t="str">
        <f t="shared" si="309"/>
        <v/>
      </c>
      <c r="LS473" s="1785" t="str">
        <f t="shared" si="310"/>
        <v/>
      </c>
      <c r="LT473" s="1785" t="str">
        <f t="shared" si="311"/>
        <v/>
      </c>
      <c r="LU473" s="1785" t="str">
        <f t="shared" si="312"/>
        <v/>
      </c>
      <c r="LV473" s="1785" t="str">
        <f t="shared" si="313"/>
        <v/>
      </c>
      <c r="LW473" s="1785" t="str">
        <f t="shared" si="314"/>
        <v/>
      </c>
      <c r="LX473" s="1785" t="str">
        <f t="shared" si="315"/>
        <v/>
      </c>
      <c r="LY473" s="1785" t="str">
        <f t="shared" si="316"/>
        <v/>
      </c>
      <c r="LZ473" s="1785" t="str">
        <f t="shared" si="317"/>
        <v/>
      </c>
      <c r="MA473" s="1785" t="str">
        <f t="shared" si="318"/>
        <v/>
      </c>
      <c r="MB473" s="1785" t="str">
        <f t="shared" si="319"/>
        <v/>
      </c>
      <c r="MC473" s="1785" t="str">
        <f t="shared" si="320"/>
        <v/>
      </c>
      <c r="MD473" s="1785" t="str">
        <f t="shared" si="321"/>
        <v/>
      </c>
      <c r="ME473" s="1785" t="str">
        <f t="shared" si="322"/>
        <v/>
      </c>
      <c r="MF473" s="1785" t="str">
        <f t="shared" si="323"/>
        <v/>
      </c>
      <c r="MG473" s="1785" t="str">
        <f t="shared" si="324"/>
        <v/>
      </c>
      <c r="MH473" s="1785" t="str">
        <f t="shared" si="325"/>
        <v/>
      </c>
      <c r="MI473" s="1785" t="str">
        <f t="shared" si="326"/>
        <v/>
      </c>
      <c r="MJ473" s="1785" t="str">
        <f t="shared" si="327"/>
        <v/>
      </c>
      <c r="MK473" s="1785" t="str">
        <f t="shared" si="328"/>
        <v/>
      </c>
      <c r="ML473" s="1785" t="str">
        <f t="shared" si="329"/>
        <v/>
      </c>
      <c r="MM473" s="1785" t="str">
        <f t="shared" si="330"/>
        <v/>
      </c>
      <c r="MN473" s="1785" t="str">
        <f t="shared" si="331"/>
        <v/>
      </c>
      <c r="MO473" s="1785" t="str">
        <f t="shared" si="332"/>
        <v/>
      </c>
      <c r="MP473" s="2470" t="str">
        <f t="shared" si="333"/>
        <v/>
      </c>
      <c r="MQ473" s="2470" t="str">
        <f t="shared" si="334"/>
        <v/>
      </c>
      <c r="MR473" s="2470" t="str">
        <f t="shared" si="335"/>
        <v/>
      </c>
      <c r="MS473" s="2470" t="str">
        <f t="shared" si="336"/>
        <v/>
      </c>
      <c r="MT473" s="2470" t="str">
        <f t="shared" si="337"/>
        <v/>
      </c>
      <c r="MU473" s="356" t="str">
        <f t="shared" si="338"/>
        <v/>
      </c>
      <c r="MV473" s="356" t="str">
        <f t="shared" si="339"/>
        <v/>
      </c>
      <c r="MW473" s="356" t="str">
        <f t="shared" si="340"/>
        <v/>
      </c>
      <c r="MX473" s="356" t="str">
        <f t="shared" si="341"/>
        <v/>
      </c>
      <c r="MY473" s="356" t="str">
        <f t="shared" si="342"/>
        <v/>
      </c>
      <c r="MZ473" s="356" t="str">
        <f t="shared" si="343"/>
        <v/>
      </c>
      <c r="NA473" s="356" t="str">
        <f t="shared" si="344"/>
        <v/>
      </c>
      <c r="NB473" s="356" t="str">
        <f t="shared" si="345"/>
        <v/>
      </c>
      <c r="NC473" s="356" t="str">
        <f t="shared" si="346"/>
        <v/>
      </c>
      <c r="ND473" s="356" t="str">
        <f t="shared" si="347"/>
        <v/>
      </c>
      <c r="NE473" s="356" t="str">
        <f t="shared" si="348"/>
        <v/>
      </c>
      <c r="NF473" s="356" t="str">
        <f t="shared" si="349"/>
        <v/>
      </c>
      <c r="NG473" s="356" t="str">
        <f t="shared" si="350"/>
        <v/>
      </c>
      <c r="NH473" s="356" t="str">
        <f t="shared" si="351"/>
        <v/>
      </c>
      <c r="NI473" s="356" t="str">
        <f t="shared" si="352"/>
        <v/>
      </c>
      <c r="NJ473" s="356" t="str">
        <f t="shared" si="353"/>
        <v/>
      </c>
      <c r="NK473" s="356" t="str">
        <f t="shared" si="354"/>
        <v/>
      </c>
      <c r="NL473" s="356" t="str">
        <f t="shared" si="355"/>
        <v/>
      </c>
      <c r="NM473" s="356" t="str">
        <f t="shared" si="356"/>
        <v/>
      </c>
      <c r="NN473" s="356" t="str">
        <f t="shared" si="357"/>
        <v/>
      </c>
      <c r="NO473" s="1640">
        <f t="shared" si="358"/>
        <v>0</v>
      </c>
      <c r="NP473" s="1640">
        <f t="shared" si="359"/>
        <v>24</v>
      </c>
      <c r="NQ473" s="1640">
        <f t="shared" si="360"/>
        <v>0</v>
      </c>
      <c r="NR473" s="1640">
        <f t="shared" si="361"/>
        <v>0</v>
      </c>
      <c r="NS473" s="1640">
        <f t="shared" si="362"/>
        <v>0</v>
      </c>
      <c r="NT473" s="1640">
        <f t="shared" si="368"/>
        <v>0</v>
      </c>
      <c r="NU473" s="1640">
        <f t="shared" si="369"/>
        <v>0</v>
      </c>
      <c r="NV473" s="1640">
        <f t="shared" si="370"/>
        <v>0</v>
      </c>
      <c r="NW473" s="1640">
        <f t="shared" si="371"/>
        <v>0</v>
      </c>
      <c r="NX473" s="1640">
        <f t="shared" si="372"/>
        <v>0</v>
      </c>
      <c r="NY473" s="1640">
        <f t="shared" si="363"/>
        <v>0</v>
      </c>
      <c r="NZ473" s="1640">
        <f t="shared" si="364"/>
        <v>0</v>
      </c>
      <c r="OA473" s="1640">
        <f t="shared" si="365"/>
        <v>0</v>
      </c>
      <c r="OB473" s="1640">
        <f t="shared" si="366"/>
        <v>0</v>
      </c>
      <c r="OC473" s="1640">
        <f t="shared" si="367"/>
        <v>0</v>
      </c>
      <c r="OY473" s="356" t="s">
        <v>4306</v>
      </c>
      <c r="OZ473" s="2468">
        <v>20</v>
      </c>
    </row>
    <row r="474" spans="1:416" ht="12" customHeight="1">
      <c r="A474" s="2706" t="str">
        <f t="shared" si="0"/>
        <v/>
      </c>
      <c r="B474" s="2725">
        <f>'Part V-Revenues &amp; Expenses'!B21</f>
        <v>80</v>
      </c>
      <c r="C474" s="2726">
        <f>'Part V-Revenues &amp; Expenses'!C21</f>
        <v>1</v>
      </c>
      <c r="D474" s="2727">
        <f>'Part V-Revenues &amp; Expenses'!D21</f>
        <v>1</v>
      </c>
      <c r="E474" s="2728">
        <f>'Part V-Revenues &amp; Expenses'!E21</f>
        <v>8</v>
      </c>
      <c r="F474" s="2728">
        <f>'Part V-Revenues &amp; Expenses'!F21</f>
        <v>701</v>
      </c>
      <c r="G474" s="2728">
        <f>'Part V-Revenues &amp; Expenses'!G21</f>
        <v>1714</v>
      </c>
      <c r="H474" s="2728">
        <f>'Part V-Revenues &amp; Expenses'!H21</f>
        <v>1247</v>
      </c>
      <c r="I474" s="2728">
        <f>'Part V-Revenues &amp; Expenses'!I21</f>
        <v>0</v>
      </c>
      <c r="J474" s="2728">
        <f>'Part V-Revenues &amp; Expenses'!J21</f>
        <v>68</v>
      </c>
      <c r="K474" s="2729">
        <f>'Part V-Revenues &amp; Expenses'!K21</f>
        <v>0</v>
      </c>
      <c r="L474" s="2730">
        <f t="shared" si="1"/>
        <v>1179</v>
      </c>
      <c r="M474" s="2730">
        <f t="shared" si="2"/>
        <v>9432</v>
      </c>
      <c r="N474" s="2580" t="str">
        <f>'Part V-Revenues &amp; Expenses'!N21</f>
        <v>No</v>
      </c>
      <c r="O474" s="1248" t="str">
        <f>'Part V-Revenues &amp; Expenses'!O21</f>
        <v>Low-Rise Elevator</v>
      </c>
      <c r="P474" s="2580" t="str">
        <f>'Part V-Revenues &amp; Expenses'!P21</f>
        <v>Rehabilitation</v>
      </c>
      <c r="Q474" s="2469" t="str">
        <f>'Part V-Revenues &amp; Expenses'!Q21</f>
        <v>No</v>
      </c>
      <c r="R474" s="2731"/>
      <c r="S474" s="2732"/>
      <c r="T474" s="2647"/>
      <c r="U474" s="2647"/>
      <c r="V474" s="2647"/>
      <c r="W474" s="2647"/>
      <c r="X474" s="356" t="str">
        <f t="shared" si="3"/>
        <v/>
      </c>
      <c r="Y474" s="356">
        <f t="shared" si="4"/>
        <v>8</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f t="shared" si="74"/>
        <v>8</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f t="shared" si="154"/>
        <v>5608</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356" t="str">
        <f t="shared" si="213"/>
        <v/>
      </c>
      <c r="IA474" s="356" t="str">
        <f t="shared" si="214"/>
        <v/>
      </c>
      <c r="IB474" s="356" t="str">
        <f t="shared" si="215"/>
        <v/>
      </c>
      <c r="IC474" s="356" t="str">
        <f t="shared" si="216"/>
        <v/>
      </c>
      <c r="ID474" s="356" t="str">
        <f t="shared" si="217"/>
        <v/>
      </c>
      <c r="IE474" s="356" t="str">
        <f t="shared" si="218"/>
        <v/>
      </c>
      <c r="IF474" s="356" t="str">
        <f t="shared" si="219"/>
        <v/>
      </c>
      <c r="IG474" s="356" t="str">
        <f t="shared" si="220"/>
        <v/>
      </c>
      <c r="IH474" s="356" t="str">
        <f t="shared" si="221"/>
        <v/>
      </c>
      <c r="II474" s="356" t="str">
        <f t="shared" si="222"/>
        <v/>
      </c>
      <c r="IJ474" s="356" t="str">
        <f t="shared" si="223"/>
        <v/>
      </c>
      <c r="IK474" s="356" t="str">
        <f t="shared" si="224"/>
        <v/>
      </c>
      <c r="IL474" s="356" t="str">
        <f t="shared" si="225"/>
        <v/>
      </c>
      <c r="IM474" s="356" t="str">
        <f t="shared" si="226"/>
        <v/>
      </c>
      <c r="IN474" s="356" t="str">
        <f t="shared" si="227"/>
        <v/>
      </c>
      <c r="IO474" s="356" t="str">
        <f t="shared" si="228"/>
        <v/>
      </c>
      <c r="IP474" s="356" t="str">
        <f t="shared" si="229"/>
        <v/>
      </c>
      <c r="IQ474" s="356" t="str">
        <f t="shared" si="230"/>
        <v/>
      </c>
      <c r="IR474" s="356" t="str">
        <f t="shared" si="231"/>
        <v/>
      </c>
      <c r="IS474" s="356" t="str">
        <f t="shared" si="232"/>
        <v/>
      </c>
      <c r="IT474" s="356" t="str">
        <f t="shared" si="233"/>
        <v/>
      </c>
      <c r="IU474" s="356">
        <f t="shared" si="234"/>
        <v>8</v>
      </c>
      <c r="IV474" s="356" t="str">
        <f t="shared" si="235"/>
        <v/>
      </c>
      <c r="IW474" s="356" t="str">
        <f t="shared" si="236"/>
        <v/>
      </c>
      <c r="IX474" s="356" t="str">
        <f t="shared" si="237"/>
        <v/>
      </c>
      <c r="IY474" s="356" t="str">
        <f t="shared" si="238"/>
        <v/>
      </c>
      <c r="IZ474" s="356" t="str">
        <f t="shared" si="239"/>
        <v/>
      </c>
      <c r="JA474" s="356" t="str">
        <f t="shared" si="240"/>
        <v/>
      </c>
      <c r="JB474" s="356" t="str">
        <f t="shared" si="241"/>
        <v/>
      </c>
      <c r="JC474" s="356" t="str">
        <f t="shared" si="242"/>
        <v/>
      </c>
      <c r="JD474" s="356" t="str">
        <f t="shared" si="243"/>
        <v/>
      </c>
      <c r="JE474" s="356" t="str">
        <f t="shared" si="244"/>
        <v/>
      </c>
      <c r="JF474" s="356" t="str">
        <f t="shared" si="245"/>
        <v/>
      </c>
      <c r="JG474" s="356" t="str">
        <f t="shared" si="246"/>
        <v/>
      </c>
      <c r="JH474" s="356" t="str">
        <f t="shared" si="247"/>
        <v/>
      </c>
      <c r="JI474" s="1785" t="str">
        <f t="shared" si="248"/>
        <v/>
      </c>
      <c r="JJ474" s="1785">
        <f t="shared" si="249"/>
        <v>8</v>
      </c>
      <c r="JK474" s="1785" t="str">
        <f t="shared" si="250"/>
        <v/>
      </c>
      <c r="JL474" s="1785" t="str">
        <f t="shared" si="251"/>
        <v/>
      </c>
      <c r="JM474" s="1785" t="str">
        <f t="shared" si="252"/>
        <v/>
      </c>
      <c r="JN474" s="1785" t="str">
        <f t="shared" si="253"/>
        <v/>
      </c>
      <c r="JO474" s="1785" t="str">
        <f t="shared" si="254"/>
        <v/>
      </c>
      <c r="JP474" s="1785" t="str">
        <f t="shared" si="255"/>
        <v/>
      </c>
      <c r="JQ474" s="1785" t="str">
        <f t="shared" si="256"/>
        <v/>
      </c>
      <c r="JR474" s="1785" t="str">
        <f t="shared" si="257"/>
        <v/>
      </c>
      <c r="JS474" s="1785" t="str">
        <f t="shared" si="258"/>
        <v/>
      </c>
      <c r="JT474" s="1785" t="str">
        <f t="shared" si="259"/>
        <v/>
      </c>
      <c r="JU474" s="1785" t="str">
        <f t="shared" si="260"/>
        <v/>
      </c>
      <c r="JV474" s="1785" t="str">
        <f t="shared" si="261"/>
        <v/>
      </c>
      <c r="JW474" s="1785" t="str">
        <f t="shared" si="262"/>
        <v/>
      </c>
      <c r="JX474" s="1785" t="str">
        <f t="shared" si="263"/>
        <v/>
      </c>
      <c r="JY474" s="1785" t="str">
        <f t="shared" si="264"/>
        <v/>
      </c>
      <c r="JZ474" s="1785" t="str">
        <f t="shared" si="265"/>
        <v/>
      </c>
      <c r="KA474" s="1785" t="str">
        <f t="shared" si="266"/>
        <v/>
      </c>
      <c r="KB474" s="1785" t="str">
        <f t="shared" si="267"/>
        <v/>
      </c>
      <c r="KC474" s="1785" t="str">
        <f t="shared" si="268"/>
        <v/>
      </c>
      <c r="KD474" s="1785" t="str">
        <f t="shared" si="269"/>
        <v/>
      </c>
      <c r="KE474" s="1785" t="str">
        <f t="shared" si="270"/>
        <v/>
      </c>
      <c r="KF474" s="1785" t="str">
        <f t="shared" si="271"/>
        <v/>
      </c>
      <c r="KG474" s="1785" t="str">
        <f t="shared" si="272"/>
        <v/>
      </c>
      <c r="KH474" s="1785" t="str">
        <f t="shared" si="273"/>
        <v/>
      </c>
      <c r="KI474" s="1785" t="str">
        <f t="shared" si="274"/>
        <v/>
      </c>
      <c r="KJ474" s="1785" t="str">
        <f t="shared" si="275"/>
        <v/>
      </c>
      <c r="KK474" s="1785" t="str">
        <f t="shared" si="276"/>
        <v/>
      </c>
      <c r="KL474" s="1785" t="str">
        <f t="shared" si="277"/>
        <v/>
      </c>
      <c r="KM474" s="1785" t="str">
        <f t="shared" si="278"/>
        <v/>
      </c>
      <c r="KN474" s="1785" t="str">
        <f t="shared" si="279"/>
        <v/>
      </c>
      <c r="KO474" s="1785" t="str">
        <f t="shared" si="280"/>
        <v/>
      </c>
      <c r="KP474" s="1785" t="str">
        <f t="shared" si="281"/>
        <v/>
      </c>
      <c r="KQ474" s="1785" t="str">
        <f t="shared" si="282"/>
        <v/>
      </c>
      <c r="KR474" s="1785" t="str">
        <f t="shared" si="283"/>
        <v/>
      </c>
      <c r="KS474" s="1785" t="str">
        <f t="shared" si="284"/>
        <v/>
      </c>
      <c r="KT474" s="1785" t="str">
        <f t="shared" si="285"/>
        <v/>
      </c>
      <c r="KU474" s="1785" t="str">
        <f t="shared" si="286"/>
        <v/>
      </c>
      <c r="KV474" s="1785" t="str">
        <f t="shared" si="287"/>
        <v/>
      </c>
      <c r="KW474" s="1785" t="str">
        <f t="shared" si="288"/>
        <v/>
      </c>
      <c r="KX474" s="1785" t="str">
        <f t="shared" si="289"/>
        <v/>
      </c>
      <c r="KY474" s="1785" t="str">
        <f t="shared" si="290"/>
        <v/>
      </c>
      <c r="KZ474" s="1785" t="str">
        <f t="shared" si="291"/>
        <v/>
      </c>
      <c r="LA474" s="1785" t="str">
        <f t="shared" si="292"/>
        <v/>
      </c>
      <c r="LB474" s="1785" t="str">
        <f t="shared" si="293"/>
        <v/>
      </c>
      <c r="LC474" s="1785" t="str">
        <f t="shared" si="294"/>
        <v/>
      </c>
      <c r="LD474" s="1785" t="str">
        <f t="shared" si="295"/>
        <v/>
      </c>
      <c r="LE474" s="1785" t="str">
        <f t="shared" si="296"/>
        <v/>
      </c>
      <c r="LF474" s="1785" t="str">
        <f t="shared" si="297"/>
        <v/>
      </c>
      <c r="LG474" s="1785" t="str">
        <f t="shared" si="298"/>
        <v/>
      </c>
      <c r="LH474" s="1785">
        <f t="shared" si="299"/>
        <v>8</v>
      </c>
      <c r="LI474" s="1785" t="str">
        <f t="shared" si="300"/>
        <v/>
      </c>
      <c r="LJ474" s="1785" t="str">
        <f t="shared" si="301"/>
        <v/>
      </c>
      <c r="LK474" s="1785" t="str">
        <f t="shared" si="302"/>
        <v/>
      </c>
      <c r="LL474" s="1785" t="str">
        <f t="shared" si="303"/>
        <v/>
      </c>
      <c r="LM474" s="1785" t="str">
        <f t="shared" si="304"/>
        <v/>
      </c>
      <c r="LN474" s="1785" t="str">
        <f t="shared" si="305"/>
        <v/>
      </c>
      <c r="LO474" s="1785" t="str">
        <f t="shared" si="306"/>
        <v/>
      </c>
      <c r="LP474" s="1785" t="str">
        <f t="shared" si="307"/>
        <v/>
      </c>
      <c r="LQ474" s="1785" t="str">
        <f t="shared" si="308"/>
        <v/>
      </c>
      <c r="LR474" s="1785" t="str">
        <f t="shared" si="309"/>
        <v/>
      </c>
      <c r="LS474" s="1785" t="str">
        <f t="shared" si="310"/>
        <v/>
      </c>
      <c r="LT474" s="1785" t="str">
        <f t="shared" si="311"/>
        <v/>
      </c>
      <c r="LU474" s="1785" t="str">
        <f t="shared" si="312"/>
        <v/>
      </c>
      <c r="LV474" s="1785" t="str">
        <f t="shared" si="313"/>
        <v/>
      </c>
      <c r="LW474" s="1785" t="str">
        <f t="shared" si="314"/>
        <v/>
      </c>
      <c r="LX474" s="1785" t="str">
        <f t="shared" si="315"/>
        <v/>
      </c>
      <c r="LY474" s="1785" t="str">
        <f t="shared" si="316"/>
        <v/>
      </c>
      <c r="LZ474" s="1785" t="str">
        <f t="shared" si="317"/>
        <v/>
      </c>
      <c r="MA474" s="1785" t="str">
        <f t="shared" si="318"/>
        <v/>
      </c>
      <c r="MB474" s="1785" t="str">
        <f t="shared" si="319"/>
        <v/>
      </c>
      <c r="MC474" s="1785" t="str">
        <f t="shared" si="320"/>
        <v/>
      </c>
      <c r="MD474" s="1785" t="str">
        <f t="shared" si="321"/>
        <v/>
      </c>
      <c r="ME474" s="1785" t="str">
        <f t="shared" si="322"/>
        <v/>
      </c>
      <c r="MF474" s="1785" t="str">
        <f t="shared" si="323"/>
        <v/>
      </c>
      <c r="MG474" s="1785" t="str">
        <f t="shared" si="324"/>
        <v/>
      </c>
      <c r="MH474" s="1785" t="str">
        <f t="shared" si="325"/>
        <v/>
      </c>
      <c r="MI474" s="1785" t="str">
        <f t="shared" si="326"/>
        <v/>
      </c>
      <c r="MJ474" s="1785" t="str">
        <f t="shared" si="327"/>
        <v/>
      </c>
      <c r="MK474" s="1785" t="str">
        <f t="shared" si="328"/>
        <v/>
      </c>
      <c r="ML474" s="1785" t="str">
        <f t="shared" si="329"/>
        <v/>
      </c>
      <c r="MM474" s="1785" t="str">
        <f t="shared" si="330"/>
        <v/>
      </c>
      <c r="MN474" s="1785" t="str">
        <f t="shared" si="331"/>
        <v/>
      </c>
      <c r="MO474" s="1785" t="str">
        <f t="shared" si="332"/>
        <v/>
      </c>
      <c r="MP474" s="2470" t="str">
        <f t="shared" si="333"/>
        <v/>
      </c>
      <c r="MQ474" s="2470" t="str">
        <f t="shared" si="334"/>
        <v/>
      </c>
      <c r="MR474" s="2470" t="str">
        <f t="shared" si="335"/>
        <v/>
      </c>
      <c r="MS474" s="2470" t="str">
        <f t="shared" si="336"/>
        <v/>
      </c>
      <c r="MT474" s="2470" t="str">
        <f t="shared" si="337"/>
        <v/>
      </c>
      <c r="MU474" s="356" t="str">
        <f t="shared" si="338"/>
        <v/>
      </c>
      <c r="MV474" s="356" t="str">
        <f t="shared" si="339"/>
        <v/>
      </c>
      <c r="MW474" s="356" t="str">
        <f t="shared" si="340"/>
        <v/>
      </c>
      <c r="MX474" s="356" t="str">
        <f t="shared" si="341"/>
        <v/>
      </c>
      <c r="MY474" s="356" t="str">
        <f t="shared" si="342"/>
        <v/>
      </c>
      <c r="MZ474" s="356" t="str">
        <f t="shared" si="343"/>
        <v/>
      </c>
      <c r="NA474" s="356" t="str">
        <f t="shared" si="344"/>
        <v/>
      </c>
      <c r="NB474" s="356" t="str">
        <f t="shared" si="345"/>
        <v/>
      </c>
      <c r="NC474" s="356" t="str">
        <f t="shared" si="346"/>
        <v/>
      </c>
      <c r="ND474" s="356" t="str">
        <f t="shared" si="347"/>
        <v/>
      </c>
      <c r="NE474" s="356" t="str">
        <f t="shared" si="348"/>
        <v/>
      </c>
      <c r="NF474" s="356" t="str">
        <f t="shared" si="349"/>
        <v/>
      </c>
      <c r="NG474" s="356" t="str">
        <f t="shared" si="350"/>
        <v/>
      </c>
      <c r="NH474" s="356" t="str">
        <f t="shared" si="351"/>
        <v/>
      </c>
      <c r="NI474" s="356" t="str">
        <f t="shared" si="352"/>
        <v/>
      </c>
      <c r="NJ474" s="356" t="str">
        <f t="shared" si="353"/>
        <v/>
      </c>
      <c r="NK474" s="356" t="str">
        <f t="shared" si="354"/>
        <v/>
      </c>
      <c r="NL474" s="356" t="str">
        <f t="shared" si="355"/>
        <v/>
      </c>
      <c r="NM474" s="356" t="str">
        <f t="shared" si="356"/>
        <v/>
      </c>
      <c r="NN474" s="356" t="str">
        <f t="shared" si="357"/>
        <v/>
      </c>
      <c r="NO474" s="1640">
        <f t="shared" si="358"/>
        <v>0</v>
      </c>
      <c r="NP474" s="1640">
        <f t="shared" si="359"/>
        <v>8</v>
      </c>
      <c r="NQ474" s="1640">
        <f t="shared" si="360"/>
        <v>0</v>
      </c>
      <c r="NR474" s="1640">
        <f t="shared" si="361"/>
        <v>0</v>
      </c>
      <c r="NS474" s="1640">
        <f t="shared" si="362"/>
        <v>0</v>
      </c>
      <c r="NT474" s="1640">
        <f t="shared" si="368"/>
        <v>0</v>
      </c>
      <c r="NU474" s="1640">
        <f t="shared" si="369"/>
        <v>0</v>
      </c>
      <c r="NV474" s="1640">
        <f t="shared" si="370"/>
        <v>0</v>
      </c>
      <c r="NW474" s="1640">
        <f t="shared" si="371"/>
        <v>0</v>
      </c>
      <c r="NX474" s="1640">
        <f t="shared" si="372"/>
        <v>0</v>
      </c>
      <c r="NY474" s="1640">
        <f t="shared" si="363"/>
        <v>0</v>
      </c>
      <c r="NZ474" s="1640">
        <f t="shared" si="364"/>
        <v>0</v>
      </c>
      <c r="OA474" s="1640">
        <f t="shared" si="365"/>
        <v>0</v>
      </c>
      <c r="OB474" s="1640">
        <f t="shared" si="366"/>
        <v>0</v>
      </c>
      <c r="OC474" s="1640">
        <f t="shared" si="367"/>
        <v>0</v>
      </c>
      <c r="OY474" s="356" t="s">
        <v>4307</v>
      </c>
      <c r="OZ474" s="1784">
        <v>21</v>
      </c>
    </row>
    <row r="475" spans="1:416" ht="12" customHeight="1">
      <c r="A475" s="2706" t="str">
        <f t="shared" si="0"/>
        <v/>
      </c>
      <c r="B475" s="2725">
        <f>'Part V-Revenues &amp; Expenses'!B22</f>
        <v>30</v>
      </c>
      <c r="C475" s="2726">
        <f>'Part V-Revenues &amp; Expenses'!C22</f>
        <v>2</v>
      </c>
      <c r="D475" s="2727">
        <f>'Part V-Revenues &amp; Expenses'!D22</f>
        <v>2</v>
      </c>
      <c r="E475" s="2728">
        <f>'Part V-Revenues &amp; Expenses'!E22</f>
        <v>12</v>
      </c>
      <c r="F475" s="2728">
        <f>'Part V-Revenues &amp; Expenses'!F22</f>
        <v>971</v>
      </c>
      <c r="G475" s="2728">
        <f>'Part V-Revenues &amp; Expenses'!G22</f>
        <v>771</v>
      </c>
      <c r="H475" s="2728">
        <f>'Part V-Revenues &amp; Expenses'!H22</f>
        <v>2013</v>
      </c>
      <c r="I475" s="2728">
        <f>'Part V-Revenues &amp; Expenses'!I22</f>
        <v>0</v>
      </c>
      <c r="J475" s="2728">
        <f>'Part V-Revenues &amp; Expenses'!J22</f>
        <v>86</v>
      </c>
      <c r="K475" s="2729" t="str">
        <f>'Part V-Revenues &amp; Expenses'!K22</f>
        <v>PHA PBRA</v>
      </c>
      <c r="L475" s="2730">
        <f t="shared" si="1"/>
        <v>1927</v>
      </c>
      <c r="M475" s="2730">
        <f t="shared" si="2"/>
        <v>23124</v>
      </c>
      <c r="N475" s="2580" t="str">
        <f>'Part V-Revenues &amp; Expenses'!N22</f>
        <v>No</v>
      </c>
      <c r="O475" s="1248" t="str">
        <f>'Part V-Revenues &amp; Expenses'!O22</f>
        <v>Low-Rise Elevator</v>
      </c>
      <c r="P475" s="2580" t="str">
        <f>'Part V-Revenues &amp; Expenses'!P22</f>
        <v>Rehabilitation</v>
      </c>
      <c r="Q475" s="2469" t="str">
        <f>'Part V-Revenues &amp; Expenses'!Q22</f>
        <v>No</v>
      </c>
      <c r="R475" s="2731"/>
      <c r="S475" s="2732"/>
      <c r="T475" s="2647"/>
      <c r="U475" s="2647"/>
      <c r="V475" s="2647"/>
      <c r="W475" s="2647"/>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f t="shared" si="30"/>
        <v>12</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f t="shared" si="50"/>
        <v>12</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f t="shared" si="180"/>
        <v>11652</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f t="shared" si="195"/>
        <v>11652</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356" t="str">
        <f t="shared" si="213"/>
        <v/>
      </c>
      <c r="IA475" s="356" t="str">
        <f t="shared" si="214"/>
        <v/>
      </c>
      <c r="IB475" s="356" t="str">
        <f t="shared" si="215"/>
        <v/>
      </c>
      <c r="IC475" s="356" t="str">
        <f t="shared" si="216"/>
        <v/>
      </c>
      <c r="ID475" s="356" t="str">
        <f t="shared" si="217"/>
        <v/>
      </c>
      <c r="IE475" s="356" t="str">
        <f t="shared" si="218"/>
        <v/>
      </c>
      <c r="IF475" s="356" t="str">
        <f t="shared" si="219"/>
        <v/>
      </c>
      <c r="IG475" s="356" t="str">
        <f t="shared" si="220"/>
        <v/>
      </c>
      <c r="IH475" s="356" t="str">
        <f t="shared" si="221"/>
        <v/>
      </c>
      <c r="II475" s="356" t="str">
        <f t="shared" si="222"/>
        <v/>
      </c>
      <c r="IJ475" s="356" t="str">
        <f t="shared" si="223"/>
        <v/>
      </c>
      <c r="IK475" s="356" t="str">
        <f t="shared" si="224"/>
        <v/>
      </c>
      <c r="IL475" s="356" t="str">
        <f t="shared" si="225"/>
        <v/>
      </c>
      <c r="IM475" s="356" t="str">
        <f t="shared" si="226"/>
        <v/>
      </c>
      <c r="IN475" s="356" t="str">
        <f t="shared" si="227"/>
        <v/>
      </c>
      <c r="IO475" s="356" t="str">
        <f t="shared" si="228"/>
        <v/>
      </c>
      <c r="IP475" s="356" t="str">
        <f t="shared" si="229"/>
        <v/>
      </c>
      <c r="IQ475" s="356" t="str">
        <f t="shared" si="230"/>
        <v/>
      </c>
      <c r="IR475" s="356" t="str">
        <f t="shared" si="231"/>
        <v/>
      </c>
      <c r="IS475" s="356" t="str">
        <f t="shared" si="232"/>
        <v/>
      </c>
      <c r="IT475" s="356" t="str">
        <f t="shared" si="233"/>
        <v/>
      </c>
      <c r="IU475" s="356" t="str">
        <f t="shared" si="234"/>
        <v/>
      </c>
      <c r="IV475" s="356">
        <f t="shared" si="235"/>
        <v>12</v>
      </c>
      <c r="IW475" s="356" t="str">
        <f t="shared" si="236"/>
        <v/>
      </c>
      <c r="IX475" s="356" t="str">
        <f t="shared" si="237"/>
        <v/>
      </c>
      <c r="IY475" s="356" t="str">
        <f t="shared" si="238"/>
        <v/>
      </c>
      <c r="IZ475" s="356" t="str">
        <f t="shared" si="239"/>
        <v/>
      </c>
      <c r="JA475" s="356" t="str">
        <f t="shared" si="240"/>
        <v/>
      </c>
      <c r="JB475" s="356" t="str">
        <f t="shared" si="241"/>
        <v/>
      </c>
      <c r="JC475" s="356" t="str">
        <f t="shared" si="242"/>
        <v/>
      </c>
      <c r="JD475" s="356" t="str">
        <f t="shared" si="243"/>
        <v/>
      </c>
      <c r="JE475" s="356" t="str">
        <f t="shared" si="244"/>
        <v/>
      </c>
      <c r="JF475" s="356" t="str">
        <f t="shared" si="245"/>
        <v/>
      </c>
      <c r="JG475" s="356" t="str">
        <f t="shared" si="246"/>
        <v/>
      </c>
      <c r="JH475" s="356" t="str">
        <f t="shared" si="247"/>
        <v/>
      </c>
      <c r="JI475" s="1785" t="str">
        <f t="shared" si="248"/>
        <v/>
      </c>
      <c r="JJ475" s="1785" t="str">
        <f t="shared" si="249"/>
        <v/>
      </c>
      <c r="JK475" s="1785">
        <f t="shared" si="250"/>
        <v>12</v>
      </c>
      <c r="JL475" s="1785" t="str">
        <f t="shared" si="251"/>
        <v/>
      </c>
      <c r="JM475" s="1785" t="str">
        <f t="shared" si="252"/>
        <v/>
      </c>
      <c r="JN475" s="1785" t="str">
        <f t="shared" si="253"/>
        <v/>
      </c>
      <c r="JO475" s="1785" t="str">
        <f t="shared" si="254"/>
        <v/>
      </c>
      <c r="JP475" s="1785" t="str">
        <f t="shared" si="255"/>
        <v/>
      </c>
      <c r="JQ475" s="1785" t="str">
        <f t="shared" si="256"/>
        <v/>
      </c>
      <c r="JR475" s="1785" t="str">
        <f t="shared" si="257"/>
        <v/>
      </c>
      <c r="JS475" s="1785" t="str">
        <f t="shared" si="258"/>
        <v/>
      </c>
      <c r="JT475" s="1785" t="str">
        <f t="shared" si="259"/>
        <v/>
      </c>
      <c r="JU475" s="1785" t="str">
        <f t="shared" si="260"/>
        <v/>
      </c>
      <c r="JV475" s="1785" t="str">
        <f t="shared" si="261"/>
        <v/>
      </c>
      <c r="JW475" s="1785" t="str">
        <f t="shared" si="262"/>
        <v/>
      </c>
      <c r="JX475" s="1785" t="str">
        <f t="shared" si="263"/>
        <v/>
      </c>
      <c r="JY475" s="1785" t="str">
        <f t="shared" si="264"/>
        <v/>
      </c>
      <c r="JZ475" s="1785" t="str">
        <f t="shared" si="265"/>
        <v/>
      </c>
      <c r="KA475" s="1785" t="str">
        <f t="shared" si="266"/>
        <v/>
      </c>
      <c r="KB475" s="1785" t="str">
        <f t="shared" si="267"/>
        <v/>
      </c>
      <c r="KC475" s="1785" t="str">
        <f t="shared" si="268"/>
        <v/>
      </c>
      <c r="KD475" s="1785" t="str">
        <f t="shared" si="269"/>
        <v/>
      </c>
      <c r="KE475" s="1785" t="str">
        <f t="shared" si="270"/>
        <v/>
      </c>
      <c r="KF475" s="1785" t="str">
        <f t="shared" si="271"/>
        <v/>
      </c>
      <c r="KG475" s="1785" t="str">
        <f t="shared" si="272"/>
        <v/>
      </c>
      <c r="KH475" s="1785" t="str">
        <f t="shared" si="273"/>
        <v/>
      </c>
      <c r="KI475" s="1785" t="str">
        <f t="shared" si="274"/>
        <v/>
      </c>
      <c r="KJ475" s="1785" t="str">
        <f t="shared" si="275"/>
        <v/>
      </c>
      <c r="KK475" s="1785" t="str">
        <f t="shared" si="276"/>
        <v/>
      </c>
      <c r="KL475" s="1785" t="str">
        <f t="shared" si="277"/>
        <v/>
      </c>
      <c r="KM475" s="1785" t="str">
        <f t="shared" si="278"/>
        <v/>
      </c>
      <c r="KN475" s="1785" t="str">
        <f t="shared" si="279"/>
        <v/>
      </c>
      <c r="KO475" s="1785" t="str">
        <f t="shared" si="280"/>
        <v/>
      </c>
      <c r="KP475" s="1785" t="str">
        <f t="shared" si="281"/>
        <v/>
      </c>
      <c r="KQ475" s="1785" t="str">
        <f t="shared" si="282"/>
        <v/>
      </c>
      <c r="KR475" s="1785" t="str">
        <f t="shared" si="283"/>
        <v/>
      </c>
      <c r="KS475" s="1785" t="str">
        <f t="shared" si="284"/>
        <v/>
      </c>
      <c r="KT475" s="1785" t="str">
        <f t="shared" si="285"/>
        <v/>
      </c>
      <c r="KU475" s="1785" t="str">
        <f t="shared" si="286"/>
        <v/>
      </c>
      <c r="KV475" s="1785" t="str">
        <f t="shared" si="287"/>
        <v/>
      </c>
      <c r="KW475" s="1785" t="str">
        <f t="shared" si="288"/>
        <v/>
      </c>
      <c r="KX475" s="1785" t="str">
        <f t="shared" si="289"/>
        <v/>
      </c>
      <c r="KY475" s="1785" t="str">
        <f t="shared" si="290"/>
        <v/>
      </c>
      <c r="KZ475" s="1785" t="str">
        <f t="shared" si="291"/>
        <v/>
      </c>
      <c r="LA475" s="1785" t="str">
        <f t="shared" si="292"/>
        <v/>
      </c>
      <c r="LB475" s="1785" t="str">
        <f t="shared" si="293"/>
        <v/>
      </c>
      <c r="LC475" s="1785" t="str">
        <f t="shared" si="294"/>
        <v/>
      </c>
      <c r="LD475" s="1785" t="str">
        <f t="shared" si="295"/>
        <v/>
      </c>
      <c r="LE475" s="1785" t="str">
        <f t="shared" si="296"/>
        <v/>
      </c>
      <c r="LF475" s="1785" t="str">
        <f t="shared" si="297"/>
        <v/>
      </c>
      <c r="LG475" s="1785" t="str">
        <f t="shared" si="298"/>
        <v/>
      </c>
      <c r="LH475" s="1785" t="str">
        <f t="shared" si="299"/>
        <v/>
      </c>
      <c r="LI475" s="1785">
        <f t="shared" si="300"/>
        <v>12</v>
      </c>
      <c r="LJ475" s="1785" t="str">
        <f t="shared" si="301"/>
        <v/>
      </c>
      <c r="LK475" s="1785" t="str">
        <f t="shared" si="302"/>
        <v/>
      </c>
      <c r="LL475" s="1785" t="str">
        <f t="shared" si="303"/>
        <v/>
      </c>
      <c r="LM475" s="1785" t="str">
        <f t="shared" si="304"/>
        <v/>
      </c>
      <c r="LN475" s="1785" t="str">
        <f t="shared" si="305"/>
        <v/>
      </c>
      <c r="LO475" s="1785" t="str">
        <f t="shared" si="306"/>
        <v/>
      </c>
      <c r="LP475" s="1785" t="str">
        <f t="shared" si="307"/>
        <v/>
      </c>
      <c r="LQ475" s="1785" t="str">
        <f t="shared" si="308"/>
        <v/>
      </c>
      <c r="LR475" s="1785" t="str">
        <f t="shared" si="309"/>
        <v/>
      </c>
      <c r="LS475" s="1785" t="str">
        <f t="shared" si="310"/>
        <v/>
      </c>
      <c r="LT475" s="1785" t="str">
        <f t="shared" si="311"/>
        <v/>
      </c>
      <c r="LU475" s="1785" t="str">
        <f t="shared" si="312"/>
        <v/>
      </c>
      <c r="LV475" s="1785" t="str">
        <f t="shared" si="313"/>
        <v/>
      </c>
      <c r="LW475" s="1785" t="str">
        <f t="shared" si="314"/>
        <v/>
      </c>
      <c r="LX475" s="1785" t="str">
        <f t="shared" si="315"/>
        <v/>
      </c>
      <c r="LY475" s="1785" t="str">
        <f t="shared" si="316"/>
        <v/>
      </c>
      <c r="LZ475" s="1785" t="str">
        <f t="shared" si="317"/>
        <v/>
      </c>
      <c r="MA475" s="1785" t="str">
        <f t="shared" si="318"/>
        <v/>
      </c>
      <c r="MB475" s="1785" t="str">
        <f t="shared" si="319"/>
        <v/>
      </c>
      <c r="MC475" s="1785" t="str">
        <f t="shared" si="320"/>
        <v/>
      </c>
      <c r="MD475" s="1785" t="str">
        <f t="shared" si="321"/>
        <v/>
      </c>
      <c r="ME475" s="1785" t="str">
        <f t="shared" si="322"/>
        <v/>
      </c>
      <c r="MF475" s="1785" t="str">
        <f t="shared" si="323"/>
        <v/>
      </c>
      <c r="MG475" s="1785" t="str">
        <f t="shared" si="324"/>
        <v/>
      </c>
      <c r="MH475" s="1785" t="str">
        <f t="shared" si="325"/>
        <v/>
      </c>
      <c r="MI475" s="1785" t="str">
        <f t="shared" si="326"/>
        <v/>
      </c>
      <c r="MJ475" s="1785" t="str">
        <f t="shared" si="327"/>
        <v/>
      </c>
      <c r="MK475" s="1785" t="str">
        <f t="shared" si="328"/>
        <v/>
      </c>
      <c r="ML475" s="1785" t="str">
        <f t="shared" si="329"/>
        <v/>
      </c>
      <c r="MM475" s="1785" t="str">
        <f t="shared" si="330"/>
        <v/>
      </c>
      <c r="MN475" s="1785" t="str">
        <f t="shared" si="331"/>
        <v/>
      </c>
      <c r="MO475" s="1785" t="str">
        <f t="shared" si="332"/>
        <v/>
      </c>
      <c r="MP475" s="2470" t="str">
        <f t="shared" si="333"/>
        <v/>
      </c>
      <c r="MQ475" s="2470" t="str">
        <f t="shared" si="334"/>
        <v/>
      </c>
      <c r="MR475" s="2470" t="str">
        <f t="shared" si="335"/>
        <v/>
      </c>
      <c r="MS475" s="2470" t="str">
        <f t="shared" si="336"/>
        <v/>
      </c>
      <c r="MT475" s="2470" t="str">
        <f t="shared" si="337"/>
        <v/>
      </c>
      <c r="MU475" s="356" t="str">
        <f t="shared" si="338"/>
        <v/>
      </c>
      <c r="MV475" s="356" t="str">
        <f t="shared" si="339"/>
        <v/>
      </c>
      <c r="MW475" s="356" t="str">
        <f t="shared" si="340"/>
        <v/>
      </c>
      <c r="MX475" s="356" t="str">
        <f t="shared" si="341"/>
        <v/>
      </c>
      <c r="MY475" s="356" t="str">
        <f t="shared" si="342"/>
        <v/>
      </c>
      <c r="MZ475" s="356" t="str">
        <f t="shared" si="343"/>
        <v/>
      </c>
      <c r="NA475" s="356" t="str">
        <f t="shared" si="344"/>
        <v/>
      </c>
      <c r="NB475" s="356" t="str">
        <f t="shared" si="345"/>
        <v/>
      </c>
      <c r="NC475" s="356" t="str">
        <f t="shared" si="346"/>
        <v/>
      </c>
      <c r="ND475" s="356" t="str">
        <f t="shared" si="347"/>
        <v/>
      </c>
      <c r="NE475" s="356" t="str">
        <f t="shared" si="348"/>
        <v/>
      </c>
      <c r="NF475" s="356" t="str">
        <f t="shared" si="349"/>
        <v/>
      </c>
      <c r="NG475" s="356" t="str">
        <f t="shared" si="350"/>
        <v/>
      </c>
      <c r="NH475" s="356" t="str">
        <f t="shared" si="351"/>
        <v/>
      </c>
      <c r="NI475" s="356" t="str">
        <f t="shared" si="352"/>
        <v/>
      </c>
      <c r="NJ475" s="356" t="str">
        <f t="shared" si="353"/>
        <v/>
      </c>
      <c r="NK475" s="356" t="str">
        <f t="shared" si="354"/>
        <v/>
      </c>
      <c r="NL475" s="356" t="str">
        <f t="shared" si="355"/>
        <v/>
      </c>
      <c r="NM475" s="356" t="str">
        <f t="shared" si="356"/>
        <v/>
      </c>
      <c r="NN475" s="356" t="str">
        <f t="shared" si="357"/>
        <v/>
      </c>
      <c r="NO475" s="1640">
        <f t="shared" si="358"/>
        <v>0</v>
      </c>
      <c r="NP475" s="1640">
        <f t="shared" si="359"/>
        <v>0</v>
      </c>
      <c r="NQ475" s="1640">
        <f t="shared" si="360"/>
        <v>12</v>
      </c>
      <c r="NR475" s="1640">
        <f t="shared" si="361"/>
        <v>0</v>
      </c>
      <c r="NS475" s="1640">
        <f t="shared" si="362"/>
        <v>0</v>
      </c>
      <c r="NT475" s="1640">
        <f t="shared" si="368"/>
        <v>0</v>
      </c>
      <c r="NU475" s="1640">
        <f t="shared" si="369"/>
        <v>0</v>
      </c>
      <c r="NV475" s="1640">
        <f t="shared" si="370"/>
        <v>0</v>
      </c>
      <c r="NW475" s="1640">
        <f t="shared" si="371"/>
        <v>0</v>
      </c>
      <c r="NX475" s="1640">
        <f t="shared" si="372"/>
        <v>0</v>
      </c>
      <c r="NY475" s="1640">
        <f t="shared" si="363"/>
        <v>0</v>
      </c>
      <c r="NZ475" s="1640">
        <f t="shared" si="364"/>
        <v>0</v>
      </c>
      <c r="OA475" s="1640">
        <f t="shared" si="365"/>
        <v>0</v>
      </c>
      <c r="OB475" s="1640">
        <f t="shared" si="366"/>
        <v>0</v>
      </c>
      <c r="OC475" s="1640">
        <f t="shared" si="367"/>
        <v>0</v>
      </c>
      <c r="OY475" s="356" t="s">
        <v>4308</v>
      </c>
      <c r="OZ475" s="1640">
        <v>22</v>
      </c>
    </row>
    <row r="476" spans="1:416" ht="12" customHeight="1">
      <c r="A476" s="2706" t="str">
        <f t="shared" si="0"/>
        <v/>
      </c>
      <c r="B476" s="2725">
        <f>'Part V-Revenues &amp; Expenses'!B23</f>
        <v>50</v>
      </c>
      <c r="C476" s="2726">
        <f>'Part V-Revenues &amp; Expenses'!C23</f>
        <v>2</v>
      </c>
      <c r="D476" s="2727">
        <f>'Part V-Revenues &amp; Expenses'!D23</f>
        <v>2</v>
      </c>
      <c r="E476" s="2728">
        <f>'Part V-Revenues &amp; Expenses'!E23</f>
        <v>12</v>
      </c>
      <c r="F476" s="2728">
        <f>'Part V-Revenues &amp; Expenses'!F23</f>
        <v>971</v>
      </c>
      <c r="G476" s="2728">
        <f>'Part V-Revenues &amp; Expenses'!G23</f>
        <v>1285</v>
      </c>
      <c r="H476" s="2728">
        <f>'Part V-Revenues &amp; Expenses'!H23</f>
        <v>1285</v>
      </c>
      <c r="I476" s="2728">
        <f>'Part V-Revenues &amp; Expenses'!I23</f>
        <v>0</v>
      </c>
      <c r="J476" s="2728">
        <f>'Part V-Revenues &amp; Expenses'!J23</f>
        <v>86</v>
      </c>
      <c r="K476" s="2729">
        <f>'Part V-Revenues &amp; Expenses'!K23</f>
        <v>0</v>
      </c>
      <c r="L476" s="2730">
        <f t="shared" si="1"/>
        <v>1199</v>
      </c>
      <c r="M476" s="2730">
        <f t="shared" si="2"/>
        <v>14388</v>
      </c>
      <c r="N476" s="2580" t="str">
        <f>'Part V-Revenues &amp; Expenses'!N23</f>
        <v>No</v>
      </c>
      <c r="O476" s="1248" t="str">
        <f>'Part V-Revenues &amp; Expenses'!O23</f>
        <v>Low-Rise Elevator</v>
      </c>
      <c r="P476" s="2580" t="str">
        <f>'Part V-Revenues &amp; Expenses'!P23</f>
        <v>Rehabilitation</v>
      </c>
      <c r="Q476" s="2469" t="str">
        <f>'Part V-Revenues &amp; Expenses'!Q23</f>
        <v>No</v>
      </c>
      <c r="R476" s="2731"/>
      <c r="S476" s="2732"/>
      <c r="T476" s="2647"/>
      <c r="U476" s="2647"/>
      <c r="V476" s="2647"/>
      <c r="W476" s="2647"/>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f t="shared" si="20"/>
        <v>12</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f t="shared" si="170"/>
        <v>11652</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356" t="str">
        <f t="shared" si="213"/>
        <v/>
      </c>
      <c r="IA476" s="356" t="str">
        <f t="shared" si="214"/>
        <v/>
      </c>
      <c r="IB476" s="356" t="str">
        <f t="shared" si="215"/>
        <v/>
      </c>
      <c r="IC476" s="356" t="str">
        <f t="shared" si="216"/>
        <v/>
      </c>
      <c r="ID476" s="356" t="str">
        <f t="shared" si="217"/>
        <v/>
      </c>
      <c r="IE476" s="356" t="str">
        <f t="shared" si="218"/>
        <v/>
      </c>
      <c r="IF476" s="356" t="str">
        <f t="shared" si="219"/>
        <v/>
      </c>
      <c r="IG476" s="356" t="str">
        <f t="shared" si="220"/>
        <v/>
      </c>
      <c r="IH476" s="356" t="str">
        <f t="shared" si="221"/>
        <v/>
      </c>
      <c r="II476" s="356" t="str">
        <f t="shared" si="222"/>
        <v/>
      </c>
      <c r="IJ476" s="356" t="str">
        <f t="shared" si="223"/>
        <v/>
      </c>
      <c r="IK476" s="356" t="str">
        <f t="shared" si="224"/>
        <v/>
      </c>
      <c r="IL476" s="356" t="str">
        <f t="shared" si="225"/>
        <v/>
      </c>
      <c r="IM476" s="356" t="str">
        <f t="shared" si="226"/>
        <v/>
      </c>
      <c r="IN476" s="356" t="str">
        <f t="shared" si="227"/>
        <v/>
      </c>
      <c r="IO476" s="356" t="str">
        <f t="shared" si="228"/>
        <v/>
      </c>
      <c r="IP476" s="356" t="str">
        <f t="shared" si="229"/>
        <v/>
      </c>
      <c r="IQ476" s="356" t="str">
        <f t="shared" si="230"/>
        <v/>
      </c>
      <c r="IR476" s="356" t="str">
        <f t="shared" si="231"/>
        <v/>
      </c>
      <c r="IS476" s="356" t="str">
        <f t="shared" si="232"/>
        <v/>
      </c>
      <c r="IT476" s="356" t="str">
        <f t="shared" si="233"/>
        <v/>
      </c>
      <c r="IU476" s="356" t="str">
        <f t="shared" si="234"/>
        <v/>
      </c>
      <c r="IV476" s="356">
        <f t="shared" si="235"/>
        <v>12</v>
      </c>
      <c r="IW476" s="356" t="str">
        <f t="shared" si="236"/>
        <v/>
      </c>
      <c r="IX476" s="356" t="str">
        <f t="shared" si="237"/>
        <v/>
      </c>
      <c r="IY476" s="356" t="str">
        <f t="shared" si="238"/>
        <v/>
      </c>
      <c r="IZ476" s="356" t="str">
        <f t="shared" si="239"/>
        <v/>
      </c>
      <c r="JA476" s="356" t="str">
        <f t="shared" si="240"/>
        <v/>
      </c>
      <c r="JB476" s="356" t="str">
        <f t="shared" si="241"/>
        <v/>
      </c>
      <c r="JC476" s="356" t="str">
        <f t="shared" si="242"/>
        <v/>
      </c>
      <c r="JD476" s="356" t="str">
        <f t="shared" si="243"/>
        <v/>
      </c>
      <c r="JE476" s="356" t="str">
        <f t="shared" si="244"/>
        <v/>
      </c>
      <c r="JF476" s="356" t="str">
        <f t="shared" si="245"/>
        <v/>
      </c>
      <c r="JG476" s="356" t="str">
        <f t="shared" si="246"/>
        <v/>
      </c>
      <c r="JH476" s="356" t="str">
        <f t="shared" si="247"/>
        <v/>
      </c>
      <c r="JI476" s="1785" t="str">
        <f t="shared" si="248"/>
        <v/>
      </c>
      <c r="JJ476" s="1785" t="str">
        <f t="shared" si="249"/>
        <v/>
      </c>
      <c r="JK476" s="1785">
        <f t="shared" si="250"/>
        <v>12</v>
      </c>
      <c r="JL476" s="1785" t="str">
        <f t="shared" si="251"/>
        <v/>
      </c>
      <c r="JM476" s="1785" t="str">
        <f t="shared" si="252"/>
        <v/>
      </c>
      <c r="JN476" s="1785" t="str">
        <f t="shared" si="253"/>
        <v/>
      </c>
      <c r="JO476" s="1785" t="str">
        <f t="shared" si="254"/>
        <v/>
      </c>
      <c r="JP476" s="1785" t="str">
        <f t="shared" si="255"/>
        <v/>
      </c>
      <c r="JQ476" s="1785" t="str">
        <f t="shared" si="256"/>
        <v/>
      </c>
      <c r="JR476" s="1785" t="str">
        <f t="shared" si="257"/>
        <v/>
      </c>
      <c r="JS476" s="1785" t="str">
        <f t="shared" si="258"/>
        <v/>
      </c>
      <c r="JT476" s="1785" t="str">
        <f t="shared" si="259"/>
        <v/>
      </c>
      <c r="JU476" s="1785" t="str">
        <f t="shared" si="260"/>
        <v/>
      </c>
      <c r="JV476" s="1785" t="str">
        <f t="shared" si="261"/>
        <v/>
      </c>
      <c r="JW476" s="1785" t="str">
        <f t="shared" si="262"/>
        <v/>
      </c>
      <c r="JX476" s="1785" t="str">
        <f t="shared" si="263"/>
        <v/>
      </c>
      <c r="JY476" s="1785" t="str">
        <f t="shared" si="264"/>
        <v/>
      </c>
      <c r="JZ476" s="1785" t="str">
        <f t="shared" si="265"/>
        <v/>
      </c>
      <c r="KA476" s="1785" t="str">
        <f t="shared" si="266"/>
        <v/>
      </c>
      <c r="KB476" s="1785" t="str">
        <f t="shared" si="267"/>
        <v/>
      </c>
      <c r="KC476" s="1785" t="str">
        <f t="shared" si="268"/>
        <v/>
      </c>
      <c r="KD476" s="1785" t="str">
        <f t="shared" si="269"/>
        <v/>
      </c>
      <c r="KE476" s="1785" t="str">
        <f t="shared" si="270"/>
        <v/>
      </c>
      <c r="KF476" s="1785" t="str">
        <f t="shared" si="271"/>
        <v/>
      </c>
      <c r="KG476" s="1785" t="str">
        <f t="shared" si="272"/>
        <v/>
      </c>
      <c r="KH476" s="1785" t="str">
        <f t="shared" si="273"/>
        <v/>
      </c>
      <c r="KI476" s="1785" t="str">
        <f t="shared" si="274"/>
        <v/>
      </c>
      <c r="KJ476" s="1785" t="str">
        <f t="shared" si="275"/>
        <v/>
      </c>
      <c r="KK476" s="1785" t="str">
        <f t="shared" si="276"/>
        <v/>
      </c>
      <c r="KL476" s="1785" t="str">
        <f t="shared" si="277"/>
        <v/>
      </c>
      <c r="KM476" s="1785" t="str">
        <f t="shared" si="278"/>
        <v/>
      </c>
      <c r="KN476" s="1785" t="str">
        <f t="shared" si="279"/>
        <v/>
      </c>
      <c r="KO476" s="1785" t="str">
        <f t="shared" si="280"/>
        <v/>
      </c>
      <c r="KP476" s="1785" t="str">
        <f t="shared" si="281"/>
        <v/>
      </c>
      <c r="KQ476" s="1785" t="str">
        <f t="shared" si="282"/>
        <v/>
      </c>
      <c r="KR476" s="1785" t="str">
        <f t="shared" si="283"/>
        <v/>
      </c>
      <c r="KS476" s="1785" t="str">
        <f t="shared" si="284"/>
        <v/>
      </c>
      <c r="KT476" s="1785" t="str">
        <f t="shared" si="285"/>
        <v/>
      </c>
      <c r="KU476" s="1785" t="str">
        <f t="shared" si="286"/>
        <v/>
      </c>
      <c r="KV476" s="1785" t="str">
        <f t="shared" si="287"/>
        <v/>
      </c>
      <c r="KW476" s="1785" t="str">
        <f t="shared" si="288"/>
        <v/>
      </c>
      <c r="KX476" s="1785" t="str">
        <f t="shared" si="289"/>
        <v/>
      </c>
      <c r="KY476" s="1785" t="str">
        <f t="shared" si="290"/>
        <v/>
      </c>
      <c r="KZ476" s="1785" t="str">
        <f t="shared" si="291"/>
        <v/>
      </c>
      <c r="LA476" s="1785" t="str">
        <f t="shared" si="292"/>
        <v/>
      </c>
      <c r="LB476" s="1785" t="str">
        <f t="shared" si="293"/>
        <v/>
      </c>
      <c r="LC476" s="1785" t="str">
        <f t="shared" si="294"/>
        <v/>
      </c>
      <c r="LD476" s="1785" t="str">
        <f t="shared" si="295"/>
        <v/>
      </c>
      <c r="LE476" s="1785" t="str">
        <f t="shared" si="296"/>
        <v/>
      </c>
      <c r="LF476" s="1785" t="str">
        <f t="shared" si="297"/>
        <v/>
      </c>
      <c r="LG476" s="1785" t="str">
        <f t="shared" si="298"/>
        <v/>
      </c>
      <c r="LH476" s="1785" t="str">
        <f t="shared" si="299"/>
        <v/>
      </c>
      <c r="LI476" s="1785">
        <f t="shared" si="300"/>
        <v>12</v>
      </c>
      <c r="LJ476" s="1785" t="str">
        <f t="shared" si="301"/>
        <v/>
      </c>
      <c r="LK476" s="1785" t="str">
        <f t="shared" si="302"/>
        <v/>
      </c>
      <c r="LL476" s="1785" t="str">
        <f t="shared" si="303"/>
        <v/>
      </c>
      <c r="LM476" s="1785" t="str">
        <f t="shared" si="304"/>
        <v/>
      </c>
      <c r="LN476" s="1785" t="str">
        <f t="shared" si="305"/>
        <v/>
      </c>
      <c r="LO476" s="1785" t="str">
        <f t="shared" si="306"/>
        <v/>
      </c>
      <c r="LP476" s="1785" t="str">
        <f t="shared" si="307"/>
        <v/>
      </c>
      <c r="LQ476" s="1785" t="str">
        <f t="shared" si="308"/>
        <v/>
      </c>
      <c r="LR476" s="1785" t="str">
        <f t="shared" si="309"/>
        <v/>
      </c>
      <c r="LS476" s="1785" t="str">
        <f t="shared" si="310"/>
        <v/>
      </c>
      <c r="LT476" s="1785" t="str">
        <f t="shared" si="311"/>
        <v/>
      </c>
      <c r="LU476" s="1785" t="str">
        <f t="shared" si="312"/>
        <v/>
      </c>
      <c r="LV476" s="1785" t="str">
        <f t="shared" si="313"/>
        <v/>
      </c>
      <c r="LW476" s="1785" t="str">
        <f t="shared" si="314"/>
        <v/>
      </c>
      <c r="LX476" s="1785" t="str">
        <f t="shared" si="315"/>
        <v/>
      </c>
      <c r="LY476" s="1785" t="str">
        <f t="shared" si="316"/>
        <v/>
      </c>
      <c r="LZ476" s="1785" t="str">
        <f t="shared" si="317"/>
        <v/>
      </c>
      <c r="MA476" s="1785" t="str">
        <f t="shared" si="318"/>
        <v/>
      </c>
      <c r="MB476" s="1785" t="str">
        <f t="shared" si="319"/>
        <v/>
      </c>
      <c r="MC476" s="1785" t="str">
        <f t="shared" si="320"/>
        <v/>
      </c>
      <c r="MD476" s="1785" t="str">
        <f t="shared" si="321"/>
        <v/>
      </c>
      <c r="ME476" s="1785" t="str">
        <f t="shared" si="322"/>
        <v/>
      </c>
      <c r="MF476" s="1785" t="str">
        <f t="shared" si="323"/>
        <v/>
      </c>
      <c r="MG476" s="1785" t="str">
        <f t="shared" si="324"/>
        <v/>
      </c>
      <c r="MH476" s="1785" t="str">
        <f t="shared" si="325"/>
        <v/>
      </c>
      <c r="MI476" s="1785" t="str">
        <f t="shared" si="326"/>
        <v/>
      </c>
      <c r="MJ476" s="1785" t="str">
        <f t="shared" si="327"/>
        <v/>
      </c>
      <c r="MK476" s="1785" t="str">
        <f t="shared" si="328"/>
        <v/>
      </c>
      <c r="ML476" s="1785" t="str">
        <f t="shared" si="329"/>
        <v/>
      </c>
      <c r="MM476" s="1785" t="str">
        <f t="shared" si="330"/>
        <v/>
      </c>
      <c r="MN476" s="1785" t="str">
        <f t="shared" si="331"/>
        <v/>
      </c>
      <c r="MO476" s="1785" t="str">
        <f t="shared" si="332"/>
        <v/>
      </c>
      <c r="MP476" s="2470" t="str">
        <f t="shared" si="333"/>
        <v/>
      </c>
      <c r="MQ476" s="2470" t="str">
        <f t="shared" si="334"/>
        <v/>
      </c>
      <c r="MR476" s="2470" t="str">
        <f t="shared" si="335"/>
        <v/>
      </c>
      <c r="MS476" s="2470" t="str">
        <f t="shared" si="336"/>
        <v/>
      </c>
      <c r="MT476" s="2470" t="str">
        <f t="shared" si="337"/>
        <v/>
      </c>
      <c r="MU476" s="356" t="str">
        <f t="shared" si="338"/>
        <v/>
      </c>
      <c r="MV476" s="356" t="str">
        <f t="shared" si="339"/>
        <v/>
      </c>
      <c r="MW476" s="356" t="str">
        <f t="shared" si="340"/>
        <v/>
      </c>
      <c r="MX476" s="356" t="str">
        <f t="shared" si="341"/>
        <v/>
      </c>
      <c r="MY476" s="356" t="str">
        <f t="shared" si="342"/>
        <v/>
      </c>
      <c r="MZ476" s="356" t="str">
        <f t="shared" si="343"/>
        <v/>
      </c>
      <c r="NA476" s="356" t="str">
        <f t="shared" si="344"/>
        <v/>
      </c>
      <c r="NB476" s="356" t="str">
        <f t="shared" si="345"/>
        <v/>
      </c>
      <c r="NC476" s="356" t="str">
        <f t="shared" si="346"/>
        <v/>
      </c>
      <c r="ND476" s="356" t="str">
        <f t="shared" si="347"/>
        <v/>
      </c>
      <c r="NE476" s="356" t="str">
        <f t="shared" si="348"/>
        <v/>
      </c>
      <c r="NF476" s="356" t="str">
        <f t="shared" si="349"/>
        <v/>
      </c>
      <c r="NG476" s="356" t="str">
        <f t="shared" si="350"/>
        <v/>
      </c>
      <c r="NH476" s="356" t="str">
        <f t="shared" si="351"/>
        <v/>
      </c>
      <c r="NI476" s="356" t="str">
        <f t="shared" si="352"/>
        <v/>
      </c>
      <c r="NJ476" s="356" t="str">
        <f t="shared" si="353"/>
        <v/>
      </c>
      <c r="NK476" s="356" t="str">
        <f t="shared" si="354"/>
        <v/>
      </c>
      <c r="NL476" s="356" t="str">
        <f t="shared" si="355"/>
        <v/>
      </c>
      <c r="NM476" s="356" t="str">
        <f t="shared" si="356"/>
        <v/>
      </c>
      <c r="NN476" s="356" t="str">
        <f t="shared" si="357"/>
        <v/>
      </c>
      <c r="NO476" s="1640">
        <f t="shared" si="358"/>
        <v>0</v>
      </c>
      <c r="NP476" s="1640">
        <f t="shared" si="359"/>
        <v>0</v>
      </c>
      <c r="NQ476" s="1640">
        <f t="shared" si="360"/>
        <v>12</v>
      </c>
      <c r="NR476" s="1640">
        <f t="shared" si="361"/>
        <v>0</v>
      </c>
      <c r="NS476" s="1640">
        <f t="shared" si="362"/>
        <v>0</v>
      </c>
      <c r="NT476" s="1640">
        <f t="shared" si="368"/>
        <v>0</v>
      </c>
      <c r="NU476" s="1640">
        <f t="shared" si="369"/>
        <v>0</v>
      </c>
      <c r="NV476" s="1640">
        <f t="shared" si="370"/>
        <v>0</v>
      </c>
      <c r="NW476" s="1640">
        <f t="shared" si="371"/>
        <v>0</v>
      </c>
      <c r="NX476" s="1640">
        <f t="shared" si="372"/>
        <v>0</v>
      </c>
      <c r="NY476" s="1640">
        <f t="shared" si="363"/>
        <v>0</v>
      </c>
      <c r="NZ476" s="1640">
        <f t="shared" si="364"/>
        <v>0</v>
      </c>
      <c r="OA476" s="1640">
        <f t="shared" si="365"/>
        <v>0</v>
      </c>
      <c r="OB476" s="1640">
        <f t="shared" si="366"/>
        <v>0</v>
      </c>
      <c r="OC476" s="1640">
        <f t="shared" si="367"/>
        <v>0</v>
      </c>
      <c r="OY476" s="356" t="s">
        <v>4309</v>
      </c>
      <c r="OZ476" s="1784">
        <v>23</v>
      </c>
    </row>
    <row r="477" spans="1:416" ht="12" customHeight="1">
      <c r="A477" s="2706" t="str">
        <f t="shared" si="0"/>
        <v/>
      </c>
      <c r="B477" s="2725">
        <f>'Part V-Revenues &amp; Expenses'!B24</f>
        <v>60</v>
      </c>
      <c r="C477" s="2726">
        <f>'Part V-Revenues &amp; Expenses'!C24</f>
        <v>2</v>
      </c>
      <c r="D477" s="2727">
        <f>'Part V-Revenues &amp; Expenses'!D24</f>
        <v>2</v>
      </c>
      <c r="E477" s="2728">
        <f>'Part V-Revenues &amp; Expenses'!E24</f>
        <v>72</v>
      </c>
      <c r="F477" s="2728">
        <f>'Part V-Revenues &amp; Expenses'!F24</f>
        <v>971</v>
      </c>
      <c r="G477" s="2728">
        <f>'Part V-Revenues &amp; Expenses'!G24</f>
        <v>1542</v>
      </c>
      <c r="H477" s="2728">
        <f>'Part V-Revenues &amp; Expenses'!H24</f>
        <v>1469</v>
      </c>
      <c r="I477" s="2728">
        <f>'Part V-Revenues &amp; Expenses'!I24</f>
        <v>0</v>
      </c>
      <c r="J477" s="2728">
        <f>'Part V-Revenues &amp; Expenses'!J24</f>
        <v>86</v>
      </c>
      <c r="K477" s="2729">
        <f>'Part V-Revenues &amp; Expenses'!K24</f>
        <v>0</v>
      </c>
      <c r="L477" s="2730">
        <f t="shared" si="1"/>
        <v>1383</v>
      </c>
      <c r="M477" s="2730">
        <f t="shared" si="2"/>
        <v>99576</v>
      </c>
      <c r="N477" s="2580" t="str">
        <f>'Part V-Revenues &amp; Expenses'!N24</f>
        <v>No</v>
      </c>
      <c r="O477" s="1248" t="str">
        <f>'Part V-Revenues &amp; Expenses'!O24</f>
        <v>Low-Rise Elevator</v>
      </c>
      <c r="P477" s="2580" t="str">
        <f>'Part V-Revenues &amp; Expenses'!P24</f>
        <v>Rehabilitation</v>
      </c>
      <c r="Q477" s="2469" t="str">
        <f>'Part V-Revenues &amp; Expenses'!Q24</f>
        <v>No</v>
      </c>
      <c r="R477" s="2731"/>
      <c r="S477" s="2732"/>
      <c r="T477" s="2647"/>
      <c r="U477" s="2647"/>
      <c r="V477" s="2647"/>
      <c r="W477" s="2647"/>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f t="shared" si="15"/>
        <v>72</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f t="shared" si="165"/>
        <v>69912</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356" t="str">
        <f t="shared" si="213"/>
        <v/>
      </c>
      <c r="IA477" s="356" t="str">
        <f t="shared" si="214"/>
        <v/>
      </c>
      <c r="IB477" s="356" t="str">
        <f t="shared" si="215"/>
        <v/>
      </c>
      <c r="IC477" s="356" t="str">
        <f t="shared" si="216"/>
        <v/>
      </c>
      <c r="ID477" s="356" t="str">
        <f t="shared" si="217"/>
        <v/>
      </c>
      <c r="IE477" s="356" t="str">
        <f t="shared" si="218"/>
        <v/>
      </c>
      <c r="IF477" s="356" t="str">
        <f t="shared" si="219"/>
        <v/>
      </c>
      <c r="IG477" s="356" t="str">
        <f t="shared" si="220"/>
        <v/>
      </c>
      <c r="IH477" s="356" t="str">
        <f t="shared" si="221"/>
        <v/>
      </c>
      <c r="II477" s="356" t="str">
        <f t="shared" si="222"/>
        <v/>
      </c>
      <c r="IJ477" s="356" t="str">
        <f t="shared" si="223"/>
        <v/>
      </c>
      <c r="IK477" s="356" t="str">
        <f t="shared" si="224"/>
        <v/>
      </c>
      <c r="IL477" s="356" t="str">
        <f t="shared" si="225"/>
        <v/>
      </c>
      <c r="IM477" s="356" t="str">
        <f t="shared" si="226"/>
        <v/>
      </c>
      <c r="IN477" s="356" t="str">
        <f t="shared" si="227"/>
        <v/>
      </c>
      <c r="IO477" s="356" t="str">
        <f t="shared" si="228"/>
        <v/>
      </c>
      <c r="IP477" s="356" t="str">
        <f t="shared" si="229"/>
        <v/>
      </c>
      <c r="IQ477" s="356" t="str">
        <f t="shared" si="230"/>
        <v/>
      </c>
      <c r="IR477" s="356" t="str">
        <f t="shared" si="231"/>
        <v/>
      </c>
      <c r="IS477" s="356" t="str">
        <f t="shared" si="232"/>
        <v/>
      </c>
      <c r="IT477" s="356" t="str">
        <f t="shared" si="233"/>
        <v/>
      </c>
      <c r="IU477" s="356" t="str">
        <f t="shared" si="234"/>
        <v/>
      </c>
      <c r="IV477" s="356">
        <f t="shared" si="235"/>
        <v>72</v>
      </c>
      <c r="IW477" s="356" t="str">
        <f t="shared" si="236"/>
        <v/>
      </c>
      <c r="IX477" s="356" t="str">
        <f t="shared" si="237"/>
        <v/>
      </c>
      <c r="IY477" s="356" t="str">
        <f t="shared" si="238"/>
        <v/>
      </c>
      <c r="IZ477" s="356" t="str">
        <f t="shared" si="239"/>
        <v/>
      </c>
      <c r="JA477" s="356" t="str">
        <f t="shared" si="240"/>
        <v/>
      </c>
      <c r="JB477" s="356" t="str">
        <f t="shared" si="241"/>
        <v/>
      </c>
      <c r="JC477" s="356" t="str">
        <f t="shared" si="242"/>
        <v/>
      </c>
      <c r="JD477" s="356" t="str">
        <f t="shared" si="243"/>
        <v/>
      </c>
      <c r="JE477" s="356" t="str">
        <f t="shared" si="244"/>
        <v/>
      </c>
      <c r="JF477" s="356" t="str">
        <f t="shared" si="245"/>
        <v/>
      </c>
      <c r="JG477" s="356" t="str">
        <f t="shared" si="246"/>
        <v/>
      </c>
      <c r="JH477" s="356" t="str">
        <f t="shared" si="247"/>
        <v/>
      </c>
      <c r="JI477" s="1785" t="str">
        <f t="shared" si="248"/>
        <v/>
      </c>
      <c r="JJ477" s="1785" t="str">
        <f t="shared" si="249"/>
        <v/>
      </c>
      <c r="JK477" s="1785">
        <f t="shared" si="250"/>
        <v>72</v>
      </c>
      <c r="JL477" s="1785" t="str">
        <f t="shared" si="251"/>
        <v/>
      </c>
      <c r="JM477" s="1785" t="str">
        <f t="shared" si="252"/>
        <v/>
      </c>
      <c r="JN477" s="1785" t="str">
        <f t="shared" si="253"/>
        <v/>
      </c>
      <c r="JO477" s="1785" t="str">
        <f t="shared" si="254"/>
        <v/>
      </c>
      <c r="JP477" s="1785" t="str">
        <f t="shared" si="255"/>
        <v/>
      </c>
      <c r="JQ477" s="1785" t="str">
        <f t="shared" si="256"/>
        <v/>
      </c>
      <c r="JR477" s="1785" t="str">
        <f t="shared" si="257"/>
        <v/>
      </c>
      <c r="JS477" s="1785" t="str">
        <f t="shared" si="258"/>
        <v/>
      </c>
      <c r="JT477" s="1785" t="str">
        <f t="shared" si="259"/>
        <v/>
      </c>
      <c r="JU477" s="1785" t="str">
        <f t="shared" si="260"/>
        <v/>
      </c>
      <c r="JV477" s="1785" t="str">
        <f t="shared" si="261"/>
        <v/>
      </c>
      <c r="JW477" s="1785" t="str">
        <f t="shared" si="262"/>
        <v/>
      </c>
      <c r="JX477" s="1785" t="str">
        <f t="shared" si="263"/>
        <v/>
      </c>
      <c r="JY477" s="1785" t="str">
        <f t="shared" si="264"/>
        <v/>
      </c>
      <c r="JZ477" s="1785" t="str">
        <f t="shared" si="265"/>
        <v/>
      </c>
      <c r="KA477" s="1785" t="str">
        <f t="shared" si="266"/>
        <v/>
      </c>
      <c r="KB477" s="1785" t="str">
        <f t="shared" si="267"/>
        <v/>
      </c>
      <c r="KC477" s="1785" t="str">
        <f t="shared" si="268"/>
        <v/>
      </c>
      <c r="KD477" s="1785" t="str">
        <f t="shared" si="269"/>
        <v/>
      </c>
      <c r="KE477" s="1785" t="str">
        <f t="shared" si="270"/>
        <v/>
      </c>
      <c r="KF477" s="1785" t="str">
        <f t="shared" si="271"/>
        <v/>
      </c>
      <c r="KG477" s="1785" t="str">
        <f t="shared" si="272"/>
        <v/>
      </c>
      <c r="KH477" s="1785" t="str">
        <f t="shared" si="273"/>
        <v/>
      </c>
      <c r="KI477" s="1785" t="str">
        <f t="shared" si="274"/>
        <v/>
      </c>
      <c r="KJ477" s="1785" t="str">
        <f t="shared" si="275"/>
        <v/>
      </c>
      <c r="KK477" s="1785" t="str">
        <f t="shared" si="276"/>
        <v/>
      </c>
      <c r="KL477" s="1785" t="str">
        <f t="shared" si="277"/>
        <v/>
      </c>
      <c r="KM477" s="1785" t="str">
        <f t="shared" si="278"/>
        <v/>
      </c>
      <c r="KN477" s="1785" t="str">
        <f t="shared" si="279"/>
        <v/>
      </c>
      <c r="KO477" s="1785" t="str">
        <f t="shared" si="280"/>
        <v/>
      </c>
      <c r="KP477" s="1785" t="str">
        <f t="shared" si="281"/>
        <v/>
      </c>
      <c r="KQ477" s="1785" t="str">
        <f t="shared" si="282"/>
        <v/>
      </c>
      <c r="KR477" s="1785" t="str">
        <f t="shared" si="283"/>
        <v/>
      </c>
      <c r="KS477" s="1785" t="str">
        <f t="shared" si="284"/>
        <v/>
      </c>
      <c r="KT477" s="1785" t="str">
        <f t="shared" si="285"/>
        <v/>
      </c>
      <c r="KU477" s="1785" t="str">
        <f t="shared" si="286"/>
        <v/>
      </c>
      <c r="KV477" s="1785" t="str">
        <f t="shared" si="287"/>
        <v/>
      </c>
      <c r="KW477" s="1785" t="str">
        <f t="shared" si="288"/>
        <v/>
      </c>
      <c r="KX477" s="1785" t="str">
        <f t="shared" si="289"/>
        <v/>
      </c>
      <c r="KY477" s="1785" t="str">
        <f t="shared" si="290"/>
        <v/>
      </c>
      <c r="KZ477" s="1785" t="str">
        <f t="shared" si="291"/>
        <v/>
      </c>
      <c r="LA477" s="1785" t="str">
        <f t="shared" si="292"/>
        <v/>
      </c>
      <c r="LB477" s="1785" t="str">
        <f t="shared" si="293"/>
        <v/>
      </c>
      <c r="LC477" s="1785" t="str">
        <f t="shared" si="294"/>
        <v/>
      </c>
      <c r="LD477" s="1785" t="str">
        <f t="shared" si="295"/>
        <v/>
      </c>
      <c r="LE477" s="1785" t="str">
        <f t="shared" si="296"/>
        <v/>
      </c>
      <c r="LF477" s="1785" t="str">
        <f t="shared" si="297"/>
        <v/>
      </c>
      <c r="LG477" s="1785" t="str">
        <f t="shared" si="298"/>
        <v/>
      </c>
      <c r="LH477" s="1785" t="str">
        <f t="shared" si="299"/>
        <v/>
      </c>
      <c r="LI477" s="1785">
        <f t="shared" si="300"/>
        <v>72</v>
      </c>
      <c r="LJ477" s="1785" t="str">
        <f t="shared" si="301"/>
        <v/>
      </c>
      <c r="LK477" s="1785" t="str">
        <f t="shared" si="302"/>
        <v/>
      </c>
      <c r="LL477" s="1785" t="str">
        <f t="shared" si="303"/>
        <v/>
      </c>
      <c r="LM477" s="1785" t="str">
        <f t="shared" si="304"/>
        <v/>
      </c>
      <c r="LN477" s="1785" t="str">
        <f t="shared" si="305"/>
        <v/>
      </c>
      <c r="LO477" s="1785" t="str">
        <f t="shared" si="306"/>
        <v/>
      </c>
      <c r="LP477" s="1785" t="str">
        <f t="shared" si="307"/>
        <v/>
      </c>
      <c r="LQ477" s="1785" t="str">
        <f t="shared" si="308"/>
        <v/>
      </c>
      <c r="LR477" s="1785" t="str">
        <f t="shared" si="309"/>
        <v/>
      </c>
      <c r="LS477" s="1785" t="str">
        <f t="shared" si="310"/>
        <v/>
      </c>
      <c r="LT477" s="1785" t="str">
        <f t="shared" si="311"/>
        <v/>
      </c>
      <c r="LU477" s="1785" t="str">
        <f t="shared" si="312"/>
        <v/>
      </c>
      <c r="LV477" s="1785" t="str">
        <f t="shared" si="313"/>
        <v/>
      </c>
      <c r="LW477" s="1785" t="str">
        <f t="shared" si="314"/>
        <v/>
      </c>
      <c r="LX477" s="1785" t="str">
        <f t="shared" si="315"/>
        <v/>
      </c>
      <c r="LY477" s="1785" t="str">
        <f t="shared" si="316"/>
        <v/>
      </c>
      <c r="LZ477" s="1785" t="str">
        <f t="shared" si="317"/>
        <v/>
      </c>
      <c r="MA477" s="1785" t="str">
        <f t="shared" si="318"/>
        <v/>
      </c>
      <c r="MB477" s="1785" t="str">
        <f t="shared" si="319"/>
        <v/>
      </c>
      <c r="MC477" s="1785" t="str">
        <f t="shared" si="320"/>
        <v/>
      </c>
      <c r="MD477" s="1785" t="str">
        <f t="shared" si="321"/>
        <v/>
      </c>
      <c r="ME477" s="1785" t="str">
        <f t="shared" si="322"/>
        <v/>
      </c>
      <c r="MF477" s="1785" t="str">
        <f t="shared" si="323"/>
        <v/>
      </c>
      <c r="MG477" s="1785" t="str">
        <f t="shared" si="324"/>
        <v/>
      </c>
      <c r="MH477" s="1785" t="str">
        <f t="shared" si="325"/>
        <v/>
      </c>
      <c r="MI477" s="1785" t="str">
        <f t="shared" si="326"/>
        <v/>
      </c>
      <c r="MJ477" s="1785" t="str">
        <f t="shared" si="327"/>
        <v/>
      </c>
      <c r="MK477" s="1785" t="str">
        <f t="shared" si="328"/>
        <v/>
      </c>
      <c r="ML477" s="1785" t="str">
        <f t="shared" si="329"/>
        <v/>
      </c>
      <c r="MM477" s="1785" t="str">
        <f t="shared" si="330"/>
        <v/>
      </c>
      <c r="MN477" s="1785" t="str">
        <f t="shared" si="331"/>
        <v/>
      </c>
      <c r="MO477" s="1785" t="str">
        <f t="shared" si="332"/>
        <v/>
      </c>
      <c r="MP477" s="2470" t="str">
        <f t="shared" si="333"/>
        <v/>
      </c>
      <c r="MQ477" s="2470" t="str">
        <f t="shared" si="334"/>
        <v/>
      </c>
      <c r="MR477" s="2470" t="str">
        <f t="shared" si="335"/>
        <v/>
      </c>
      <c r="MS477" s="2470" t="str">
        <f t="shared" si="336"/>
        <v/>
      </c>
      <c r="MT477" s="2470" t="str">
        <f t="shared" si="337"/>
        <v/>
      </c>
      <c r="MU477" s="356" t="str">
        <f t="shared" si="338"/>
        <v/>
      </c>
      <c r="MV477" s="356" t="str">
        <f t="shared" si="339"/>
        <v/>
      </c>
      <c r="MW477" s="356" t="str">
        <f t="shared" si="340"/>
        <v/>
      </c>
      <c r="MX477" s="356" t="str">
        <f t="shared" si="341"/>
        <v/>
      </c>
      <c r="MY477" s="356" t="str">
        <f t="shared" si="342"/>
        <v/>
      </c>
      <c r="MZ477" s="356" t="str">
        <f t="shared" si="343"/>
        <v/>
      </c>
      <c r="NA477" s="356" t="str">
        <f t="shared" si="344"/>
        <v/>
      </c>
      <c r="NB477" s="356" t="str">
        <f t="shared" si="345"/>
        <v/>
      </c>
      <c r="NC477" s="356" t="str">
        <f t="shared" si="346"/>
        <v/>
      </c>
      <c r="ND477" s="356" t="str">
        <f t="shared" si="347"/>
        <v/>
      </c>
      <c r="NE477" s="356" t="str">
        <f t="shared" si="348"/>
        <v/>
      </c>
      <c r="NF477" s="356" t="str">
        <f t="shared" si="349"/>
        <v/>
      </c>
      <c r="NG477" s="356" t="str">
        <f t="shared" si="350"/>
        <v/>
      </c>
      <c r="NH477" s="356" t="str">
        <f t="shared" si="351"/>
        <v/>
      </c>
      <c r="NI477" s="356" t="str">
        <f t="shared" si="352"/>
        <v/>
      </c>
      <c r="NJ477" s="356" t="str">
        <f t="shared" si="353"/>
        <v/>
      </c>
      <c r="NK477" s="356" t="str">
        <f t="shared" si="354"/>
        <v/>
      </c>
      <c r="NL477" s="356" t="str">
        <f t="shared" si="355"/>
        <v/>
      </c>
      <c r="NM477" s="356" t="str">
        <f t="shared" si="356"/>
        <v/>
      </c>
      <c r="NN477" s="356" t="str">
        <f t="shared" si="357"/>
        <v/>
      </c>
      <c r="NO477" s="1640">
        <f t="shared" si="358"/>
        <v>0</v>
      </c>
      <c r="NP477" s="1640">
        <f t="shared" si="359"/>
        <v>0</v>
      </c>
      <c r="NQ477" s="1640">
        <f t="shared" si="360"/>
        <v>72</v>
      </c>
      <c r="NR477" s="1640">
        <f t="shared" si="361"/>
        <v>0</v>
      </c>
      <c r="NS477" s="1640">
        <f t="shared" si="362"/>
        <v>0</v>
      </c>
      <c r="NT477" s="1640">
        <f t="shared" si="368"/>
        <v>0</v>
      </c>
      <c r="NU477" s="1640">
        <f t="shared" si="369"/>
        <v>0</v>
      </c>
      <c r="NV477" s="1640">
        <f t="shared" si="370"/>
        <v>0</v>
      </c>
      <c r="NW477" s="1640">
        <f t="shared" si="371"/>
        <v>0</v>
      </c>
      <c r="NX477" s="1640">
        <f t="shared" si="372"/>
        <v>0</v>
      </c>
      <c r="NY477" s="1640">
        <f t="shared" si="363"/>
        <v>0</v>
      </c>
      <c r="NZ477" s="1640">
        <f t="shared" si="364"/>
        <v>0</v>
      </c>
      <c r="OA477" s="1640">
        <f t="shared" si="365"/>
        <v>0</v>
      </c>
      <c r="OB477" s="1640">
        <f t="shared" si="366"/>
        <v>0</v>
      </c>
      <c r="OC477" s="1640">
        <f t="shared" si="367"/>
        <v>0</v>
      </c>
      <c r="OY477" s="356" t="s">
        <v>4310</v>
      </c>
      <c r="OZ477" s="1784">
        <v>24</v>
      </c>
    </row>
    <row r="478" spans="1:416" ht="12" customHeight="1">
      <c r="A478" s="2706" t="str">
        <f t="shared" si="0"/>
        <v/>
      </c>
      <c r="B478" s="2725">
        <f>'Part V-Revenues &amp; Expenses'!B25</f>
        <v>80</v>
      </c>
      <c r="C478" s="2726">
        <f>'Part V-Revenues &amp; Expenses'!C25</f>
        <v>2</v>
      </c>
      <c r="D478" s="2727">
        <f>'Part V-Revenues &amp; Expenses'!D25</f>
        <v>2</v>
      </c>
      <c r="E478" s="2728">
        <f>'Part V-Revenues &amp; Expenses'!E25</f>
        <v>24</v>
      </c>
      <c r="F478" s="2728">
        <f>'Part V-Revenues &amp; Expenses'!F25</f>
        <v>971</v>
      </c>
      <c r="G478" s="2728">
        <f>'Part V-Revenues &amp; Expenses'!G25</f>
        <v>1782</v>
      </c>
      <c r="H478" s="2728">
        <f>'Part V-Revenues &amp; Expenses'!H25</f>
        <v>1497</v>
      </c>
      <c r="I478" s="2728">
        <f>'Part V-Revenues &amp; Expenses'!I25</f>
        <v>0</v>
      </c>
      <c r="J478" s="2728">
        <f>'Part V-Revenues &amp; Expenses'!J25</f>
        <v>86</v>
      </c>
      <c r="K478" s="2729">
        <f>'Part V-Revenues &amp; Expenses'!K25</f>
        <v>0</v>
      </c>
      <c r="L478" s="2730">
        <f t="shared" si="1"/>
        <v>1411</v>
      </c>
      <c r="M478" s="2730">
        <f t="shared" si="2"/>
        <v>33864</v>
      </c>
      <c r="N478" s="2580" t="str">
        <f>'Part V-Revenues &amp; Expenses'!N25</f>
        <v>No</v>
      </c>
      <c r="O478" s="1248" t="str">
        <f>'Part V-Revenues &amp; Expenses'!O25</f>
        <v>Low-Rise Elevator</v>
      </c>
      <c r="P478" s="2580" t="str">
        <f>'Part V-Revenues &amp; Expenses'!P25</f>
        <v>Rehabilitation</v>
      </c>
      <c r="Q478" s="2469" t="str">
        <f>'Part V-Revenues &amp; Expenses'!Q25</f>
        <v>No</v>
      </c>
      <c r="R478" s="2731"/>
      <c r="S478" s="2732"/>
      <c r="T478" s="2647"/>
      <c r="U478" s="2647"/>
      <c r="V478" s="2647"/>
      <c r="W478" s="2647"/>
      <c r="X478" s="356" t="str">
        <f t="shared" si="3"/>
        <v/>
      </c>
      <c r="Y478" s="356" t="str">
        <f t="shared" si="4"/>
        <v/>
      </c>
      <c r="Z478" s="356">
        <f t="shared" si="5"/>
        <v>24</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f t="shared" si="75"/>
        <v>24</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f t="shared" si="155"/>
        <v>23304</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356" t="str">
        <f t="shared" si="213"/>
        <v/>
      </c>
      <c r="IA478" s="356" t="str">
        <f t="shared" si="214"/>
        <v/>
      </c>
      <c r="IB478" s="356" t="str">
        <f t="shared" si="215"/>
        <v/>
      </c>
      <c r="IC478" s="356" t="str">
        <f t="shared" si="216"/>
        <v/>
      </c>
      <c r="ID478" s="356" t="str">
        <f t="shared" si="217"/>
        <v/>
      </c>
      <c r="IE478" s="356" t="str">
        <f t="shared" si="218"/>
        <v/>
      </c>
      <c r="IF478" s="356" t="str">
        <f t="shared" si="219"/>
        <v/>
      </c>
      <c r="IG478" s="356" t="str">
        <f t="shared" si="220"/>
        <v/>
      </c>
      <c r="IH478" s="356" t="str">
        <f t="shared" si="221"/>
        <v/>
      </c>
      <c r="II478" s="356" t="str">
        <f t="shared" si="222"/>
        <v/>
      </c>
      <c r="IJ478" s="356" t="str">
        <f t="shared" si="223"/>
        <v/>
      </c>
      <c r="IK478" s="356" t="str">
        <f t="shared" si="224"/>
        <v/>
      </c>
      <c r="IL478" s="356" t="str">
        <f t="shared" si="225"/>
        <v/>
      </c>
      <c r="IM478" s="356" t="str">
        <f t="shared" si="226"/>
        <v/>
      </c>
      <c r="IN478" s="356" t="str">
        <f t="shared" si="227"/>
        <v/>
      </c>
      <c r="IO478" s="356" t="str">
        <f t="shared" si="228"/>
        <v/>
      </c>
      <c r="IP478" s="356" t="str">
        <f t="shared" si="229"/>
        <v/>
      </c>
      <c r="IQ478" s="356" t="str">
        <f t="shared" si="230"/>
        <v/>
      </c>
      <c r="IR478" s="356" t="str">
        <f t="shared" si="231"/>
        <v/>
      </c>
      <c r="IS478" s="356" t="str">
        <f t="shared" si="232"/>
        <v/>
      </c>
      <c r="IT478" s="356" t="str">
        <f t="shared" si="233"/>
        <v/>
      </c>
      <c r="IU478" s="356" t="str">
        <f t="shared" si="234"/>
        <v/>
      </c>
      <c r="IV478" s="356">
        <f t="shared" si="235"/>
        <v>24</v>
      </c>
      <c r="IW478" s="356" t="str">
        <f t="shared" si="236"/>
        <v/>
      </c>
      <c r="IX478" s="356" t="str">
        <f t="shared" si="237"/>
        <v/>
      </c>
      <c r="IY478" s="356" t="str">
        <f t="shared" si="238"/>
        <v/>
      </c>
      <c r="IZ478" s="356" t="str">
        <f t="shared" si="239"/>
        <v/>
      </c>
      <c r="JA478" s="356" t="str">
        <f t="shared" si="240"/>
        <v/>
      </c>
      <c r="JB478" s="356" t="str">
        <f t="shared" si="241"/>
        <v/>
      </c>
      <c r="JC478" s="356" t="str">
        <f t="shared" si="242"/>
        <v/>
      </c>
      <c r="JD478" s="356" t="str">
        <f t="shared" si="243"/>
        <v/>
      </c>
      <c r="JE478" s="356" t="str">
        <f t="shared" si="244"/>
        <v/>
      </c>
      <c r="JF478" s="356" t="str">
        <f t="shared" si="245"/>
        <v/>
      </c>
      <c r="JG478" s="356" t="str">
        <f t="shared" si="246"/>
        <v/>
      </c>
      <c r="JH478" s="356" t="str">
        <f t="shared" si="247"/>
        <v/>
      </c>
      <c r="JI478" s="1785" t="str">
        <f t="shared" si="248"/>
        <v/>
      </c>
      <c r="JJ478" s="1785" t="str">
        <f t="shared" si="249"/>
        <v/>
      </c>
      <c r="JK478" s="1785">
        <f t="shared" si="250"/>
        <v>24</v>
      </c>
      <c r="JL478" s="1785" t="str">
        <f t="shared" si="251"/>
        <v/>
      </c>
      <c r="JM478" s="1785" t="str">
        <f t="shared" si="252"/>
        <v/>
      </c>
      <c r="JN478" s="1785" t="str">
        <f t="shared" si="253"/>
        <v/>
      </c>
      <c r="JO478" s="1785" t="str">
        <f t="shared" si="254"/>
        <v/>
      </c>
      <c r="JP478" s="1785" t="str">
        <f t="shared" si="255"/>
        <v/>
      </c>
      <c r="JQ478" s="1785" t="str">
        <f t="shared" si="256"/>
        <v/>
      </c>
      <c r="JR478" s="1785" t="str">
        <f t="shared" si="257"/>
        <v/>
      </c>
      <c r="JS478" s="1785" t="str">
        <f t="shared" si="258"/>
        <v/>
      </c>
      <c r="JT478" s="1785" t="str">
        <f t="shared" si="259"/>
        <v/>
      </c>
      <c r="JU478" s="1785" t="str">
        <f t="shared" si="260"/>
        <v/>
      </c>
      <c r="JV478" s="1785" t="str">
        <f t="shared" si="261"/>
        <v/>
      </c>
      <c r="JW478" s="1785" t="str">
        <f t="shared" si="262"/>
        <v/>
      </c>
      <c r="JX478" s="1785" t="str">
        <f t="shared" si="263"/>
        <v/>
      </c>
      <c r="JY478" s="1785" t="str">
        <f t="shared" si="264"/>
        <v/>
      </c>
      <c r="JZ478" s="1785" t="str">
        <f t="shared" si="265"/>
        <v/>
      </c>
      <c r="KA478" s="1785" t="str">
        <f t="shared" si="266"/>
        <v/>
      </c>
      <c r="KB478" s="1785" t="str">
        <f t="shared" si="267"/>
        <v/>
      </c>
      <c r="KC478" s="1785" t="str">
        <f t="shared" si="268"/>
        <v/>
      </c>
      <c r="KD478" s="1785" t="str">
        <f t="shared" si="269"/>
        <v/>
      </c>
      <c r="KE478" s="1785" t="str">
        <f t="shared" si="270"/>
        <v/>
      </c>
      <c r="KF478" s="1785" t="str">
        <f t="shared" si="271"/>
        <v/>
      </c>
      <c r="KG478" s="1785" t="str">
        <f t="shared" si="272"/>
        <v/>
      </c>
      <c r="KH478" s="1785" t="str">
        <f t="shared" si="273"/>
        <v/>
      </c>
      <c r="KI478" s="1785" t="str">
        <f t="shared" si="274"/>
        <v/>
      </c>
      <c r="KJ478" s="1785" t="str">
        <f t="shared" si="275"/>
        <v/>
      </c>
      <c r="KK478" s="1785" t="str">
        <f t="shared" si="276"/>
        <v/>
      </c>
      <c r="KL478" s="1785" t="str">
        <f t="shared" si="277"/>
        <v/>
      </c>
      <c r="KM478" s="1785" t="str">
        <f t="shared" si="278"/>
        <v/>
      </c>
      <c r="KN478" s="1785" t="str">
        <f t="shared" si="279"/>
        <v/>
      </c>
      <c r="KO478" s="1785" t="str">
        <f t="shared" si="280"/>
        <v/>
      </c>
      <c r="KP478" s="1785" t="str">
        <f t="shared" si="281"/>
        <v/>
      </c>
      <c r="KQ478" s="1785" t="str">
        <f t="shared" si="282"/>
        <v/>
      </c>
      <c r="KR478" s="1785" t="str">
        <f t="shared" si="283"/>
        <v/>
      </c>
      <c r="KS478" s="1785" t="str">
        <f t="shared" si="284"/>
        <v/>
      </c>
      <c r="KT478" s="1785" t="str">
        <f t="shared" si="285"/>
        <v/>
      </c>
      <c r="KU478" s="1785" t="str">
        <f t="shared" si="286"/>
        <v/>
      </c>
      <c r="KV478" s="1785" t="str">
        <f t="shared" si="287"/>
        <v/>
      </c>
      <c r="KW478" s="1785" t="str">
        <f t="shared" si="288"/>
        <v/>
      </c>
      <c r="KX478" s="1785" t="str">
        <f t="shared" si="289"/>
        <v/>
      </c>
      <c r="KY478" s="1785" t="str">
        <f t="shared" si="290"/>
        <v/>
      </c>
      <c r="KZ478" s="1785" t="str">
        <f t="shared" si="291"/>
        <v/>
      </c>
      <c r="LA478" s="1785" t="str">
        <f t="shared" si="292"/>
        <v/>
      </c>
      <c r="LB478" s="1785" t="str">
        <f t="shared" si="293"/>
        <v/>
      </c>
      <c r="LC478" s="1785" t="str">
        <f t="shared" si="294"/>
        <v/>
      </c>
      <c r="LD478" s="1785" t="str">
        <f t="shared" si="295"/>
        <v/>
      </c>
      <c r="LE478" s="1785" t="str">
        <f t="shared" si="296"/>
        <v/>
      </c>
      <c r="LF478" s="1785" t="str">
        <f t="shared" si="297"/>
        <v/>
      </c>
      <c r="LG478" s="1785" t="str">
        <f t="shared" si="298"/>
        <v/>
      </c>
      <c r="LH478" s="1785" t="str">
        <f t="shared" si="299"/>
        <v/>
      </c>
      <c r="LI478" s="1785">
        <f t="shared" si="300"/>
        <v>24</v>
      </c>
      <c r="LJ478" s="1785" t="str">
        <f t="shared" si="301"/>
        <v/>
      </c>
      <c r="LK478" s="1785" t="str">
        <f t="shared" si="302"/>
        <v/>
      </c>
      <c r="LL478" s="1785" t="str">
        <f t="shared" si="303"/>
        <v/>
      </c>
      <c r="LM478" s="1785" t="str">
        <f t="shared" si="304"/>
        <v/>
      </c>
      <c r="LN478" s="1785" t="str">
        <f t="shared" si="305"/>
        <v/>
      </c>
      <c r="LO478" s="1785" t="str">
        <f t="shared" si="306"/>
        <v/>
      </c>
      <c r="LP478" s="1785" t="str">
        <f t="shared" si="307"/>
        <v/>
      </c>
      <c r="LQ478" s="1785" t="str">
        <f t="shared" si="308"/>
        <v/>
      </c>
      <c r="LR478" s="1785" t="str">
        <f t="shared" si="309"/>
        <v/>
      </c>
      <c r="LS478" s="1785" t="str">
        <f t="shared" si="310"/>
        <v/>
      </c>
      <c r="LT478" s="1785" t="str">
        <f t="shared" si="311"/>
        <v/>
      </c>
      <c r="LU478" s="1785" t="str">
        <f t="shared" si="312"/>
        <v/>
      </c>
      <c r="LV478" s="1785" t="str">
        <f t="shared" si="313"/>
        <v/>
      </c>
      <c r="LW478" s="1785" t="str">
        <f t="shared" si="314"/>
        <v/>
      </c>
      <c r="LX478" s="1785" t="str">
        <f t="shared" si="315"/>
        <v/>
      </c>
      <c r="LY478" s="1785" t="str">
        <f t="shared" si="316"/>
        <v/>
      </c>
      <c r="LZ478" s="1785" t="str">
        <f t="shared" si="317"/>
        <v/>
      </c>
      <c r="MA478" s="1785" t="str">
        <f t="shared" si="318"/>
        <v/>
      </c>
      <c r="MB478" s="1785" t="str">
        <f t="shared" si="319"/>
        <v/>
      </c>
      <c r="MC478" s="1785" t="str">
        <f t="shared" si="320"/>
        <v/>
      </c>
      <c r="MD478" s="1785" t="str">
        <f t="shared" si="321"/>
        <v/>
      </c>
      <c r="ME478" s="1785" t="str">
        <f t="shared" si="322"/>
        <v/>
      </c>
      <c r="MF478" s="1785" t="str">
        <f t="shared" si="323"/>
        <v/>
      </c>
      <c r="MG478" s="1785" t="str">
        <f t="shared" si="324"/>
        <v/>
      </c>
      <c r="MH478" s="1785" t="str">
        <f t="shared" si="325"/>
        <v/>
      </c>
      <c r="MI478" s="1785" t="str">
        <f t="shared" si="326"/>
        <v/>
      </c>
      <c r="MJ478" s="1785" t="str">
        <f t="shared" si="327"/>
        <v/>
      </c>
      <c r="MK478" s="1785" t="str">
        <f t="shared" si="328"/>
        <v/>
      </c>
      <c r="ML478" s="1785" t="str">
        <f t="shared" si="329"/>
        <v/>
      </c>
      <c r="MM478" s="1785" t="str">
        <f t="shared" si="330"/>
        <v/>
      </c>
      <c r="MN478" s="1785" t="str">
        <f t="shared" si="331"/>
        <v/>
      </c>
      <c r="MO478" s="1785" t="str">
        <f t="shared" si="332"/>
        <v/>
      </c>
      <c r="MP478" s="2470" t="str">
        <f t="shared" si="333"/>
        <v/>
      </c>
      <c r="MQ478" s="2470" t="str">
        <f t="shared" si="334"/>
        <v/>
      </c>
      <c r="MR478" s="2470" t="str">
        <f t="shared" si="335"/>
        <v/>
      </c>
      <c r="MS478" s="2470" t="str">
        <f t="shared" si="336"/>
        <v/>
      </c>
      <c r="MT478" s="2470" t="str">
        <f t="shared" si="337"/>
        <v/>
      </c>
      <c r="MU478" s="356" t="str">
        <f t="shared" si="338"/>
        <v/>
      </c>
      <c r="MV478" s="356" t="str">
        <f t="shared" si="339"/>
        <v/>
      </c>
      <c r="MW478" s="356" t="str">
        <f t="shared" si="340"/>
        <v/>
      </c>
      <c r="MX478" s="356" t="str">
        <f t="shared" si="341"/>
        <v/>
      </c>
      <c r="MY478" s="356" t="str">
        <f t="shared" si="342"/>
        <v/>
      </c>
      <c r="MZ478" s="356" t="str">
        <f t="shared" si="343"/>
        <v/>
      </c>
      <c r="NA478" s="356" t="str">
        <f t="shared" si="344"/>
        <v/>
      </c>
      <c r="NB478" s="356" t="str">
        <f t="shared" si="345"/>
        <v/>
      </c>
      <c r="NC478" s="356" t="str">
        <f t="shared" si="346"/>
        <v/>
      </c>
      <c r="ND478" s="356" t="str">
        <f t="shared" si="347"/>
        <v/>
      </c>
      <c r="NE478" s="356" t="str">
        <f t="shared" si="348"/>
        <v/>
      </c>
      <c r="NF478" s="356" t="str">
        <f t="shared" si="349"/>
        <v/>
      </c>
      <c r="NG478" s="356" t="str">
        <f t="shared" si="350"/>
        <v/>
      </c>
      <c r="NH478" s="356" t="str">
        <f t="shared" si="351"/>
        <v/>
      </c>
      <c r="NI478" s="356" t="str">
        <f t="shared" si="352"/>
        <v/>
      </c>
      <c r="NJ478" s="356" t="str">
        <f t="shared" si="353"/>
        <v/>
      </c>
      <c r="NK478" s="356" t="str">
        <f t="shared" si="354"/>
        <v/>
      </c>
      <c r="NL478" s="356" t="str">
        <f t="shared" si="355"/>
        <v/>
      </c>
      <c r="NM478" s="356" t="str">
        <f t="shared" si="356"/>
        <v/>
      </c>
      <c r="NN478" s="356" t="str">
        <f t="shared" si="357"/>
        <v/>
      </c>
      <c r="NO478" s="1640">
        <f t="shared" si="358"/>
        <v>0</v>
      </c>
      <c r="NP478" s="1640">
        <f t="shared" si="359"/>
        <v>0</v>
      </c>
      <c r="NQ478" s="1640">
        <f t="shared" si="360"/>
        <v>24</v>
      </c>
      <c r="NR478" s="1640">
        <f t="shared" si="361"/>
        <v>0</v>
      </c>
      <c r="NS478" s="1640">
        <f t="shared" si="362"/>
        <v>0</v>
      </c>
      <c r="NT478" s="1640">
        <f t="shared" si="368"/>
        <v>0</v>
      </c>
      <c r="NU478" s="1640">
        <f t="shared" si="369"/>
        <v>0</v>
      </c>
      <c r="NV478" s="1640">
        <f t="shared" si="370"/>
        <v>0</v>
      </c>
      <c r="NW478" s="1640">
        <f t="shared" si="371"/>
        <v>0</v>
      </c>
      <c r="NX478" s="1640">
        <f t="shared" si="372"/>
        <v>0</v>
      </c>
      <c r="NY478" s="1640">
        <f t="shared" si="363"/>
        <v>0</v>
      </c>
      <c r="NZ478" s="1640">
        <f t="shared" si="364"/>
        <v>0</v>
      </c>
      <c r="OA478" s="1640">
        <f t="shared" si="365"/>
        <v>0</v>
      </c>
      <c r="OB478" s="1640">
        <f t="shared" si="366"/>
        <v>0</v>
      </c>
      <c r="OC478" s="1640">
        <f t="shared" si="367"/>
        <v>0</v>
      </c>
      <c r="OY478" s="356" t="s">
        <v>4311</v>
      </c>
      <c r="OZ478" s="1640">
        <v>25</v>
      </c>
    </row>
    <row r="479" spans="1:416" ht="12" customHeight="1">
      <c r="A479" s="2706" t="str">
        <f t="shared" si="0"/>
        <v/>
      </c>
      <c r="B479" s="2725">
        <f>'Part V-Revenues &amp; Expenses'!B26</f>
        <v>0</v>
      </c>
      <c r="C479" s="2726">
        <f>'Part V-Revenues &amp; Expenses'!C26</f>
        <v>0</v>
      </c>
      <c r="D479" s="2727">
        <f>'Part V-Revenues &amp; Expenses'!D26</f>
        <v>0</v>
      </c>
      <c r="E479" s="2728">
        <f>'Part V-Revenues &amp; Expenses'!E26</f>
        <v>0</v>
      </c>
      <c r="F479" s="2728">
        <f>'Part V-Revenues &amp; Expenses'!F26</f>
        <v>0</v>
      </c>
      <c r="G479" s="2728">
        <f>'Part V-Revenues &amp; Expenses'!G26</f>
        <v>0</v>
      </c>
      <c r="H479" s="2728">
        <f>'Part V-Revenues &amp; Expenses'!H26</f>
        <v>0</v>
      </c>
      <c r="I479" s="2728">
        <f>'Part V-Revenues &amp; Expenses'!I26</f>
        <v>0</v>
      </c>
      <c r="J479" s="2728">
        <f>'Part V-Revenues &amp; Expenses'!J26</f>
        <v>0</v>
      </c>
      <c r="K479" s="2729">
        <f>'Part V-Revenues &amp; Expenses'!K26</f>
        <v>0</v>
      </c>
      <c r="L479" s="2730">
        <f t="shared" si="1"/>
        <v>0</v>
      </c>
      <c r="M479" s="2730">
        <f t="shared" si="2"/>
        <v>0</v>
      </c>
      <c r="N479" s="2580">
        <f>'Part V-Revenues &amp; Expenses'!N26</f>
        <v>0</v>
      </c>
      <c r="O479" s="1248">
        <f>'Part V-Revenues &amp; Expenses'!O26</f>
        <v>0</v>
      </c>
      <c r="P479" s="2580">
        <f>'Part V-Revenues &amp; Expenses'!P26</f>
        <v>0</v>
      </c>
      <c r="Q479" s="2469">
        <f>'Part V-Revenues &amp; Expenses'!Q26</f>
        <v>0</v>
      </c>
      <c r="R479" s="2731"/>
      <c r="S479" s="2732"/>
      <c r="T479" s="2647"/>
      <c r="U479" s="2647"/>
      <c r="V479" s="2647"/>
      <c r="W479" s="2647"/>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356" t="str">
        <f t="shared" si="213"/>
        <v/>
      </c>
      <c r="IA479" s="356" t="str">
        <f t="shared" si="214"/>
        <v/>
      </c>
      <c r="IB479" s="356" t="str">
        <f t="shared" si="215"/>
        <v/>
      </c>
      <c r="IC479" s="356" t="str">
        <f t="shared" si="216"/>
        <v/>
      </c>
      <c r="ID479" s="356" t="str">
        <f t="shared" si="217"/>
        <v/>
      </c>
      <c r="IE479" s="356" t="str">
        <f t="shared" si="218"/>
        <v/>
      </c>
      <c r="IF479" s="356" t="str">
        <f t="shared" si="219"/>
        <v/>
      </c>
      <c r="IG479" s="356" t="str">
        <f t="shared" si="220"/>
        <v/>
      </c>
      <c r="IH479" s="356" t="str">
        <f t="shared" si="221"/>
        <v/>
      </c>
      <c r="II479" s="356" t="str">
        <f t="shared" si="222"/>
        <v/>
      </c>
      <c r="IJ479" s="356" t="str">
        <f t="shared" si="223"/>
        <v/>
      </c>
      <c r="IK479" s="356" t="str">
        <f t="shared" si="224"/>
        <v/>
      </c>
      <c r="IL479" s="356" t="str">
        <f t="shared" si="225"/>
        <v/>
      </c>
      <c r="IM479" s="356" t="str">
        <f t="shared" si="226"/>
        <v/>
      </c>
      <c r="IN479" s="356" t="str">
        <f t="shared" si="227"/>
        <v/>
      </c>
      <c r="IO479" s="356" t="str">
        <f t="shared" si="228"/>
        <v/>
      </c>
      <c r="IP479" s="356" t="str">
        <f t="shared" si="229"/>
        <v/>
      </c>
      <c r="IQ479" s="356" t="str">
        <f t="shared" si="230"/>
        <v/>
      </c>
      <c r="IR479" s="356" t="str">
        <f t="shared" si="231"/>
        <v/>
      </c>
      <c r="IS479" s="356" t="str">
        <f t="shared" si="232"/>
        <v/>
      </c>
      <c r="IT479" s="356" t="str">
        <f t="shared" si="233"/>
        <v/>
      </c>
      <c r="IU479" s="356" t="str">
        <f t="shared" si="234"/>
        <v/>
      </c>
      <c r="IV479" s="356" t="str">
        <f t="shared" si="235"/>
        <v/>
      </c>
      <c r="IW479" s="356" t="str">
        <f t="shared" si="236"/>
        <v/>
      </c>
      <c r="IX479" s="356" t="str">
        <f t="shared" si="237"/>
        <v/>
      </c>
      <c r="IY479" s="356" t="str">
        <f t="shared" si="238"/>
        <v/>
      </c>
      <c r="IZ479" s="356" t="str">
        <f t="shared" si="239"/>
        <v/>
      </c>
      <c r="JA479" s="356" t="str">
        <f t="shared" si="240"/>
        <v/>
      </c>
      <c r="JB479" s="356" t="str">
        <f t="shared" si="241"/>
        <v/>
      </c>
      <c r="JC479" s="356" t="str">
        <f t="shared" si="242"/>
        <v/>
      </c>
      <c r="JD479" s="356" t="str">
        <f t="shared" si="243"/>
        <v/>
      </c>
      <c r="JE479" s="356" t="str">
        <f t="shared" si="244"/>
        <v/>
      </c>
      <c r="JF479" s="356" t="str">
        <f t="shared" si="245"/>
        <v/>
      </c>
      <c r="JG479" s="356" t="str">
        <f t="shared" si="246"/>
        <v/>
      </c>
      <c r="JH479" s="356" t="str">
        <f t="shared" si="247"/>
        <v/>
      </c>
      <c r="JI479" s="1785" t="str">
        <f t="shared" si="248"/>
        <v/>
      </c>
      <c r="JJ479" s="1785" t="str">
        <f t="shared" si="249"/>
        <v/>
      </c>
      <c r="JK479" s="1785" t="str">
        <f t="shared" si="250"/>
        <v/>
      </c>
      <c r="JL479" s="1785" t="str">
        <f t="shared" si="251"/>
        <v/>
      </c>
      <c r="JM479" s="1785" t="str">
        <f t="shared" si="252"/>
        <v/>
      </c>
      <c r="JN479" s="1785" t="str">
        <f t="shared" si="253"/>
        <v/>
      </c>
      <c r="JO479" s="1785" t="str">
        <f t="shared" si="254"/>
        <v/>
      </c>
      <c r="JP479" s="1785" t="str">
        <f t="shared" si="255"/>
        <v/>
      </c>
      <c r="JQ479" s="1785" t="str">
        <f t="shared" si="256"/>
        <v/>
      </c>
      <c r="JR479" s="1785" t="str">
        <f t="shared" si="257"/>
        <v/>
      </c>
      <c r="JS479" s="1785" t="str">
        <f t="shared" si="258"/>
        <v/>
      </c>
      <c r="JT479" s="1785" t="str">
        <f t="shared" si="259"/>
        <v/>
      </c>
      <c r="JU479" s="1785" t="str">
        <f t="shared" si="260"/>
        <v/>
      </c>
      <c r="JV479" s="1785" t="str">
        <f t="shared" si="261"/>
        <v/>
      </c>
      <c r="JW479" s="1785" t="str">
        <f t="shared" si="262"/>
        <v/>
      </c>
      <c r="JX479" s="1785" t="str">
        <f t="shared" si="263"/>
        <v/>
      </c>
      <c r="JY479" s="1785" t="str">
        <f t="shared" si="264"/>
        <v/>
      </c>
      <c r="JZ479" s="1785" t="str">
        <f t="shared" si="265"/>
        <v/>
      </c>
      <c r="KA479" s="1785" t="str">
        <f t="shared" si="266"/>
        <v/>
      </c>
      <c r="KB479" s="1785" t="str">
        <f t="shared" si="267"/>
        <v/>
      </c>
      <c r="KC479" s="1785" t="str">
        <f t="shared" si="268"/>
        <v/>
      </c>
      <c r="KD479" s="1785" t="str">
        <f t="shared" si="269"/>
        <v/>
      </c>
      <c r="KE479" s="1785" t="str">
        <f t="shared" si="270"/>
        <v/>
      </c>
      <c r="KF479" s="1785" t="str">
        <f t="shared" si="271"/>
        <v/>
      </c>
      <c r="KG479" s="1785" t="str">
        <f t="shared" si="272"/>
        <v/>
      </c>
      <c r="KH479" s="1785" t="str">
        <f t="shared" si="273"/>
        <v/>
      </c>
      <c r="KI479" s="1785" t="str">
        <f t="shared" si="274"/>
        <v/>
      </c>
      <c r="KJ479" s="1785" t="str">
        <f t="shared" si="275"/>
        <v/>
      </c>
      <c r="KK479" s="1785" t="str">
        <f t="shared" si="276"/>
        <v/>
      </c>
      <c r="KL479" s="1785" t="str">
        <f t="shared" si="277"/>
        <v/>
      </c>
      <c r="KM479" s="1785" t="str">
        <f t="shared" si="278"/>
        <v/>
      </c>
      <c r="KN479" s="1785" t="str">
        <f t="shared" si="279"/>
        <v/>
      </c>
      <c r="KO479" s="1785" t="str">
        <f t="shared" si="280"/>
        <v/>
      </c>
      <c r="KP479" s="1785" t="str">
        <f t="shared" si="281"/>
        <v/>
      </c>
      <c r="KQ479" s="1785" t="str">
        <f t="shared" si="282"/>
        <v/>
      </c>
      <c r="KR479" s="1785" t="str">
        <f t="shared" si="283"/>
        <v/>
      </c>
      <c r="KS479" s="1785" t="str">
        <f t="shared" si="284"/>
        <v/>
      </c>
      <c r="KT479" s="1785" t="str">
        <f t="shared" si="285"/>
        <v/>
      </c>
      <c r="KU479" s="1785" t="str">
        <f t="shared" si="286"/>
        <v/>
      </c>
      <c r="KV479" s="1785" t="str">
        <f t="shared" si="287"/>
        <v/>
      </c>
      <c r="KW479" s="1785" t="str">
        <f t="shared" si="288"/>
        <v/>
      </c>
      <c r="KX479" s="1785" t="str">
        <f t="shared" si="289"/>
        <v/>
      </c>
      <c r="KY479" s="1785" t="str">
        <f t="shared" si="290"/>
        <v/>
      </c>
      <c r="KZ479" s="1785" t="str">
        <f t="shared" si="291"/>
        <v/>
      </c>
      <c r="LA479" s="1785" t="str">
        <f t="shared" si="292"/>
        <v/>
      </c>
      <c r="LB479" s="1785" t="str">
        <f t="shared" si="293"/>
        <v/>
      </c>
      <c r="LC479" s="1785" t="str">
        <f t="shared" si="294"/>
        <v/>
      </c>
      <c r="LD479" s="1785" t="str">
        <f t="shared" si="295"/>
        <v/>
      </c>
      <c r="LE479" s="1785" t="str">
        <f t="shared" si="296"/>
        <v/>
      </c>
      <c r="LF479" s="1785" t="str">
        <f t="shared" si="297"/>
        <v/>
      </c>
      <c r="LG479" s="1785" t="str">
        <f t="shared" si="298"/>
        <v/>
      </c>
      <c r="LH479" s="1785" t="str">
        <f t="shared" si="299"/>
        <v/>
      </c>
      <c r="LI479" s="1785" t="str">
        <f t="shared" si="300"/>
        <v/>
      </c>
      <c r="LJ479" s="1785" t="str">
        <f t="shared" si="301"/>
        <v/>
      </c>
      <c r="LK479" s="1785" t="str">
        <f t="shared" si="302"/>
        <v/>
      </c>
      <c r="LL479" s="1785" t="str">
        <f t="shared" si="303"/>
        <v/>
      </c>
      <c r="LM479" s="1785" t="str">
        <f t="shared" si="304"/>
        <v/>
      </c>
      <c r="LN479" s="1785" t="str">
        <f t="shared" si="305"/>
        <v/>
      </c>
      <c r="LO479" s="1785" t="str">
        <f t="shared" si="306"/>
        <v/>
      </c>
      <c r="LP479" s="1785" t="str">
        <f t="shared" si="307"/>
        <v/>
      </c>
      <c r="LQ479" s="1785" t="str">
        <f t="shared" si="308"/>
        <v/>
      </c>
      <c r="LR479" s="1785" t="str">
        <f t="shared" si="309"/>
        <v/>
      </c>
      <c r="LS479" s="1785" t="str">
        <f t="shared" si="310"/>
        <v/>
      </c>
      <c r="LT479" s="1785" t="str">
        <f t="shared" si="311"/>
        <v/>
      </c>
      <c r="LU479" s="1785" t="str">
        <f t="shared" si="312"/>
        <v/>
      </c>
      <c r="LV479" s="1785" t="str">
        <f t="shared" si="313"/>
        <v/>
      </c>
      <c r="LW479" s="1785" t="str">
        <f t="shared" si="314"/>
        <v/>
      </c>
      <c r="LX479" s="1785" t="str">
        <f t="shared" si="315"/>
        <v/>
      </c>
      <c r="LY479" s="1785" t="str">
        <f t="shared" si="316"/>
        <v/>
      </c>
      <c r="LZ479" s="1785" t="str">
        <f t="shared" si="317"/>
        <v/>
      </c>
      <c r="MA479" s="1785" t="str">
        <f t="shared" si="318"/>
        <v/>
      </c>
      <c r="MB479" s="1785" t="str">
        <f t="shared" si="319"/>
        <v/>
      </c>
      <c r="MC479" s="1785" t="str">
        <f t="shared" si="320"/>
        <v/>
      </c>
      <c r="MD479" s="1785" t="str">
        <f t="shared" si="321"/>
        <v/>
      </c>
      <c r="ME479" s="1785" t="str">
        <f t="shared" si="322"/>
        <v/>
      </c>
      <c r="MF479" s="1785" t="str">
        <f t="shared" si="323"/>
        <v/>
      </c>
      <c r="MG479" s="1785" t="str">
        <f t="shared" si="324"/>
        <v/>
      </c>
      <c r="MH479" s="1785" t="str">
        <f t="shared" si="325"/>
        <v/>
      </c>
      <c r="MI479" s="1785" t="str">
        <f t="shared" si="326"/>
        <v/>
      </c>
      <c r="MJ479" s="1785" t="str">
        <f t="shared" si="327"/>
        <v/>
      </c>
      <c r="MK479" s="1785" t="str">
        <f t="shared" si="328"/>
        <v/>
      </c>
      <c r="ML479" s="1785" t="str">
        <f t="shared" si="329"/>
        <v/>
      </c>
      <c r="MM479" s="1785" t="str">
        <f t="shared" si="330"/>
        <v/>
      </c>
      <c r="MN479" s="1785" t="str">
        <f t="shared" si="331"/>
        <v/>
      </c>
      <c r="MO479" s="1785" t="str">
        <f t="shared" si="332"/>
        <v/>
      </c>
      <c r="MP479" s="2470" t="str">
        <f t="shared" si="333"/>
        <v/>
      </c>
      <c r="MQ479" s="2470" t="str">
        <f t="shared" si="334"/>
        <v/>
      </c>
      <c r="MR479" s="2470" t="str">
        <f t="shared" si="335"/>
        <v/>
      </c>
      <c r="MS479" s="2470" t="str">
        <f t="shared" si="336"/>
        <v/>
      </c>
      <c r="MT479" s="2470" t="str">
        <f t="shared" si="337"/>
        <v/>
      </c>
      <c r="MU479" s="356" t="str">
        <f t="shared" si="338"/>
        <v/>
      </c>
      <c r="MV479" s="356" t="str">
        <f t="shared" si="339"/>
        <v/>
      </c>
      <c r="MW479" s="356" t="str">
        <f t="shared" si="340"/>
        <v/>
      </c>
      <c r="MX479" s="356" t="str">
        <f t="shared" si="341"/>
        <v/>
      </c>
      <c r="MY479" s="356" t="str">
        <f t="shared" si="342"/>
        <v/>
      </c>
      <c r="MZ479" s="356" t="str">
        <f t="shared" si="343"/>
        <v/>
      </c>
      <c r="NA479" s="356" t="str">
        <f t="shared" si="344"/>
        <v/>
      </c>
      <c r="NB479" s="356" t="str">
        <f t="shared" si="345"/>
        <v/>
      </c>
      <c r="NC479" s="356" t="str">
        <f t="shared" si="346"/>
        <v/>
      </c>
      <c r="ND479" s="356" t="str">
        <f t="shared" si="347"/>
        <v/>
      </c>
      <c r="NE479" s="356" t="str">
        <f t="shared" si="348"/>
        <v/>
      </c>
      <c r="NF479" s="356" t="str">
        <f t="shared" si="349"/>
        <v/>
      </c>
      <c r="NG479" s="356" t="str">
        <f t="shared" si="350"/>
        <v/>
      </c>
      <c r="NH479" s="356" t="str">
        <f t="shared" si="351"/>
        <v/>
      </c>
      <c r="NI479" s="356" t="str">
        <f t="shared" si="352"/>
        <v/>
      </c>
      <c r="NJ479" s="356" t="str">
        <f t="shared" si="353"/>
        <v/>
      </c>
      <c r="NK479" s="356" t="str">
        <f t="shared" si="354"/>
        <v/>
      </c>
      <c r="NL479" s="356" t="str">
        <f t="shared" si="355"/>
        <v/>
      </c>
      <c r="NM479" s="356" t="str">
        <f t="shared" si="356"/>
        <v/>
      </c>
      <c r="NN479" s="356" t="str">
        <f t="shared" si="357"/>
        <v/>
      </c>
      <c r="NO479" s="1640">
        <f t="shared" si="358"/>
        <v>0</v>
      </c>
      <c r="NP479" s="1640">
        <f t="shared" si="359"/>
        <v>0</v>
      </c>
      <c r="NQ479" s="1640">
        <f t="shared" si="360"/>
        <v>0</v>
      </c>
      <c r="NR479" s="1640">
        <f t="shared" si="361"/>
        <v>0</v>
      </c>
      <c r="NS479" s="1640">
        <f t="shared" si="362"/>
        <v>0</v>
      </c>
      <c r="NT479" s="1640">
        <f t="shared" si="368"/>
        <v>0</v>
      </c>
      <c r="NU479" s="1640">
        <f t="shared" si="369"/>
        <v>0</v>
      </c>
      <c r="NV479" s="1640">
        <f t="shared" si="370"/>
        <v>0</v>
      </c>
      <c r="NW479" s="1640">
        <f t="shared" si="371"/>
        <v>0</v>
      </c>
      <c r="NX479" s="1640">
        <f t="shared" si="372"/>
        <v>0</v>
      </c>
      <c r="NY479" s="1640">
        <f t="shared" si="363"/>
        <v>0</v>
      </c>
      <c r="NZ479" s="1640">
        <f t="shared" si="364"/>
        <v>0</v>
      </c>
      <c r="OA479" s="1640">
        <f t="shared" si="365"/>
        <v>0</v>
      </c>
      <c r="OB479" s="1640">
        <f t="shared" si="366"/>
        <v>0</v>
      </c>
      <c r="OC479" s="1640">
        <f t="shared" si="367"/>
        <v>0</v>
      </c>
      <c r="OY479" s="356" t="s">
        <v>4312</v>
      </c>
      <c r="OZ479" s="1784">
        <v>26</v>
      </c>
    </row>
    <row r="480" spans="1:416" ht="12" customHeight="1">
      <c r="A480" s="2706" t="str">
        <f t="shared" si="0"/>
        <v/>
      </c>
      <c r="B480" s="2725">
        <f>'Part V-Revenues &amp; Expenses'!B27</f>
        <v>0</v>
      </c>
      <c r="C480" s="2726">
        <f>'Part V-Revenues &amp; Expenses'!C27</f>
        <v>0</v>
      </c>
      <c r="D480" s="2727">
        <f>'Part V-Revenues &amp; Expenses'!D27</f>
        <v>0</v>
      </c>
      <c r="E480" s="2728">
        <f>'Part V-Revenues &amp; Expenses'!E27</f>
        <v>0</v>
      </c>
      <c r="F480" s="2728">
        <f>'Part V-Revenues &amp; Expenses'!F27</f>
        <v>0</v>
      </c>
      <c r="G480" s="2728">
        <f>'Part V-Revenues &amp; Expenses'!G27</f>
        <v>0</v>
      </c>
      <c r="H480" s="2728">
        <f>'Part V-Revenues &amp; Expenses'!H27</f>
        <v>0</v>
      </c>
      <c r="I480" s="2728">
        <f>'Part V-Revenues &amp; Expenses'!I27</f>
        <v>0</v>
      </c>
      <c r="J480" s="2728">
        <f>'Part V-Revenues &amp; Expenses'!J27</f>
        <v>0</v>
      </c>
      <c r="K480" s="2729">
        <f>'Part V-Revenues &amp; Expenses'!K27</f>
        <v>0</v>
      </c>
      <c r="L480" s="2730">
        <f t="shared" si="1"/>
        <v>0</v>
      </c>
      <c r="M480" s="2730">
        <f t="shared" si="2"/>
        <v>0</v>
      </c>
      <c r="N480" s="2580">
        <f>'Part V-Revenues &amp; Expenses'!N27</f>
        <v>0</v>
      </c>
      <c r="O480" s="1248">
        <f>'Part V-Revenues &amp; Expenses'!O27</f>
        <v>0</v>
      </c>
      <c r="P480" s="2580">
        <f>'Part V-Revenues &amp; Expenses'!P27</f>
        <v>0</v>
      </c>
      <c r="Q480" s="2469">
        <f>'Part V-Revenues &amp; Expenses'!Q27</f>
        <v>0</v>
      </c>
      <c r="R480" s="2731"/>
      <c r="S480" s="2732"/>
      <c r="T480" s="2647"/>
      <c r="U480" s="2647"/>
      <c r="V480" s="2647"/>
      <c r="W480" s="2647"/>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356" t="str">
        <f t="shared" si="213"/>
        <v/>
      </c>
      <c r="IA480" s="356" t="str">
        <f t="shared" si="214"/>
        <v/>
      </c>
      <c r="IB480" s="356" t="str">
        <f t="shared" si="215"/>
        <v/>
      </c>
      <c r="IC480" s="356" t="str">
        <f t="shared" si="216"/>
        <v/>
      </c>
      <c r="ID480" s="356" t="str">
        <f t="shared" si="217"/>
        <v/>
      </c>
      <c r="IE480" s="356" t="str">
        <f t="shared" si="218"/>
        <v/>
      </c>
      <c r="IF480" s="356" t="str">
        <f t="shared" si="219"/>
        <v/>
      </c>
      <c r="IG480" s="356" t="str">
        <f t="shared" si="220"/>
        <v/>
      </c>
      <c r="IH480" s="356" t="str">
        <f t="shared" si="221"/>
        <v/>
      </c>
      <c r="II480" s="356" t="str">
        <f t="shared" si="222"/>
        <v/>
      </c>
      <c r="IJ480" s="356" t="str">
        <f t="shared" si="223"/>
        <v/>
      </c>
      <c r="IK480" s="356" t="str">
        <f t="shared" si="224"/>
        <v/>
      </c>
      <c r="IL480" s="356" t="str">
        <f t="shared" si="225"/>
        <v/>
      </c>
      <c r="IM480" s="356" t="str">
        <f t="shared" si="226"/>
        <v/>
      </c>
      <c r="IN480" s="356" t="str">
        <f t="shared" si="227"/>
        <v/>
      </c>
      <c r="IO480" s="356" t="str">
        <f t="shared" si="228"/>
        <v/>
      </c>
      <c r="IP480" s="356" t="str">
        <f t="shared" si="229"/>
        <v/>
      </c>
      <c r="IQ480" s="356" t="str">
        <f t="shared" si="230"/>
        <v/>
      </c>
      <c r="IR480" s="356" t="str">
        <f t="shared" si="231"/>
        <v/>
      </c>
      <c r="IS480" s="356" t="str">
        <f t="shared" si="232"/>
        <v/>
      </c>
      <c r="IT480" s="356" t="str">
        <f t="shared" si="233"/>
        <v/>
      </c>
      <c r="IU480" s="356" t="str">
        <f t="shared" si="234"/>
        <v/>
      </c>
      <c r="IV480" s="356" t="str">
        <f t="shared" si="235"/>
        <v/>
      </c>
      <c r="IW480" s="356" t="str">
        <f t="shared" si="236"/>
        <v/>
      </c>
      <c r="IX480" s="356" t="str">
        <f t="shared" si="237"/>
        <v/>
      </c>
      <c r="IY480" s="356" t="str">
        <f t="shared" si="238"/>
        <v/>
      </c>
      <c r="IZ480" s="356" t="str">
        <f t="shared" si="239"/>
        <v/>
      </c>
      <c r="JA480" s="356" t="str">
        <f t="shared" si="240"/>
        <v/>
      </c>
      <c r="JB480" s="356" t="str">
        <f t="shared" si="241"/>
        <v/>
      </c>
      <c r="JC480" s="356" t="str">
        <f t="shared" si="242"/>
        <v/>
      </c>
      <c r="JD480" s="356" t="str">
        <f t="shared" si="243"/>
        <v/>
      </c>
      <c r="JE480" s="356" t="str">
        <f t="shared" si="244"/>
        <v/>
      </c>
      <c r="JF480" s="356" t="str">
        <f t="shared" si="245"/>
        <v/>
      </c>
      <c r="JG480" s="356" t="str">
        <f t="shared" si="246"/>
        <v/>
      </c>
      <c r="JH480" s="356" t="str">
        <f t="shared" si="247"/>
        <v/>
      </c>
      <c r="JI480" s="1785" t="str">
        <f t="shared" si="248"/>
        <v/>
      </c>
      <c r="JJ480" s="1785" t="str">
        <f t="shared" si="249"/>
        <v/>
      </c>
      <c r="JK480" s="1785" t="str">
        <f t="shared" si="250"/>
        <v/>
      </c>
      <c r="JL480" s="1785" t="str">
        <f t="shared" si="251"/>
        <v/>
      </c>
      <c r="JM480" s="1785" t="str">
        <f t="shared" si="252"/>
        <v/>
      </c>
      <c r="JN480" s="1785" t="str">
        <f t="shared" si="253"/>
        <v/>
      </c>
      <c r="JO480" s="1785" t="str">
        <f t="shared" si="254"/>
        <v/>
      </c>
      <c r="JP480" s="1785" t="str">
        <f t="shared" si="255"/>
        <v/>
      </c>
      <c r="JQ480" s="1785" t="str">
        <f t="shared" si="256"/>
        <v/>
      </c>
      <c r="JR480" s="1785" t="str">
        <f t="shared" si="257"/>
        <v/>
      </c>
      <c r="JS480" s="1785" t="str">
        <f t="shared" si="258"/>
        <v/>
      </c>
      <c r="JT480" s="1785" t="str">
        <f t="shared" si="259"/>
        <v/>
      </c>
      <c r="JU480" s="1785" t="str">
        <f t="shared" si="260"/>
        <v/>
      </c>
      <c r="JV480" s="1785" t="str">
        <f t="shared" si="261"/>
        <v/>
      </c>
      <c r="JW480" s="1785" t="str">
        <f t="shared" si="262"/>
        <v/>
      </c>
      <c r="JX480" s="1785" t="str">
        <f t="shared" si="263"/>
        <v/>
      </c>
      <c r="JY480" s="1785" t="str">
        <f t="shared" si="264"/>
        <v/>
      </c>
      <c r="JZ480" s="1785" t="str">
        <f t="shared" si="265"/>
        <v/>
      </c>
      <c r="KA480" s="1785" t="str">
        <f t="shared" si="266"/>
        <v/>
      </c>
      <c r="KB480" s="1785" t="str">
        <f t="shared" si="267"/>
        <v/>
      </c>
      <c r="KC480" s="1785" t="str">
        <f t="shared" si="268"/>
        <v/>
      </c>
      <c r="KD480" s="1785" t="str">
        <f t="shared" si="269"/>
        <v/>
      </c>
      <c r="KE480" s="1785" t="str">
        <f t="shared" si="270"/>
        <v/>
      </c>
      <c r="KF480" s="1785" t="str">
        <f t="shared" si="271"/>
        <v/>
      </c>
      <c r="KG480" s="1785" t="str">
        <f t="shared" si="272"/>
        <v/>
      </c>
      <c r="KH480" s="1785" t="str">
        <f t="shared" si="273"/>
        <v/>
      </c>
      <c r="KI480" s="1785" t="str">
        <f t="shared" si="274"/>
        <v/>
      </c>
      <c r="KJ480" s="1785" t="str">
        <f t="shared" si="275"/>
        <v/>
      </c>
      <c r="KK480" s="1785" t="str">
        <f t="shared" si="276"/>
        <v/>
      </c>
      <c r="KL480" s="1785" t="str">
        <f t="shared" si="277"/>
        <v/>
      </c>
      <c r="KM480" s="1785" t="str">
        <f t="shared" si="278"/>
        <v/>
      </c>
      <c r="KN480" s="1785" t="str">
        <f t="shared" si="279"/>
        <v/>
      </c>
      <c r="KO480" s="1785" t="str">
        <f t="shared" si="280"/>
        <v/>
      </c>
      <c r="KP480" s="1785" t="str">
        <f t="shared" si="281"/>
        <v/>
      </c>
      <c r="KQ480" s="1785" t="str">
        <f t="shared" si="282"/>
        <v/>
      </c>
      <c r="KR480" s="1785" t="str">
        <f t="shared" si="283"/>
        <v/>
      </c>
      <c r="KS480" s="1785" t="str">
        <f t="shared" si="284"/>
        <v/>
      </c>
      <c r="KT480" s="1785" t="str">
        <f t="shared" si="285"/>
        <v/>
      </c>
      <c r="KU480" s="1785" t="str">
        <f t="shared" si="286"/>
        <v/>
      </c>
      <c r="KV480" s="1785" t="str">
        <f t="shared" si="287"/>
        <v/>
      </c>
      <c r="KW480" s="1785" t="str">
        <f t="shared" si="288"/>
        <v/>
      </c>
      <c r="KX480" s="1785" t="str">
        <f t="shared" si="289"/>
        <v/>
      </c>
      <c r="KY480" s="1785" t="str">
        <f t="shared" si="290"/>
        <v/>
      </c>
      <c r="KZ480" s="1785" t="str">
        <f t="shared" si="291"/>
        <v/>
      </c>
      <c r="LA480" s="1785" t="str">
        <f t="shared" si="292"/>
        <v/>
      </c>
      <c r="LB480" s="1785" t="str">
        <f t="shared" si="293"/>
        <v/>
      </c>
      <c r="LC480" s="1785" t="str">
        <f t="shared" si="294"/>
        <v/>
      </c>
      <c r="LD480" s="1785" t="str">
        <f t="shared" si="295"/>
        <v/>
      </c>
      <c r="LE480" s="1785" t="str">
        <f t="shared" si="296"/>
        <v/>
      </c>
      <c r="LF480" s="1785" t="str">
        <f t="shared" si="297"/>
        <v/>
      </c>
      <c r="LG480" s="1785" t="str">
        <f t="shared" si="298"/>
        <v/>
      </c>
      <c r="LH480" s="1785" t="str">
        <f t="shared" si="299"/>
        <v/>
      </c>
      <c r="LI480" s="1785" t="str">
        <f t="shared" si="300"/>
        <v/>
      </c>
      <c r="LJ480" s="1785" t="str">
        <f t="shared" si="301"/>
        <v/>
      </c>
      <c r="LK480" s="1785" t="str">
        <f t="shared" si="302"/>
        <v/>
      </c>
      <c r="LL480" s="1785" t="str">
        <f t="shared" si="303"/>
        <v/>
      </c>
      <c r="LM480" s="1785" t="str">
        <f t="shared" si="304"/>
        <v/>
      </c>
      <c r="LN480" s="1785" t="str">
        <f t="shared" si="305"/>
        <v/>
      </c>
      <c r="LO480" s="1785" t="str">
        <f t="shared" si="306"/>
        <v/>
      </c>
      <c r="LP480" s="1785" t="str">
        <f t="shared" si="307"/>
        <v/>
      </c>
      <c r="LQ480" s="1785" t="str">
        <f t="shared" si="308"/>
        <v/>
      </c>
      <c r="LR480" s="1785" t="str">
        <f t="shared" si="309"/>
        <v/>
      </c>
      <c r="LS480" s="1785" t="str">
        <f t="shared" si="310"/>
        <v/>
      </c>
      <c r="LT480" s="1785" t="str">
        <f t="shared" si="311"/>
        <v/>
      </c>
      <c r="LU480" s="1785" t="str">
        <f t="shared" si="312"/>
        <v/>
      </c>
      <c r="LV480" s="1785" t="str">
        <f t="shared" si="313"/>
        <v/>
      </c>
      <c r="LW480" s="1785" t="str">
        <f t="shared" si="314"/>
        <v/>
      </c>
      <c r="LX480" s="1785" t="str">
        <f t="shared" si="315"/>
        <v/>
      </c>
      <c r="LY480" s="1785" t="str">
        <f t="shared" si="316"/>
        <v/>
      </c>
      <c r="LZ480" s="1785" t="str">
        <f t="shared" si="317"/>
        <v/>
      </c>
      <c r="MA480" s="1785" t="str">
        <f t="shared" si="318"/>
        <v/>
      </c>
      <c r="MB480" s="1785" t="str">
        <f t="shared" si="319"/>
        <v/>
      </c>
      <c r="MC480" s="1785" t="str">
        <f t="shared" si="320"/>
        <v/>
      </c>
      <c r="MD480" s="1785" t="str">
        <f t="shared" si="321"/>
        <v/>
      </c>
      <c r="ME480" s="1785" t="str">
        <f t="shared" si="322"/>
        <v/>
      </c>
      <c r="MF480" s="1785" t="str">
        <f t="shared" si="323"/>
        <v/>
      </c>
      <c r="MG480" s="1785" t="str">
        <f t="shared" si="324"/>
        <v/>
      </c>
      <c r="MH480" s="1785" t="str">
        <f t="shared" si="325"/>
        <v/>
      </c>
      <c r="MI480" s="1785" t="str">
        <f t="shared" si="326"/>
        <v/>
      </c>
      <c r="MJ480" s="1785" t="str">
        <f t="shared" si="327"/>
        <v/>
      </c>
      <c r="MK480" s="1785" t="str">
        <f t="shared" si="328"/>
        <v/>
      </c>
      <c r="ML480" s="1785" t="str">
        <f t="shared" si="329"/>
        <v/>
      </c>
      <c r="MM480" s="1785" t="str">
        <f t="shared" si="330"/>
        <v/>
      </c>
      <c r="MN480" s="1785" t="str">
        <f t="shared" si="331"/>
        <v/>
      </c>
      <c r="MO480" s="1785" t="str">
        <f t="shared" si="332"/>
        <v/>
      </c>
      <c r="MP480" s="2470" t="str">
        <f t="shared" si="333"/>
        <v/>
      </c>
      <c r="MQ480" s="2470" t="str">
        <f t="shared" si="334"/>
        <v/>
      </c>
      <c r="MR480" s="2470" t="str">
        <f t="shared" si="335"/>
        <v/>
      </c>
      <c r="MS480" s="2470" t="str">
        <f t="shared" si="336"/>
        <v/>
      </c>
      <c r="MT480" s="2470" t="str">
        <f t="shared" si="337"/>
        <v/>
      </c>
      <c r="MU480" s="356" t="str">
        <f t="shared" si="338"/>
        <v/>
      </c>
      <c r="MV480" s="356" t="str">
        <f t="shared" si="339"/>
        <v/>
      </c>
      <c r="MW480" s="356" t="str">
        <f t="shared" si="340"/>
        <v/>
      </c>
      <c r="MX480" s="356" t="str">
        <f t="shared" si="341"/>
        <v/>
      </c>
      <c r="MY480" s="356" t="str">
        <f t="shared" si="342"/>
        <v/>
      </c>
      <c r="MZ480" s="356" t="str">
        <f t="shared" si="343"/>
        <v/>
      </c>
      <c r="NA480" s="356" t="str">
        <f t="shared" si="344"/>
        <v/>
      </c>
      <c r="NB480" s="356" t="str">
        <f t="shared" si="345"/>
        <v/>
      </c>
      <c r="NC480" s="356" t="str">
        <f t="shared" si="346"/>
        <v/>
      </c>
      <c r="ND480" s="356" t="str">
        <f t="shared" si="347"/>
        <v/>
      </c>
      <c r="NE480" s="356" t="str">
        <f t="shared" si="348"/>
        <v/>
      </c>
      <c r="NF480" s="356" t="str">
        <f t="shared" si="349"/>
        <v/>
      </c>
      <c r="NG480" s="356" t="str">
        <f t="shared" si="350"/>
        <v/>
      </c>
      <c r="NH480" s="356" t="str">
        <f t="shared" si="351"/>
        <v/>
      </c>
      <c r="NI480" s="356" t="str">
        <f t="shared" si="352"/>
        <v/>
      </c>
      <c r="NJ480" s="356" t="str">
        <f t="shared" si="353"/>
        <v/>
      </c>
      <c r="NK480" s="356" t="str">
        <f t="shared" si="354"/>
        <v/>
      </c>
      <c r="NL480" s="356" t="str">
        <f t="shared" si="355"/>
        <v/>
      </c>
      <c r="NM480" s="356" t="str">
        <f t="shared" si="356"/>
        <v/>
      </c>
      <c r="NN480" s="356" t="str">
        <f t="shared" si="357"/>
        <v/>
      </c>
      <c r="NO480" s="1640">
        <f t="shared" si="358"/>
        <v>0</v>
      </c>
      <c r="NP480" s="1640">
        <f t="shared" si="359"/>
        <v>0</v>
      </c>
      <c r="NQ480" s="1640">
        <f t="shared" si="360"/>
        <v>0</v>
      </c>
      <c r="NR480" s="1640">
        <f t="shared" si="361"/>
        <v>0</v>
      </c>
      <c r="NS480" s="1640">
        <f t="shared" si="362"/>
        <v>0</v>
      </c>
      <c r="NT480" s="1640">
        <f t="shared" si="368"/>
        <v>0</v>
      </c>
      <c r="NU480" s="1640">
        <f t="shared" si="369"/>
        <v>0</v>
      </c>
      <c r="NV480" s="1640">
        <f t="shared" si="370"/>
        <v>0</v>
      </c>
      <c r="NW480" s="1640">
        <f t="shared" si="371"/>
        <v>0</v>
      </c>
      <c r="NX480" s="1640">
        <f t="shared" si="372"/>
        <v>0</v>
      </c>
      <c r="NY480" s="1640">
        <f t="shared" si="363"/>
        <v>0</v>
      </c>
      <c r="NZ480" s="1640">
        <f t="shared" si="364"/>
        <v>0</v>
      </c>
      <c r="OA480" s="1640">
        <f t="shared" si="365"/>
        <v>0</v>
      </c>
      <c r="OB480" s="1640">
        <f t="shared" si="366"/>
        <v>0</v>
      </c>
      <c r="OC480" s="1640">
        <f t="shared" si="367"/>
        <v>0</v>
      </c>
      <c r="OY480" s="356" t="s">
        <v>4313</v>
      </c>
      <c r="OZ480" s="1784">
        <v>27</v>
      </c>
    </row>
    <row r="481" spans="1:416" ht="12" customHeight="1">
      <c r="A481" s="2706" t="str">
        <f t="shared" si="0"/>
        <v/>
      </c>
      <c r="B481" s="2725">
        <f>'Part V-Revenues &amp; Expenses'!B28</f>
        <v>0</v>
      </c>
      <c r="C481" s="2726">
        <f>'Part V-Revenues &amp; Expenses'!C28</f>
        <v>0</v>
      </c>
      <c r="D481" s="2727">
        <f>'Part V-Revenues &amp; Expenses'!D28</f>
        <v>0</v>
      </c>
      <c r="E481" s="2728">
        <f>'Part V-Revenues &amp; Expenses'!E28</f>
        <v>0</v>
      </c>
      <c r="F481" s="2728">
        <f>'Part V-Revenues &amp; Expenses'!F28</f>
        <v>0</v>
      </c>
      <c r="G481" s="2728">
        <f>'Part V-Revenues &amp; Expenses'!G28</f>
        <v>0</v>
      </c>
      <c r="H481" s="2728">
        <f>'Part V-Revenues &amp; Expenses'!H28</f>
        <v>0</v>
      </c>
      <c r="I481" s="2728">
        <f>'Part V-Revenues &amp; Expenses'!I28</f>
        <v>0</v>
      </c>
      <c r="J481" s="2728">
        <f>'Part V-Revenues &amp; Expenses'!J28</f>
        <v>0</v>
      </c>
      <c r="K481" s="2729">
        <f>'Part V-Revenues &amp; Expenses'!K28</f>
        <v>0</v>
      </c>
      <c r="L481" s="2730">
        <f t="shared" si="1"/>
        <v>0</v>
      </c>
      <c r="M481" s="2730">
        <f t="shared" si="2"/>
        <v>0</v>
      </c>
      <c r="N481" s="2580">
        <f>'Part V-Revenues &amp; Expenses'!N28</f>
        <v>0</v>
      </c>
      <c r="O481" s="1248">
        <f>'Part V-Revenues &amp; Expenses'!O28</f>
        <v>0</v>
      </c>
      <c r="P481" s="2580">
        <f>'Part V-Revenues &amp; Expenses'!P28</f>
        <v>0</v>
      </c>
      <c r="Q481" s="2469">
        <f>'Part V-Revenues &amp; Expenses'!Q28</f>
        <v>0</v>
      </c>
      <c r="R481" s="2731"/>
      <c r="S481" s="2732"/>
      <c r="T481" s="2647"/>
      <c r="U481" s="2647"/>
      <c r="V481" s="2647"/>
      <c r="W481" s="2647"/>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356" t="str">
        <f t="shared" si="213"/>
        <v/>
      </c>
      <c r="IA481" s="356" t="str">
        <f t="shared" si="214"/>
        <v/>
      </c>
      <c r="IB481" s="356" t="str">
        <f t="shared" si="215"/>
        <v/>
      </c>
      <c r="IC481" s="356" t="str">
        <f t="shared" si="216"/>
        <v/>
      </c>
      <c r="ID481" s="356" t="str">
        <f t="shared" si="217"/>
        <v/>
      </c>
      <c r="IE481" s="356" t="str">
        <f t="shared" si="218"/>
        <v/>
      </c>
      <c r="IF481" s="356" t="str">
        <f t="shared" si="219"/>
        <v/>
      </c>
      <c r="IG481" s="356" t="str">
        <f t="shared" si="220"/>
        <v/>
      </c>
      <c r="IH481" s="356" t="str">
        <f t="shared" si="221"/>
        <v/>
      </c>
      <c r="II481" s="356" t="str">
        <f t="shared" si="222"/>
        <v/>
      </c>
      <c r="IJ481" s="356" t="str">
        <f t="shared" si="223"/>
        <v/>
      </c>
      <c r="IK481" s="356" t="str">
        <f t="shared" si="224"/>
        <v/>
      </c>
      <c r="IL481" s="356" t="str">
        <f t="shared" si="225"/>
        <v/>
      </c>
      <c r="IM481" s="356" t="str">
        <f t="shared" si="226"/>
        <v/>
      </c>
      <c r="IN481" s="356" t="str">
        <f t="shared" si="227"/>
        <v/>
      </c>
      <c r="IO481" s="356" t="str">
        <f t="shared" si="228"/>
        <v/>
      </c>
      <c r="IP481" s="356" t="str">
        <f t="shared" si="229"/>
        <v/>
      </c>
      <c r="IQ481" s="356" t="str">
        <f t="shared" si="230"/>
        <v/>
      </c>
      <c r="IR481" s="356" t="str">
        <f t="shared" si="231"/>
        <v/>
      </c>
      <c r="IS481" s="356" t="str">
        <f t="shared" si="232"/>
        <v/>
      </c>
      <c r="IT481" s="356" t="str">
        <f t="shared" si="233"/>
        <v/>
      </c>
      <c r="IU481" s="356" t="str">
        <f t="shared" si="234"/>
        <v/>
      </c>
      <c r="IV481" s="356" t="str">
        <f t="shared" si="235"/>
        <v/>
      </c>
      <c r="IW481" s="356" t="str">
        <f t="shared" si="236"/>
        <v/>
      </c>
      <c r="IX481" s="356" t="str">
        <f t="shared" si="237"/>
        <v/>
      </c>
      <c r="IY481" s="356" t="str">
        <f t="shared" si="238"/>
        <v/>
      </c>
      <c r="IZ481" s="356" t="str">
        <f t="shared" si="239"/>
        <v/>
      </c>
      <c r="JA481" s="356" t="str">
        <f t="shared" si="240"/>
        <v/>
      </c>
      <c r="JB481" s="356" t="str">
        <f t="shared" si="241"/>
        <v/>
      </c>
      <c r="JC481" s="356" t="str">
        <f t="shared" si="242"/>
        <v/>
      </c>
      <c r="JD481" s="356" t="str">
        <f t="shared" si="243"/>
        <v/>
      </c>
      <c r="JE481" s="356" t="str">
        <f t="shared" si="244"/>
        <v/>
      </c>
      <c r="JF481" s="356" t="str">
        <f t="shared" si="245"/>
        <v/>
      </c>
      <c r="JG481" s="356" t="str">
        <f t="shared" si="246"/>
        <v/>
      </c>
      <c r="JH481" s="356" t="str">
        <f t="shared" si="247"/>
        <v/>
      </c>
      <c r="JI481" s="1785" t="str">
        <f t="shared" si="248"/>
        <v/>
      </c>
      <c r="JJ481" s="1785" t="str">
        <f t="shared" si="249"/>
        <v/>
      </c>
      <c r="JK481" s="1785" t="str">
        <f t="shared" si="250"/>
        <v/>
      </c>
      <c r="JL481" s="1785" t="str">
        <f t="shared" si="251"/>
        <v/>
      </c>
      <c r="JM481" s="1785" t="str">
        <f t="shared" si="252"/>
        <v/>
      </c>
      <c r="JN481" s="1785" t="str">
        <f t="shared" si="253"/>
        <v/>
      </c>
      <c r="JO481" s="1785" t="str">
        <f t="shared" si="254"/>
        <v/>
      </c>
      <c r="JP481" s="1785" t="str">
        <f t="shared" si="255"/>
        <v/>
      </c>
      <c r="JQ481" s="1785" t="str">
        <f t="shared" si="256"/>
        <v/>
      </c>
      <c r="JR481" s="1785" t="str">
        <f t="shared" si="257"/>
        <v/>
      </c>
      <c r="JS481" s="1785" t="str">
        <f t="shared" si="258"/>
        <v/>
      </c>
      <c r="JT481" s="1785" t="str">
        <f t="shared" si="259"/>
        <v/>
      </c>
      <c r="JU481" s="1785" t="str">
        <f t="shared" si="260"/>
        <v/>
      </c>
      <c r="JV481" s="1785" t="str">
        <f t="shared" si="261"/>
        <v/>
      </c>
      <c r="JW481" s="1785" t="str">
        <f t="shared" si="262"/>
        <v/>
      </c>
      <c r="JX481" s="1785" t="str">
        <f t="shared" si="263"/>
        <v/>
      </c>
      <c r="JY481" s="1785" t="str">
        <f t="shared" si="264"/>
        <v/>
      </c>
      <c r="JZ481" s="1785" t="str">
        <f t="shared" si="265"/>
        <v/>
      </c>
      <c r="KA481" s="1785" t="str">
        <f t="shared" si="266"/>
        <v/>
      </c>
      <c r="KB481" s="1785" t="str">
        <f t="shared" si="267"/>
        <v/>
      </c>
      <c r="KC481" s="1785" t="str">
        <f t="shared" si="268"/>
        <v/>
      </c>
      <c r="KD481" s="1785" t="str">
        <f t="shared" si="269"/>
        <v/>
      </c>
      <c r="KE481" s="1785" t="str">
        <f t="shared" si="270"/>
        <v/>
      </c>
      <c r="KF481" s="1785" t="str">
        <f t="shared" si="271"/>
        <v/>
      </c>
      <c r="KG481" s="1785" t="str">
        <f t="shared" si="272"/>
        <v/>
      </c>
      <c r="KH481" s="1785" t="str">
        <f t="shared" si="273"/>
        <v/>
      </c>
      <c r="KI481" s="1785" t="str">
        <f t="shared" si="274"/>
        <v/>
      </c>
      <c r="KJ481" s="1785" t="str">
        <f t="shared" si="275"/>
        <v/>
      </c>
      <c r="KK481" s="1785" t="str">
        <f t="shared" si="276"/>
        <v/>
      </c>
      <c r="KL481" s="1785" t="str">
        <f t="shared" si="277"/>
        <v/>
      </c>
      <c r="KM481" s="1785" t="str">
        <f t="shared" si="278"/>
        <v/>
      </c>
      <c r="KN481" s="1785" t="str">
        <f t="shared" si="279"/>
        <v/>
      </c>
      <c r="KO481" s="1785" t="str">
        <f t="shared" si="280"/>
        <v/>
      </c>
      <c r="KP481" s="1785" t="str">
        <f t="shared" si="281"/>
        <v/>
      </c>
      <c r="KQ481" s="1785" t="str">
        <f t="shared" si="282"/>
        <v/>
      </c>
      <c r="KR481" s="1785" t="str">
        <f t="shared" si="283"/>
        <v/>
      </c>
      <c r="KS481" s="1785" t="str">
        <f t="shared" si="284"/>
        <v/>
      </c>
      <c r="KT481" s="1785" t="str">
        <f t="shared" si="285"/>
        <v/>
      </c>
      <c r="KU481" s="1785" t="str">
        <f t="shared" si="286"/>
        <v/>
      </c>
      <c r="KV481" s="1785" t="str">
        <f t="shared" si="287"/>
        <v/>
      </c>
      <c r="KW481" s="1785" t="str">
        <f t="shared" si="288"/>
        <v/>
      </c>
      <c r="KX481" s="1785" t="str">
        <f t="shared" si="289"/>
        <v/>
      </c>
      <c r="KY481" s="1785" t="str">
        <f t="shared" si="290"/>
        <v/>
      </c>
      <c r="KZ481" s="1785" t="str">
        <f t="shared" si="291"/>
        <v/>
      </c>
      <c r="LA481" s="1785" t="str">
        <f t="shared" si="292"/>
        <v/>
      </c>
      <c r="LB481" s="1785" t="str">
        <f t="shared" si="293"/>
        <v/>
      </c>
      <c r="LC481" s="1785" t="str">
        <f t="shared" si="294"/>
        <v/>
      </c>
      <c r="LD481" s="1785" t="str">
        <f t="shared" si="295"/>
        <v/>
      </c>
      <c r="LE481" s="1785" t="str">
        <f t="shared" si="296"/>
        <v/>
      </c>
      <c r="LF481" s="1785" t="str">
        <f t="shared" si="297"/>
        <v/>
      </c>
      <c r="LG481" s="1785" t="str">
        <f t="shared" si="298"/>
        <v/>
      </c>
      <c r="LH481" s="1785" t="str">
        <f t="shared" si="299"/>
        <v/>
      </c>
      <c r="LI481" s="1785" t="str">
        <f t="shared" si="300"/>
        <v/>
      </c>
      <c r="LJ481" s="1785" t="str">
        <f t="shared" si="301"/>
        <v/>
      </c>
      <c r="LK481" s="1785" t="str">
        <f t="shared" si="302"/>
        <v/>
      </c>
      <c r="LL481" s="1785" t="str">
        <f t="shared" si="303"/>
        <v/>
      </c>
      <c r="LM481" s="1785" t="str">
        <f t="shared" si="304"/>
        <v/>
      </c>
      <c r="LN481" s="1785" t="str">
        <f t="shared" si="305"/>
        <v/>
      </c>
      <c r="LO481" s="1785" t="str">
        <f t="shared" si="306"/>
        <v/>
      </c>
      <c r="LP481" s="1785" t="str">
        <f t="shared" si="307"/>
        <v/>
      </c>
      <c r="LQ481" s="1785" t="str">
        <f t="shared" si="308"/>
        <v/>
      </c>
      <c r="LR481" s="1785" t="str">
        <f t="shared" si="309"/>
        <v/>
      </c>
      <c r="LS481" s="1785" t="str">
        <f t="shared" si="310"/>
        <v/>
      </c>
      <c r="LT481" s="1785" t="str">
        <f t="shared" si="311"/>
        <v/>
      </c>
      <c r="LU481" s="1785" t="str">
        <f t="shared" si="312"/>
        <v/>
      </c>
      <c r="LV481" s="1785" t="str">
        <f t="shared" si="313"/>
        <v/>
      </c>
      <c r="LW481" s="1785" t="str">
        <f t="shared" si="314"/>
        <v/>
      </c>
      <c r="LX481" s="1785" t="str">
        <f t="shared" si="315"/>
        <v/>
      </c>
      <c r="LY481" s="1785" t="str">
        <f t="shared" si="316"/>
        <v/>
      </c>
      <c r="LZ481" s="1785" t="str">
        <f t="shared" si="317"/>
        <v/>
      </c>
      <c r="MA481" s="1785" t="str">
        <f t="shared" si="318"/>
        <v/>
      </c>
      <c r="MB481" s="1785" t="str">
        <f t="shared" si="319"/>
        <v/>
      </c>
      <c r="MC481" s="1785" t="str">
        <f t="shared" si="320"/>
        <v/>
      </c>
      <c r="MD481" s="1785" t="str">
        <f t="shared" si="321"/>
        <v/>
      </c>
      <c r="ME481" s="1785" t="str">
        <f t="shared" si="322"/>
        <v/>
      </c>
      <c r="MF481" s="1785" t="str">
        <f t="shared" si="323"/>
        <v/>
      </c>
      <c r="MG481" s="1785" t="str">
        <f t="shared" si="324"/>
        <v/>
      </c>
      <c r="MH481" s="1785" t="str">
        <f t="shared" si="325"/>
        <v/>
      </c>
      <c r="MI481" s="1785" t="str">
        <f t="shared" si="326"/>
        <v/>
      </c>
      <c r="MJ481" s="1785" t="str">
        <f t="shared" si="327"/>
        <v/>
      </c>
      <c r="MK481" s="1785" t="str">
        <f t="shared" si="328"/>
        <v/>
      </c>
      <c r="ML481" s="1785" t="str">
        <f t="shared" si="329"/>
        <v/>
      </c>
      <c r="MM481" s="1785" t="str">
        <f t="shared" si="330"/>
        <v/>
      </c>
      <c r="MN481" s="1785" t="str">
        <f t="shared" si="331"/>
        <v/>
      </c>
      <c r="MO481" s="1785" t="str">
        <f t="shared" si="332"/>
        <v/>
      </c>
      <c r="MP481" s="2470" t="str">
        <f t="shared" si="333"/>
        <v/>
      </c>
      <c r="MQ481" s="2470" t="str">
        <f t="shared" si="334"/>
        <v/>
      </c>
      <c r="MR481" s="2470" t="str">
        <f t="shared" si="335"/>
        <v/>
      </c>
      <c r="MS481" s="2470" t="str">
        <f t="shared" si="336"/>
        <v/>
      </c>
      <c r="MT481" s="2470" t="str">
        <f t="shared" si="337"/>
        <v/>
      </c>
      <c r="MU481" s="356" t="str">
        <f t="shared" si="338"/>
        <v/>
      </c>
      <c r="MV481" s="356" t="str">
        <f t="shared" si="339"/>
        <v/>
      </c>
      <c r="MW481" s="356" t="str">
        <f t="shared" si="340"/>
        <v/>
      </c>
      <c r="MX481" s="356" t="str">
        <f t="shared" si="341"/>
        <v/>
      </c>
      <c r="MY481" s="356" t="str">
        <f t="shared" si="342"/>
        <v/>
      </c>
      <c r="MZ481" s="356" t="str">
        <f t="shared" si="343"/>
        <v/>
      </c>
      <c r="NA481" s="356" t="str">
        <f t="shared" si="344"/>
        <v/>
      </c>
      <c r="NB481" s="356" t="str">
        <f t="shared" si="345"/>
        <v/>
      </c>
      <c r="NC481" s="356" t="str">
        <f t="shared" si="346"/>
        <v/>
      </c>
      <c r="ND481" s="356" t="str">
        <f t="shared" si="347"/>
        <v/>
      </c>
      <c r="NE481" s="356" t="str">
        <f t="shared" si="348"/>
        <v/>
      </c>
      <c r="NF481" s="356" t="str">
        <f t="shared" si="349"/>
        <v/>
      </c>
      <c r="NG481" s="356" t="str">
        <f t="shared" si="350"/>
        <v/>
      </c>
      <c r="NH481" s="356" t="str">
        <f t="shared" si="351"/>
        <v/>
      </c>
      <c r="NI481" s="356" t="str">
        <f t="shared" si="352"/>
        <v/>
      </c>
      <c r="NJ481" s="356" t="str">
        <f t="shared" si="353"/>
        <v/>
      </c>
      <c r="NK481" s="356" t="str">
        <f t="shared" si="354"/>
        <v/>
      </c>
      <c r="NL481" s="356" t="str">
        <f t="shared" si="355"/>
        <v/>
      </c>
      <c r="NM481" s="356" t="str">
        <f t="shared" si="356"/>
        <v/>
      </c>
      <c r="NN481" s="356" t="str">
        <f t="shared" si="357"/>
        <v/>
      </c>
      <c r="NO481" s="1640">
        <f t="shared" si="358"/>
        <v>0</v>
      </c>
      <c r="NP481" s="1640">
        <f t="shared" si="359"/>
        <v>0</v>
      </c>
      <c r="NQ481" s="1640">
        <f t="shared" si="360"/>
        <v>0</v>
      </c>
      <c r="NR481" s="1640">
        <f t="shared" si="361"/>
        <v>0</v>
      </c>
      <c r="NS481" s="1640">
        <f t="shared" si="362"/>
        <v>0</v>
      </c>
      <c r="NT481" s="1640">
        <f t="shared" si="368"/>
        <v>0</v>
      </c>
      <c r="NU481" s="1640">
        <f t="shared" si="369"/>
        <v>0</v>
      </c>
      <c r="NV481" s="1640">
        <f t="shared" si="370"/>
        <v>0</v>
      </c>
      <c r="NW481" s="1640">
        <f t="shared" si="371"/>
        <v>0</v>
      </c>
      <c r="NX481" s="1640">
        <f t="shared" si="372"/>
        <v>0</v>
      </c>
      <c r="NY481" s="1640">
        <f t="shared" si="363"/>
        <v>0</v>
      </c>
      <c r="NZ481" s="1640">
        <f t="shared" si="364"/>
        <v>0</v>
      </c>
      <c r="OA481" s="1640">
        <f t="shared" si="365"/>
        <v>0</v>
      </c>
      <c r="OB481" s="1640">
        <f t="shared" si="366"/>
        <v>0</v>
      </c>
      <c r="OC481" s="1640">
        <f t="shared" si="367"/>
        <v>0</v>
      </c>
      <c r="OY481" s="356" t="s">
        <v>4314</v>
      </c>
      <c r="OZ481" s="1784">
        <v>28</v>
      </c>
    </row>
    <row r="482" spans="1:416" ht="12" customHeight="1">
      <c r="A482" s="2706" t="str">
        <f t="shared" si="0"/>
        <v/>
      </c>
      <c r="B482" s="2725">
        <f>'Part V-Revenues &amp; Expenses'!B29</f>
        <v>0</v>
      </c>
      <c r="C482" s="2726">
        <f>'Part V-Revenues &amp; Expenses'!C29</f>
        <v>0</v>
      </c>
      <c r="D482" s="2727">
        <f>'Part V-Revenues &amp; Expenses'!D29</f>
        <v>0</v>
      </c>
      <c r="E482" s="2728">
        <f>'Part V-Revenues &amp; Expenses'!E29</f>
        <v>0</v>
      </c>
      <c r="F482" s="2728">
        <f>'Part V-Revenues &amp; Expenses'!F29</f>
        <v>0</v>
      </c>
      <c r="G482" s="2728">
        <f>'Part V-Revenues &amp; Expenses'!G29</f>
        <v>0</v>
      </c>
      <c r="H482" s="2728">
        <f>'Part V-Revenues &amp; Expenses'!H29</f>
        <v>0</v>
      </c>
      <c r="I482" s="2728">
        <f>'Part V-Revenues &amp; Expenses'!I29</f>
        <v>0</v>
      </c>
      <c r="J482" s="2728">
        <f>'Part V-Revenues &amp; Expenses'!J29</f>
        <v>0</v>
      </c>
      <c r="K482" s="2729">
        <f>'Part V-Revenues &amp; Expenses'!K29</f>
        <v>0</v>
      </c>
      <c r="L482" s="2730">
        <f t="shared" si="1"/>
        <v>0</v>
      </c>
      <c r="M482" s="2730">
        <f t="shared" si="2"/>
        <v>0</v>
      </c>
      <c r="N482" s="2580">
        <f>'Part V-Revenues &amp; Expenses'!N29</f>
        <v>0</v>
      </c>
      <c r="O482" s="1248">
        <f>'Part V-Revenues &amp; Expenses'!O29</f>
        <v>0</v>
      </c>
      <c r="P482" s="2580">
        <f>'Part V-Revenues &amp; Expenses'!P29</f>
        <v>0</v>
      </c>
      <c r="Q482" s="2469">
        <f>'Part V-Revenues &amp; Expenses'!Q29</f>
        <v>0</v>
      </c>
      <c r="R482" s="2731"/>
      <c r="S482" s="2732"/>
      <c r="T482" s="2647"/>
      <c r="U482" s="2647"/>
      <c r="V482" s="2647"/>
      <c r="W482" s="2647"/>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356" t="str">
        <f t="shared" si="213"/>
        <v/>
      </c>
      <c r="IA482" s="356" t="str">
        <f t="shared" si="214"/>
        <v/>
      </c>
      <c r="IB482" s="356" t="str">
        <f t="shared" si="215"/>
        <v/>
      </c>
      <c r="IC482" s="356" t="str">
        <f t="shared" si="216"/>
        <v/>
      </c>
      <c r="ID482" s="356" t="str">
        <f t="shared" si="217"/>
        <v/>
      </c>
      <c r="IE482" s="356" t="str">
        <f t="shared" si="218"/>
        <v/>
      </c>
      <c r="IF482" s="356" t="str">
        <f t="shared" si="219"/>
        <v/>
      </c>
      <c r="IG482" s="356" t="str">
        <f t="shared" si="220"/>
        <v/>
      </c>
      <c r="IH482" s="356" t="str">
        <f t="shared" si="221"/>
        <v/>
      </c>
      <c r="II482" s="356" t="str">
        <f t="shared" si="222"/>
        <v/>
      </c>
      <c r="IJ482" s="356" t="str">
        <f t="shared" si="223"/>
        <v/>
      </c>
      <c r="IK482" s="356" t="str">
        <f t="shared" si="224"/>
        <v/>
      </c>
      <c r="IL482" s="356" t="str">
        <f t="shared" si="225"/>
        <v/>
      </c>
      <c r="IM482" s="356" t="str">
        <f t="shared" si="226"/>
        <v/>
      </c>
      <c r="IN482" s="356" t="str">
        <f t="shared" si="227"/>
        <v/>
      </c>
      <c r="IO482" s="356" t="str">
        <f t="shared" si="228"/>
        <v/>
      </c>
      <c r="IP482" s="356" t="str">
        <f t="shared" si="229"/>
        <v/>
      </c>
      <c r="IQ482" s="356" t="str">
        <f t="shared" si="230"/>
        <v/>
      </c>
      <c r="IR482" s="356" t="str">
        <f t="shared" si="231"/>
        <v/>
      </c>
      <c r="IS482" s="356" t="str">
        <f t="shared" si="232"/>
        <v/>
      </c>
      <c r="IT482" s="356" t="str">
        <f t="shared" si="233"/>
        <v/>
      </c>
      <c r="IU482" s="356" t="str">
        <f t="shared" si="234"/>
        <v/>
      </c>
      <c r="IV482" s="356" t="str">
        <f t="shared" si="235"/>
        <v/>
      </c>
      <c r="IW482" s="356" t="str">
        <f t="shared" si="236"/>
        <v/>
      </c>
      <c r="IX482" s="356" t="str">
        <f t="shared" si="237"/>
        <v/>
      </c>
      <c r="IY482" s="356" t="str">
        <f t="shared" si="238"/>
        <v/>
      </c>
      <c r="IZ482" s="356" t="str">
        <f t="shared" si="239"/>
        <v/>
      </c>
      <c r="JA482" s="356" t="str">
        <f t="shared" si="240"/>
        <v/>
      </c>
      <c r="JB482" s="356" t="str">
        <f t="shared" si="241"/>
        <v/>
      </c>
      <c r="JC482" s="356" t="str">
        <f t="shared" si="242"/>
        <v/>
      </c>
      <c r="JD482" s="356" t="str">
        <f t="shared" si="243"/>
        <v/>
      </c>
      <c r="JE482" s="356" t="str">
        <f t="shared" si="244"/>
        <v/>
      </c>
      <c r="JF482" s="356" t="str">
        <f t="shared" si="245"/>
        <v/>
      </c>
      <c r="JG482" s="356" t="str">
        <f t="shared" si="246"/>
        <v/>
      </c>
      <c r="JH482" s="356" t="str">
        <f t="shared" si="247"/>
        <v/>
      </c>
      <c r="JI482" s="1785" t="str">
        <f t="shared" si="248"/>
        <v/>
      </c>
      <c r="JJ482" s="1785" t="str">
        <f t="shared" si="249"/>
        <v/>
      </c>
      <c r="JK482" s="1785" t="str">
        <f t="shared" si="250"/>
        <v/>
      </c>
      <c r="JL482" s="1785" t="str">
        <f t="shared" si="251"/>
        <v/>
      </c>
      <c r="JM482" s="1785" t="str">
        <f t="shared" si="252"/>
        <v/>
      </c>
      <c r="JN482" s="1785" t="str">
        <f t="shared" si="253"/>
        <v/>
      </c>
      <c r="JO482" s="1785" t="str">
        <f t="shared" si="254"/>
        <v/>
      </c>
      <c r="JP482" s="1785" t="str">
        <f t="shared" si="255"/>
        <v/>
      </c>
      <c r="JQ482" s="1785" t="str">
        <f t="shared" si="256"/>
        <v/>
      </c>
      <c r="JR482" s="1785" t="str">
        <f t="shared" si="257"/>
        <v/>
      </c>
      <c r="JS482" s="1785" t="str">
        <f t="shared" si="258"/>
        <v/>
      </c>
      <c r="JT482" s="1785" t="str">
        <f t="shared" si="259"/>
        <v/>
      </c>
      <c r="JU482" s="1785" t="str">
        <f t="shared" si="260"/>
        <v/>
      </c>
      <c r="JV482" s="1785" t="str">
        <f t="shared" si="261"/>
        <v/>
      </c>
      <c r="JW482" s="1785" t="str">
        <f t="shared" si="262"/>
        <v/>
      </c>
      <c r="JX482" s="1785" t="str">
        <f t="shared" si="263"/>
        <v/>
      </c>
      <c r="JY482" s="1785" t="str">
        <f t="shared" si="264"/>
        <v/>
      </c>
      <c r="JZ482" s="1785" t="str">
        <f t="shared" si="265"/>
        <v/>
      </c>
      <c r="KA482" s="1785" t="str">
        <f t="shared" si="266"/>
        <v/>
      </c>
      <c r="KB482" s="1785" t="str">
        <f t="shared" si="267"/>
        <v/>
      </c>
      <c r="KC482" s="1785" t="str">
        <f t="shared" si="268"/>
        <v/>
      </c>
      <c r="KD482" s="1785" t="str">
        <f t="shared" si="269"/>
        <v/>
      </c>
      <c r="KE482" s="1785" t="str">
        <f t="shared" si="270"/>
        <v/>
      </c>
      <c r="KF482" s="1785" t="str">
        <f t="shared" si="271"/>
        <v/>
      </c>
      <c r="KG482" s="1785" t="str">
        <f t="shared" si="272"/>
        <v/>
      </c>
      <c r="KH482" s="1785" t="str">
        <f t="shared" si="273"/>
        <v/>
      </c>
      <c r="KI482" s="1785" t="str">
        <f t="shared" si="274"/>
        <v/>
      </c>
      <c r="KJ482" s="1785" t="str">
        <f t="shared" si="275"/>
        <v/>
      </c>
      <c r="KK482" s="1785" t="str">
        <f t="shared" si="276"/>
        <v/>
      </c>
      <c r="KL482" s="1785" t="str">
        <f t="shared" si="277"/>
        <v/>
      </c>
      <c r="KM482" s="1785" t="str">
        <f t="shared" si="278"/>
        <v/>
      </c>
      <c r="KN482" s="1785" t="str">
        <f t="shared" si="279"/>
        <v/>
      </c>
      <c r="KO482" s="1785" t="str">
        <f t="shared" si="280"/>
        <v/>
      </c>
      <c r="KP482" s="1785" t="str">
        <f t="shared" si="281"/>
        <v/>
      </c>
      <c r="KQ482" s="1785" t="str">
        <f t="shared" si="282"/>
        <v/>
      </c>
      <c r="KR482" s="1785" t="str">
        <f t="shared" si="283"/>
        <v/>
      </c>
      <c r="KS482" s="1785" t="str">
        <f t="shared" si="284"/>
        <v/>
      </c>
      <c r="KT482" s="1785" t="str">
        <f t="shared" si="285"/>
        <v/>
      </c>
      <c r="KU482" s="1785" t="str">
        <f t="shared" si="286"/>
        <v/>
      </c>
      <c r="KV482" s="1785" t="str">
        <f t="shared" si="287"/>
        <v/>
      </c>
      <c r="KW482" s="1785" t="str">
        <f t="shared" si="288"/>
        <v/>
      </c>
      <c r="KX482" s="1785" t="str">
        <f t="shared" si="289"/>
        <v/>
      </c>
      <c r="KY482" s="1785" t="str">
        <f t="shared" si="290"/>
        <v/>
      </c>
      <c r="KZ482" s="1785" t="str">
        <f t="shared" si="291"/>
        <v/>
      </c>
      <c r="LA482" s="1785" t="str">
        <f t="shared" si="292"/>
        <v/>
      </c>
      <c r="LB482" s="1785" t="str">
        <f t="shared" si="293"/>
        <v/>
      </c>
      <c r="LC482" s="1785" t="str">
        <f t="shared" si="294"/>
        <v/>
      </c>
      <c r="LD482" s="1785" t="str">
        <f t="shared" si="295"/>
        <v/>
      </c>
      <c r="LE482" s="1785" t="str">
        <f t="shared" si="296"/>
        <v/>
      </c>
      <c r="LF482" s="1785" t="str">
        <f t="shared" si="297"/>
        <v/>
      </c>
      <c r="LG482" s="1785" t="str">
        <f t="shared" si="298"/>
        <v/>
      </c>
      <c r="LH482" s="1785" t="str">
        <f t="shared" si="299"/>
        <v/>
      </c>
      <c r="LI482" s="1785" t="str">
        <f t="shared" si="300"/>
        <v/>
      </c>
      <c r="LJ482" s="1785" t="str">
        <f t="shared" si="301"/>
        <v/>
      </c>
      <c r="LK482" s="1785" t="str">
        <f t="shared" si="302"/>
        <v/>
      </c>
      <c r="LL482" s="1785" t="str">
        <f t="shared" si="303"/>
        <v/>
      </c>
      <c r="LM482" s="1785" t="str">
        <f t="shared" si="304"/>
        <v/>
      </c>
      <c r="LN482" s="1785" t="str">
        <f t="shared" si="305"/>
        <v/>
      </c>
      <c r="LO482" s="1785" t="str">
        <f t="shared" si="306"/>
        <v/>
      </c>
      <c r="LP482" s="1785" t="str">
        <f t="shared" si="307"/>
        <v/>
      </c>
      <c r="LQ482" s="1785" t="str">
        <f t="shared" si="308"/>
        <v/>
      </c>
      <c r="LR482" s="1785" t="str">
        <f t="shared" si="309"/>
        <v/>
      </c>
      <c r="LS482" s="1785" t="str">
        <f t="shared" si="310"/>
        <v/>
      </c>
      <c r="LT482" s="1785" t="str">
        <f t="shared" si="311"/>
        <v/>
      </c>
      <c r="LU482" s="1785" t="str">
        <f t="shared" si="312"/>
        <v/>
      </c>
      <c r="LV482" s="1785" t="str">
        <f t="shared" si="313"/>
        <v/>
      </c>
      <c r="LW482" s="1785" t="str">
        <f t="shared" si="314"/>
        <v/>
      </c>
      <c r="LX482" s="1785" t="str">
        <f t="shared" si="315"/>
        <v/>
      </c>
      <c r="LY482" s="1785" t="str">
        <f t="shared" si="316"/>
        <v/>
      </c>
      <c r="LZ482" s="1785" t="str">
        <f t="shared" si="317"/>
        <v/>
      </c>
      <c r="MA482" s="1785" t="str">
        <f t="shared" si="318"/>
        <v/>
      </c>
      <c r="MB482" s="1785" t="str">
        <f t="shared" si="319"/>
        <v/>
      </c>
      <c r="MC482" s="1785" t="str">
        <f t="shared" si="320"/>
        <v/>
      </c>
      <c r="MD482" s="1785" t="str">
        <f t="shared" si="321"/>
        <v/>
      </c>
      <c r="ME482" s="1785" t="str">
        <f t="shared" si="322"/>
        <v/>
      </c>
      <c r="MF482" s="1785" t="str">
        <f t="shared" si="323"/>
        <v/>
      </c>
      <c r="MG482" s="1785" t="str">
        <f t="shared" si="324"/>
        <v/>
      </c>
      <c r="MH482" s="1785" t="str">
        <f t="shared" si="325"/>
        <v/>
      </c>
      <c r="MI482" s="1785" t="str">
        <f t="shared" si="326"/>
        <v/>
      </c>
      <c r="MJ482" s="1785" t="str">
        <f t="shared" si="327"/>
        <v/>
      </c>
      <c r="MK482" s="1785" t="str">
        <f t="shared" si="328"/>
        <v/>
      </c>
      <c r="ML482" s="1785" t="str">
        <f t="shared" si="329"/>
        <v/>
      </c>
      <c r="MM482" s="1785" t="str">
        <f t="shared" si="330"/>
        <v/>
      </c>
      <c r="MN482" s="1785" t="str">
        <f t="shared" si="331"/>
        <v/>
      </c>
      <c r="MO482" s="1785" t="str">
        <f t="shared" si="332"/>
        <v/>
      </c>
      <c r="MP482" s="2470" t="str">
        <f t="shared" si="333"/>
        <v/>
      </c>
      <c r="MQ482" s="2470" t="str">
        <f t="shared" si="334"/>
        <v/>
      </c>
      <c r="MR482" s="2470" t="str">
        <f t="shared" si="335"/>
        <v/>
      </c>
      <c r="MS482" s="2470" t="str">
        <f t="shared" si="336"/>
        <v/>
      </c>
      <c r="MT482" s="2470" t="str">
        <f t="shared" si="337"/>
        <v/>
      </c>
      <c r="MU482" s="356" t="str">
        <f t="shared" si="338"/>
        <v/>
      </c>
      <c r="MV482" s="356" t="str">
        <f t="shared" si="339"/>
        <v/>
      </c>
      <c r="MW482" s="356" t="str">
        <f t="shared" si="340"/>
        <v/>
      </c>
      <c r="MX482" s="356" t="str">
        <f t="shared" si="341"/>
        <v/>
      </c>
      <c r="MY482" s="356" t="str">
        <f t="shared" si="342"/>
        <v/>
      </c>
      <c r="MZ482" s="356" t="str">
        <f t="shared" si="343"/>
        <v/>
      </c>
      <c r="NA482" s="356" t="str">
        <f t="shared" si="344"/>
        <v/>
      </c>
      <c r="NB482" s="356" t="str">
        <f t="shared" si="345"/>
        <v/>
      </c>
      <c r="NC482" s="356" t="str">
        <f t="shared" si="346"/>
        <v/>
      </c>
      <c r="ND482" s="356" t="str">
        <f t="shared" si="347"/>
        <v/>
      </c>
      <c r="NE482" s="356" t="str">
        <f t="shared" si="348"/>
        <v/>
      </c>
      <c r="NF482" s="356" t="str">
        <f t="shared" si="349"/>
        <v/>
      </c>
      <c r="NG482" s="356" t="str">
        <f t="shared" si="350"/>
        <v/>
      </c>
      <c r="NH482" s="356" t="str">
        <f t="shared" si="351"/>
        <v/>
      </c>
      <c r="NI482" s="356" t="str">
        <f t="shared" si="352"/>
        <v/>
      </c>
      <c r="NJ482" s="356" t="str">
        <f t="shared" si="353"/>
        <v/>
      </c>
      <c r="NK482" s="356" t="str">
        <f t="shared" si="354"/>
        <v/>
      </c>
      <c r="NL482" s="356" t="str">
        <f t="shared" si="355"/>
        <v/>
      </c>
      <c r="NM482" s="356" t="str">
        <f t="shared" si="356"/>
        <v/>
      </c>
      <c r="NN482" s="356" t="str">
        <f t="shared" si="357"/>
        <v/>
      </c>
      <c r="NO482" s="1640">
        <f t="shared" si="358"/>
        <v>0</v>
      </c>
      <c r="NP482" s="1640">
        <f t="shared" si="359"/>
        <v>0</v>
      </c>
      <c r="NQ482" s="1640">
        <f t="shared" si="360"/>
        <v>0</v>
      </c>
      <c r="NR482" s="1640">
        <f t="shared" si="361"/>
        <v>0</v>
      </c>
      <c r="NS482" s="1640">
        <f t="shared" si="362"/>
        <v>0</v>
      </c>
      <c r="NT482" s="1640">
        <f t="shared" si="368"/>
        <v>0</v>
      </c>
      <c r="NU482" s="1640">
        <f t="shared" si="369"/>
        <v>0</v>
      </c>
      <c r="NV482" s="1640">
        <f t="shared" si="370"/>
        <v>0</v>
      </c>
      <c r="NW482" s="1640">
        <f t="shared" si="371"/>
        <v>0</v>
      </c>
      <c r="NX482" s="1640">
        <f t="shared" si="372"/>
        <v>0</v>
      </c>
      <c r="NY482" s="1640">
        <f t="shared" si="363"/>
        <v>0</v>
      </c>
      <c r="NZ482" s="1640">
        <f t="shared" si="364"/>
        <v>0</v>
      </c>
      <c r="OA482" s="1640">
        <f t="shared" si="365"/>
        <v>0</v>
      </c>
      <c r="OB482" s="1640">
        <f t="shared" si="366"/>
        <v>0</v>
      </c>
      <c r="OC482" s="1640">
        <f t="shared" si="367"/>
        <v>0</v>
      </c>
      <c r="OY482" s="356" t="s">
        <v>4315</v>
      </c>
      <c r="OZ482" s="1784">
        <v>29</v>
      </c>
    </row>
    <row r="483" spans="1:416" ht="12" customHeight="1">
      <c r="A483" s="2706" t="str">
        <f t="shared" si="0"/>
        <v/>
      </c>
      <c r="B483" s="2725">
        <f>'Part V-Revenues &amp; Expenses'!B30</f>
        <v>0</v>
      </c>
      <c r="C483" s="2726">
        <f>'Part V-Revenues &amp; Expenses'!C30</f>
        <v>0</v>
      </c>
      <c r="D483" s="2727">
        <f>'Part V-Revenues &amp; Expenses'!D30</f>
        <v>0</v>
      </c>
      <c r="E483" s="2728">
        <f>'Part V-Revenues &amp; Expenses'!E30</f>
        <v>0</v>
      </c>
      <c r="F483" s="2728">
        <f>'Part V-Revenues &amp; Expenses'!F30</f>
        <v>0</v>
      </c>
      <c r="G483" s="2728">
        <f>'Part V-Revenues &amp; Expenses'!G30</f>
        <v>0</v>
      </c>
      <c r="H483" s="2728">
        <f>'Part V-Revenues &amp; Expenses'!H30</f>
        <v>0</v>
      </c>
      <c r="I483" s="2728">
        <f>'Part V-Revenues &amp; Expenses'!I30</f>
        <v>0</v>
      </c>
      <c r="J483" s="2728">
        <f>'Part V-Revenues &amp; Expenses'!J30</f>
        <v>0</v>
      </c>
      <c r="K483" s="2729">
        <f>'Part V-Revenues &amp; Expenses'!K30</f>
        <v>0</v>
      </c>
      <c r="L483" s="2730">
        <f t="shared" si="1"/>
        <v>0</v>
      </c>
      <c r="M483" s="2730">
        <f t="shared" si="2"/>
        <v>0</v>
      </c>
      <c r="N483" s="2580">
        <f>'Part V-Revenues &amp; Expenses'!N30</f>
        <v>0</v>
      </c>
      <c r="O483" s="1248">
        <f>'Part V-Revenues &amp; Expenses'!O30</f>
        <v>0</v>
      </c>
      <c r="P483" s="2580">
        <f>'Part V-Revenues &amp; Expenses'!P30</f>
        <v>0</v>
      </c>
      <c r="Q483" s="2469">
        <f>'Part V-Revenues &amp; Expenses'!Q30</f>
        <v>0</v>
      </c>
      <c r="R483" s="2731"/>
      <c r="S483" s="2732"/>
      <c r="T483" s="2647"/>
      <c r="U483" s="2647"/>
      <c r="V483" s="2647"/>
      <c r="W483" s="2647"/>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356" t="str">
        <f t="shared" si="213"/>
        <v/>
      </c>
      <c r="IA483" s="356" t="str">
        <f t="shared" si="214"/>
        <v/>
      </c>
      <c r="IB483" s="356" t="str">
        <f t="shared" si="215"/>
        <v/>
      </c>
      <c r="IC483" s="356" t="str">
        <f t="shared" si="216"/>
        <v/>
      </c>
      <c r="ID483" s="356" t="str">
        <f t="shared" si="217"/>
        <v/>
      </c>
      <c r="IE483" s="356" t="str">
        <f t="shared" si="218"/>
        <v/>
      </c>
      <c r="IF483" s="356" t="str">
        <f t="shared" si="219"/>
        <v/>
      </c>
      <c r="IG483" s="356" t="str">
        <f t="shared" si="220"/>
        <v/>
      </c>
      <c r="IH483" s="356" t="str">
        <f t="shared" si="221"/>
        <v/>
      </c>
      <c r="II483" s="356" t="str">
        <f t="shared" si="222"/>
        <v/>
      </c>
      <c r="IJ483" s="356" t="str">
        <f t="shared" si="223"/>
        <v/>
      </c>
      <c r="IK483" s="356" t="str">
        <f t="shared" si="224"/>
        <v/>
      </c>
      <c r="IL483" s="356" t="str">
        <f t="shared" si="225"/>
        <v/>
      </c>
      <c r="IM483" s="356" t="str">
        <f t="shared" si="226"/>
        <v/>
      </c>
      <c r="IN483" s="356" t="str">
        <f t="shared" si="227"/>
        <v/>
      </c>
      <c r="IO483" s="356" t="str">
        <f t="shared" si="228"/>
        <v/>
      </c>
      <c r="IP483" s="356" t="str">
        <f t="shared" si="229"/>
        <v/>
      </c>
      <c r="IQ483" s="356" t="str">
        <f t="shared" si="230"/>
        <v/>
      </c>
      <c r="IR483" s="356" t="str">
        <f t="shared" si="231"/>
        <v/>
      </c>
      <c r="IS483" s="356" t="str">
        <f t="shared" si="232"/>
        <v/>
      </c>
      <c r="IT483" s="356" t="str">
        <f t="shared" si="233"/>
        <v/>
      </c>
      <c r="IU483" s="356" t="str">
        <f t="shared" si="234"/>
        <v/>
      </c>
      <c r="IV483" s="356" t="str">
        <f t="shared" si="235"/>
        <v/>
      </c>
      <c r="IW483" s="356" t="str">
        <f t="shared" si="236"/>
        <v/>
      </c>
      <c r="IX483" s="356" t="str">
        <f t="shared" si="237"/>
        <v/>
      </c>
      <c r="IY483" s="356" t="str">
        <f t="shared" si="238"/>
        <v/>
      </c>
      <c r="IZ483" s="356" t="str">
        <f t="shared" si="239"/>
        <v/>
      </c>
      <c r="JA483" s="356" t="str">
        <f t="shared" si="240"/>
        <v/>
      </c>
      <c r="JB483" s="356" t="str">
        <f t="shared" si="241"/>
        <v/>
      </c>
      <c r="JC483" s="356" t="str">
        <f t="shared" si="242"/>
        <v/>
      </c>
      <c r="JD483" s="356" t="str">
        <f t="shared" si="243"/>
        <v/>
      </c>
      <c r="JE483" s="356" t="str">
        <f t="shared" si="244"/>
        <v/>
      </c>
      <c r="JF483" s="356" t="str">
        <f t="shared" si="245"/>
        <v/>
      </c>
      <c r="JG483" s="356" t="str">
        <f t="shared" si="246"/>
        <v/>
      </c>
      <c r="JH483" s="356" t="str">
        <f t="shared" si="247"/>
        <v/>
      </c>
      <c r="JI483" s="1785" t="str">
        <f t="shared" si="248"/>
        <v/>
      </c>
      <c r="JJ483" s="1785" t="str">
        <f t="shared" si="249"/>
        <v/>
      </c>
      <c r="JK483" s="1785" t="str">
        <f t="shared" si="250"/>
        <v/>
      </c>
      <c r="JL483" s="1785" t="str">
        <f t="shared" si="251"/>
        <v/>
      </c>
      <c r="JM483" s="1785" t="str">
        <f t="shared" si="252"/>
        <v/>
      </c>
      <c r="JN483" s="1785" t="str">
        <f t="shared" si="253"/>
        <v/>
      </c>
      <c r="JO483" s="1785" t="str">
        <f t="shared" si="254"/>
        <v/>
      </c>
      <c r="JP483" s="1785" t="str">
        <f t="shared" si="255"/>
        <v/>
      </c>
      <c r="JQ483" s="1785" t="str">
        <f t="shared" si="256"/>
        <v/>
      </c>
      <c r="JR483" s="1785" t="str">
        <f t="shared" si="257"/>
        <v/>
      </c>
      <c r="JS483" s="1785" t="str">
        <f t="shared" si="258"/>
        <v/>
      </c>
      <c r="JT483" s="1785" t="str">
        <f t="shared" si="259"/>
        <v/>
      </c>
      <c r="JU483" s="1785" t="str">
        <f t="shared" si="260"/>
        <v/>
      </c>
      <c r="JV483" s="1785" t="str">
        <f t="shared" si="261"/>
        <v/>
      </c>
      <c r="JW483" s="1785" t="str">
        <f t="shared" si="262"/>
        <v/>
      </c>
      <c r="JX483" s="1785" t="str">
        <f t="shared" si="263"/>
        <v/>
      </c>
      <c r="JY483" s="1785" t="str">
        <f t="shared" si="264"/>
        <v/>
      </c>
      <c r="JZ483" s="1785" t="str">
        <f t="shared" si="265"/>
        <v/>
      </c>
      <c r="KA483" s="1785" t="str">
        <f t="shared" si="266"/>
        <v/>
      </c>
      <c r="KB483" s="1785" t="str">
        <f t="shared" si="267"/>
        <v/>
      </c>
      <c r="KC483" s="1785" t="str">
        <f t="shared" si="268"/>
        <v/>
      </c>
      <c r="KD483" s="1785" t="str">
        <f t="shared" si="269"/>
        <v/>
      </c>
      <c r="KE483" s="1785" t="str">
        <f t="shared" si="270"/>
        <v/>
      </c>
      <c r="KF483" s="1785" t="str">
        <f t="shared" si="271"/>
        <v/>
      </c>
      <c r="KG483" s="1785" t="str">
        <f t="shared" si="272"/>
        <v/>
      </c>
      <c r="KH483" s="1785" t="str">
        <f t="shared" si="273"/>
        <v/>
      </c>
      <c r="KI483" s="1785" t="str">
        <f t="shared" si="274"/>
        <v/>
      </c>
      <c r="KJ483" s="1785" t="str">
        <f t="shared" si="275"/>
        <v/>
      </c>
      <c r="KK483" s="1785" t="str">
        <f t="shared" si="276"/>
        <v/>
      </c>
      <c r="KL483" s="1785" t="str">
        <f t="shared" si="277"/>
        <v/>
      </c>
      <c r="KM483" s="1785" t="str">
        <f t="shared" si="278"/>
        <v/>
      </c>
      <c r="KN483" s="1785" t="str">
        <f t="shared" si="279"/>
        <v/>
      </c>
      <c r="KO483" s="1785" t="str">
        <f t="shared" si="280"/>
        <v/>
      </c>
      <c r="KP483" s="1785" t="str">
        <f t="shared" si="281"/>
        <v/>
      </c>
      <c r="KQ483" s="1785" t="str">
        <f t="shared" si="282"/>
        <v/>
      </c>
      <c r="KR483" s="1785" t="str">
        <f t="shared" si="283"/>
        <v/>
      </c>
      <c r="KS483" s="1785" t="str">
        <f t="shared" si="284"/>
        <v/>
      </c>
      <c r="KT483" s="1785" t="str">
        <f t="shared" si="285"/>
        <v/>
      </c>
      <c r="KU483" s="1785" t="str">
        <f t="shared" si="286"/>
        <v/>
      </c>
      <c r="KV483" s="1785" t="str">
        <f t="shared" si="287"/>
        <v/>
      </c>
      <c r="KW483" s="1785" t="str">
        <f t="shared" si="288"/>
        <v/>
      </c>
      <c r="KX483" s="1785" t="str">
        <f t="shared" si="289"/>
        <v/>
      </c>
      <c r="KY483" s="1785" t="str">
        <f t="shared" si="290"/>
        <v/>
      </c>
      <c r="KZ483" s="1785" t="str">
        <f t="shared" si="291"/>
        <v/>
      </c>
      <c r="LA483" s="1785" t="str">
        <f t="shared" si="292"/>
        <v/>
      </c>
      <c r="LB483" s="1785" t="str">
        <f t="shared" si="293"/>
        <v/>
      </c>
      <c r="LC483" s="1785" t="str">
        <f t="shared" si="294"/>
        <v/>
      </c>
      <c r="LD483" s="1785" t="str">
        <f t="shared" si="295"/>
        <v/>
      </c>
      <c r="LE483" s="1785" t="str">
        <f t="shared" si="296"/>
        <v/>
      </c>
      <c r="LF483" s="1785" t="str">
        <f t="shared" si="297"/>
        <v/>
      </c>
      <c r="LG483" s="1785" t="str">
        <f t="shared" si="298"/>
        <v/>
      </c>
      <c r="LH483" s="1785" t="str">
        <f t="shared" si="299"/>
        <v/>
      </c>
      <c r="LI483" s="1785" t="str">
        <f t="shared" si="300"/>
        <v/>
      </c>
      <c r="LJ483" s="1785" t="str">
        <f t="shared" si="301"/>
        <v/>
      </c>
      <c r="LK483" s="1785" t="str">
        <f t="shared" si="302"/>
        <v/>
      </c>
      <c r="LL483" s="1785" t="str">
        <f t="shared" si="303"/>
        <v/>
      </c>
      <c r="LM483" s="1785" t="str">
        <f t="shared" si="304"/>
        <v/>
      </c>
      <c r="LN483" s="1785" t="str">
        <f t="shared" si="305"/>
        <v/>
      </c>
      <c r="LO483" s="1785" t="str">
        <f t="shared" si="306"/>
        <v/>
      </c>
      <c r="LP483" s="1785" t="str">
        <f t="shared" si="307"/>
        <v/>
      </c>
      <c r="LQ483" s="1785" t="str">
        <f t="shared" si="308"/>
        <v/>
      </c>
      <c r="LR483" s="1785" t="str">
        <f t="shared" si="309"/>
        <v/>
      </c>
      <c r="LS483" s="1785" t="str">
        <f t="shared" si="310"/>
        <v/>
      </c>
      <c r="LT483" s="1785" t="str">
        <f t="shared" si="311"/>
        <v/>
      </c>
      <c r="LU483" s="1785" t="str">
        <f t="shared" si="312"/>
        <v/>
      </c>
      <c r="LV483" s="1785" t="str">
        <f t="shared" si="313"/>
        <v/>
      </c>
      <c r="LW483" s="1785" t="str">
        <f t="shared" si="314"/>
        <v/>
      </c>
      <c r="LX483" s="1785" t="str">
        <f t="shared" si="315"/>
        <v/>
      </c>
      <c r="LY483" s="1785" t="str">
        <f t="shared" si="316"/>
        <v/>
      </c>
      <c r="LZ483" s="1785" t="str">
        <f t="shared" si="317"/>
        <v/>
      </c>
      <c r="MA483" s="1785" t="str">
        <f t="shared" si="318"/>
        <v/>
      </c>
      <c r="MB483" s="1785" t="str">
        <f t="shared" si="319"/>
        <v/>
      </c>
      <c r="MC483" s="1785" t="str">
        <f t="shared" si="320"/>
        <v/>
      </c>
      <c r="MD483" s="1785" t="str">
        <f t="shared" si="321"/>
        <v/>
      </c>
      <c r="ME483" s="1785" t="str">
        <f t="shared" si="322"/>
        <v/>
      </c>
      <c r="MF483" s="1785" t="str">
        <f t="shared" si="323"/>
        <v/>
      </c>
      <c r="MG483" s="1785" t="str">
        <f t="shared" si="324"/>
        <v/>
      </c>
      <c r="MH483" s="1785" t="str">
        <f t="shared" si="325"/>
        <v/>
      </c>
      <c r="MI483" s="1785" t="str">
        <f t="shared" si="326"/>
        <v/>
      </c>
      <c r="MJ483" s="1785" t="str">
        <f t="shared" si="327"/>
        <v/>
      </c>
      <c r="MK483" s="1785" t="str">
        <f t="shared" si="328"/>
        <v/>
      </c>
      <c r="ML483" s="1785" t="str">
        <f t="shared" si="329"/>
        <v/>
      </c>
      <c r="MM483" s="1785" t="str">
        <f t="shared" si="330"/>
        <v/>
      </c>
      <c r="MN483" s="1785" t="str">
        <f t="shared" si="331"/>
        <v/>
      </c>
      <c r="MO483" s="1785" t="str">
        <f t="shared" si="332"/>
        <v/>
      </c>
      <c r="MP483" s="2470" t="str">
        <f t="shared" si="333"/>
        <v/>
      </c>
      <c r="MQ483" s="2470" t="str">
        <f t="shared" si="334"/>
        <v/>
      </c>
      <c r="MR483" s="2470" t="str">
        <f t="shared" si="335"/>
        <v/>
      </c>
      <c r="MS483" s="2470" t="str">
        <f t="shared" si="336"/>
        <v/>
      </c>
      <c r="MT483" s="2470" t="str">
        <f t="shared" si="337"/>
        <v/>
      </c>
      <c r="MU483" s="356" t="str">
        <f t="shared" si="338"/>
        <v/>
      </c>
      <c r="MV483" s="356" t="str">
        <f t="shared" si="339"/>
        <v/>
      </c>
      <c r="MW483" s="356" t="str">
        <f t="shared" si="340"/>
        <v/>
      </c>
      <c r="MX483" s="356" t="str">
        <f t="shared" si="341"/>
        <v/>
      </c>
      <c r="MY483" s="356" t="str">
        <f t="shared" si="342"/>
        <v/>
      </c>
      <c r="MZ483" s="356" t="str">
        <f t="shared" si="343"/>
        <v/>
      </c>
      <c r="NA483" s="356" t="str">
        <f t="shared" si="344"/>
        <v/>
      </c>
      <c r="NB483" s="356" t="str">
        <f t="shared" si="345"/>
        <v/>
      </c>
      <c r="NC483" s="356" t="str">
        <f t="shared" si="346"/>
        <v/>
      </c>
      <c r="ND483" s="356" t="str">
        <f t="shared" si="347"/>
        <v/>
      </c>
      <c r="NE483" s="356" t="str">
        <f t="shared" si="348"/>
        <v/>
      </c>
      <c r="NF483" s="356" t="str">
        <f t="shared" si="349"/>
        <v/>
      </c>
      <c r="NG483" s="356" t="str">
        <f t="shared" si="350"/>
        <v/>
      </c>
      <c r="NH483" s="356" t="str">
        <f t="shared" si="351"/>
        <v/>
      </c>
      <c r="NI483" s="356" t="str">
        <f t="shared" si="352"/>
        <v/>
      </c>
      <c r="NJ483" s="356" t="str">
        <f t="shared" si="353"/>
        <v/>
      </c>
      <c r="NK483" s="356" t="str">
        <f t="shared" si="354"/>
        <v/>
      </c>
      <c r="NL483" s="356" t="str">
        <f t="shared" si="355"/>
        <v/>
      </c>
      <c r="NM483" s="356" t="str">
        <f t="shared" si="356"/>
        <v/>
      </c>
      <c r="NN483" s="356" t="str">
        <f t="shared" si="357"/>
        <v/>
      </c>
      <c r="NO483" s="1640">
        <f t="shared" si="358"/>
        <v>0</v>
      </c>
      <c r="NP483" s="1640">
        <f t="shared" si="359"/>
        <v>0</v>
      </c>
      <c r="NQ483" s="1640">
        <f t="shared" si="360"/>
        <v>0</v>
      </c>
      <c r="NR483" s="1640">
        <f t="shared" si="361"/>
        <v>0</v>
      </c>
      <c r="NS483" s="1640">
        <f t="shared" si="362"/>
        <v>0</v>
      </c>
      <c r="NT483" s="1640">
        <f t="shared" si="368"/>
        <v>0</v>
      </c>
      <c r="NU483" s="1640">
        <f t="shared" si="369"/>
        <v>0</v>
      </c>
      <c r="NV483" s="1640">
        <f t="shared" si="370"/>
        <v>0</v>
      </c>
      <c r="NW483" s="1640">
        <f t="shared" si="371"/>
        <v>0</v>
      </c>
      <c r="NX483" s="1640">
        <f t="shared" si="372"/>
        <v>0</v>
      </c>
      <c r="NY483" s="1640">
        <f t="shared" si="363"/>
        <v>0</v>
      </c>
      <c r="NZ483" s="1640">
        <f t="shared" si="364"/>
        <v>0</v>
      </c>
      <c r="OA483" s="1640">
        <f t="shared" si="365"/>
        <v>0</v>
      </c>
      <c r="OB483" s="1640">
        <f t="shared" si="366"/>
        <v>0</v>
      </c>
      <c r="OC483" s="1640">
        <f t="shared" si="367"/>
        <v>0</v>
      </c>
      <c r="OY483" s="356" t="s">
        <v>4316</v>
      </c>
      <c r="OZ483" s="1784">
        <v>30</v>
      </c>
    </row>
    <row r="484" spans="1:416" ht="12" customHeight="1">
      <c r="A484" s="2706" t="str">
        <f t="shared" si="0"/>
        <v/>
      </c>
      <c r="B484" s="2725">
        <f>'Part V-Revenues &amp; Expenses'!B31</f>
        <v>0</v>
      </c>
      <c r="C484" s="2726">
        <f>'Part V-Revenues &amp; Expenses'!C31</f>
        <v>0</v>
      </c>
      <c r="D484" s="2727">
        <f>'Part V-Revenues &amp; Expenses'!D31</f>
        <v>0</v>
      </c>
      <c r="E484" s="2728">
        <f>'Part V-Revenues &amp; Expenses'!E31</f>
        <v>0</v>
      </c>
      <c r="F484" s="2728">
        <f>'Part V-Revenues &amp; Expenses'!F31</f>
        <v>0</v>
      </c>
      <c r="G484" s="2728">
        <f>'Part V-Revenues &amp; Expenses'!G31</f>
        <v>0</v>
      </c>
      <c r="H484" s="2728">
        <f>'Part V-Revenues &amp; Expenses'!H31</f>
        <v>0</v>
      </c>
      <c r="I484" s="2728">
        <f>'Part V-Revenues &amp; Expenses'!I31</f>
        <v>0</v>
      </c>
      <c r="J484" s="2728">
        <f>'Part V-Revenues &amp; Expenses'!J31</f>
        <v>0</v>
      </c>
      <c r="K484" s="2729">
        <f>'Part V-Revenues &amp; Expenses'!K31</f>
        <v>0</v>
      </c>
      <c r="L484" s="2730">
        <f t="shared" si="1"/>
        <v>0</v>
      </c>
      <c r="M484" s="2730">
        <f t="shared" si="2"/>
        <v>0</v>
      </c>
      <c r="N484" s="2580">
        <f>'Part V-Revenues &amp; Expenses'!N31</f>
        <v>0</v>
      </c>
      <c r="O484" s="1248">
        <f>'Part V-Revenues &amp; Expenses'!O31</f>
        <v>0</v>
      </c>
      <c r="P484" s="2580">
        <f>'Part V-Revenues &amp; Expenses'!P31</f>
        <v>0</v>
      </c>
      <c r="Q484" s="2469">
        <f>'Part V-Revenues &amp; Expenses'!Q31</f>
        <v>0</v>
      </c>
      <c r="R484" s="2731"/>
      <c r="S484" s="2732"/>
      <c r="T484" s="2647"/>
      <c r="U484" s="2647"/>
      <c r="V484" s="2647"/>
      <c r="W484" s="2647"/>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356" t="str">
        <f t="shared" si="213"/>
        <v/>
      </c>
      <c r="IA484" s="356" t="str">
        <f t="shared" si="214"/>
        <v/>
      </c>
      <c r="IB484" s="356" t="str">
        <f t="shared" si="215"/>
        <v/>
      </c>
      <c r="IC484" s="356" t="str">
        <f t="shared" si="216"/>
        <v/>
      </c>
      <c r="ID484" s="356" t="str">
        <f t="shared" si="217"/>
        <v/>
      </c>
      <c r="IE484" s="356" t="str">
        <f t="shared" si="218"/>
        <v/>
      </c>
      <c r="IF484" s="356" t="str">
        <f t="shared" si="219"/>
        <v/>
      </c>
      <c r="IG484" s="356" t="str">
        <f t="shared" si="220"/>
        <v/>
      </c>
      <c r="IH484" s="356" t="str">
        <f t="shared" si="221"/>
        <v/>
      </c>
      <c r="II484" s="356" t="str">
        <f t="shared" si="222"/>
        <v/>
      </c>
      <c r="IJ484" s="356" t="str">
        <f t="shared" si="223"/>
        <v/>
      </c>
      <c r="IK484" s="356" t="str">
        <f t="shared" si="224"/>
        <v/>
      </c>
      <c r="IL484" s="356" t="str">
        <f t="shared" si="225"/>
        <v/>
      </c>
      <c r="IM484" s="356" t="str">
        <f t="shared" si="226"/>
        <v/>
      </c>
      <c r="IN484" s="356" t="str">
        <f t="shared" si="227"/>
        <v/>
      </c>
      <c r="IO484" s="356" t="str">
        <f t="shared" si="228"/>
        <v/>
      </c>
      <c r="IP484" s="356" t="str">
        <f t="shared" si="229"/>
        <v/>
      </c>
      <c r="IQ484" s="356" t="str">
        <f t="shared" si="230"/>
        <v/>
      </c>
      <c r="IR484" s="356" t="str">
        <f t="shared" si="231"/>
        <v/>
      </c>
      <c r="IS484" s="356" t="str">
        <f t="shared" si="232"/>
        <v/>
      </c>
      <c r="IT484" s="356" t="str">
        <f t="shared" si="233"/>
        <v/>
      </c>
      <c r="IU484" s="356" t="str">
        <f t="shared" si="234"/>
        <v/>
      </c>
      <c r="IV484" s="356" t="str">
        <f t="shared" si="235"/>
        <v/>
      </c>
      <c r="IW484" s="356" t="str">
        <f t="shared" si="236"/>
        <v/>
      </c>
      <c r="IX484" s="356" t="str">
        <f t="shared" si="237"/>
        <v/>
      </c>
      <c r="IY484" s="356" t="str">
        <f t="shared" si="238"/>
        <v/>
      </c>
      <c r="IZ484" s="356" t="str">
        <f t="shared" si="239"/>
        <v/>
      </c>
      <c r="JA484" s="356" t="str">
        <f t="shared" si="240"/>
        <v/>
      </c>
      <c r="JB484" s="356" t="str">
        <f t="shared" si="241"/>
        <v/>
      </c>
      <c r="JC484" s="356" t="str">
        <f t="shared" si="242"/>
        <v/>
      </c>
      <c r="JD484" s="356" t="str">
        <f t="shared" si="243"/>
        <v/>
      </c>
      <c r="JE484" s="356" t="str">
        <f t="shared" si="244"/>
        <v/>
      </c>
      <c r="JF484" s="356" t="str">
        <f t="shared" si="245"/>
        <v/>
      </c>
      <c r="JG484" s="356" t="str">
        <f t="shared" si="246"/>
        <v/>
      </c>
      <c r="JH484" s="356" t="str">
        <f t="shared" si="247"/>
        <v/>
      </c>
      <c r="JI484" s="1785" t="str">
        <f t="shared" si="248"/>
        <v/>
      </c>
      <c r="JJ484" s="1785" t="str">
        <f t="shared" si="249"/>
        <v/>
      </c>
      <c r="JK484" s="1785" t="str">
        <f t="shared" si="250"/>
        <v/>
      </c>
      <c r="JL484" s="1785" t="str">
        <f t="shared" si="251"/>
        <v/>
      </c>
      <c r="JM484" s="1785" t="str">
        <f t="shared" si="252"/>
        <v/>
      </c>
      <c r="JN484" s="1785" t="str">
        <f t="shared" si="253"/>
        <v/>
      </c>
      <c r="JO484" s="1785" t="str">
        <f t="shared" si="254"/>
        <v/>
      </c>
      <c r="JP484" s="1785" t="str">
        <f t="shared" si="255"/>
        <v/>
      </c>
      <c r="JQ484" s="1785" t="str">
        <f t="shared" si="256"/>
        <v/>
      </c>
      <c r="JR484" s="1785" t="str">
        <f t="shared" si="257"/>
        <v/>
      </c>
      <c r="JS484" s="1785" t="str">
        <f t="shared" si="258"/>
        <v/>
      </c>
      <c r="JT484" s="1785" t="str">
        <f t="shared" si="259"/>
        <v/>
      </c>
      <c r="JU484" s="1785" t="str">
        <f t="shared" si="260"/>
        <v/>
      </c>
      <c r="JV484" s="1785" t="str">
        <f t="shared" si="261"/>
        <v/>
      </c>
      <c r="JW484" s="1785" t="str">
        <f t="shared" si="262"/>
        <v/>
      </c>
      <c r="JX484" s="1785" t="str">
        <f t="shared" si="263"/>
        <v/>
      </c>
      <c r="JY484" s="1785" t="str">
        <f t="shared" si="264"/>
        <v/>
      </c>
      <c r="JZ484" s="1785" t="str">
        <f t="shared" si="265"/>
        <v/>
      </c>
      <c r="KA484" s="1785" t="str">
        <f t="shared" si="266"/>
        <v/>
      </c>
      <c r="KB484" s="1785" t="str">
        <f t="shared" si="267"/>
        <v/>
      </c>
      <c r="KC484" s="1785" t="str">
        <f t="shared" si="268"/>
        <v/>
      </c>
      <c r="KD484" s="1785" t="str">
        <f t="shared" si="269"/>
        <v/>
      </c>
      <c r="KE484" s="1785" t="str">
        <f t="shared" si="270"/>
        <v/>
      </c>
      <c r="KF484" s="1785" t="str">
        <f t="shared" si="271"/>
        <v/>
      </c>
      <c r="KG484" s="1785" t="str">
        <f t="shared" si="272"/>
        <v/>
      </c>
      <c r="KH484" s="1785" t="str">
        <f t="shared" si="273"/>
        <v/>
      </c>
      <c r="KI484" s="1785" t="str">
        <f t="shared" si="274"/>
        <v/>
      </c>
      <c r="KJ484" s="1785" t="str">
        <f t="shared" si="275"/>
        <v/>
      </c>
      <c r="KK484" s="1785" t="str">
        <f t="shared" si="276"/>
        <v/>
      </c>
      <c r="KL484" s="1785" t="str">
        <f t="shared" si="277"/>
        <v/>
      </c>
      <c r="KM484" s="1785" t="str">
        <f t="shared" si="278"/>
        <v/>
      </c>
      <c r="KN484" s="1785" t="str">
        <f t="shared" si="279"/>
        <v/>
      </c>
      <c r="KO484" s="1785" t="str">
        <f t="shared" si="280"/>
        <v/>
      </c>
      <c r="KP484" s="1785" t="str">
        <f t="shared" si="281"/>
        <v/>
      </c>
      <c r="KQ484" s="1785" t="str">
        <f t="shared" si="282"/>
        <v/>
      </c>
      <c r="KR484" s="1785" t="str">
        <f t="shared" si="283"/>
        <v/>
      </c>
      <c r="KS484" s="1785" t="str">
        <f t="shared" si="284"/>
        <v/>
      </c>
      <c r="KT484" s="1785" t="str">
        <f t="shared" si="285"/>
        <v/>
      </c>
      <c r="KU484" s="1785" t="str">
        <f t="shared" si="286"/>
        <v/>
      </c>
      <c r="KV484" s="1785" t="str">
        <f t="shared" si="287"/>
        <v/>
      </c>
      <c r="KW484" s="1785" t="str">
        <f t="shared" si="288"/>
        <v/>
      </c>
      <c r="KX484" s="1785" t="str">
        <f t="shared" si="289"/>
        <v/>
      </c>
      <c r="KY484" s="1785" t="str">
        <f t="shared" si="290"/>
        <v/>
      </c>
      <c r="KZ484" s="1785" t="str">
        <f t="shared" si="291"/>
        <v/>
      </c>
      <c r="LA484" s="1785" t="str">
        <f t="shared" si="292"/>
        <v/>
      </c>
      <c r="LB484" s="1785" t="str">
        <f t="shared" si="293"/>
        <v/>
      </c>
      <c r="LC484" s="1785" t="str">
        <f t="shared" si="294"/>
        <v/>
      </c>
      <c r="LD484" s="1785" t="str">
        <f t="shared" si="295"/>
        <v/>
      </c>
      <c r="LE484" s="1785" t="str">
        <f t="shared" si="296"/>
        <v/>
      </c>
      <c r="LF484" s="1785" t="str">
        <f t="shared" si="297"/>
        <v/>
      </c>
      <c r="LG484" s="1785" t="str">
        <f t="shared" si="298"/>
        <v/>
      </c>
      <c r="LH484" s="1785" t="str">
        <f t="shared" si="299"/>
        <v/>
      </c>
      <c r="LI484" s="1785" t="str">
        <f t="shared" si="300"/>
        <v/>
      </c>
      <c r="LJ484" s="1785" t="str">
        <f t="shared" si="301"/>
        <v/>
      </c>
      <c r="LK484" s="1785" t="str">
        <f t="shared" si="302"/>
        <v/>
      </c>
      <c r="LL484" s="1785" t="str">
        <f t="shared" si="303"/>
        <v/>
      </c>
      <c r="LM484" s="1785" t="str">
        <f t="shared" si="304"/>
        <v/>
      </c>
      <c r="LN484" s="1785" t="str">
        <f t="shared" si="305"/>
        <v/>
      </c>
      <c r="LO484" s="1785" t="str">
        <f t="shared" si="306"/>
        <v/>
      </c>
      <c r="LP484" s="1785" t="str">
        <f t="shared" si="307"/>
        <v/>
      </c>
      <c r="LQ484" s="1785" t="str">
        <f t="shared" si="308"/>
        <v/>
      </c>
      <c r="LR484" s="1785" t="str">
        <f t="shared" si="309"/>
        <v/>
      </c>
      <c r="LS484" s="1785" t="str">
        <f t="shared" si="310"/>
        <v/>
      </c>
      <c r="LT484" s="1785" t="str">
        <f t="shared" si="311"/>
        <v/>
      </c>
      <c r="LU484" s="1785" t="str">
        <f t="shared" si="312"/>
        <v/>
      </c>
      <c r="LV484" s="1785" t="str">
        <f t="shared" si="313"/>
        <v/>
      </c>
      <c r="LW484" s="1785" t="str">
        <f t="shared" si="314"/>
        <v/>
      </c>
      <c r="LX484" s="1785" t="str">
        <f t="shared" si="315"/>
        <v/>
      </c>
      <c r="LY484" s="1785" t="str">
        <f t="shared" si="316"/>
        <v/>
      </c>
      <c r="LZ484" s="1785" t="str">
        <f t="shared" si="317"/>
        <v/>
      </c>
      <c r="MA484" s="1785" t="str">
        <f t="shared" si="318"/>
        <v/>
      </c>
      <c r="MB484" s="1785" t="str">
        <f t="shared" si="319"/>
        <v/>
      </c>
      <c r="MC484" s="1785" t="str">
        <f t="shared" si="320"/>
        <v/>
      </c>
      <c r="MD484" s="1785" t="str">
        <f t="shared" si="321"/>
        <v/>
      </c>
      <c r="ME484" s="1785" t="str">
        <f t="shared" si="322"/>
        <v/>
      </c>
      <c r="MF484" s="1785" t="str">
        <f t="shared" si="323"/>
        <v/>
      </c>
      <c r="MG484" s="1785" t="str">
        <f t="shared" si="324"/>
        <v/>
      </c>
      <c r="MH484" s="1785" t="str">
        <f t="shared" si="325"/>
        <v/>
      </c>
      <c r="MI484" s="1785" t="str">
        <f t="shared" si="326"/>
        <v/>
      </c>
      <c r="MJ484" s="1785" t="str">
        <f t="shared" si="327"/>
        <v/>
      </c>
      <c r="MK484" s="1785" t="str">
        <f t="shared" si="328"/>
        <v/>
      </c>
      <c r="ML484" s="1785" t="str">
        <f t="shared" si="329"/>
        <v/>
      </c>
      <c r="MM484" s="1785" t="str">
        <f t="shared" si="330"/>
        <v/>
      </c>
      <c r="MN484" s="1785" t="str">
        <f t="shared" si="331"/>
        <v/>
      </c>
      <c r="MO484" s="1785" t="str">
        <f t="shared" si="332"/>
        <v/>
      </c>
      <c r="MP484" s="2470" t="str">
        <f t="shared" si="333"/>
        <v/>
      </c>
      <c r="MQ484" s="2470" t="str">
        <f t="shared" si="334"/>
        <v/>
      </c>
      <c r="MR484" s="2470" t="str">
        <f t="shared" si="335"/>
        <v/>
      </c>
      <c r="MS484" s="2470" t="str">
        <f t="shared" si="336"/>
        <v/>
      </c>
      <c r="MT484" s="2470" t="str">
        <f t="shared" si="337"/>
        <v/>
      </c>
      <c r="MU484" s="356" t="str">
        <f t="shared" si="338"/>
        <v/>
      </c>
      <c r="MV484" s="356" t="str">
        <f t="shared" si="339"/>
        <v/>
      </c>
      <c r="MW484" s="356" t="str">
        <f t="shared" si="340"/>
        <v/>
      </c>
      <c r="MX484" s="356" t="str">
        <f t="shared" si="341"/>
        <v/>
      </c>
      <c r="MY484" s="356" t="str">
        <f t="shared" si="342"/>
        <v/>
      </c>
      <c r="MZ484" s="356" t="str">
        <f t="shared" si="343"/>
        <v/>
      </c>
      <c r="NA484" s="356" t="str">
        <f t="shared" si="344"/>
        <v/>
      </c>
      <c r="NB484" s="356" t="str">
        <f t="shared" si="345"/>
        <v/>
      </c>
      <c r="NC484" s="356" t="str">
        <f t="shared" si="346"/>
        <v/>
      </c>
      <c r="ND484" s="356" t="str">
        <f t="shared" si="347"/>
        <v/>
      </c>
      <c r="NE484" s="356" t="str">
        <f t="shared" si="348"/>
        <v/>
      </c>
      <c r="NF484" s="356" t="str">
        <f t="shared" si="349"/>
        <v/>
      </c>
      <c r="NG484" s="356" t="str">
        <f t="shared" si="350"/>
        <v/>
      </c>
      <c r="NH484" s="356" t="str">
        <f t="shared" si="351"/>
        <v/>
      </c>
      <c r="NI484" s="356" t="str">
        <f t="shared" si="352"/>
        <v/>
      </c>
      <c r="NJ484" s="356" t="str">
        <f t="shared" si="353"/>
        <v/>
      </c>
      <c r="NK484" s="356" t="str">
        <f t="shared" si="354"/>
        <v/>
      </c>
      <c r="NL484" s="356" t="str">
        <f t="shared" si="355"/>
        <v/>
      </c>
      <c r="NM484" s="356" t="str">
        <f t="shared" si="356"/>
        <v/>
      </c>
      <c r="NN484" s="356" t="str">
        <f t="shared" si="357"/>
        <v/>
      </c>
      <c r="NO484" s="1640">
        <f t="shared" si="358"/>
        <v>0</v>
      </c>
      <c r="NP484" s="1640">
        <f t="shared" si="359"/>
        <v>0</v>
      </c>
      <c r="NQ484" s="1640">
        <f t="shared" si="360"/>
        <v>0</v>
      </c>
      <c r="NR484" s="1640">
        <f t="shared" si="361"/>
        <v>0</v>
      </c>
      <c r="NS484" s="1640">
        <f t="shared" si="362"/>
        <v>0</v>
      </c>
      <c r="NT484" s="1640">
        <f t="shared" si="368"/>
        <v>0</v>
      </c>
      <c r="NU484" s="1640">
        <f t="shared" si="369"/>
        <v>0</v>
      </c>
      <c r="NV484" s="1640">
        <f t="shared" si="370"/>
        <v>0</v>
      </c>
      <c r="NW484" s="1640">
        <f t="shared" si="371"/>
        <v>0</v>
      </c>
      <c r="NX484" s="1640">
        <f t="shared" si="372"/>
        <v>0</v>
      </c>
      <c r="NY484" s="1640">
        <f t="shared" si="363"/>
        <v>0</v>
      </c>
      <c r="NZ484" s="1640">
        <f t="shared" si="364"/>
        <v>0</v>
      </c>
      <c r="OA484" s="1640">
        <f t="shared" si="365"/>
        <v>0</v>
      </c>
      <c r="OB484" s="1640">
        <f t="shared" si="366"/>
        <v>0</v>
      </c>
      <c r="OC484" s="1640">
        <f t="shared" si="367"/>
        <v>0</v>
      </c>
      <c r="OY484" s="356" t="s">
        <v>4317</v>
      </c>
      <c r="OZ484" s="2468">
        <v>31</v>
      </c>
    </row>
    <row r="485" spans="1:416" ht="12" customHeight="1">
      <c r="A485" s="2706" t="str">
        <f t="shared" si="0"/>
        <v/>
      </c>
      <c r="B485" s="2725">
        <f>'Part V-Revenues &amp; Expenses'!B32</f>
        <v>0</v>
      </c>
      <c r="C485" s="2726">
        <f>'Part V-Revenues &amp; Expenses'!C32</f>
        <v>0</v>
      </c>
      <c r="D485" s="2727">
        <f>'Part V-Revenues &amp; Expenses'!D32</f>
        <v>0</v>
      </c>
      <c r="E485" s="2728">
        <f>'Part V-Revenues &amp; Expenses'!E32</f>
        <v>0</v>
      </c>
      <c r="F485" s="2728">
        <f>'Part V-Revenues &amp; Expenses'!F32</f>
        <v>0</v>
      </c>
      <c r="G485" s="2728">
        <f>'Part V-Revenues &amp; Expenses'!G32</f>
        <v>0</v>
      </c>
      <c r="H485" s="2728">
        <f>'Part V-Revenues &amp; Expenses'!H32</f>
        <v>0</v>
      </c>
      <c r="I485" s="2728">
        <f>'Part V-Revenues &amp; Expenses'!I32</f>
        <v>0</v>
      </c>
      <c r="J485" s="2728">
        <f>'Part V-Revenues &amp; Expenses'!J32</f>
        <v>0</v>
      </c>
      <c r="K485" s="2729">
        <f>'Part V-Revenues &amp; Expenses'!K32</f>
        <v>0</v>
      </c>
      <c r="L485" s="2730">
        <f t="shared" si="1"/>
        <v>0</v>
      </c>
      <c r="M485" s="2730">
        <f t="shared" si="2"/>
        <v>0</v>
      </c>
      <c r="N485" s="2580">
        <f>'Part V-Revenues &amp; Expenses'!N32</f>
        <v>0</v>
      </c>
      <c r="O485" s="1248">
        <f>'Part V-Revenues &amp; Expenses'!O32</f>
        <v>0</v>
      </c>
      <c r="P485" s="2580">
        <f>'Part V-Revenues &amp; Expenses'!P32</f>
        <v>0</v>
      </c>
      <c r="Q485" s="2469">
        <f>'Part V-Revenues &amp; Expenses'!Q32</f>
        <v>0</v>
      </c>
      <c r="R485" s="2731"/>
      <c r="S485" s="2732"/>
      <c r="T485" s="2647"/>
      <c r="U485" s="2647"/>
      <c r="V485" s="2647"/>
      <c r="W485" s="2647"/>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356" t="str">
        <f t="shared" si="213"/>
        <v/>
      </c>
      <c r="IA485" s="356" t="str">
        <f t="shared" si="214"/>
        <v/>
      </c>
      <c r="IB485" s="356" t="str">
        <f t="shared" si="215"/>
        <v/>
      </c>
      <c r="IC485" s="356" t="str">
        <f t="shared" si="216"/>
        <v/>
      </c>
      <c r="ID485" s="356" t="str">
        <f t="shared" si="217"/>
        <v/>
      </c>
      <c r="IE485" s="356" t="str">
        <f t="shared" si="218"/>
        <v/>
      </c>
      <c r="IF485" s="356" t="str">
        <f t="shared" si="219"/>
        <v/>
      </c>
      <c r="IG485" s="356" t="str">
        <f t="shared" si="220"/>
        <v/>
      </c>
      <c r="IH485" s="356" t="str">
        <f t="shared" si="221"/>
        <v/>
      </c>
      <c r="II485" s="356" t="str">
        <f t="shared" si="222"/>
        <v/>
      </c>
      <c r="IJ485" s="356" t="str">
        <f t="shared" si="223"/>
        <v/>
      </c>
      <c r="IK485" s="356" t="str">
        <f t="shared" si="224"/>
        <v/>
      </c>
      <c r="IL485" s="356" t="str">
        <f t="shared" si="225"/>
        <v/>
      </c>
      <c r="IM485" s="356" t="str">
        <f t="shared" si="226"/>
        <v/>
      </c>
      <c r="IN485" s="356" t="str">
        <f t="shared" si="227"/>
        <v/>
      </c>
      <c r="IO485" s="356" t="str">
        <f t="shared" si="228"/>
        <v/>
      </c>
      <c r="IP485" s="356" t="str">
        <f t="shared" si="229"/>
        <v/>
      </c>
      <c r="IQ485" s="356" t="str">
        <f t="shared" si="230"/>
        <v/>
      </c>
      <c r="IR485" s="356" t="str">
        <f t="shared" si="231"/>
        <v/>
      </c>
      <c r="IS485" s="356" t="str">
        <f t="shared" si="232"/>
        <v/>
      </c>
      <c r="IT485" s="356" t="str">
        <f t="shared" si="233"/>
        <v/>
      </c>
      <c r="IU485" s="356" t="str">
        <f t="shared" si="234"/>
        <v/>
      </c>
      <c r="IV485" s="356" t="str">
        <f t="shared" si="235"/>
        <v/>
      </c>
      <c r="IW485" s="356" t="str">
        <f t="shared" si="236"/>
        <v/>
      </c>
      <c r="IX485" s="356" t="str">
        <f t="shared" si="237"/>
        <v/>
      </c>
      <c r="IY485" s="356" t="str">
        <f t="shared" si="238"/>
        <v/>
      </c>
      <c r="IZ485" s="356" t="str">
        <f t="shared" si="239"/>
        <v/>
      </c>
      <c r="JA485" s="356" t="str">
        <f t="shared" si="240"/>
        <v/>
      </c>
      <c r="JB485" s="356" t="str">
        <f t="shared" si="241"/>
        <v/>
      </c>
      <c r="JC485" s="356" t="str">
        <f t="shared" si="242"/>
        <v/>
      </c>
      <c r="JD485" s="356" t="str">
        <f t="shared" si="243"/>
        <v/>
      </c>
      <c r="JE485" s="356" t="str">
        <f t="shared" si="244"/>
        <v/>
      </c>
      <c r="JF485" s="356" t="str">
        <f t="shared" si="245"/>
        <v/>
      </c>
      <c r="JG485" s="356" t="str">
        <f t="shared" si="246"/>
        <v/>
      </c>
      <c r="JH485" s="356" t="str">
        <f t="shared" si="247"/>
        <v/>
      </c>
      <c r="JI485" s="1785" t="str">
        <f t="shared" si="248"/>
        <v/>
      </c>
      <c r="JJ485" s="1785" t="str">
        <f t="shared" si="249"/>
        <v/>
      </c>
      <c r="JK485" s="1785" t="str">
        <f t="shared" si="250"/>
        <v/>
      </c>
      <c r="JL485" s="1785" t="str">
        <f t="shared" si="251"/>
        <v/>
      </c>
      <c r="JM485" s="1785" t="str">
        <f t="shared" si="252"/>
        <v/>
      </c>
      <c r="JN485" s="1785" t="str">
        <f t="shared" si="253"/>
        <v/>
      </c>
      <c r="JO485" s="1785" t="str">
        <f t="shared" si="254"/>
        <v/>
      </c>
      <c r="JP485" s="1785" t="str">
        <f t="shared" si="255"/>
        <v/>
      </c>
      <c r="JQ485" s="1785" t="str">
        <f t="shared" si="256"/>
        <v/>
      </c>
      <c r="JR485" s="1785" t="str">
        <f t="shared" si="257"/>
        <v/>
      </c>
      <c r="JS485" s="1785" t="str">
        <f t="shared" si="258"/>
        <v/>
      </c>
      <c r="JT485" s="1785" t="str">
        <f t="shared" si="259"/>
        <v/>
      </c>
      <c r="JU485" s="1785" t="str">
        <f t="shared" si="260"/>
        <v/>
      </c>
      <c r="JV485" s="1785" t="str">
        <f t="shared" si="261"/>
        <v/>
      </c>
      <c r="JW485" s="1785" t="str">
        <f t="shared" si="262"/>
        <v/>
      </c>
      <c r="JX485" s="1785" t="str">
        <f t="shared" si="263"/>
        <v/>
      </c>
      <c r="JY485" s="1785" t="str">
        <f t="shared" si="264"/>
        <v/>
      </c>
      <c r="JZ485" s="1785" t="str">
        <f t="shared" si="265"/>
        <v/>
      </c>
      <c r="KA485" s="1785" t="str">
        <f t="shared" si="266"/>
        <v/>
      </c>
      <c r="KB485" s="1785" t="str">
        <f t="shared" si="267"/>
        <v/>
      </c>
      <c r="KC485" s="1785" t="str">
        <f t="shared" si="268"/>
        <v/>
      </c>
      <c r="KD485" s="1785" t="str">
        <f t="shared" si="269"/>
        <v/>
      </c>
      <c r="KE485" s="1785" t="str">
        <f t="shared" si="270"/>
        <v/>
      </c>
      <c r="KF485" s="1785" t="str">
        <f t="shared" si="271"/>
        <v/>
      </c>
      <c r="KG485" s="1785" t="str">
        <f t="shared" si="272"/>
        <v/>
      </c>
      <c r="KH485" s="1785" t="str">
        <f t="shared" si="273"/>
        <v/>
      </c>
      <c r="KI485" s="1785" t="str">
        <f t="shared" si="274"/>
        <v/>
      </c>
      <c r="KJ485" s="1785" t="str">
        <f t="shared" si="275"/>
        <v/>
      </c>
      <c r="KK485" s="1785" t="str">
        <f t="shared" si="276"/>
        <v/>
      </c>
      <c r="KL485" s="1785" t="str">
        <f t="shared" si="277"/>
        <v/>
      </c>
      <c r="KM485" s="1785" t="str">
        <f t="shared" si="278"/>
        <v/>
      </c>
      <c r="KN485" s="1785" t="str">
        <f t="shared" si="279"/>
        <v/>
      </c>
      <c r="KO485" s="1785" t="str">
        <f t="shared" si="280"/>
        <v/>
      </c>
      <c r="KP485" s="1785" t="str">
        <f t="shared" si="281"/>
        <v/>
      </c>
      <c r="KQ485" s="1785" t="str">
        <f t="shared" si="282"/>
        <v/>
      </c>
      <c r="KR485" s="1785" t="str">
        <f t="shared" si="283"/>
        <v/>
      </c>
      <c r="KS485" s="1785" t="str">
        <f t="shared" si="284"/>
        <v/>
      </c>
      <c r="KT485" s="1785" t="str">
        <f t="shared" si="285"/>
        <v/>
      </c>
      <c r="KU485" s="1785" t="str">
        <f t="shared" si="286"/>
        <v/>
      </c>
      <c r="KV485" s="1785" t="str">
        <f t="shared" si="287"/>
        <v/>
      </c>
      <c r="KW485" s="1785" t="str">
        <f t="shared" si="288"/>
        <v/>
      </c>
      <c r="KX485" s="1785" t="str">
        <f t="shared" si="289"/>
        <v/>
      </c>
      <c r="KY485" s="1785" t="str">
        <f t="shared" si="290"/>
        <v/>
      </c>
      <c r="KZ485" s="1785" t="str">
        <f t="shared" si="291"/>
        <v/>
      </c>
      <c r="LA485" s="1785" t="str">
        <f t="shared" si="292"/>
        <v/>
      </c>
      <c r="LB485" s="1785" t="str">
        <f t="shared" si="293"/>
        <v/>
      </c>
      <c r="LC485" s="1785" t="str">
        <f t="shared" si="294"/>
        <v/>
      </c>
      <c r="LD485" s="1785" t="str">
        <f t="shared" si="295"/>
        <v/>
      </c>
      <c r="LE485" s="1785" t="str">
        <f t="shared" si="296"/>
        <v/>
      </c>
      <c r="LF485" s="1785" t="str">
        <f t="shared" si="297"/>
        <v/>
      </c>
      <c r="LG485" s="1785" t="str">
        <f t="shared" si="298"/>
        <v/>
      </c>
      <c r="LH485" s="1785" t="str">
        <f t="shared" si="299"/>
        <v/>
      </c>
      <c r="LI485" s="1785" t="str">
        <f t="shared" si="300"/>
        <v/>
      </c>
      <c r="LJ485" s="1785" t="str">
        <f t="shared" si="301"/>
        <v/>
      </c>
      <c r="LK485" s="1785" t="str">
        <f t="shared" si="302"/>
        <v/>
      </c>
      <c r="LL485" s="1785" t="str">
        <f t="shared" si="303"/>
        <v/>
      </c>
      <c r="LM485" s="1785" t="str">
        <f t="shared" si="304"/>
        <v/>
      </c>
      <c r="LN485" s="1785" t="str">
        <f t="shared" si="305"/>
        <v/>
      </c>
      <c r="LO485" s="1785" t="str">
        <f t="shared" si="306"/>
        <v/>
      </c>
      <c r="LP485" s="1785" t="str">
        <f t="shared" si="307"/>
        <v/>
      </c>
      <c r="LQ485" s="1785" t="str">
        <f t="shared" si="308"/>
        <v/>
      </c>
      <c r="LR485" s="1785" t="str">
        <f t="shared" si="309"/>
        <v/>
      </c>
      <c r="LS485" s="1785" t="str">
        <f t="shared" si="310"/>
        <v/>
      </c>
      <c r="LT485" s="1785" t="str">
        <f t="shared" si="311"/>
        <v/>
      </c>
      <c r="LU485" s="1785" t="str">
        <f t="shared" si="312"/>
        <v/>
      </c>
      <c r="LV485" s="1785" t="str">
        <f t="shared" si="313"/>
        <v/>
      </c>
      <c r="LW485" s="1785" t="str">
        <f t="shared" si="314"/>
        <v/>
      </c>
      <c r="LX485" s="1785" t="str">
        <f t="shared" si="315"/>
        <v/>
      </c>
      <c r="LY485" s="1785" t="str">
        <f t="shared" si="316"/>
        <v/>
      </c>
      <c r="LZ485" s="1785" t="str">
        <f t="shared" si="317"/>
        <v/>
      </c>
      <c r="MA485" s="1785" t="str">
        <f t="shared" si="318"/>
        <v/>
      </c>
      <c r="MB485" s="1785" t="str">
        <f t="shared" si="319"/>
        <v/>
      </c>
      <c r="MC485" s="1785" t="str">
        <f t="shared" si="320"/>
        <v/>
      </c>
      <c r="MD485" s="1785" t="str">
        <f t="shared" si="321"/>
        <v/>
      </c>
      <c r="ME485" s="1785" t="str">
        <f t="shared" si="322"/>
        <v/>
      </c>
      <c r="MF485" s="1785" t="str">
        <f t="shared" si="323"/>
        <v/>
      </c>
      <c r="MG485" s="1785" t="str">
        <f t="shared" si="324"/>
        <v/>
      </c>
      <c r="MH485" s="1785" t="str">
        <f t="shared" si="325"/>
        <v/>
      </c>
      <c r="MI485" s="1785" t="str">
        <f t="shared" si="326"/>
        <v/>
      </c>
      <c r="MJ485" s="1785" t="str">
        <f t="shared" si="327"/>
        <v/>
      </c>
      <c r="MK485" s="1785" t="str">
        <f t="shared" si="328"/>
        <v/>
      </c>
      <c r="ML485" s="1785" t="str">
        <f t="shared" si="329"/>
        <v/>
      </c>
      <c r="MM485" s="1785" t="str">
        <f t="shared" si="330"/>
        <v/>
      </c>
      <c r="MN485" s="1785" t="str">
        <f t="shared" si="331"/>
        <v/>
      </c>
      <c r="MO485" s="1785" t="str">
        <f t="shared" si="332"/>
        <v/>
      </c>
      <c r="MP485" s="2470" t="str">
        <f t="shared" si="333"/>
        <v/>
      </c>
      <c r="MQ485" s="2470" t="str">
        <f t="shared" si="334"/>
        <v/>
      </c>
      <c r="MR485" s="2470" t="str">
        <f t="shared" si="335"/>
        <v/>
      </c>
      <c r="MS485" s="2470" t="str">
        <f t="shared" si="336"/>
        <v/>
      </c>
      <c r="MT485" s="2470" t="str">
        <f t="shared" si="337"/>
        <v/>
      </c>
      <c r="MU485" s="356" t="str">
        <f t="shared" si="338"/>
        <v/>
      </c>
      <c r="MV485" s="356" t="str">
        <f t="shared" si="339"/>
        <v/>
      </c>
      <c r="MW485" s="356" t="str">
        <f t="shared" si="340"/>
        <v/>
      </c>
      <c r="MX485" s="356" t="str">
        <f t="shared" si="341"/>
        <v/>
      </c>
      <c r="MY485" s="356" t="str">
        <f t="shared" si="342"/>
        <v/>
      </c>
      <c r="MZ485" s="356" t="str">
        <f t="shared" si="343"/>
        <v/>
      </c>
      <c r="NA485" s="356" t="str">
        <f t="shared" si="344"/>
        <v/>
      </c>
      <c r="NB485" s="356" t="str">
        <f t="shared" si="345"/>
        <v/>
      </c>
      <c r="NC485" s="356" t="str">
        <f t="shared" si="346"/>
        <v/>
      </c>
      <c r="ND485" s="356" t="str">
        <f t="shared" si="347"/>
        <v/>
      </c>
      <c r="NE485" s="356" t="str">
        <f t="shared" si="348"/>
        <v/>
      </c>
      <c r="NF485" s="356" t="str">
        <f t="shared" si="349"/>
        <v/>
      </c>
      <c r="NG485" s="356" t="str">
        <f t="shared" si="350"/>
        <v/>
      </c>
      <c r="NH485" s="356" t="str">
        <f t="shared" si="351"/>
        <v/>
      </c>
      <c r="NI485" s="356" t="str">
        <f t="shared" si="352"/>
        <v/>
      </c>
      <c r="NJ485" s="356" t="str">
        <f t="shared" si="353"/>
        <v/>
      </c>
      <c r="NK485" s="356" t="str">
        <f t="shared" si="354"/>
        <v/>
      </c>
      <c r="NL485" s="356" t="str">
        <f t="shared" si="355"/>
        <v/>
      </c>
      <c r="NM485" s="356" t="str">
        <f t="shared" si="356"/>
        <v/>
      </c>
      <c r="NN485" s="356" t="str">
        <f t="shared" si="357"/>
        <v/>
      </c>
      <c r="NO485" s="1640">
        <f t="shared" si="358"/>
        <v>0</v>
      </c>
      <c r="NP485" s="1640">
        <f t="shared" si="359"/>
        <v>0</v>
      </c>
      <c r="NQ485" s="1640">
        <f t="shared" si="360"/>
        <v>0</v>
      </c>
      <c r="NR485" s="1640">
        <f t="shared" si="361"/>
        <v>0</v>
      </c>
      <c r="NS485" s="1640">
        <f t="shared" si="362"/>
        <v>0</v>
      </c>
      <c r="NT485" s="1640">
        <f t="shared" si="368"/>
        <v>0</v>
      </c>
      <c r="NU485" s="1640">
        <f t="shared" si="369"/>
        <v>0</v>
      </c>
      <c r="NV485" s="1640">
        <f t="shared" si="370"/>
        <v>0</v>
      </c>
      <c r="NW485" s="1640">
        <f t="shared" si="371"/>
        <v>0</v>
      </c>
      <c r="NX485" s="1640">
        <f t="shared" si="372"/>
        <v>0</v>
      </c>
      <c r="NY485" s="1640">
        <f t="shared" si="363"/>
        <v>0</v>
      </c>
      <c r="NZ485" s="1640">
        <f t="shared" si="364"/>
        <v>0</v>
      </c>
      <c r="OA485" s="1640">
        <f t="shared" si="365"/>
        <v>0</v>
      </c>
      <c r="OB485" s="1640">
        <f t="shared" si="366"/>
        <v>0</v>
      </c>
      <c r="OC485" s="1640">
        <f t="shared" si="367"/>
        <v>0</v>
      </c>
      <c r="OY485" s="356" t="s">
        <v>4318</v>
      </c>
      <c r="OZ485" s="1784">
        <v>32</v>
      </c>
    </row>
    <row r="486" spans="1:416" ht="12" customHeight="1">
      <c r="A486" s="2706" t="str">
        <f t="shared" si="0"/>
        <v/>
      </c>
      <c r="B486" s="2725">
        <f>'Part V-Revenues &amp; Expenses'!B33</f>
        <v>0</v>
      </c>
      <c r="C486" s="2726">
        <f>'Part V-Revenues &amp; Expenses'!C33</f>
        <v>0</v>
      </c>
      <c r="D486" s="2727">
        <f>'Part V-Revenues &amp; Expenses'!D33</f>
        <v>0</v>
      </c>
      <c r="E486" s="2728">
        <f>'Part V-Revenues &amp; Expenses'!E33</f>
        <v>0</v>
      </c>
      <c r="F486" s="2728">
        <f>'Part V-Revenues &amp; Expenses'!F33</f>
        <v>0</v>
      </c>
      <c r="G486" s="2728">
        <f>'Part V-Revenues &amp; Expenses'!G33</f>
        <v>0</v>
      </c>
      <c r="H486" s="2728">
        <f>'Part V-Revenues &amp; Expenses'!H33</f>
        <v>0</v>
      </c>
      <c r="I486" s="2728">
        <f>'Part V-Revenues &amp; Expenses'!I33</f>
        <v>0</v>
      </c>
      <c r="J486" s="2728">
        <f>'Part V-Revenues &amp; Expenses'!J33</f>
        <v>0</v>
      </c>
      <c r="K486" s="2729">
        <f>'Part V-Revenues &amp; Expenses'!K33</f>
        <v>0</v>
      </c>
      <c r="L486" s="2730">
        <f t="shared" si="1"/>
        <v>0</v>
      </c>
      <c r="M486" s="2730">
        <f t="shared" si="2"/>
        <v>0</v>
      </c>
      <c r="N486" s="2580">
        <f>'Part V-Revenues &amp; Expenses'!N33</f>
        <v>0</v>
      </c>
      <c r="O486" s="1248">
        <f>'Part V-Revenues &amp; Expenses'!O33</f>
        <v>0</v>
      </c>
      <c r="P486" s="2580">
        <f>'Part V-Revenues &amp; Expenses'!P33</f>
        <v>0</v>
      </c>
      <c r="Q486" s="2469">
        <f>'Part V-Revenues &amp; Expenses'!Q33</f>
        <v>0</v>
      </c>
      <c r="R486" s="2731"/>
      <c r="S486" s="2732"/>
      <c r="T486" s="2647"/>
      <c r="U486" s="2647"/>
      <c r="V486" s="2647"/>
      <c r="W486" s="2647"/>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356" t="str">
        <f t="shared" si="213"/>
        <v/>
      </c>
      <c r="IA486" s="356" t="str">
        <f t="shared" si="214"/>
        <v/>
      </c>
      <c r="IB486" s="356" t="str">
        <f t="shared" si="215"/>
        <v/>
      </c>
      <c r="IC486" s="356" t="str">
        <f t="shared" si="216"/>
        <v/>
      </c>
      <c r="ID486" s="356" t="str">
        <f t="shared" si="217"/>
        <v/>
      </c>
      <c r="IE486" s="356" t="str">
        <f t="shared" si="218"/>
        <v/>
      </c>
      <c r="IF486" s="356" t="str">
        <f t="shared" si="219"/>
        <v/>
      </c>
      <c r="IG486" s="356" t="str">
        <f t="shared" si="220"/>
        <v/>
      </c>
      <c r="IH486" s="356" t="str">
        <f t="shared" si="221"/>
        <v/>
      </c>
      <c r="II486" s="356" t="str">
        <f t="shared" si="222"/>
        <v/>
      </c>
      <c r="IJ486" s="356" t="str">
        <f t="shared" si="223"/>
        <v/>
      </c>
      <c r="IK486" s="356" t="str">
        <f t="shared" si="224"/>
        <v/>
      </c>
      <c r="IL486" s="356" t="str">
        <f t="shared" si="225"/>
        <v/>
      </c>
      <c r="IM486" s="356" t="str">
        <f t="shared" si="226"/>
        <v/>
      </c>
      <c r="IN486" s="356" t="str">
        <f t="shared" si="227"/>
        <v/>
      </c>
      <c r="IO486" s="356" t="str">
        <f t="shared" si="228"/>
        <v/>
      </c>
      <c r="IP486" s="356" t="str">
        <f t="shared" si="229"/>
        <v/>
      </c>
      <c r="IQ486" s="356" t="str">
        <f t="shared" si="230"/>
        <v/>
      </c>
      <c r="IR486" s="356" t="str">
        <f t="shared" si="231"/>
        <v/>
      </c>
      <c r="IS486" s="356" t="str">
        <f t="shared" si="232"/>
        <v/>
      </c>
      <c r="IT486" s="356" t="str">
        <f t="shared" si="233"/>
        <v/>
      </c>
      <c r="IU486" s="356" t="str">
        <f t="shared" si="234"/>
        <v/>
      </c>
      <c r="IV486" s="356" t="str">
        <f t="shared" si="235"/>
        <v/>
      </c>
      <c r="IW486" s="356" t="str">
        <f t="shared" si="236"/>
        <v/>
      </c>
      <c r="IX486" s="356" t="str">
        <f t="shared" si="237"/>
        <v/>
      </c>
      <c r="IY486" s="356" t="str">
        <f t="shared" si="238"/>
        <v/>
      </c>
      <c r="IZ486" s="356" t="str">
        <f t="shared" si="239"/>
        <v/>
      </c>
      <c r="JA486" s="356" t="str">
        <f t="shared" si="240"/>
        <v/>
      </c>
      <c r="JB486" s="356" t="str">
        <f t="shared" si="241"/>
        <v/>
      </c>
      <c r="JC486" s="356" t="str">
        <f t="shared" si="242"/>
        <v/>
      </c>
      <c r="JD486" s="356" t="str">
        <f t="shared" si="243"/>
        <v/>
      </c>
      <c r="JE486" s="356" t="str">
        <f t="shared" si="244"/>
        <v/>
      </c>
      <c r="JF486" s="356" t="str">
        <f t="shared" si="245"/>
        <v/>
      </c>
      <c r="JG486" s="356" t="str">
        <f t="shared" si="246"/>
        <v/>
      </c>
      <c r="JH486" s="356" t="str">
        <f t="shared" si="247"/>
        <v/>
      </c>
      <c r="JI486" s="1785" t="str">
        <f t="shared" si="248"/>
        <v/>
      </c>
      <c r="JJ486" s="1785" t="str">
        <f t="shared" si="249"/>
        <v/>
      </c>
      <c r="JK486" s="1785" t="str">
        <f t="shared" si="250"/>
        <v/>
      </c>
      <c r="JL486" s="1785" t="str">
        <f t="shared" si="251"/>
        <v/>
      </c>
      <c r="JM486" s="1785" t="str">
        <f t="shared" si="252"/>
        <v/>
      </c>
      <c r="JN486" s="1785" t="str">
        <f t="shared" si="253"/>
        <v/>
      </c>
      <c r="JO486" s="1785" t="str">
        <f t="shared" si="254"/>
        <v/>
      </c>
      <c r="JP486" s="1785" t="str">
        <f t="shared" si="255"/>
        <v/>
      </c>
      <c r="JQ486" s="1785" t="str">
        <f t="shared" si="256"/>
        <v/>
      </c>
      <c r="JR486" s="1785" t="str">
        <f t="shared" si="257"/>
        <v/>
      </c>
      <c r="JS486" s="1785" t="str">
        <f t="shared" si="258"/>
        <v/>
      </c>
      <c r="JT486" s="1785" t="str">
        <f t="shared" si="259"/>
        <v/>
      </c>
      <c r="JU486" s="1785" t="str">
        <f t="shared" si="260"/>
        <v/>
      </c>
      <c r="JV486" s="1785" t="str">
        <f t="shared" si="261"/>
        <v/>
      </c>
      <c r="JW486" s="1785" t="str">
        <f t="shared" si="262"/>
        <v/>
      </c>
      <c r="JX486" s="1785" t="str">
        <f t="shared" si="263"/>
        <v/>
      </c>
      <c r="JY486" s="1785" t="str">
        <f t="shared" si="264"/>
        <v/>
      </c>
      <c r="JZ486" s="1785" t="str">
        <f t="shared" si="265"/>
        <v/>
      </c>
      <c r="KA486" s="1785" t="str">
        <f t="shared" si="266"/>
        <v/>
      </c>
      <c r="KB486" s="1785" t="str">
        <f t="shared" si="267"/>
        <v/>
      </c>
      <c r="KC486" s="1785" t="str">
        <f t="shared" si="268"/>
        <v/>
      </c>
      <c r="KD486" s="1785" t="str">
        <f t="shared" si="269"/>
        <v/>
      </c>
      <c r="KE486" s="1785" t="str">
        <f t="shared" si="270"/>
        <v/>
      </c>
      <c r="KF486" s="1785" t="str">
        <f t="shared" si="271"/>
        <v/>
      </c>
      <c r="KG486" s="1785" t="str">
        <f t="shared" si="272"/>
        <v/>
      </c>
      <c r="KH486" s="1785" t="str">
        <f t="shared" si="273"/>
        <v/>
      </c>
      <c r="KI486" s="1785" t="str">
        <f t="shared" si="274"/>
        <v/>
      </c>
      <c r="KJ486" s="1785" t="str">
        <f t="shared" si="275"/>
        <v/>
      </c>
      <c r="KK486" s="1785" t="str">
        <f t="shared" si="276"/>
        <v/>
      </c>
      <c r="KL486" s="1785" t="str">
        <f t="shared" si="277"/>
        <v/>
      </c>
      <c r="KM486" s="1785" t="str">
        <f t="shared" si="278"/>
        <v/>
      </c>
      <c r="KN486" s="1785" t="str">
        <f t="shared" si="279"/>
        <v/>
      </c>
      <c r="KO486" s="1785" t="str">
        <f t="shared" si="280"/>
        <v/>
      </c>
      <c r="KP486" s="1785" t="str">
        <f t="shared" si="281"/>
        <v/>
      </c>
      <c r="KQ486" s="1785" t="str">
        <f t="shared" si="282"/>
        <v/>
      </c>
      <c r="KR486" s="1785" t="str">
        <f t="shared" si="283"/>
        <v/>
      </c>
      <c r="KS486" s="1785" t="str">
        <f t="shared" si="284"/>
        <v/>
      </c>
      <c r="KT486" s="1785" t="str">
        <f t="shared" si="285"/>
        <v/>
      </c>
      <c r="KU486" s="1785" t="str">
        <f t="shared" si="286"/>
        <v/>
      </c>
      <c r="KV486" s="1785" t="str">
        <f t="shared" si="287"/>
        <v/>
      </c>
      <c r="KW486" s="1785" t="str">
        <f t="shared" si="288"/>
        <v/>
      </c>
      <c r="KX486" s="1785" t="str">
        <f t="shared" si="289"/>
        <v/>
      </c>
      <c r="KY486" s="1785" t="str">
        <f t="shared" si="290"/>
        <v/>
      </c>
      <c r="KZ486" s="1785" t="str">
        <f t="shared" si="291"/>
        <v/>
      </c>
      <c r="LA486" s="1785" t="str">
        <f t="shared" si="292"/>
        <v/>
      </c>
      <c r="LB486" s="1785" t="str">
        <f t="shared" si="293"/>
        <v/>
      </c>
      <c r="LC486" s="1785" t="str">
        <f t="shared" si="294"/>
        <v/>
      </c>
      <c r="LD486" s="1785" t="str">
        <f t="shared" si="295"/>
        <v/>
      </c>
      <c r="LE486" s="1785" t="str">
        <f t="shared" si="296"/>
        <v/>
      </c>
      <c r="LF486" s="1785" t="str">
        <f t="shared" si="297"/>
        <v/>
      </c>
      <c r="LG486" s="1785" t="str">
        <f t="shared" si="298"/>
        <v/>
      </c>
      <c r="LH486" s="1785" t="str">
        <f t="shared" si="299"/>
        <v/>
      </c>
      <c r="LI486" s="1785" t="str">
        <f t="shared" si="300"/>
        <v/>
      </c>
      <c r="LJ486" s="1785" t="str">
        <f t="shared" si="301"/>
        <v/>
      </c>
      <c r="LK486" s="1785" t="str">
        <f t="shared" si="302"/>
        <v/>
      </c>
      <c r="LL486" s="1785" t="str">
        <f t="shared" si="303"/>
        <v/>
      </c>
      <c r="LM486" s="1785" t="str">
        <f t="shared" si="304"/>
        <v/>
      </c>
      <c r="LN486" s="1785" t="str">
        <f t="shared" si="305"/>
        <v/>
      </c>
      <c r="LO486" s="1785" t="str">
        <f t="shared" si="306"/>
        <v/>
      </c>
      <c r="LP486" s="1785" t="str">
        <f t="shared" si="307"/>
        <v/>
      </c>
      <c r="LQ486" s="1785" t="str">
        <f t="shared" si="308"/>
        <v/>
      </c>
      <c r="LR486" s="1785" t="str">
        <f t="shared" si="309"/>
        <v/>
      </c>
      <c r="LS486" s="1785" t="str">
        <f t="shared" si="310"/>
        <v/>
      </c>
      <c r="LT486" s="1785" t="str">
        <f t="shared" si="311"/>
        <v/>
      </c>
      <c r="LU486" s="1785" t="str">
        <f t="shared" si="312"/>
        <v/>
      </c>
      <c r="LV486" s="1785" t="str">
        <f t="shared" si="313"/>
        <v/>
      </c>
      <c r="LW486" s="1785" t="str">
        <f t="shared" si="314"/>
        <v/>
      </c>
      <c r="LX486" s="1785" t="str">
        <f t="shared" si="315"/>
        <v/>
      </c>
      <c r="LY486" s="1785" t="str">
        <f t="shared" si="316"/>
        <v/>
      </c>
      <c r="LZ486" s="1785" t="str">
        <f t="shared" si="317"/>
        <v/>
      </c>
      <c r="MA486" s="1785" t="str">
        <f t="shared" si="318"/>
        <v/>
      </c>
      <c r="MB486" s="1785" t="str">
        <f t="shared" si="319"/>
        <v/>
      </c>
      <c r="MC486" s="1785" t="str">
        <f t="shared" si="320"/>
        <v/>
      </c>
      <c r="MD486" s="1785" t="str">
        <f t="shared" si="321"/>
        <v/>
      </c>
      <c r="ME486" s="1785" t="str">
        <f t="shared" si="322"/>
        <v/>
      </c>
      <c r="MF486" s="1785" t="str">
        <f t="shared" si="323"/>
        <v/>
      </c>
      <c r="MG486" s="1785" t="str">
        <f t="shared" si="324"/>
        <v/>
      </c>
      <c r="MH486" s="1785" t="str">
        <f t="shared" si="325"/>
        <v/>
      </c>
      <c r="MI486" s="1785" t="str">
        <f t="shared" si="326"/>
        <v/>
      </c>
      <c r="MJ486" s="1785" t="str">
        <f t="shared" si="327"/>
        <v/>
      </c>
      <c r="MK486" s="1785" t="str">
        <f t="shared" si="328"/>
        <v/>
      </c>
      <c r="ML486" s="1785" t="str">
        <f t="shared" si="329"/>
        <v/>
      </c>
      <c r="MM486" s="1785" t="str">
        <f t="shared" si="330"/>
        <v/>
      </c>
      <c r="MN486" s="1785" t="str">
        <f t="shared" si="331"/>
        <v/>
      </c>
      <c r="MO486" s="1785" t="str">
        <f t="shared" si="332"/>
        <v/>
      </c>
      <c r="MP486" s="2470" t="str">
        <f t="shared" si="333"/>
        <v/>
      </c>
      <c r="MQ486" s="2470" t="str">
        <f t="shared" si="334"/>
        <v/>
      </c>
      <c r="MR486" s="2470" t="str">
        <f t="shared" si="335"/>
        <v/>
      </c>
      <c r="MS486" s="2470" t="str">
        <f t="shared" si="336"/>
        <v/>
      </c>
      <c r="MT486" s="2470" t="str">
        <f t="shared" si="337"/>
        <v/>
      </c>
      <c r="MU486" s="356" t="str">
        <f t="shared" si="338"/>
        <v/>
      </c>
      <c r="MV486" s="356" t="str">
        <f t="shared" si="339"/>
        <v/>
      </c>
      <c r="MW486" s="356" t="str">
        <f t="shared" si="340"/>
        <v/>
      </c>
      <c r="MX486" s="356" t="str">
        <f t="shared" si="341"/>
        <v/>
      </c>
      <c r="MY486" s="356" t="str">
        <f t="shared" si="342"/>
        <v/>
      </c>
      <c r="MZ486" s="356" t="str">
        <f t="shared" si="343"/>
        <v/>
      </c>
      <c r="NA486" s="356" t="str">
        <f t="shared" si="344"/>
        <v/>
      </c>
      <c r="NB486" s="356" t="str">
        <f t="shared" si="345"/>
        <v/>
      </c>
      <c r="NC486" s="356" t="str">
        <f t="shared" si="346"/>
        <v/>
      </c>
      <c r="ND486" s="356" t="str">
        <f t="shared" si="347"/>
        <v/>
      </c>
      <c r="NE486" s="356" t="str">
        <f t="shared" si="348"/>
        <v/>
      </c>
      <c r="NF486" s="356" t="str">
        <f t="shared" si="349"/>
        <v/>
      </c>
      <c r="NG486" s="356" t="str">
        <f t="shared" si="350"/>
        <v/>
      </c>
      <c r="NH486" s="356" t="str">
        <f t="shared" si="351"/>
        <v/>
      </c>
      <c r="NI486" s="356" t="str">
        <f t="shared" si="352"/>
        <v/>
      </c>
      <c r="NJ486" s="356" t="str">
        <f t="shared" si="353"/>
        <v/>
      </c>
      <c r="NK486" s="356" t="str">
        <f t="shared" si="354"/>
        <v/>
      </c>
      <c r="NL486" s="356" t="str">
        <f t="shared" si="355"/>
        <v/>
      </c>
      <c r="NM486" s="356" t="str">
        <f t="shared" si="356"/>
        <v/>
      </c>
      <c r="NN486" s="356" t="str">
        <f t="shared" si="357"/>
        <v/>
      </c>
      <c r="NO486" s="1640">
        <f t="shared" si="358"/>
        <v>0</v>
      </c>
      <c r="NP486" s="1640">
        <f t="shared" si="359"/>
        <v>0</v>
      </c>
      <c r="NQ486" s="1640">
        <f t="shared" si="360"/>
        <v>0</v>
      </c>
      <c r="NR486" s="1640">
        <f t="shared" si="361"/>
        <v>0</v>
      </c>
      <c r="NS486" s="1640">
        <f t="shared" si="362"/>
        <v>0</v>
      </c>
      <c r="NT486" s="1640">
        <f t="shared" si="368"/>
        <v>0</v>
      </c>
      <c r="NU486" s="1640">
        <f t="shared" si="369"/>
        <v>0</v>
      </c>
      <c r="NV486" s="1640">
        <f t="shared" si="370"/>
        <v>0</v>
      </c>
      <c r="NW486" s="1640">
        <f t="shared" si="371"/>
        <v>0</v>
      </c>
      <c r="NX486" s="1640">
        <f t="shared" si="372"/>
        <v>0</v>
      </c>
      <c r="NY486" s="1640">
        <f t="shared" si="363"/>
        <v>0</v>
      </c>
      <c r="NZ486" s="1640">
        <f t="shared" si="364"/>
        <v>0</v>
      </c>
      <c r="OA486" s="1640">
        <f t="shared" si="365"/>
        <v>0</v>
      </c>
      <c r="OB486" s="1640">
        <f t="shared" si="366"/>
        <v>0</v>
      </c>
      <c r="OC486" s="1640">
        <f t="shared" si="367"/>
        <v>0</v>
      </c>
      <c r="OY486" s="356" t="s">
        <v>4319</v>
      </c>
      <c r="OZ486" s="1640">
        <v>33</v>
      </c>
    </row>
    <row r="487" spans="1:416" ht="12" customHeight="1">
      <c r="A487" s="2706" t="str">
        <f t="shared" si="0"/>
        <v/>
      </c>
      <c r="B487" s="2725">
        <f>'Part V-Revenues &amp; Expenses'!B34</f>
        <v>0</v>
      </c>
      <c r="C487" s="2726">
        <f>'Part V-Revenues &amp; Expenses'!C34</f>
        <v>0</v>
      </c>
      <c r="D487" s="2727">
        <f>'Part V-Revenues &amp; Expenses'!D34</f>
        <v>0</v>
      </c>
      <c r="E487" s="2728">
        <f>'Part V-Revenues &amp; Expenses'!E34</f>
        <v>0</v>
      </c>
      <c r="F487" s="2728">
        <f>'Part V-Revenues &amp; Expenses'!F34</f>
        <v>0</v>
      </c>
      <c r="G487" s="2728">
        <f>'Part V-Revenues &amp; Expenses'!G34</f>
        <v>0</v>
      </c>
      <c r="H487" s="2728">
        <f>'Part V-Revenues &amp; Expenses'!H34</f>
        <v>0</v>
      </c>
      <c r="I487" s="2728">
        <f>'Part V-Revenues &amp; Expenses'!I34</f>
        <v>0</v>
      </c>
      <c r="J487" s="2728">
        <f>'Part V-Revenues &amp; Expenses'!J34</f>
        <v>0</v>
      </c>
      <c r="K487" s="2729">
        <f>'Part V-Revenues &amp; Expenses'!K34</f>
        <v>0</v>
      </c>
      <c r="L487" s="2730">
        <f t="shared" si="1"/>
        <v>0</v>
      </c>
      <c r="M487" s="2730">
        <f t="shared" si="2"/>
        <v>0</v>
      </c>
      <c r="N487" s="2580">
        <f>'Part V-Revenues &amp; Expenses'!N34</f>
        <v>0</v>
      </c>
      <c r="O487" s="1248">
        <f>'Part V-Revenues &amp; Expenses'!O34</f>
        <v>0</v>
      </c>
      <c r="P487" s="2580">
        <f>'Part V-Revenues &amp; Expenses'!P34</f>
        <v>0</v>
      </c>
      <c r="Q487" s="2469">
        <f>'Part V-Revenues &amp; Expenses'!Q34</f>
        <v>0</v>
      </c>
      <c r="R487" s="2731"/>
      <c r="S487" s="2732"/>
      <c r="T487" s="2647"/>
      <c r="U487" s="2647"/>
      <c r="V487" s="2647"/>
      <c r="W487" s="2647"/>
      <c r="X487" s="356" t="str">
        <f t="shared" si="3"/>
        <v/>
      </c>
      <c r="Y487" s="356" t="str">
        <f t="shared" si="4"/>
        <v/>
      </c>
      <c r="Z487" s="356" t="str">
        <f t="shared" si="5"/>
        <v/>
      </c>
      <c r="AA487" s="356" t="str">
        <f t="shared" si="6"/>
        <v/>
      </c>
      <c r="AB487" s="356" t="str">
        <f t="shared" si="7"/>
        <v/>
      </c>
      <c r="AC487" s="356" t="str">
        <f t="shared" si="8"/>
        <v/>
      </c>
      <c r="AD487" s="356" t="str">
        <f t="shared" si="9"/>
        <v/>
      </c>
      <c r="AE487" s="356" t="str">
        <f t="shared" si="10"/>
        <v/>
      </c>
      <c r="AF487" s="356" t="str">
        <f t="shared" si="11"/>
        <v/>
      </c>
      <c r="AG487" s="356" t="str">
        <f t="shared" si="12"/>
        <v/>
      </c>
      <c r="AH487" s="356" t="str">
        <f t="shared" si="13"/>
        <v/>
      </c>
      <c r="AI487" s="356" t="str">
        <f t="shared" si="14"/>
        <v/>
      </c>
      <c r="AJ487" s="356" t="str">
        <f t="shared" si="15"/>
        <v/>
      </c>
      <c r="AK487" s="356" t="str">
        <f t="shared" si="16"/>
        <v/>
      </c>
      <c r="AL487" s="356" t="str">
        <f t="shared" si="17"/>
        <v/>
      </c>
      <c r="AM487" s="356" t="str">
        <f t="shared" si="18"/>
        <v/>
      </c>
      <c r="AN487" s="356" t="str">
        <f t="shared" si="19"/>
        <v/>
      </c>
      <c r="AO487" s="356" t="str">
        <f t="shared" si="20"/>
        <v/>
      </c>
      <c r="AP487" s="356" t="str">
        <f t="shared" si="21"/>
        <v/>
      </c>
      <c r="AQ487" s="356" t="str">
        <f t="shared" si="22"/>
        <v/>
      </c>
      <c r="AR487" s="356" t="str">
        <f t="shared" si="23"/>
        <v/>
      </c>
      <c r="AS487" s="356" t="str">
        <f t="shared" si="24"/>
        <v/>
      </c>
      <c r="AT487" s="356" t="str">
        <f t="shared" si="25"/>
        <v/>
      </c>
      <c r="AU487" s="356" t="str">
        <f t="shared" si="26"/>
        <v/>
      </c>
      <c r="AV487" s="356" t="str">
        <f t="shared" si="27"/>
        <v/>
      </c>
      <c r="AW487" s="356" t="str">
        <f t="shared" si="28"/>
        <v/>
      </c>
      <c r="AX487" s="356" t="str">
        <f t="shared" si="29"/>
        <v/>
      </c>
      <c r="AY487" s="356" t="str">
        <f t="shared" si="30"/>
        <v/>
      </c>
      <c r="AZ487" s="356" t="str">
        <f t="shared" si="31"/>
        <v/>
      </c>
      <c r="BA487" s="356" t="str">
        <f t="shared" si="32"/>
        <v/>
      </c>
      <c r="BB487" s="356" t="str">
        <f t="shared" si="33"/>
        <v/>
      </c>
      <c r="BC487" s="356" t="str">
        <f t="shared" si="34"/>
        <v/>
      </c>
      <c r="BD487" s="356" t="str">
        <f t="shared" si="35"/>
        <v/>
      </c>
      <c r="BE487" s="356" t="str">
        <f t="shared" si="36"/>
        <v/>
      </c>
      <c r="BF487" s="356" t="str">
        <f t="shared" si="37"/>
        <v/>
      </c>
      <c r="BG487" s="356" t="str">
        <f t="shared" si="38"/>
        <v/>
      </c>
      <c r="BH487" s="356" t="str">
        <f t="shared" si="39"/>
        <v/>
      </c>
      <c r="BI487" s="356" t="str">
        <f t="shared" si="40"/>
        <v/>
      </c>
      <c r="BJ487" s="356" t="str">
        <f t="shared" si="41"/>
        <v/>
      </c>
      <c r="BK487" s="356" t="str">
        <f t="shared" si="42"/>
        <v/>
      </c>
      <c r="BL487" s="356" t="str">
        <f t="shared" si="43"/>
        <v/>
      </c>
      <c r="BM487" s="356" t="str">
        <f t="shared" si="44"/>
        <v/>
      </c>
      <c r="BN487" s="356" t="str">
        <f t="shared" si="45"/>
        <v/>
      </c>
      <c r="BO487" s="356" t="str">
        <f t="shared" si="46"/>
        <v/>
      </c>
      <c r="BP487" s="356" t="str">
        <f t="shared" si="47"/>
        <v/>
      </c>
      <c r="BQ487" s="356" t="str">
        <f t="shared" si="48"/>
        <v/>
      </c>
      <c r="BR487" s="356" t="str">
        <f t="shared" si="49"/>
        <v/>
      </c>
      <c r="BS487" s="356" t="str">
        <f t="shared" si="50"/>
        <v/>
      </c>
      <c r="BT487" s="356" t="str">
        <f t="shared" si="51"/>
        <v/>
      </c>
      <c r="BU487" s="356" t="str">
        <f t="shared" si="52"/>
        <v/>
      </c>
      <c r="BV487" s="356" t="str">
        <f t="shared" si="53"/>
        <v/>
      </c>
      <c r="BW487" s="356" t="str">
        <f t="shared" si="54"/>
        <v/>
      </c>
      <c r="BX487" s="356" t="str">
        <f t="shared" si="55"/>
        <v/>
      </c>
      <c r="BY487" s="356" t="str">
        <f t="shared" si="56"/>
        <v/>
      </c>
      <c r="BZ487" s="356" t="str">
        <f t="shared" si="57"/>
        <v/>
      </c>
      <c r="CA487" s="356" t="str">
        <f t="shared" si="58"/>
        <v/>
      </c>
      <c r="CB487" s="356" t="str">
        <f t="shared" si="59"/>
        <v/>
      </c>
      <c r="CC487" s="356" t="str">
        <f t="shared" si="60"/>
        <v/>
      </c>
      <c r="CD487" s="356" t="str">
        <f t="shared" si="61"/>
        <v/>
      </c>
      <c r="CE487" s="356" t="str">
        <f t="shared" si="62"/>
        <v/>
      </c>
      <c r="CF487" s="356" t="str">
        <f t="shared" si="63"/>
        <v/>
      </c>
      <c r="CG487" s="356" t="str">
        <f t="shared" si="64"/>
        <v/>
      </c>
      <c r="CH487" s="356" t="str">
        <f t="shared" si="65"/>
        <v/>
      </c>
      <c r="CI487" s="356" t="str">
        <f t="shared" si="66"/>
        <v/>
      </c>
      <c r="CJ487" s="356" t="str">
        <f t="shared" si="67"/>
        <v/>
      </c>
      <c r="CK487" s="356" t="str">
        <f t="shared" si="68"/>
        <v/>
      </c>
      <c r="CL487" s="356" t="str">
        <f t="shared" si="69"/>
        <v/>
      </c>
      <c r="CM487" s="356" t="str">
        <f t="shared" si="70"/>
        <v/>
      </c>
      <c r="CN487" s="356" t="str">
        <f t="shared" si="71"/>
        <v/>
      </c>
      <c r="CO487" s="356" t="str">
        <f t="shared" si="72"/>
        <v/>
      </c>
      <c r="CP487" s="356" t="str">
        <f t="shared" si="73"/>
        <v/>
      </c>
      <c r="CQ487" s="356" t="str">
        <f t="shared" si="74"/>
        <v/>
      </c>
      <c r="CR487" s="356" t="str">
        <f t="shared" si="75"/>
        <v/>
      </c>
      <c r="CS487" s="356" t="str">
        <f t="shared" si="76"/>
        <v/>
      </c>
      <c r="CT487" s="356" t="str">
        <f t="shared" si="77"/>
        <v/>
      </c>
      <c r="CU487" s="356" t="str">
        <f t="shared" si="78"/>
        <v/>
      </c>
      <c r="CV487" s="356" t="str">
        <f t="shared" si="79"/>
        <v/>
      </c>
      <c r="CW487" s="356" t="str">
        <f t="shared" si="80"/>
        <v/>
      </c>
      <c r="CX487" s="356" t="str">
        <f t="shared" si="81"/>
        <v/>
      </c>
      <c r="CY487" s="356" t="str">
        <f t="shared" si="82"/>
        <v/>
      </c>
      <c r="CZ487" s="356" t="str">
        <f t="shared" si="83"/>
        <v/>
      </c>
      <c r="DA487" s="356" t="str">
        <f t="shared" si="84"/>
        <v/>
      </c>
      <c r="DB487" s="356" t="str">
        <f t="shared" si="85"/>
        <v/>
      </c>
      <c r="DC487" s="356" t="str">
        <f t="shared" si="86"/>
        <v/>
      </c>
      <c r="DD487" s="356" t="str">
        <f t="shared" si="87"/>
        <v/>
      </c>
      <c r="DE487" s="356" t="str">
        <f t="shared" si="88"/>
        <v/>
      </c>
      <c r="DF487" s="356" t="str">
        <f t="shared" si="89"/>
        <v/>
      </c>
      <c r="DG487" s="356" t="str">
        <f t="shared" si="90"/>
        <v/>
      </c>
      <c r="DH487" s="356" t="str">
        <f t="shared" si="91"/>
        <v/>
      </c>
      <c r="DI487" s="356" t="str">
        <f t="shared" si="92"/>
        <v/>
      </c>
      <c r="DJ487" s="356" t="str">
        <f t="shared" si="93"/>
        <v/>
      </c>
      <c r="DK487" s="356" t="str">
        <f t="shared" si="94"/>
        <v/>
      </c>
      <c r="DL487" s="356" t="str">
        <f t="shared" si="95"/>
        <v/>
      </c>
      <c r="DM487" s="356" t="str">
        <f t="shared" si="96"/>
        <v/>
      </c>
      <c r="DN487" s="356" t="str">
        <f t="shared" si="97"/>
        <v/>
      </c>
      <c r="DO487" s="356" t="str">
        <f t="shared" si="98"/>
        <v/>
      </c>
      <c r="DP487" s="356" t="str">
        <f t="shared" si="99"/>
        <v/>
      </c>
      <c r="DQ487" s="356" t="str">
        <f t="shared" si="100"/>
        <v/>
      </c>
      <c r="DR487" s="356" t="str">
        <f t="shared" si="101"/>
        <v/>
      </c>
      <c r="DS487" s="356" t="str">
        <f t="shared" si="102"/>
        <v/>
      </c>
      <c r="DT487" s="356" t="str">
        <f t="shared" si="103"/>
        <v/>
      </c>
      <c r="DU487" s="356" t="str">
        <f t="shared" si="104"/>
        <v/>
      </c>
      <c r="DV487" s="356" t="str">
        <f t="shared" si="105"/>
        <v/>
      </c>
      <c r="DW487" s="356" t="str">
        <f t="shared" si="106"/>
        <v/>
      </c>
      <c r="DX487" s="356" t="str">
        <f t="shared" si="107"/>
        <v/>
      </c>
      <c r="DY487" s="356" t="str">
        <f t="shared" si="108"/>
        <v/>
      </c>
      <c r="DZ487" s="356" t="str">
        <f t="shared" si="109"/>
        <v/>
      </c>
      <c r="EA487" s="356" t="str">
        <f t="shared" si="110"/>
        <v/>
      </c>
      <c r="EB487" s="356" t="str">
        <f t="shared" si="111"/>
        <v/>
      </c>
      <c r="EC487" s="356" t="str">
        <f t="shared" si="112"/>
        <v/>
      </c>
      <c r="ED487" s="356" t="str">
        <f t="shared" si="113"/>
        <v/>
      </c>
      <c r="EE487" s="356" t="str">
        <f t="shared" si="114"/>
        <v/>
      </c>
      <c r="EF487" s="356" t="str">
        <f t="shared" si="115"/>
        <v/>
      </c>
      <c r="EG487" s="356" t="str">
        <f t="shared" si="116"/>
        <v/>
      </c>
      <c r="EH487" s="356" t="str">
        <f t="shared" si="117"/>
        <v/>
      </c>
      <c r="EI487" s="356" t="str">
        <f t="shared" si="118"/>
        <v/>
      </c>
      <c r="EJ487" s="356" t="str">
        <f t="shared" si="119"/>
        <v/>
      </c>
      <c r="EK487" s="356" t="str">
        <f t="shared" si="120"/>
        <v/>
      </c>
      <c r="EL487" s="356" t="str">
        <f t="shared" si="121"/>
        <v/>
      </c>
      <c r="EM487" s="356" t="str">
        <f t="shared" si="122"/>
        <v/>
      </c>
      <c r="EN487" s="356" t="str">
        <f t="shared" si="123"/>
        <v/>
      </c>
      <c r="EO487" s="356" t="str">
        <f t="shared" si="124"/>
        <v/>
      </c>
      <c r="EP487" s="356" t="str">
        <f t="shared" si="125"/>
        <v/>
      </c>
      <c r="EQ487" s="356" t="str">
        <f t="shared" si="126"/>
        <v/>
      </c>
      <c r="ER487" s="356" t="str">
        <f t="shared" si="127"/>
        <v/>
      </c>
      <c r="ES487" s="356" t="str">
        <f t="shared" si="128"/>
        <v/>
      </c>
      <c r="ET487" s="356" t="str">
        <f t="shared" si="129"/>
        <v/>
      </c>
      <c r="EU487" s="356" t="str">
        <f t="shared" si="130"/>
        <v/>
      </c>
      <c r="EV487" s="356" t="str">
        <f t="shared" si="131"/>
        <v/>
      </c>
      <c r="EW487" s="356" t="str">
        <f t="shared" si="132"/>
        <v/>
      </c>
      <c r="EX487" s="356" t="str">
        <f t="shared" si="133"/>
        <v/>
      </c>
      <c r="EY487" s="356" t="str">
        <f t="shared" si="134"/>
        <v/>
      </c>
      <c r="EZ487" s="356" t="str">
        <f t="shared" si="135"/>
        <v/>
      </c>
      <c r="FA487" s="356" t="str">
        <f t="shared" si="136"/>
        <v/>
      </c>
      <c r="FB487" s="356" t="str">
        <f t="shared" si="137"/>
        <v/>
      </c>
      <c r="FC487" s="356" t="str">
        <f t="shared" si="138"/>
        <v/>
      </c>
      <c r="FD487" s="356" t="str">
        <f t="shared" si="139"/>
        <v/>
      </c>
      <c r="FE487" s="356" t="str">
        <f t="shared" si="140"/>
        <v/>
      </c>
      <c r="FF487" s="356" t="str">
        <f t="shared" si="141"/>
        <v/>
      </c>
      <c r="FG487" s="356" t="str">
        <f t="shared" si="142"/>
        <v/>
      </c>
      <c r="FH487" s="356" t="str">
        <f t="shared" si="143"/>
        <v/>
      </c>
      <c r="FI487" s="356" t="str">
        <f t="shared" si="144"/>
        <v/>
      </c>
      <c r="FJ487" s="356" t="str">
        <f t="shared" si="145"/>
        <v/>
      </c>
      <c r="FK487" s="356" t="str">
        <f t="shared" si="146"/>
        <v/>
      </c>
      <c r="FL487" s="356" t="str">
        <f t="shared" si="147"/>
        <v/>
      </c>
      <c r="FM487" s="356" t="str">
        <f t="shared" si="148"/>
        <v/>
      </c>
      <c r="FN487" s="356" t="str">
        <f t="shared" si="149"/>
        <v/>
      </c>
      <c r="FO487" s="356" t="str">
        <f t="shared" si="150"/>
        <v/>
      </c>
      <c r="FP487" s="356" t="str">
        <f t="shared" si="151"/>
        <v/>
      </c>
      <c r="FQ487" s="356" t="str">
        <f t="shared" si="152"/>
        <v/>
      </c>
      <c r="FR487" s="356" t="str">
        <f t="shared" si="153"/>
        <v/>
      </c>
      <c r="FS487" s="356" t="str">
        <f t="shared" si="154"/>
        <v/>
      </c>
      <c r="FT487" s="356" t="str">
        <f t="shared" si="155"/>
        <v/>
      </c>
      <c r="FU487" s="356" t="str">
        <f t="shared" si="156"/>
        <v/>
      </c>
      <c r="FV487" s="356" t="str">
        <f t="shared" si="157"/>
        <v/>
      </c>
      <c r="FW487" s="356" t="str">
        <f t="shared" si="158"/>
        <v/>
      </c>
      <c r="FX487" s="356" t="str">
        <f t="shared" si="159"/>
        <v/>
      </c>
      <c r="FY487" s="356" t="str">
        <f t="shared" si="160"/>
        <v/>
      </c>
      <c r="FZ487" s="356" t="str">
        <f t="shared" si="161"/>
        <v/>
      </c>
      <c r="GA487" s="356" t="str">
        <f t="shared" si="162"/>
        <v/>
      </c>
      <c r="GB487" s="356" t="str">
        <f t="shared" si="163"/>
        <v/>
      </c>
      <c r="GC487" s="356" t="str">
        <f t="shared" si="164"/>
        <v/>
      </c>
      <c r="GD487" s="356" t="str">
        <f t="shared" si="165"/>
        <v/>
      </c>
      <c r="GE487" s="356" t="str">
        <f t="shared" si="166"/>
        <v/>
      </c>
      <c r="GF487" s="356" t="str">
        <f t="shared" si="167"/>
        <v/>
      </c>
      <c r="GG487" s="356" t="str">
        <f t="shared" si="168"/>
        <v/>
      </c>
      <c r="GH487" s="356" t="str">
        <f t="shared" si="169"/>
        <v/>
      </c>
      <c r="GI487" s="356" t="str">
        <f t="shared" si="170"/>
        <v/>
      </c>
      <c r="GJ487" s="356" t="str">
        <f t="shared" si="171"/>
        <v/>
      </c>
      <c r="GK487" s="356" t="str">
        <f t="shared" si="172"/>
        <v/>
      </c>
      <c r="GL487" s="356" t="str">
        <f t="shared" si="173"/>
        <v/>
      </c>
      <c r="GM487" s="356" t="str">
        <f t="shared" si="174"/>
        <v/>
      </c>
      <c r="GN487" s="356" t="str">
        <f t="shared" si="175"/>
        <v/>
      </c>
      <c r="GO487" s="356" t="str">
        <f t="shared" si="176"/>
        <v/>
      </c>
      <c r="GP487" s="356" t="str">
        <f t="shared" si="177"/>
        <v/>
      </c>
      <c r="GQ487" s="356" t="str">
        <f t="shared" si="178"/>
        <v/>
      </c>
      <c r="GR487" s="356" t="str">
        <f t="shared" si="179"/>
        <v/>
      </c>
      <c r="GS487" s="356" t="str">
        <f t="shared" si="180"/>
        <v/>
      </c>
      <c r="GT487" s="356" t="str">
        <f t="shared" si="181"/>
        <v/>
      </c>
      <c r="GU487" s="356" t="str">
        <f t="shared" si="182"/>
        <v/>
      </c>
      <c r="GV487" s="356" t="str">
        <f t="shared" si="183"/>
        <v/>
      </c>
      <c r="GW487" s="356" t="str">
        <f t="shared" si="184"/>
        <v/>
      </c>
      <c r="GX487" s="356" t="str">
        <f t="shared" si="185"/>
        <v/>
      </c>
      <c r="GY487" s="356" t="str">
        <f t="shared" si="186"/>
        <v/>
      </c>
      <c r="GZ487" s="356" t="str">
        <f t="shared" si="187"/>
        <v/>
      </c>
      <c r="HA487" s="356" t="str">
        <f t="shared" si="188"/>
        <v/>
      </c>
      <c r="HB487" s="356" t="str">
        <f t="shared" si="189"/>
        <v/>
      </c>
      <c r="HC487" s="356" t="str">
        <f t="shared" si="190"/>
        <v/>
      </c>
      <c r="HD487" s="356" t="str">
        <f t="shared" si="191"/>
        <v/>
      </c>
      <c r="HE487" s="356" t="str">
        <f t="shared" si="192"/>
        <v/>
      </c>
      <c r="HF487" s="356" t="str">
        <f t="shared" si="193"/>
        <v/>
      </c>
      <c r="HG487" s="356" t="str">
        <f t="shared" si="194"/>
        <v/>
      </c>
      <c r="HH487" s="356" t="str">
        <f t="shared" si="195"/>
        <v/>
      </c>
      <c r="HI487" s="356" t="str">
        <f t="shared" si="196"/>
        <v/>
      </c>
      <c r="HJ487" s="356" t="str">
        <f t="shared" si="197"/>
        <v/>
      </c>
      <c r="HK487" s="356" t="str">
        <f t="shared" si="198"/>
        <v/>
      </c>
      <c r="HL487" s="356" t="str">
        <f t="shared" si="199"/>
        <v/>
      </c>
      <c r="HM487" s="356" t="str">
        <f t="shared" si="200"/>
        <v/>
      </c>
      <c r="HN487" s="356" t="str">
        <f t="shared" si="201"/>
        <v/>
      </c>
      <c r="HO487" s="356" t="str">
        <f t="shared" si="202"/>
        <v/>
      </c>
      <c r="HP487" s="356" t="str">
        <f t="shared" si="203"/>
        <v/>
      </c>
      <c r="HQ487" s="356" t="str">
        <f t="shared" si="204"/>
        <v/>
      </c>
      <c r="HR487" s="356" t="str">
        <f t="shared" si="205"/>
        <v/>
      </c>
      <c r="HS487" s="356" t="str">
        <f t="shared" si="206"/>
        <v/>
      </c>
      <c r="HT487" s="356" t="str">
        <f t="shared" si="207"/>
        <v/>
      </c>
      <c r="HU487" s="356" t="str">
        <f t="shared" si="208"/>
        <v/>
      </c>
      <c r="HV487" s="356" t="str">
        <f t="shared" si="209"/>
        <v/>
      </c>
      <c r="HW487" s="356" t="str">
        <f t="shared" si="210"/>
        <v/>
      </c>
      <c r="HX487" s="356" t="str">
        <f t="shared" si="211"/>
        <v/>
      </c>
      <c r="HY487" s="356" t="str">
        <f t="shared" si="212"/>
        <v/>
      </c>
      <c r="HZ487" s="356" t="str">
        <f t="shared" si="213"/>
        <v/>
      </c>
      <c r="IA487" s="356" t="str">
        <f t="shared" si="214"/>
        <v/>
      </c>
      <c r="IB487" s="356" t="str">
        <f t="shared" si="215"/>
        <v/>
      </c>
      <c r="IC487" s="356" t="str">
        <f t="shared" si="216"/>
        <v/>
      </c>
      <c r="ID487" s="356" t="str">
        <f t="shared" si="217"/>
        <v/>
      </c>
      <c r="IE487" s="356" t="str">
        <f t="shared" si="218"/>
        <v/>
      </c>
      <c r="IF487" s="356" t="str">
        <f t="shared" si="219"/>
        <v/>
      </c>
      <c r="IG487" s="356" t="str">
        <f t="shared" si="220"/>
        <v/>
      </c>
      <c r="IH487" s="356" t="str">
        <f t="shared" si="221"/>
        <v/>
      </c>
      <c r="II487" s="356" t="str">
        <f t="shared" si="222"/>
        <v/>
      </c>
      <c r="IJ487" s="356" t="str">
        <f t="shared" si="223"/>
        <v/>
      </c>
      <c r="IK487" s="356" t="str">
        <f t="shared" si="224"/>
        <v/>
      </c>
      <c r="IL487" s="356" t="str">
        <f t="shared" si="225"/>
        <v/>
      </c>
      <c r="IM487" s="356" t="str">
        <f t="shared" si="226"/>
        <v/>
      </c>
      <c r="IN487" s="356" t="str">
        <f t="shared" si="227"/>
        <v/>
      </c>
      <c r="IO487" s="356" t="str">
        <f t="shared" si="228"/>
        <v/>
      </c>
      <c r="IP487" s="356" t="str">
        <f t="shared" si="229"/>
        <v/>
      </c>
      <c r="IQ487" s="356" t="str">
        <f t="shared" si="230"/>
        <v/>
      </c>
      <c r="IR487" s="356" t="str">
        <f t="shared" si="231"/>
        <v/>
      </c>
      <c r="IS487" s="356" t="str">
        <f t="shared" si="232"/>
        <v/>
      </c>
      <c r="IT487" s="356" t="str">
        <f t="shared" si="233"/>
        <v/>
      </c>
      <c r="IU487" s="356" t="str">
        <f t="shared" si="234"/>
        <v/>
      </c>
      <c r="IV487" s="356" t="str">
        <f t="shared" si="235"/>
        <v/>
      </c>
      <c r="IW487" s="356" t="str">
        <f t="shared" si="236"/>
        <v/>
      </c>
      <c r="IX487" s="356" t="str">
        <f t="shared" si="237"/>
        <v/>
      </c>
      <c r="IY487" s="356" t="str">
        <f t="shared" si="238"/>
        <v/>
      </c>
      <c r="IZ487" s="356" t="str">
        <f t="shared" si="239"/>
        <v/>
      </c>
      <c r="JA487" s="356" t="str">
        <f t="shared" si="240"/>
        <v/>
      </c>
      <c r="JB487" s="356" t="str">
        <f t="shared" si="241"/>
        <v/>
      </c>
      <c r="JC487" s="356" t="str">
        <f t="shared" si="242"/>
        <v/>
      </c>
      <c r="JD487" s="356" t="str">
        <f t="shared" si="243"/>
        <v/>
      </c>
      <c r="JE487" s="356" t="str">
        <f t="shared" si="244"/>
        <v/>
      </c>
      <c r="JF487" s="356" t="str">
        <f t="shared" si="245"/>
        <v/>
      </c>
      <c r="JG487" s="356" t="str">
        <f t="shared" si="246"/>
        <v/>
      </c>
      <c r="JH487" s="356" t="str">
        <f t="shared" si="247"/>
        <v/>
      </c>
      <c r="JI487" s="1785" t="str">
        <f t="shared" si="248"/>
        <v/>
      </c>
      <c r="JJ487" s="1785" t="str">
        <f t="shared" si="249"/>
        <v/>
      </c>
      <c r="JK487" s="1785" t="str">
        <f t="shared" si="250"/>
        <v/>
      </c>
      <c r="JL487" s="1785" t="str">
        <f t="shared" si="251"/>
        <v/>
      </c>
      <c r="JM487" s="1785" t="str">
        <f t="shared" si="252"/>
        <v/>
      </c>
      <c r="JN487" s="1785" t="str">
        <f t="shared" si="253"/>
        <v/>
      </c>
      <c r="JO487" s="1785" t="str">
        <f t="shared" si="254"/>
        <v/>
      </c>
      <c r="JP487" s="1785" t="str">
        <f t="shared" si="255"/>
        <v/>
      </c>
      <c r="JQ487" s="1785" t="str">
        <f t="shared" si="256"/>
        <v/>
      </c>
      <c r="JR487" s="1785" t="str">
        <f t="shared" si="257"/>
        <v/>
      </c>
      <c r="JS487" s="1785" t="str">
        <f t="shared" si="258"/>
        <v/>
      </c>
      <c r="JT487" s="1785" t="str">
        <f t="shared" si="259"/>
        <v/>
      </c>
      <c r="JU487" s="1785" t="str">
        <f t="shared" si="260"/>
        <v/>
      </c>
      <c r="JV487" s="1785" t="str">
        <f t="shared" si="261"/>
        <v/>
      </c>
      <c r="JW487" s="1785" t="str">
        <f t="shared" si="262"/>
        <v/>
      </c>
      <c r="JX487" s="1785" t="str">
        <f t="shared" si="263"/>
        <v/>
      </c>
      <c r="JY487" s="1785" t="str">
        <f t="shared" si="264"/>
        <v/>
      </c>
      <c r="JZ487" s="1785" t="str">
        <f t="shared" si="265"/>
        <v/>
      </c>
      <c r="KA487" s="1785" t="str">
        <f t="shared" si="266"/>
        <v/>
      </c>
      <c r="KB487" s="1785" t="str">
        <f t="shared" si="267"/>
        <v/>
      </c>
      <c r="KC487" s="1785" t="str">
        <f t="shared" si="268"/>
        <v/>
      </c>
      <c r="KD487" s="1785" t="str">
        <f t="shared" si="269"/>
        <v/>
      </c>
      <c r="KE487" s="1785" t="str">
        <f t="shared" si="270"/>
        <v/>
      </c>
      <c r="KF487" s="1785" t="str">
        <f t="shared" si="271"/>
        <v/>
      </c>
      <c r="KG487" s="1785" t="str">
        <f t="shared" si="272"/>
        <v/>
      </c>
      <c r="KH487" s="1785" t="str">
        <f t="shared" si="273"/>
        <v/>
      </c>
      <c r="KI487" s="1785" t="str">
        <f t="shared" si="274"/>
        <v/>
      </c>
      <c r="KJ487" s="1785" t="str">
        <f t="shared" si="275"/>
        <v/>
      </c>
      <c r="KK487" s="1785" t="str">
        <f t="shared" si="276"/>
        <v/>
      </c>
      <c r="KL487" s="1785" t="str">
        <f t="shared" si="277"/>
        <v/>
      </c>
      <c r="KM487" s="1785" t="str">
        <f t="shared" si="278"/>
        <v/>
      </c>
      <c r="KN487" s="1785" t="str">
        <f t="shared" si="279"/>
        <v/>
      </c>
      <c r="KO487" s="1785" t="str">
        <f t="shared" si="280"/>
        <v/>
      </c>
      <c r="KP487" s="1785" t="str">
        <f t="shared" si="281"/>
        <v/>
      </c>
      <c r="KQ487" s="1785" t="str">
        <f t="shared" si="282"/>
        <v/>
      </c>
      <c r="KR487" s="1785" t="str">
        <f t="shared" si="283"/>
        <v/>
      </c>
      <c r="KS487" s="1785" t="str">
        <f t="shared" si="284"/>
        <v/>
      </c>
      <c r="KT487" s="1785" t="str">
        <f t="shared" si="285"/>
        <v/>
      </c>
      <c r="KU487" s="1785" t="str">
        <f t="shared" si="286"/>
        <v/>
      </c>
      <c r="KV487" s="1785" t="str">
        <f t="shared" si="287"/>
        <v/>
      </c>
      <c r="KW487" s="1785" t="str">
        <f t="shared" si="288"/>
        <v/>
      </c>
      <c r="KX487" s="1785" t="str">
        <f t="shared" si="289"/>
        <v/>
      </c>
      <c r="KY487" s="1785" t="str">
        <f t="shared" si="290"/>
        <v/>
      </c>
      <c r="KZ487" s="1785" t="str">
        <f t="shared" si="291"/>
        <v/>
      </c>
      <c r="LA487" s="1785" t="str">
        <f t="shared" si="292"/>
        <v/>
      </c>
      <c r="LB487" s="1785" t="str">
        <f t="shared" si="293"/>
        <v/>
      </c>
      <c r="LC487" s="1785" t="str">
        <f t="shared" si="294"/>
        <v/>
      </c>
      <c r="LD487" s="1785" t="str">
        <f t="shared" si="295"/>
        <v/>
      </c>
      <c r="LE487" s="1785" t="str">
        <f t="shared" si="296"/>
        <v/>
      </c>
      <c r="LF487" s="1785" t="str">
        <f t="shared" si="297"/>
        <v/>
      </c>
      <c r="LG487" s="1785" t="str">
        <f t="shared" si="298"/>
        <v/>
      </c>
      <c r="LH487" s="1785" t="str">
        <f t="shared" si="299"/>
        <v/>
      </c>
      <c r="LI487" s="1785" t="str">
        <f t="shared" si="300"/>
        <v/>
      </c>
      <c r="LJ487" s="1785" t="str">
        <f t="shared" si="301"/>
        <v/>
      </c>
      <c r="LK487" s="1785" t="str">
        <f t="shared" si="302"/>
        <v/>
      </c>
      <c r="LL487" s="1785" t="str">
        <f t="shared" si="303"/>
        <v/>
      </c>
      <c r="LM487" s="1785" t="str">
        <f t="shared" si="304"/>
        <v/>
      </c>
      <c r="LN487" s="1785" t="str">
        <f t="shared" si="305"/>
        <v/>
      </c>
      <c r="LO487" s="1785" t="str">
        <f t="shared" si="306"/>
        <v/>
      </c>
      <c r="LP487" s="1785" t="str">
        <f t="shared" si="307"/>
        <v/>
      </c>
      <c r="LQ487" s="1785" t="str">
        <f t="shared" si="308"/>
        <v/>
      </c>
      <c r="LR487" s="1785" t="str">
        <f t="shared" si="309"/>
        <v/>
      </c>
      <c r="LS487" s="1785" t="str">
        <f t="shared" si="310"/>
        <v/>
      </c>
      <c r="LT487" s="1785" t="str">
        <f t="shared" si="311"/>
        <v/>
      </c>
      <c r="LU487" s="1785" t="str">
        <f t="shared" si="312"/>
        <v/>
      </c>
      <c r="LV487" s="1785" t="str">
        <f t="shared" si="313"/>
        <v/>
      </c>
      <c r="LW487" s="1785" t="str">
        <f t="shared" si="314"/>
        <v/>
      </c>
      <c r="LX487" s="1785" t="str">
        <f t="shared" si="315"/>
        <v/>
      </c>
      <c r="LY487" s="1785" t="str">
        <f t="shared" si="316"/>
        <v/>
      </c>
      <c r="LZ487" s="1785" t="str">
        <f t="shared" si="317"/>
        <v/>
      </c>
      <c r="MA487" s="1785" t="str">
        <f t="shared" si="318"/>
        <v/>
      </c>
      <c r="MB487" s="1785" t="str">
        <f t="shared" si="319"/>
        <v/>
      </c>
      <c r="MC487" s="1785" t="str">
        <f t="shared" si="320"/>
        <v/>
      </c>
      <c r="MD487" s="1785" t="str">
        <f t="shared" si="321"/>
        <v/>
      </c>
      <c r="ME487" s="1785" t="str">
        <f t="shared" si="322"/>
        <v/>
      </c>
      <c r="MF487" s="1785" t="str">
        <f t="shared" si="323"/>
        <v/>
      </c>
      <c r="MG487" s="1785" t="str">
        <f t="shared" si="324"/>
        <v/>
      </c>
      <c r="MH487" s="1785" t="str">
        <f t="shared" si="325"/>
        <v/>
      </c>
      <c r="MI487" s="1785" t="str">
        <f t="shared" si="326"/>
        <v/>
      </c>
      <c r="MJ487" s="1785" t="str">
        <f t="shared" si="327"/>
        <v/>
      </c>
      <c r="MK487" s="1785" t="str">
        <f t="shared" si="328"/>
        <v/>
      </c>
      <c r="ML487" s="1785" t="str">
        <f t="shared" si="329"/>
        <v/>
      </c>
      <c r="MM487" s="1785" t="str">
        <f t="shared" si="330"/>
        <v/>
      </c>
      <c r="MN487" s="1785" t="str">
        <f t="shared" si="331"/>
        <v/>
      </c>
      <c r="MO487" s="1785" t="str">
        <f t="shared" si="332"/>
        <v/>
      </c>
      <c r="MP487" s="2470" t="str">
        <f t="shared" si="333"/>
        <v/>
      </c>
      <c r="MQ487" s="2470" t="str">
        <f t="shared" si="334"/>
        <v/>
      </c>
      <c r="MR487" s="2470" t="str">
        <f t="shared" si="335"/>
        <v/>
      </c>
      <c r="MS487" s="2470" t="str">
        <f t="shared" si="336"/>
        <v/>
      </c>
      <c r="MT487" s="2470" t="str">
        <f t="shared" si="337"/>
        <v/>
      </c>
      <c r="MU487" s="356" t="str">
        <f t="shared" si="338"/>
        <v/>
      </c>
      <c r="MV487" s="356" t="str">
        <f t="shared" si="339"/>
        <v/>
      </c>
      <c r="MW487" s="356" t="str">
        <f t="shared" si="340"/>
        <v/>
      </c>
      <c r="MX487" s="356" t="str">
        <f t="shared" si="341"/>
        <v/>
      </c>
      <c r="MY487" s="356" t="str">
        <f t="shared" si="342"/>
        <v/>
      </c>
      <c r="MZ487" s="356" t="str">
        <f t="shared" si="343"/>
        <v/>
      </c>
      <c r="NA487" s="356" t="str">
        <f t="shared" si="344"/>
        <v/>
      </c>
      <c r="NB487" s="356" t="str">
        <f t="shared" si="345"/>
        <v/>
      </c>
      <c r="NC487" s="356" t="str">
        <f t="shared" si="346"/>
        <v/>
      </c>
      <c r="ND487" s="356" t="str">
        <f t="shared" si="347"/>
        <v/>
      </c>
      <c r="NE487" s="356" t="str">
        <f t="shared" si="348"/>
        <v/>
      </c>
      <c r="NF487" s="356" t="str">
        <f t="shared" si="349"/>
        <v/>
      </c>
      <c r="NG487" s="356" t="str">
        <f t="shared" si="350"/>
        <v/>
      </c>
      <c r="NH487" s="356" t="str">
        <f t="shared" si="351"/>
        <v/>
      </c>
      <c r="NI487" s="356" t="str">
        <f t="shared" si="352"/>
        <v/>
      </c>
      <c r="NJ487" s="356" t="str">
        <f t="shared" si="353"/>
        <v/>
      </c>
      <c r="NK487" s="356" t="str">
        <f t="shared" si="354"/>
        <v/>
      </c>
      <c r="NL487" s="356" t="str">
        <f t="shared" si="355"/>
        <v/>
      </c>
      <c r="NM487" s="356" t="str">
        <f t="shared" si="356"/>
        <v/>
      </c>
      <c r="NN487" s="356" t="str">
        <f t="shared" si="357"/>
        <v/>
      </c>
      <c r="NO487" s="1640">
        <f t="shared" si="358"/>
        <v>0</v>
      </c>
      <c r="NP487" s="1640">
        <f t="shared" si="359"/>
        <v>0</v>
      </c>
      <c r="NQ487" s="1640">
        <f t="shared" si="360"/>
        <v>0</v>
      </c>
      <c r="NR487" s="1640">
        <f t="shared" si="361"/>
        <v>0</v>
      </c>
      <c r="NS487" s="1640">
        <f t="shared" si="362"/>
        <v>0</v>
      </c>
      <c r="NT487" s="1640">
        <f t="shared" si="368"/>
        <v>0</v>
      </c>
      <c r="NU487" s="1640">
        <f t="shared" si="369"/>
        <v>0</v>
      </c>
      <c r="NV487" s="1640">
        <f t="shared" si="370"/>
        <v>0</v>
      </c>
      <c r="NW487" s="1640">
        <f t="shared" si="371"/>
        <v>0</v>
      </c>
      <c r="NX487" s="1640">
        <f t="shared" si="372"/>
        <v>0</v>
      </c>
      <c r="NY487" s="1640">
        <f t="shared" si="363"/>
        <v>0</v>
      </c>
      <c r="NZ487" s="1640">
        <f t="shared" si="364"/>
        <v>0</v>
      </c>
      <c r="OA487" s="1640">
        <f t="shared" si="365"/>
        <v>0</v>
      </c>
      <c r="OB487" s="1640">
        <f t="shared" si="366"/>
        <v>0</v>
      </c>
      <c r="OC487" s="1640">
        <f t="shared" si="367"/>
        <v>0</v>
      </c>
      <c r="OY487" s="356" t="s">
        <v>4320</v>
      </c>
      <c r="OZ487" s="1784">
        <v>34</v>
      </c>
    </row>
    <row r="488" spans="1:416" ht="12" customHeight="1">
      <c r="A488" s="2706" t="str">
        <f t="shared" si="0"/>
        <v/>
      </c>
      <c r="B488" s="2725">
        <f>'Part V-Revenues &amp; Expenses'!B35</f>
        <v>0</v>
      </c>
      <c r="C488" s="2726">
        <f>'Part V-Revenues &amp; Expenses'!C35</f>
        <v>0</v>
      </c>
      <c r="D488" s="2727">
        <f>'Part V-Revenues &amp; Expenses'!D35</f>
        <v>0</v>
      </c>
      <c r="E488" s="2728">
        <f>'Part V-Revenues &amp; Expenses'!E35</f>
        <v>0</v>
      </c>
      <c r="F488" s="2728">
        <f>'Part V-Revenues &amp; Expenses'!F35</f>
        <v>0</v>
      </c>
      <c r="G488" s="2728">
        <f>'Part V-Revenues &amp; Expenses'!G35</f>
        <v>0</v>
      </c>
      <c r="H488" s="2728">
        <f>'Part V-Revenues &amp; Expenses'!H35</f>
        <v>0</v>
      </c>
      <c r="I488" s="2728">
        <f>'Part V-Revenues &amp; Expenses'!I35</f>
        <v>0</v>
      </c>
      <c r="J488" s="2728">
        <f>'Part V-Revenues &amp; Expenses'!J35</f>
        <v>0</v>
      </c>
      <c r="K488" s="2729">
        <f>'Part V-Revenues &amp; Expenses'!K35</f>
        <v>0</v>
      </c>
      <c r="L488" s="2730">
        <f t="shared" si="1"/>
        <v>0</v>
      </c>
      <c r="M488" s="2730">
        <f t="shared" si="2"/>
        <v>0</v>
      </c>
      <c r="N488" s="2580">
        <f>'Part V-Revenues &amp; Expenses'!N35</f>
        <v>0</v>
      </c>
      <c r="O488" s="1248">
        <f>'Part V-Revenues &amp; Expenses'!O35</f>
        <v>0</v>
      </c>
      <c r="P488" s="2580">
        <f>'Part V-Revenues &amp; Expenses'!P35</f>
        <v>0</v>
      </c>
      <c r="Q488" s="2469">
        <f>'Part V-Revenues &amp; Expenses'!Q35</f>
        <v>0</v>
      </c>
      <c r="R488" s="2731"/>
      <c r="S488" s="2732"/>
      <c r="T488" s="2647"/>
      <c r="U488" s="2647"/>
      <c r="V488" s="2647"/>
      <c r="W488" s="2647"/>
      <c r="X488" s="356" t="str">
        <f t="shared" si="3"/>
        <v/>
      </c>
      <c r="Y488" s="356" t="str">
        <f t="shared" si="4"/>
        <v/>
      </c>
      <c r="Z488" s="356" t="str">
        <f t="shared" si="5"/>
        <v/>
      </c>
      <c r="AA488" s="356" t="str">
        <f t="shared" si="6"/>
        <v/>
      </c>
      <c r="AB488" s="356" t="str">
        <f t="shared" si="7"/>
        <v/>
      </c>
      <c r="AC488" s="356" t="str">
        <f t="shared" si="8"/>
        <v/>
      </c>
      <c r="AD488" s="356" t="str">
        <f t="shared" si="9"/>
        <v/>
      </c>
      <c r="AE488" s="356" t="str">
        <f t="shared" si="10"/>
        <v/>
      </c>
      <c r="AF488" s="356" t="str">
        <f t="shared" si="11"/>
        <v/>
      </c>
      <c r="AG488" s="356" t="str">
        <f t="shared" si="12"/>
        <v/>
      </c>
      <c r="AH488" s="356" t="str">
        <f t="shared" si="13"/>
        <v/>
      </c>
      <c r="AI488" s="356" t="str">
        <f t="shared" si="14"/>
        <v/>
      </c>
      <c r="AJ488" s="356" t="str">
        <f t="shared" si="15"/>
        <v/>
      </c>
      <c r="AK488" s="356" t="str">
        <f t="shared" si="16"/>
        <v/>
      </c>
      <c r="AL488" s="356" t="str">
        <f t="shared" si="17"/>
        <v/>
      </c>
      <c r="AM488" s="356" t="str">
        <f t="shared" si="18"/>
        <v/>
      </c>
      <c r="AN488" s="356" t="str">
        <f t="shared" si="19"/>
        <v/>
      </c>
      <c r="AO488" s="356" t="str">
        <f t="shared" si="20"/>
        <v/>
      </c>
      <c r="AP488" s="356" t="str">
        <f t="shared" si="21"/>
        <v/>
      </c>
      <c r="AQ488" s="356" t="str">
        <f t="shared" si="22"/>
        <v/>
      </c>
      <c r="AR488" s="356" t="str">
        <f t="shared" si="23"/>
        <v/>
      </c>
      <c r="AS488" s="356" t="str">
        <f t="shared" si="24"/>
        <v/>
      </c>
      <c r="AT488" s="356" t="str">
        <f t="shared" si="25"/>
        <v/>
      </c>
      <c r="AU488" s="356" t="str">
        <f t="shared" si="26"/>
        <v/>
      </c>
      <c r="AV488" s="356" t="str">
        <f t="shared" si="27"/>
        <v/>
      </c>
      <c r="AW488" s="356" t="str">
        <f t="shared" si="28"/>
        <v/>
      </c>
      <c r="AX488" s="356" t="str">
        <f t="shared" si="29"/>
        <v/>
      </c>
      <c r="AY488" s="356" t="str">
        <f t="shared" si="30"/>
        <v/>
      </c>
      <c r="AZ488" s="356" t="str">
        <f t="shared" si="31"/>
        <v/>
      </c>
      <c r="BA488" s="356" t="str">
        <f t="shared" si="32"/>
        <v/>
      </c>
      <c r="BB488" s="356" t="str">
        <f t="shared" si="33"/>
        <v/>
      </c>
      <c r="BC488" s="356" t="str">
        <f t="shared" si="34"/>
        <v/>
      </c>
      <c r="BD488" s="356" t="str">
        <f t="shared" si="35"/>
        <v/>
      </c>
      <c r="BE488" s="356" t="str">
        <f t="shared" si="36"/>
        <v/>
      </c>
      <c r="BF488" s="356" t="str">
        <f t="shared" si="37"/>
        <v/>
      </c>
      <c r="BG488" s="356" t="str">
        <f t="shared" si="38"/>
        <v/>
      </c>
      <c r="BH488" s="356" t="str">
        <f t="shared" si="39"/>
        <v/>
      </c>
      <c r="BI488" s="356" t="str">
        <f t="shared" si="40"/>
        <v/>
      </c>
      <c r="BJ488" s="356" t="str">
        <f t="shared" si="41"/>
        <v/>
      </c>
      <c r="BK488" s="356" t="str">
        <f t="shared" si="42"/>
        <v/>
      </c>
      <c r="BL488" s="356" t="str">
        <f t="shared" si="43"/>
        <v/>
      </c>
      <c r="BM488" s="356" t="str">
        <f t="shared" si="44"/>
        <v/>
      </c>
      <c r="BN488" s="356" t="str">
        <f t="shared" si="45"/>
        <v/>
      </c>
      <c r="BO488" s="356" t="str">
        <f t="shared" si="46"/>
        <v/>
      </c>
      <c r="BP488" s="356" t="str">
        <f t="shared" si="47"/>
        <v/>
      </c>
      <c r="BQ488" s="356" t="str">
        <f t="shared" si="48"/>
        <v/>
      </c>
      <c r="BR488" s="356" t="str">
        <f t="shared" si="49"/>
        <v/>
      </c>
      <c r="BS488" s="356" t="str">
        <f t="shared" si="50"/>
        <v/>
      </c>
      <c r="BT488" s="356" t="str">
        <f t="shared" si="51"/>
        <v/>
      </c>
      <c r="BU488" s="356" t="str">
        <f t="shared" si="52"/>
        <v/>
      </c>
      <c r="BV488" s="356" t="str">
        <f t="shared" si="53"/>
        <v/>
      </c>
      <c r="BW488" s="356" t="str">
        <f t="shared" si="54"/>
        <v/>
      </c>
      <c r="BX488" s="356" t="str">
        <f t="shared" si="55"/>
        <v/>
      </c>
      <c r="BY488" s="356" t="str">
        <f t="shared" si="56"/>
        <v/>
      </c>
      <c r="BZ488" s="356" t="str">
        <f t="shared" si="57"/>
        <v/>
      </c>
      <c r="CA488" s="356" t="str">
        <f t="shared" si="58"/>
        <v/>
      </c>
      <c r="CB488" s="356" t="str">
        <f t="shared" si="59"/>
        <v/>
      </c>
      <c r="CC488" s="356" t="str">
        <f t="shared" si="60"/>
        <v/>
      </c>
      <c r="CD488" s="356" t="str">
        <f t="shared" si="61"/>
        <v/>
      </c>
      <c r="CE488" s="356" t="str">
        <f t="shared" si="62"/>
        <v/>
      </c>
      <c r="CF488" s="356" t="str">
        <f t="shared" si="63"/>
        <v/>
      </c>
      <c r="CG488" s="356" t="str">
        <f t="shared" si="64"/>
        <v/>
      </c>
      <c r="CH488" s="356" t="str">
        <f t="shared" si="65"/>
        <v/>
      </c>
      <c r="CI488" s="356" t="str">
        <f t="shared" si="66"/>
        <v/>
      </c>
      <c r="CJ488" s="356" t="str">
        <f t="shared" si="67"/>
        <v/>
      </c>
      <c r="CK488" s="356" t="str">
        <f t="shared" si="68"/>
        <v/>
      </c>
      <c r="CL488" s="356" t="str">
        <f t="shared" si="69"/>
        <v/>
      </c>
      <c r="CM488" s="356" t="str">
        <f t="shared" si="70"/>
        <v/>
      </c>
      <c r="CN488" s="356" t="str">
        <f t="shared" si="71"/>
        <v/>
      </c>
      <c r="CO488" s="356" t="str">
        <f t="shared" si="72"/>
        <v/>
      </c>
      <c r="CP488" s="356" t="str">
        <f t="shared" si="73"/>
        <v/>
      </c>
      <c r="CQ488" s="356" t="str">
        <f t="shared" si="74"/>
        <v/>
      </c>
      <c r="CR488" s="356" t="str">
        <f t="shared" si="75"/>
        <v/>
      </c>
      <c r="CS488" s="356" t="str">
        <f t="shared" si="76"/>
        <v/>
      </c>
      <c r="CT488" s="356" t="str">
        <f t="shared" si="77"/>
        <v/>
      </c>
      <c r="CU488" s="356" t="str">
        <f t="shared" si="78"/>
        <v/>
      </c>
      <c r="CV488" s="356" t="str">
        <f t="shared" si="79"/>
        <v/>
      </c>
      <c r="CW488" s="356" t="str">
        <f t="shared" si="80"/>
        <v/>
      </c>
      <c r="CX488" s="356" t="str">
        <f t="shared" si="81"/>
        <v/>
      </c>
      <c r="CY488" s="356" t="str">
        <f t="shared" si="82"/>
        <v/>
      </c>
      <c r="CZ488" s="356" t="str">
        <f t="shared" si="83"/>
        <v/>
      </c>
      <c r="DA488" s="356" t="str">
        <f t="shared" si="84"/>
        <v/>
      </c>
      <c r="DB488" s="356" t="str">
        <f t="shared" si="85"/>
        <v/>
      </c>
      <c r="DC488" s="356" t="str">
        <f t="shared" si="86"/>
        <v/>
      </c>
      <c r="DD488" s="356" t="str">
        <f t="shared" si="87"/>
        <v/>
      </c>
      <c r="DE488" s="356" t="str">
        <f t="shared" si="88"/>
        <v/>
      </c>
      <c r="DF488" s="356" t="str">
        <f t="shared" si="89"/>
        <v/>
      </c>
      <c r="DG488" s="356" t="str">
        <f t="shared" si="90"/>
        <v/>
      </c>
      <c r="DH488" s="356" t="str">
        <f t="shared" si="91"/>
        <v/>
      </c>
      <c r="DI488" s="356" t="str">
        <f t="shared" si="92"/>
        <v/>
      </c>
      <c r="DJ488" s="356" t="str">
        <f t="shared" si="93"/>
        <v/>
      </c>
      <c r="DK488" s="356" t="str">
        <f t="shared" si="94"/>
        <v/>
      </c>
      <c r="DL488" s="356" t="str">
        <f t="shared" si="95"/>
        <v/>
      </c>
      <c r="DM488" s="356" t="str">
        <f t="shared" si="96"/>
        <v/>
      </c>
      <c r="DN488" s="356" t="str">
        <f t="shared" si="97"/>
        <v/>
      </c>
      <c r="DO488" s="356" t="str">
        <f t="shared" si="98"/>
        <v/>
      </c>
      <c r="DP488" s="356" t="str">
        <f t="shared" si="99"/>
        <v/>
      </c>
      <c r="DQ488" s="356" t="str">
        <f t="shared" si="100"/>
        <v/>
      </c>
      <c r="DR488" s="356" t="str">
        <f t="shared" si="101"/>
        <v/>
      </c>
      <c r="DS488" s="356" t="str">
        <f t="shared" si="102"/>
        <v/>
      </c>
      <c r="DT488" s="356" t="str">
        <f t="shared" si="103"/>
        <v/>
      </c>
      <c r="DU488" s="356" t="str">
        <f t="shared" si="104"/>
        <v/>
      </c>
      <c r="DV488" s="356" t="str">
        <f t="shared" si="105"/>
        <v/>
      </c>
      <c r="DW488" s="356" t="str">
        <f t="shared" si="106"/>
        <v/>
      </c>
      <c r="DX488" s="356" t="str">
        <f t="shared" si="107"/>
        <v/>
      </c>
      <c r="DY488" s="356" t="str">
        <f t="shared" si="108"/>
        <v/>
      </c>
      <c r="DZ488" s="356" t="str">
        <f t="shared" si="109"/>
        <v/>
      </c>
      <c r="EA488" s="356" t="str">
        <f t="shared" si="110"/>
        <v/>
      </c>
      <c r="EB488" s="356" t="str">
        <f t="shared" si="111"/>
        <v/>
      </c>
      <c r="EC488" s="356" t="str">
        <f t="shared" si="112"/>
        <v/>
      </c>
      <c r="ED488" s="356" t="str">
        <f t="shared" si="113"/>
        <v/>
      </c>
      <c r="EE488" s="356" t="str">
        <f t="shared" si="114"/>
        <v/>
      </c>
      <c r="EF488" s="356" t="str">
        <f t="shared" si="115"/>
        <v/>
      </c>
      <c r="EG488" s="356" t="str">
        <f t="shared" si="116"/>
        <v/>
      </c>
      <c r="EH488" s="356" t="str">
        <f t="shared" si="117"/>
        <v/>
      </c>
      <c r="EI488" s="356" t="str">
        <f t="shared" si="118"/>
        <v/>
      </c>
      <c r="EJ488" s="356" t="str">
        <f t="shared" si="119"/>
        <v/>
      </c>
      <c r="EK488" s="356" t="str">
        <f t="shared" si="120"/>
        <v/>
      </c>
      <c r="EL488" s="356" t="str">
        <f t="shared" si="121"/>
        <v/>
      </c>
      <c r="EM488" s="356" t="str">
        <f t="shared" si="122"/>
        <v/>
      </c>
      <c r="EN488" s="356" t="str">
        <f t="shared" si="123"/>
        <v/>
      </c>
      <c r="EO488" s="356" t="str">
        <f t="shared" si="124"/>
        <v/>
      </c>
      <c r="EP488" s="356" t="str">
        <f t="shared" si="125"/>
        <v/>
      </c>
      <c r="EQ488" s="356" t="str">
        <f t="shared" si="126"/>
        <v/>
      </c>
      <c r="ER488" s="356" t="str">
        <f t="shared" si="127"/>
        <v/>
      </c>
      <c r="ES488" s="356" t="str">
        <f t="shared" si="128"/>
        <v/>
      </c>
      <c r="ET488" s="356" t="str">
        <f t="shared" si="129"/>
        <v/>
      </c>
      <c r="EU488" s="356" t="str">
        <f t="shared" si="130"/>
        <v/>
      </c>
      <c r="EV488" s="356" t="str">
        <f t="shared" si="131"/>
        <v/>
      </c>
      <c r="EW488" s="356" t="str">
        <f t="shared" si="132"/>
        <v/>
      </c>
      <c r="EX488" s="356" t="str">
        <f t="shared" si="133"/>
        <v/>
      </c>
      <c r="EY488" s="356" t="str">
        <f t="shared" si="134"/>
        <v/>
      </c>
      <c r="EZ488" s="356" t="str">
        <f t="shared" si="135"/>
        <v/>
      </c>
      <c r="FA488" s="356" t="str">
        <f t="shared" si="136"/>
        <v/>
      </c>
      <c r="FB488" s="356" t="str">
        <f t="shared" si="137"/>
        <v/>
      </c>
      <c r="FC488" s="356" t="str">
        <f t="shared" si="138"/>
        <v/>
      </c>
      <c r="FD488" s="356" t="str">
        <f t="shared" si="139"/>
        <v/>
      </c>
      <c r="FE488" s="356" t="str">
        <f t="shared" si="140"/>
        <v/>
      </c>
      <c r="FF488" s="356" t="str">
        <f t="shared" si="141"/>
        <v/>
      </c>
      <c r="FG488" s="356" t="str">
        <f t="shared" si="142"/>
        <v/>
      </c>
      <c r="FH488" s="356" t="str">
        <f t="shared" si="143"/>
        <v/>
      </c>
      <c r="FI488" s="356" t="str">
        <f t="shared" si="144"/>
        <v/>
      </c>
      <c r="FJ488" s="356" t="str">
        <f t="shared" si="145"/>
        <v/>
      </c>
      <c r="FK488" s="356" t="str">
        <f t="shared" si="146"/>
        <v/>
      </c>
      <c r="FL488" s="356" t="str">
        <f t="shared" si="147"/>
        <v/>
      </c>
      <c r="FM488" s="356" t="str">
        <f t="shared" si="148"/>
        <v/>
      </c>
      <c r="FN488" s="356" t="str">
        <f t="shared" si="149"/>
        <v/>
      </c>
      <c r="FO488" s="356" t="str">
        <f t="shared" si="150"/>
        <v/>
      </c>
      <c r="FP488" s="356" t="str">
        <f t="shared" si="151"/>
        <v/>
      </c>
      <c r="FQ488" s="356" t="str">
        <f t="shared" si="152"/>
        <v/>
      </c>
      <c r="FR488" s="356" t="str">
        <f t="shared" si="153"/>
        <v/>
      </c>
      <c r="FS488" s="356" t="str">
        <f t="shared" si="154"/>
        <v/>
      </c>
      <c r="FT488" s="356" t="str">
        <f t="shared" si="155"/>
        <v/>
      </c>
      <c r="FU488" s="356" t="str">
        <f t="shared" si="156"/>
        <v/>
      </c>
      <c r="FV488" s="356" t="str">
        <f t="shared" si="157"/>
        <v/>
      </c>
      <c r="FW488" s="356" t="str">
        <f t="shared" si="158"/>
        <v/>
      </c>
      <c r="FX488" s="356" t="str">
        <f t="shared" si="159"/>
        <v/>
      </c>
      <c r="FY488" s="356" t="str">
        <f t="shared" si="160"/>
        <v/>
      </c>
      <c r="FZ488" s="356" t="str">
        <f t="shared" si="161"/>
        <v/>
      </c>
      <c r="GA488" s="356" t="str">
        <f t="shared" si="162"/>
        <v/>
      </c>
      <c r="GB488" s="356" t="str">
        <f t="shared" si="163"/>
        <v/>
      </c>
      <c r="GC488" s="356" t="str">
        <f t="shared" si="164"/>
        <v/>
      </c>
      <c r="GD488" s="356" t="str">
        <f t="shared" si="165"/>
        <v/>
      </c>
      <c r="GE488" s="356" t="str">
        <f t="shared" si="166"/>
        <v/>
      </c>
      <c r="GF488" s="356" t="str">
        <f t="shared" si="167"/>
        <v/>
      </c>
      <c r="GG488" s="356" t="str">
        <f t="shared" si="168"/>
        <v/>
      </c>
      <c r="GH488" s="356" t="str">
        <f t="shared" si="169"/>
        <v/>
      </c>
      <c r="GI488" s="356" t="str">
        <f t="shared" si="170"/>
        <v/>
      </c>
      <c r="GJ488" s="356" t="str">
        <f t="shared" si="171"/>
        <v/>
      </c>
      <c r="GK488" s="356" t="str">
        <f t="shared" si="172"/>
        <v/>
      </c>
      <c r="GL488" s="356" t="str">
        <f t="shared" si="173"/>
        <v/>
      </c>
      <c r="GM488" s="356" t="str">
        <f t="shared" si="174"/>
        <v/>
      </c>
      <c r="GN488" s="356" t="str">
        <f t="shared" si="175"/>
        <v/>
      </c>
      <c r="GO488" s="356" t="str">
        <f t="shared" si="176"/>
        <v/>
      </c>
      <c r="GP488" s="356" t="str">
        <f t="shared" si="177"/>
        <v/>
      </c>
      <c r="GQ488" s="356" t="str">
        <f t="shared" si="178"/>
        <v/>
      </c>
      <c r="GR488" s="356" t="str">
        <f t="shared" si="179"/>
        <v/>
      </c>
      <c r="GS488" s="356" t="str">
        <f t="shared" si="180"/>
        <v/>
      </c>
      <c r="GT488" s="356" t="str">
        <f t="shared" si="181"/>
        <v/>
      </c>
      <c r="GU488" s="356" t="str">
        <f t="shared" si="182"/>
        <v/>
      </c>
      <c r="GV488" s="356" t="str">
        <f t="shared" si="183"/>
        <v/>
      </c>
      <c r="GW488" s="356" t="str">
        <f t="shared" si="184"/>
        <v/>
      </c>
      <c r="GX488" s="356" t="str">
        <f t="shared" si="185"/>
        <v/>
      </c>
      <c r="GY488" s="356" t="str">
        <f t="shared" si="186"/>
        <v/>
      </c>
      <c r="GZ488" s="356" t="str">
        <f t="shared" si="187"/>
        <v/>
      </c>
      <c r="HA488" s="356" t="str">
        <f t="shared" si="188"/>
        <v/>
      </c>
      <c r="HB488" s="356" t="str">
        <f t="shared" si="189"/>
        <v/>
      </c>
      <c r="HC488" s="356" t="str">
        <f t="shared" si="190"/>
        <v/>
      </c>
      <c r="HD488" s="356" t="str">
        <f t="shared" si="191"/>
        <v/>
      </c>
      <c r="HE488" s="356" t="str">
        <f t="shared" si="192"/>
        <v/>
      </c>
      <c r="HF488" s="356" t="str">
        <f t="shared" si="193"/>
        <v/>
      </c>
      <c r="HG488" s="356" t="str">
        <f t="shared" si="194"/>
        <v/>
      </c>
      <c r="HH488" s="356" t="str">
        <f t="shared" si="195"/>
        <v/>
      </c>
      <c r="HI488" s="356" t="str">
        <f t="shared" si="196"/>
        <v/>
      </c>
      <c r="HJ488" s="356" t="str">
        <f t="shared" si="197"/>
        <v/>
      </c>
      <c r="HK488" s="356" t="str">
        <f t="shared" si="198"/>
        <v/>
      </c>
      <c r="HL488" s="356" t="str">
        <f t="shared" si="199"/>
        <v/>
      </c>
      <c r="HM488" s="356" t="str">
        <f t="shared" si="200"/>
        <v/>
      </c>
      <c r="HN488" s="356" t="str">
        <f t="shared" si="201"/>
        <v/>
      </c>
      <c r="HO488" s="356" t="str">
        <f t="shared" si="202"/>
        <v/>
      </c>
      <c r="HP488" s="356" t="str">
        <f t="shared" si="203"/>
        <v/>
      </c>
      <c r="HQ488" s="356" t="str">
        <f t="shared" si="204"/>
        <v/>
      </c>
      <c r="HR488" s="356" t="str">
        <f t="shared" si="205"/>
        <v/>
      </c>
      <c r="HS488" s="356" t="str">
        <f t="shared" si="206"/>
        <v/>
      </c>
      <c r="HT488" s="356" t="str">
        <f t="shared" si="207"/>
        <v/>
      </c>
      <c r="HU488" s="356" t="str">
        <f t="shared" si="208"/>
        <v/>
      </c>
      <c r="HV488" s="356" t="str">
        <f t="shared" si="209"/>
        <v/>
      </c>
      <c r="HW488" s="356" t="str">
        <f t="shared" si="210"/>
        <v/>
      </c>
      <c r="HX488" s="356" t="str">
        <f t="shared" si="211"/>
        <v/>
      </c>
      <c r="HY488" s="356" t="str">
        <f t="shared" si="212"/>
        <v/>
      </c>
      <c r="HZ488" s="356" t="str">
        <f t="shared" si="213"/>
        <v/>
      </c>
      <c r="IA488" s="356" t="str">
        <f t="shared" si="214"/>
        <v/>
      </c>
      <c r="IB488" s="356" t="str">
        <f t="shared" si="215"/>
        <v/>
      </c>
      <c r="IC488" s="356" t="str">
        <f t="shared" si="216"/>
        <v/>
      </c>
      <c r="ID488" s="356" t="str">
        <f t="shared" si="217"/>
        <v/>
      </c>
      <c r="IE488" s="356" t="str">
        <f t="shared" si="218"/>
        <v/>
      </c>
      <c r="IF488" s="356" t="str">
        <f t="shared" si="219"/>
        <v/>
      </c>
      <c r="IG488" s="356" t="str">
        <f t="shared" si="220"/>
        <v/>
      </c>
      <c r="IH488" s="356" t="str">
        <f t="shared" si="221"/>
        <v/>
      </c>
      <c r="II488" s="356" t="str">
        <f t="shared" si="222"/>
        <v/>
      </c>
      <c r="IJ488" s="356" t="str">
        <f t="shared" si="223"/>
        <v/>
      </c>
      <c r="IK488" s="356" t="str">
        <f t="shared" si="224"/>
        <v/>
      </c>
      <c r="IL488" s="356" t="str">
        <f t="shared" si="225"/>
        <v/>
      </c>
      <c r="IM488" s="356" t="str">
        <f t="shared" si="226"/>
        <v/>
      </c>
      <c r="IN488" s="356" t="str">
        <f t="shared" si="227"/>
        <v/>
      </c>
      <c r="IO488" s="356" t="str">
        <f t="shared" si="228"/>
        <v/>
      </c>
      <c r="IP488" s="356" t="str">
        <f t="shared" si="229"/>
        <v/>
      </c>
      <c r="IQ488" s="356" t="str">
        <f t="shared" si="230"/>
        <v/>
      </c>
      <c r="IR488" s="356" t="str">
        <f t="shared" si="231"/>
        <v/>
      </c>
      <c r="IS488" s="356" t="str">
        <f t="shared" si="232"/>
        <v/>
      </c>
      <c r="IT488" s="356" t="str">
        <f t="shared" si="233"/>
        <v/>
      </c>
      <c r="IU488" s="356" t="str">
        <f t="shared" si="234"/>
        <v/>
      </c>
      <c r="IV488" s="356" t="str">
        <f t="shared" si="235"/>
        <v/>
      </c>
      <c r="IW488" s="356" t="str">
        <f t="shared" si="236"/>
        <v/>
      </c>
      <c r="IX488" s="356" t="str">
        <f t="shared" si="237"/>
        <v/>
      </c>
      <c r="IY488" s="356" t="str">
        <f t="shared" si="238"/>
        <v/>
      </c>
      <c r="IZ488" s="356" t="str">
        <f t="shared" si="239"/>
        <v/>
      </c>
      <c r="JA488" s="356" t="str">
        <f t="shared" si="240"/>
        <v/>
      </c>
      <c r="JB488" s="356" t="str">
        <f t="shared" si="241"/>
        <v/>
      </c>
      <c r="JC488" s="356" t="str">
        <f t="shared" si="242"/>
        <v/>
      </c>
      <c r="JD488" s="356" t="str">
        <f t="shared" si="243"/>
        <v/>
      </c>
      <c r="JE488" s="356" t="str">
        <f t="shared" si="244"/>
        <v/>
      </c>
      <c r="JF488" s="356" t="str">
        <f t="shared" si="245"/>
        <v/>
      </c>
      <c r="JG488" s="356" t="str">
        <f t="shared" si="246"/>
        <v/>
      </c>
      <c r="JH488" s="356" t="str">
        <f t="shared" si="247"/>
        <v/>
      </c>
      <c r="JI488" s="1785" t="str">
        <f t="shared" si="248"/>
        <v/>
      </c>
      <c r="JJ488" s="1785" t="str">
        <f t="shared" si="249"/>
        <v/>
      </c>
      <c r="JK488" s="1785" t="str">
        <f t="shared" si="250"/>
        <v/>
      </c>
      <c r="JL488" s="1785" t="str">
        <f t="shared" si="251"/>
        <v/>
      </c>
      <c r="JM488" s="1785" t="str">
        <f t="shared" si="252"/>
        <v/>
      </c>
      <c r="JN488" s="1785" t="str">
        <f t="shared" si="253"/>
        <v/>
      </c>
      <c r="JO488" s="1785" t="str">
        <f t="shared" si="254"/>
        <v/>
      </c>
      <c r="JP488" s="1785" t="str">
        <f t="shared" si="255"/>
        <v/>
      </c>
      <c r="JQ488" s="1785" t="str">
        <f t="shared" si="256"/>
        <v/>
      </c>
      <c r="JR488" s="1785" t="str">
        <f t="shared" si="257"/>
        <v/>
      </c>
      <c r="JS488" s="1785" t="str">
        <f t="shared" si="258"/>
        <v/>
      </c>
      <c r="JT488" s="1785" t="str">
        <f t="shared" si="259"/>
        <v/>
      </c>
      <c r="JU488" s="1785" t="str">
        <f t="shared" si="260"/>
        <v/>
      </c>
      <c r="JV488" s="1785" t="str">
        <f t="shared" si="261"/>
        <v/>
      </c>
      <c r="JW488" s="1785" t="str">
        <f t="shared" si="262"/>
        <v/>
      </c>
      <c r="JX488" s="1785" t="str">
        <f t="shared" si="263"/>
        <v/>
      </c>
      <c r="JY488" s="1785" t="str">
        <f t="shared" si="264"/>
        <v/>
      </c>
      <c r="JZ488" s="1785" t="str">
        <f t="shared" si="265"/>
        <v/>
      </c>
      <c r="KA488" s="1785" t="str">
        <f t="shared" si="266"/>
        <v/>
      </c>
      <c r="KB488" s="1785" t="str">
        <f t="shared" si="267"/>
        <v/>
      </c>
      <c r="KC488" s="1785" t="str">
        <f t="shared" si="268"/>
        <v/>
      </c>
      <c r="KD488" s="1785" t="str">
        <f t="shared" si="269"/>
        <v/>
      </c>
      <c r="KE488" s="1785" t="str">
        <f t="shared" si="270"/>
        <v/>
      </c>
      <c r="KF488" s="1785" t="str">
        <f t="shared" si="271"/>
        <v/>
      </c>
      <c r="KG488" s="1785" t="str">
        <f t="shared" si="272"/>
        <v/>
      </c>
      <c r="KH488" s="1785" t="str">
        <f t="shared" si="273"/>
        <v/>
      </c>
      <c r="KI488" s="1785" t="str">
        <f t="shared" si="274"/>
        <v/>
      </c>
      <c r="KJ488" s="1785" t="str">
        <f t="shared" si="275"/>
        <v/>
      </c>
      <c r="KK488" s="1785" t="str">
        <f t="shared" si="276"/>
        <v/>
      </c>
      <c r="KL488" s="1785" t="str">
        <f t="shared" si="277"/>
        <v/>
      </c>
      <c r="KM488" s="1785" t="str">
        <f t="shared" si="278"/>
        <v/>
      </c>
      <c r="KN488" s="1785" t="str">
        <f t="shared" si="279"/>
        <v/>
      </c>
      <c r="KO488" s="1785" t="str">
        <f t="shared" si="280"/>
        <v/>
      </c>
      <c r="KP488" s="1785" t="str">
        <f t="shared" si="281"/>
        <v/>
      </c>
      <c r="KQ488" s="1785" t="str">
        <f t="shared" si="282"/>
        <v/>
      </c>
      <c r="KR488" s="1785" t="str">
        <f t="shared" si="283"/>
        <v/>
      </c>
      <c r="KS488" s="1785" t="str">
        <f t="shared" si="284"/>
        <v/>
      </c>
      <c r="KT488" s="1785" t="str">
        <f t="shared" si="285"/>
        <v/>
      </c>
      <c r="KU488" s="1785" t="str">
        <f t="shared" si="286"/>
        <v/>
      </c>
      <c r="KV488" s="1785" t="str">
        <f t="shared" si="287"/>
        <v/>
      </c>
      <c r="KW488" s="1785" t="str">
        <f t="shared" si="288"/>
        <v/>
      </c>
      <c r="KX488" s="1785" t="str">
        <f t="shared" si="289"/>
        <v/>
      </c>
      <c r="KY488" s="1785" t="str">
        <f t="shared" si="290"/>
        <v/>
      </c>
      <c r="KZ488" s="1785" t="str">
        <f t="shared" si="291"/>
        <v/>
      </c>
      <c r="LA488" s="1785" t="str">
        <f t="shared" si="292"/>
        <v/>
      </c>
      <c r="LB488" s="1785" t="str">
        <f t="shared" si="293"/>
        <v/>
      </c>
      <c r="LC488" s="1785" t="str">
        <f t="shared" si="294"/>
        <v/>
      </c>
      <c r="LD488" s="1785" t="str">
        <f t="shared" si="295"/>
        <v/>
      </c>
      <c r="LE488" s="1785" t="str">
        <f t="shared" si="296"/>
        <v/>
      </c>
      <c r="LF488" s="1785" t="str">
        <f t="shared" si="297"/>
        <v/>
      </c>
      <c r="LG488" s="1785" t="str">
        <f t="shared" si="298"/>
        <v/>
      </c>
      <c r="LH488" s="1785" t="str">
        <f t="shared" si="299"/>
        <v/>
      </c>
      <c r="LI488" s="1785" t="str">
        <f t="shared" si="300"/>
        <v/>
      </c>
      <c r="LJ488" s="1785" t="str">
        <f t="shared" si="301"/>
        <v/>
      </c>
      <c r="LK488" s="1785" t="str">
        <f t="shared" si="302"/>
        <v/>
      </c>
      <c r="LL488" s="1785" t="str">
        <f t="shared" si="303"/>
        <v/>
      </c>
      <c r="LM488" s="1785" t="str">
        <f t="shared" si="304"/>
        <v/>
      </c>
      <c r="LN488" s="1785" t="str">
        <f t="shared" si="305"/>
        <v/>
      </c>
      <c r="LO488" s="1785" t="str">
        <f t="shared" si="306"/>
        <v/>
      </c>
      <c r="LP488" s="1785" t="str">
        <f t="shared" si="307"/>
        <v/>
      </c>
      <c r="LQ488" s="1785" t="str">
        <f t="shared" si="308"/>
        <v/>
      </c>
      <c r="LR488" s="1785" t="str">
        <f t="shared" si="309"/>
        <v/>
      </c>
      <c r="LS488" s="1785" t="str">
        <f t="shared" si="310"/>
        <v/>
      </c>
      <c r="LT488" s="1785" t="str">
        <f t="shared" si="311"/>
        <v/>
      </c>
      <c r="LU488" s="1785" t="str">
        <f t="shared" si="312"/>
        <v/>
      </c>
      <c r="LV488" s="1785" t="str">
        <f t="shared" si="313"/>
        <v/>
      </c>
      <c r="LW488" s="1785" t="str">
        <f t="shared" si="314"/>
        <v/>
      </c>
      <c r="LX488" s="1785" t="str">
        <f t="shared" si="315"/>
        <v/>
      </c>
      <c r="LY488" s="1785" t="str">
        <f t="shared" si="316"/>
        <v/>
      </c>
      <c r="LZ488" s="1785" t="str">
        <f t="shared" si="317"/>
        <v/>
      </c>
      <c r="MA488" s="1785" t="str">
        <f t="shared" si="318"/>
        <v/>
      </c>
      <c r="MB488" s="1785" t="str">
        <f t="shared" si="319"/>
        <v/>
      </c>
      <c r="MC488" s="1785" t="str">
        <f t="shared" si="320"/>
        <v/>
      </c>
      <c r="MD488" s="1785" t="str">
        <f t="shared" si="321"/>
        <v/>
      </c>
      <c r="ME488" s="1785" t="str">
        <f t="shared" si="322"/>
        <v/>
      </c>
      <c r="MF488" s="1785" t="str">
        <f t="shared" si="323"/>
        <v/>
      </c>
      <c r="MG488" s="1785" t="str">
        <f t="shared" si="324"/>
        <v/>
      </c>
      <c r="MH488" s="1785" t="str">
        <f t="shared" si="325"/>
        <v/>
      </c>
      <c r="MI488" s="1785" t="str">
        <f t="shared" si="326"/>
        <v/>
      </c>
      <c r="MJ488" s="1785" t="str">
        <f t="shared" si="327"/>
        <v/>
      </c>
      <c r="MK488" s="1785" t="str">
        <f t="shared" si="328"/>
        <v/>
      </c>
      <c r="ML488" s="1785" t="str">
        <f t="shared" si="329"/>
        <v/>
      </c>
      <c r="MM488" s="1785" t="str">
        <f t="shared" si="330"/>
        <v/>
      </c>
      <c r="MN488" s="1785" t="str">
        <f t="shared" si="331"/>
        <v/>
      </c>
      <c r="MO488" s="1785" t="str">
        <f t="shared" si="332"/>
        <v/>
      </c>
      <c r="MP488" s="2470" t="str">
        <f t="shared" si="333"/>
        <v/>
      </c>
      <c r="MQ488" s="2470" t="str">
        <f t="shared" si="334"/>
        <v/>
      </c>
      <c r="MR488" s="2470" t="str">
        <f t="shared" si="335"/>
        <v/>
      </c>
      <c r="MS488" s="2470" t="str">
        <f t="shared" si="336"/>
        <v/>
      </c>
      <c r="MT488" s="2470" t="str">
        <f t="shared" si="337"/>
        <v/>
      </c>
      <c r="MU488" s="356" t="str">
        <f t="shared" si="338"/>
        <v/>
      </c>
      <c r="MV488" s="356" t="str">
        <f t="shared" si="339"/>
        <v/>
      </c>
      <c r="MW488" s="356" t="str">
        <f t="shared" si="340"/>
        <v/>
      </c>
      <c r="MX488" s="356" t="str">
        <f t="shared" si="341"/>
        <v/>
      </c>
      <c r="MY488" s="356" t="str">
        <f t="shared" si="342"/>
        <v/>
      </c>
      <c r="MZ488" s="356" t="str">
        <f t="shared" si="343"/>
        <v/>
      </c>
      <c r="NA488" s="356" t="str">
        <f t="shared" si="344"/>
        <v/>
      </c>
      <c r="NB488" s="356" t="str">
        <f t="shared" si="345"/>
        <v/>
      </c>
      <c r="NC488" s="356" t="str">
        <f t="shared" si="346"/>
        <v/>
      </c>
      <c r="ND488" s="356" t="str">
        <f t="shared" si="347"/>
        <v/>
      </c>
      <c r="NE488" s="356" t="str">
        <f t="shared" si="348"/>
        <v/>
      </c>
      <c r="NF488" s="356" t="str">
        <f t="shared" si="349"/>
        <v/>
      </c>
      <c r="NG488" s="356" t="str">
        <f t="shared" si="350"/>
        <v/>
      </c>
      <c r="NH488" s="356" t="str">
        <f t="shared" si="351"/>
        <v/>
      </c>
      <c r="NI488" s="356" t="str">
        <f t="shared" si="352"/>
        <v/>
      </c>
      <c r="NJ488" s="356" t="str">
        <f t="shared" si="353"/>
        <v/>
      </c>
      <c r="NK488" s="356" t="str">
        <f t="shared" si="354"/>
        <v/>
      </c>
      <c r="NL488" s="356" t="str">
        <f t="shared" si="355"/>
        <v/>
      </c>
      <c r="NM488" s="356" t="str">
        <f t="shared" si="356"/>
        <v/>
      </c>
      <c r="NN488" s="356" t="str">
        <f t="shared" si="357"/>
        <v/>
      </c>
      <c r="NO488" s="1640">
        <f t="shared" si="358"/>
        <v>0</v>
      </c>
      <c r="NP488" s="1640">
        <f t="shared" si="359"/>
        <v>0</v>
      </c>
      <c r="NQ488" s="1640">
        <f t="shared" si="360"/>
        <v>0</v>
      </c>
      <c r="NR488" s="1640">
        <f t="shared" si="361"/>
        <v>0</v>
      </c>
      <c r="NS488" s="1640">
        <f t="shared" si="362"/>
        <v>0</v>
      </c>
      <c r="NT488" s="1640">
        <f t="shared" si="368"/>
        <v>0</v>
      </c>
      <c r="NU488" s="1640">
        <f t="shared" si="369"/>
        <v>0</v>
      </c>
      <c r="NV488" s="1640">
        <f t="shared" si="370"/>
        <v>0</v>
      </c>
      <c r="NW488" s="1640">
        <f t="shared" si="371"/>
        <v>0</v>
      </c>
      <c r="NX488" s="1640">
        <f t="shared" si="372"/>
        <v>0</v>
      </c>
      <c r="NY488" s="1640">
        <f t="shared" si="363"/>
        <v>0</v>
      </c>
      <c r="NZ488" s="1640">
        <f t="shared" si="364"/>
        <v>0</v>
      </c>
      <c r="OA488" s="1640">
        <f t="shared" si="365"/>
        <v>0</v>
      </c>
      <c r="OB488" s="1640">
        <f t="shared" si="366"/>
        <v>0</v>
      </c>
      <c r="OC488" s="1640">
        <f t="shared" si="367"/>
        <v>0</v>
      </c>
      <c r="OY488" s="356" t="s">
        <v>4321</v>
      </c>
      <c r="OZ488" s="1784">
        <v>35</v>
      </c>
    </row>
    <row r="489" spans="1:416" ht="12" customHeight="1">
      <c r="A489" s="2706" t="str">
        <f t="shared" si="0"/>
        <v/>
      </c>
      <c r="B489" s="2725">
        <f>'Part V-Revenues &amp; Expenses'!B36</f>
        <v>0</v>
      </c>
      <c r="C489" s="2726">
        <f>'Part V-Revenues &amp; Expenses'!C36</f>
        <v>0</v>
      </c>
      <c r="D489" s="2727">
        <f>'Part V-Revenues &amp; Expenses'!D36</f>
        <v>0</v>
      </c>
      <c r="E489" s="2728">
        <f>'Part V-Revenues &amp; Expenses'!E36</f>
        <v>0</v>
      </c>
      <c r="F489" s="2728">
        <f>'Part V-Revenues &amp; Expenses'!F36</f>
        <v>0</v>
      </c>
      <c r="G489" s="2728">
        <f>'Part V-Revenues &amp; Expenses'!G36</f>
        <v>0</v>
      </c>
      <c r="H489" s="2728">
        <f>'Part V-Revenues &amp; Expenses'!H36</f>
        <v>0</v>
      </c>
      <c r="I489" s="2728">
        <f>'Part V-Revenues &amp; Expenses'!I36</f>
        <v>0</v>
      </c>
      <c r="J489" s="2728">
        <f>'Part V-Revenues &amp; Expenses'!J36</f>
        <v>0</v>
      </c>
      <c r="K489" s="2729">
        <f>'Part V-Revenues &amp; Expenses'!K36</f>
        <v>0</v>
      </c>
      <c r="L489" s="2730">
        <f t="shared" si="1"/>
        <v>0</v>
      </c>
      <c r="M489" s="2730">
        <f t="shared" si="2"/>
        <v>0</v>
      </c>
      <c r="N489" s="2580">
        <f>'Part V-Revenues &amp; Expenses'!N36</f>
        <v>0</v>
      </c>
      <c r="O489" s="1248">
        <f>'Part V-Revenues &amp; Expenses'!O36</f>
        <v>0</v>
      </c>
      <c r="P489" s="2580">
        <f>'Part V-Revenues &amp; Expenses'!P36</f>
        <v>0</v>
      </c>
      <c r="Q489" s="2469">
        <f>'Part V-Revenues &amp; Expenses'!Q36</f>
        <v>0</v>
      </c>
      <c r="R489" s="2731"/>
      <c r="S489" s="2732"/>
      <c r="T489" s="2647"/>
      <c r="U489" s="2647"/>
      <c r="V489" s="2647"/>
      <c r="W489" s="2647"/>
      <c r="X489" s="356" t="str">
        <f t="shared" si="3"/>
        <v/>
      </c>
      <c r="Y489" s="356" t="str">
        <f t="shared" si="4"/>
        <v/>
      </c>
      <c r="Z489" s="356" t="str">
        <f t="shared" si="5"/>
        <v/>
      </c>
      <c r="AA489" s="356" t="str">
        <f t="shared" si="6"/>
        <v/>
      </c>
      <c r="AB489" s="356" t="str">
        <f t="shared" si="7"/>
        <v/>
      </c>
      <c r="AC489" s="356" t="str">
        <f t="shared" si="8"/>
        <v/>
      </c>
      <c r="AD489" s="356" t="str">
        <f t="shared" si="9"/>
        <v/>
      </c>
      <c r="AE489" s="356" t="str">
        <f t="shared" si="10"/>
        <v/>
      </c>
      <c r="AF489" s="356" t="str">
        <f t="shared" si="11"/>
        <v/>
      </c>
      <c r="AG489" s="356" t="str">
        <f t="shared" si="12"/>
        <v/>
      </c>
      <c r="AH489" s="356" t="str">
        <f t="shared" si="13"/>
        <v/>
      </c>
      <c r="AI489" s="356" t="str">
        <f t="shared" si="14"/>
        <v/>
      </c>
      <c r="AJ489" s="356" t="str">
        <f t="shared" si="15"/>
        <v/>
      </c>
      <c r="AK489" s="356" t="str">
        <f t="shared" si="16"/>
        <v/>
      </c>
      <c r="AL489" s="356" t="str">
        <f t="shared" si="17"/>
        <v/>
      </c>
      <c r="AM489" s="356" t="str">
        <f t="shared" si="18"/>
        <v/>
      </c>
      <c r="AN489" s="356" t="str">
        <f t="shared" si="19"/>
        <v/>
      </c>
      <c r="AO489" s="356" t="str">
        <f t="shared" si="20"/>
        <v/>
      </c>
      <c r="AP489" s="356" t="str">
        <f t="shared" si="21"/>
        <v/>
      </c>
      <c r="AQ489" s="356" t="str">
        <f t="shared" si="22"/>
        <v/>
      </c>
      <c r="AR489" s="356" t="str">
        <f t="shared" si="23"/>
        <v/>
      </c>
      <c r="AS489" s="356" t="str">
        <f t="shared" si="24"/>
        <v/>
      </c>
      <c r="AT489" s="356" t="str">
        <f t="shared" si="25"/>
        <v/>
      </c>
      <c r="AU489" s="356" t="str">
        <f t="shared" si="26"/>
        <v/>
      </c>
      <c r="AV489" s="356" t="str">
        <f t="shared" si="27"/>
        <v/>
      </c>
      <c r="AW489" s="356" t="str">
        <f t="shared" si="28"/>
        <v/>
      </c>
      <c r="AX489" s="356" t="str">
        <f t="shared" si="29"/>
        <v/>
      </c>
      <c r="AY489" s="356" t="str">
        <f t="shared" si="30"/>
        <v/>
      </c>
      <c r="AZ489" s="356" t="str">
        <f t="shared" si="31"/>
        <v/>
      </c>
      <c r="BA489" s="356" t="str">
        <f t="shared" si="32"/>
        <v/>
      </c>
      <c r="BB489" s="356" t="str">
        <f t="shared" si="33"/>
        <v/>
      </c>
      <c r="BC489" s="356" t="str">
        <f t="shared" si="34"/>
        <v/>
      </c>
      <c r="BD489" s="356" t="str">
        <f t="shared" si="35"/>
        <v/>
      </c>
      <c r="BE489" s="356" t="str">
        <f t="shared" si="36"/>
        <v/>
      </c>
      <c r="BF489" s="356" t="str">
        <f t="shared" si="37"/>
        <v/>
      </c>
      <c r="BG489" s="356" t="str">
        <f t="shared" si="38"/>
        <v/>
      </c>
      <c r="BH489" s="356" t="str">
        <f t="shared" si="39"/>
        <v/>
      </c>
      <c r="BI489" s="356" t="str">
        <f t="shared" si="40"/>
        <v/>
      </c>
      <c r="BJ489" s="356" t="str">
        <f t="shared" si="41"/>
        <v/>
      </c>
      <c r="BK489" s="356" t="str">
        <f t="shared" si="42"/>
        <v/>
      </c>
      <c r="BL489" s="356" t="str">
        <f t="shared" si="43"/>
        <v/>
      </c>
      <c r="BM489" s="356" t="str">
        <f t="shared" si="44"/>
        <v/>
      </c>
      <c r="BN489" s="356" t="str">
        <f t="shared" si="45"/>
        <v/>
      </c>
      <c r="BO489" s="356" t="str">
        <f t="shared" si="46"/>
        <v/>
      </c>
      <c r="BP489" s="356" t="str">
        <f t="shared" si="47"/>
        <v/>
      </c>
      <c r="BQ489" s="356" t="str">
        <f t="shared" si="48"/>
        <v/>
      </c>
      <c r="BR489" s="356" t="str">
        <f t="shared" si="49"/>
        <v/>
      </c>
      <c r="BS489" s="356" t="str">
        <f t="shared" si="50"/>
        <v/>
      </c>
      <c r="BT489" s="356" t="str">
        <f t="shared" si="51"/>
        <v/>
      </c>
      <c r="BU489" s="356" t="str">
        <f t="shared" si="52"/>
        <v/>
      </c>
      <c r="BV489" s="356" t="str">
        <f t="shared" si="53"/>
        <v/>
      </c>
      <c r="BW489" s="356" t="str">
        <f t="shared" si="54"/>
        <v/>
      </c>
      <c r="BX489" s="356" t="str">
        <f t="shared" si="55"/>
        <v/>
      </c>
      <c r="BY489" s="356" t="str">
        <f t="shared" si="56"/>
        <v/>
      </c>
      <c r="BZ489" s="356" t="str">
        <f t="shared" si="57"/>
        <v/>
      </c>
      <c r="CA489" s="356" t="str">
        <f t="shared" si="58"/>
        <v/>
      </c>
      <c r="CB489" s="356" t="str">
        <f t="shared" si="59"/>
        <v/>
      </c>
      <c r="CC489" s="356" t="str">
        <f t="shared" si="60"/>
        <v/>
      </c>
      <c r="CD489" s="356" t="str">
        <f t="shared" si="61"/>
        <v/>
      </c>
      <c r="CE489" s="356" t="str">
        <f t="shared" si="62"/>
        <v/>
      </c>
      <c r="CF489" s="356" t="str">
        <f t="shared" si="63"/>
        <v/>
      </c>
      <c r="CG489" s="356" t="str">
        <f t="shared" si="64"/>
        <v/>
      </c>
      <c r="CH489" s="356" t="str">
        <f t="shared" si="65"/>
        <v/>
      </c>
      <c r="CI489" s="356" t="str">
        <f t="shared" si="66"/>
        <v/>
      </c>
      <c r="CJ489" s="356" t="str">
        <f t="shared" si="67"/>
        <v/>
      </c>
      <c r="CK489" s="356" t="str">
        <f t="shared" si="68"/>
        <v/>
      </c>
      <c r="CL489" s="356" t="str">
        <f t="shared" si="69"/>
        <v/>
      </c>
      <c r="CM489" s="356" t="str">
        <f t="shared" si="70"/>
        <v/>
      </c>
      <c r="CN489" s="356" t="str">
        <f t="shared" si="71"/>
        <v/>
      </c>
      <c r="CO489" s="356" t="str">
        <f t="shared" si="72"/>
        <v/>
      </c>
      <c r="CP489" s="356" t="str">
        <f t="shared" si="73"/>
        <v/>
      </c>
      <c r="CQ489" s="356" t="str">
        <f t="shared" si="74"/>
        <v/>
      </c>
      <c r="CR489" s="356" t="str">
        <f t="shared" si="75"/>
        <v/>
      </c>
      <c r="CS489" s="356" t="str">
        <f t="shared" si="76"/>
        <v/>
      </c>
      <c r="CT489" s="356" t="str">
        <f t="shared" si="77"/>
        <v/>
      </c>
      <c r="CU489" s="356" t="str">
        <f t="shared" si="78"/>
        <v/>
      </c>
      <c r="CV489" s="356" t="str">
        <f t="shared" si="79"/>
        <v/>
      </c>
      <c r="CW489" s="356" t="str">
        <f t="shared" si="80"/>
        <v/>
      </c>
      <c r="CX489" s="356" t="str">
        <f t="shared" si="81"/>
        <v/>
      </c>
      <c r="CY489" s="356" t="str">
        <f t="shared" si="82"/>
        <v/>
      </c>
      <c r="CZ489" s="356" t="str">
        <f t="shared" si="83"/>
        <v/>
      </c>
      <c r="DA489" s="356" t="str">
        <f t="shared" si="84"/>
        <v/>
      </c>
      <c r="DB489" s="356" t="str">
        <f t="shared" si="85"/>
        <v/>
      </c>
      <c r="DC489" s="356" t="str">
        <f t="shared" si="86"/>
        <v/>
      </c>
      <c r="DD489" s="356" t="str">
        <f t="shared" si="87"/>
        <v/>
      </c>
      <c r="DE489" s="356" t="str">
        <f t="shared" si="88"/>
        <v/>
      </c>
      <c r="DF489" s="356" t="str">
        <f t="shared" si="89"/>
        <v/>
      </c>
      <c r="DG489" s="356" t="str">
        <f t="shared" si="90"/>
        <v/>
      </c>
      <c r="DH489" s="356" t="str">
        <f t="shared" si="91"/>
        <v/>
      </c>
      <c r="DI489" s="356" t="str">
        <f t="shared" si="92"/>
        <v/>
      </c>
      <c r="DJ489" s="356" t="str">
        <f t="shared" si="93"/>
        <v/>
      </c>
      <c r="DK489" s="356" t="str">
        <f t="shared" si="94"/>
        <v/>
      </c>
      <c r="DL489" s="356" t="str">
        <f t="shared" si="95"/>
        <v/>
      </c>
      <c r="DM489" s="356" t="str">
        <f t="shared" si="96"/>
        <v/>
      </c>
      <c r="DN489" s="356" t="str">
        <f t="shared" si="97"/>
        <v/>
      </c>
      <c r="DO489" s="356" t="str">
        <f t="shared" si="98"/>
        <v/>
      </c>
      <c r="DP489" s="356" t="str">
        <f t="shared" si="99"/>
        <v/>
      </c>
      <c r="DQ489" s="356" t="str">
        <f t="shared" si="100"/>
        <v/>
      </c>
      <c r="DR489" s="356" t="str">
        <f t="shared" si="101"/>
        <v/>
      </c>
      <c r="DS489" s="356" t="str">
        <f t="shared" si="102"/>
        <v/>
      </c>
      <c r="DT489" s="356" t="str">
        <f t="shared" si="103"/>
        <v/>
      </c>
      <c r="DU489" s="356" t="str">
        <f t="shared" si="104"/>
        <v/>
      </c>
      <c r="DV489" s="356" t="str">
        <f t="shared" si="105"/>
        <v/>
      </c>
      <c r="DW489" s="356" t="str">
        <f t="shared" si="106"/>
        <v/>
      </c>
      <c r="DX489" s="356" t="str">
        <f t="shared" si="107"/>
        <v/>
      </c>
      <c r="DY489" s="356" t="str">
        <f t="shared" si="108"/>
        <v/>
      </c>
      <c r="DZ489" s="356" t="str">
        <f t="shared" si="109"/>
        <v/>
      </c>
      <c r="EA489" s="356" t="str">
        <f t="shared" si="110"/>
        <v/>
      </c>
      <c r="EB489" s="356" t="str">
        <f t="shared" si="111"/>
        <v/>
      </c>
      <c r="EC489" s="356" t="str">
        <f t="shared" si="112"/>
        <v/>
      </c>
      <c r="ED489" s="356" t="str">
        <f t="shared" si="113"/>
        <v/>
      </c>
      <c r="EE489" s="356" t="str">
        <f t="shared" si="114"/>
        <v/>
      </c>
      <c r="EF489" s="356" t="str">
        <f t="shared" si="115"/>
        <v/>
      </c>
      <c r="EG489" s="356" t="str">
        <f t="shared" si="116"/>
        <v/>
      </c>
      <c r="EH489" s="356" t="str">
        <f t="shared" si="117"/>
        <v/>
      </c>
      <c r="EI489" s="356" t="str">
        <f t="shared" si="118"/>
        <v/>
      </c>
      <c r="EJ489" s="356" t="str">
        <f t="shared" si="119"/>
        <v/>
      </c>
      <c r="EK489" s="356" t="str">
        <f t="shared" si="120"/>
        <v/>
      </c>
      <c r="EL489" s="356" t="str">
        <f t="shared" si="121"/>
        <v/>
      </c>
      <c r="EM489" s="356" t="str">
        <f t="shared" si="122"/>
        <v/>
      </c>
      <c r="EN489" s="356" t="str">
        <f t="shared" si="123"/>
        <v/>
      </c>
      <c r="EO489" s="356" t="str">
        <f t="shared" si="124"/>
        <v/>
      </c>
      <c r="EP489" s="356" t="str">
        <f t="shared" si="125"/>
        <v/>
      </c>
      <c r="EQ489" s="356" t="str">
        <f t="shared" si="126"/>
        <v/>
      </c>
      <c r="ER489" s="356" t="str">
        <f t="shared" si="127"/>
        <v/>
      </c>
      <c r="ES489" s="356" t="str">
        <f t="shared" si="128"/>
        <v/>
      </c>
      <c r="ET489" s="356" t="str">
        <f t="shared" si="129"/>
        <v/>
      </c>
      <c r="EU489" s="356" t="str">
        <f t="shared" si="130"/>
        <v/>
      </c>
      <c r="EV489" s="356" t="str">
        <f t="shared" si="131"/>
        <v/>
      </c>
      <c r="EW489" s="356" t="str">
        <f t="shared" si="132"/>
        <v/>
      </c>
      <c r="EX489" s="356" t="str">
        <f t="shared" si="133"/>
        <v/>
      </c>
      <c r="EY489" s="356" t="str">
        <f t="shared" si="134"/>
        <v/>
      </c>
      <c r="EZ489" s="356" t="str">
        <f t="shared" si="135"/>
        <v/>
      </c>
      <c r="FA489" s="356" t="str">
        <f t="shared" si="136"/>
        <v/>
      </c>
      <c r="FB489" s="356" t="str">
        <f t="shared" si="137"/>
        <v/>
      </c>
      <c r="FC489" s="356" t="str">
        <f t="shared" si="138"/>
        <v/>
      </c>
      <c r="FD489" s="356" t="str">
        <f t="shared" si="139"/>
        <v/>
      </c>
      <c r="FE489" s="356" t="str">
        <f t="shared" si="140"/>
        <v/>
      </c>
      <c r="FF489" s="356" t="str">
        <f t="shared" si="141"/>
        <v/>
      </c>
      <c r="FG489" s="356" t="str">
        <f t="shared" si="142"/>
        <v/>
      </c>
      <c r="FH489" s="356" t="str">
        <f t="shared" si="143"/>
        <v/>
      </c>
      <c r="FI489" s="356" t="str">
        <f t="shared" si="144"/>
        <v/>
      </c>
      <c r="FJ489" s="356" t="str">
        <f t="shared" si="145"/>
        <v/>
      </c>
      <c r="FK489" s="356" t="str">
        <f t="shared" si="146"/>
        <v/>
      </c>
      <c r="FL489" s="356" t="str">
        <f t="shared" si="147"/>
        <v/>
      </c>
      <c r="FM489" s="356" t="str">
        <f t="shared" si="148"/>
        <v/>
      </c>
      <c r="FN489" s="356" t="str">
        <f t="shared" si="149"/>
        <v/>
      </c>
      <c r="FO489" s="356" t="str">
        <f t="shared" si="150"/>
        <v/>
      </c>
      <c r="FP489" s="356" t="str">
        <f t="shared" si="151"/>
        <v/>
      </c>
      <c r="FQ489" s="356" t="str">
        <f t="shared" si="152"/>
        <v/>
      </c>
      <c r="FR489" s="356" t="str">
        <f t="shared" si="153"/>
        <v/>
      </c>
      <c r="FS489" s="356" t="str">
        <f t="shared" si="154"/>
        <v/>
      </c>
      <c r="FT489" s="356" t="str">
        <f t="shared" si="155"/>
        <v/>
      </c>
      <c r="FU489" s="356" t="str">
        <f t="shared" si="156"/>
        <v/>
      </c>
      <c r="FV489" s="356" t="str">
        <f t="shared" si="157"/>
        <v/>
      </c>
      <c r="FW489" s="356" t="str">
        <f t="shared" si="158"/>
        <v/>
      </c>
      <c r="FX489" s="356" t="str">
        <f t="shared" si="159"/>
        <v/>
      </c>
      <c r="FY489" s="356" t="str">
        <f t="shared" si="160"/>
        <v/>
      </c>
      <c r="FZ489" s="356" t="str">
        <f t="shared" si="161"/>
        <v/>
      </c>
      <c r="GA489" s="356" t="str">
        <f t="shared" si="162"/>
        <v/>
      </c>
      <c r="GB489" s="356" t="str">
        <f t="shared" si="163"/>
        <v/>
      </c>
      <c r="GC489" s="356" t="str">
        <f t="shared" si="164"/>
        <v/>
      </c>
      <c r="GD489" s="356" t="str">
        <f t="shared" si="165"/>
        <v/>
      </c>
      <c r="GE489" s="356" t="str">
        <f t="shared" si="166"/>
        <v/>
      </c>
      <c r="GF489" s="356" t="str">
        <f t="shared" si="167"/>
        <v/>
      </c>
      <c r="GG489" s="356" t="str">
        <f t="shared" si="168"/>
        <v/>
      </c>
      <c r="GH489" s="356" t="str">
        <f t="shared" si="169"/>
        <v/>
      </c>
      <c r="GI489" s="356" t="str">
        <f t="shared" si="170"/>
        <v/>
      </c>
      <c r="GJ489" s="356" t="str">
        <f t="shared" si="171"/>
        <v/>
      </c>
      <c r="GK489" s="356" t="str">
        <f t="shared" si="172"/>
        <v/>
      </c>
      <c r="GL489" s="356" t="str">
        <f t="shared" si="173"/>
        <v/>
      </c>
      <c r="GM489" s="356" t="str">
        <f t="shared" si="174"/>
        <v/>
      </c>
      <c r="GN489" s="356" t="str">
        <f t="shared" si="175"/>
        <v/>
      </c>
      <c r="GO489" s="356" t="str">
        <f t="shared" si="176"/>
        <v/>
      </c>
      <c r="GP489" s="356" t="str">
        <f t="shared" si="177"/>
        <v/>
      </c>
      <c r="GQ489" s="356" t="str">
        <f t="shared" si="178"/>
        <v/>
      </c>
      <c r="GR489" s="356" t="str">
        <f t="shared" si="179"/>
        <v/>
      </c>
      <c r="GS489" s="356" t="str">
        <f t="shared" si="180"/>
        <v/>
      </c>
      <c r="GT489" s="356" t="str">
        <f t="shared" si="181"/>
        <v/>
      </c>
      <c r="GU489" s="356" t="str">
        <f t="shared" si="182"/>
        <v/>
      </c>
      <c r="GV489" s="356" t="str">
        <f t="shared" si="183"/>
        <v/>
      </c>
      <c r="GW489" s="356" t="str">
        <f t="shared" si="184"/>
        <v/>
      </c>
      <c r="GX489" s="356" t="str">
        <f t="shared" si="185"/>
        <v/>
      </c>
      <c r="GY489" s="356" t="str">
        <f t="shared" si="186"/>
        <v/>
      </c>
      <c r="GZ489" s="356" t="str">
        <f t="shared" si="187"/>
        <v/>
      </c>
      <c r="HA489" s="356" t="str">
        <f t="shared" si="188"/>
        <v/>
      </c>
      <c r="HB489" s="356" t="str">
        <f t="shared" si="189"/>
        <v/>
      </c>
      <c r="HC489" s="356" t="str">
        <f t="shared" si="190"/>
        <v/>
      </c>
      <c r="HD489" s="356" t="str">
        <f t="shared" si="191"/>
        <v/>
      </c>
      <c r="HE489" s="356" t="str">
        <f t="shared" si="192"/>
        <v/>
      </c>
      <c r="HF489" s="356" t="str">
        <f t="shared" si="193"/>
        <v/>
      </c>
      <c r="HG489" s="356" t="str">
        <f t="shared" si="194"/>
        <v/>
      </c>
      <c r="HH489" s="356" t="str">
        <f t="shared" si="195"/>
        <v/>
      </c>
      <c r="HI489" s="356" t="str">
        <f t="shared" si="196"/>
        <v/>
      </c>
      <c r="HJ489" s="356" t="str">
        <f t="shared" si="197"/>
        <v/>
      </c>
      <c r="HK489" s="356" t="str">
        <f t="shared" si="198"/>
        <v/>
      </c>
      <c r="HL489" s="356" t="str">
        <f t="shared" si="199"/>
        <v/>
      </c>
      <c r="HM489" s="356" t="str">
        <f t="shared" si="200"/>
        <v/>
      </c>
      <c r="HN489" s="356" t="str">
        <f t="shared" si="201"/>
        <v/>
      </c>
      <c r="HO489" s="356" t="str">
        <f t="shared" si="202"/>
        <v/>
      </c>
      <c r="HP489" s="356" t="str">
        <f t="shared" si="203"/>
        <v/>
      </c>
      <c r="HQ489" s="356" t="str">
        <f t="shared" si="204"/>
        <v/>
      </c>
      <c r="HR489" s="356" t="str">
        <f t="shared" si="205"/>
        <v/>
      </c>
      <c r="HS489" s="356" t="str">
        <f t="shared" si="206"/>
        <v/>
      </c>
      <c r="HT489" s="356" t="str">
        <f t="shared" si="207"/>
        <v/>
      </c>
      <c r="HU489" s="356" t="str">
        <f t="shared" si="208"/>
        <v/>
      </c>
      <c r="HV489" s="356" t="str">
        <f t="shared" si="209"/>
        <v/>
      </c>
      <c r="HW489" s="356" t="str">
        <f t="shared" si="210"/>
        <v/>
      </c>
      <c r="HX489" s="356" t="str">
        <f t="shared" si="211"/>
        <v/>
      </c>
      <c r="HY489" s="356" t="str">
        <f t="shared" si="212"/>
        <v/>
      </c>
      <c r="HZ489" s="356" t="str">
        <f t="shared" si="213"/>
        <v/>
      </c>
      <c r="IA489" s="356" t="str">
        <f t="shared" si="214"/>
        <v/>
      </c>
      <c r="IB489" s="356" t="str">
        <f t="shared" si="215"/>
        <v/>
      </c>
      <c r="IC489" s="356" t="str">
        <f t="shared" si="216"/>
        <v/>
      </c>
      <c r="ID489" s="356" t="str">
        <f t="shared" si="217"/>
        <v/>
      </c>
      <c r="IE489" s="356" t="str">
        <f t="shared" si="218"/>
        <v/>
      </c>
      <c r="IF489" s="356" t="str">
        <f t="shared" si="219"/>
        <v/>
      </c>
      <c r="IG489" s="356" t="str">
        <f t="shared" si="220"/>
        <v/>
      </c>
      <c r="IH489" s="356" t="str">
        <f t="shared" si="221"/>
        <v/>
      </c>
      <c r="II489" s="356" t="str">
        <f t="shared" si="222"/>
        <v/>
      </c>
      <c r="IJ489" s="356" t="str">
        <f t="shared" si="223"/>
        <v/>
      </c>
      <c r="IK489" s="356" t="str">
        <f t="shared" si="224"/>
        <v/>
      </c>
      <c r="IL489" s="356" t="str">
        <f t="shared" si="225"/>
        <v/>
      </c>
      <c r="IM489" s="356" t="str">
        <f t="shared" si="226"/>
        <v/>
      </c>
      <c r="IN489" s="356" t="str">
        <f t="shared" si="227"/>
        <v/>
      </c>
      <c r="IO489" s="356" t="str">
        <f t="shared" si="228"/>
        <v/>
      </c>
      <c r="IP489" s="356" t="str">
        <f t="shared" si="229"/>
        <v/>
      </c>
      <c r="IQ489" s="356" t="str">
        <f t="shared" si="230"/>
        <v/>
      </c>
      <c r="IR489" s="356" t="str">
        <f t="shared" si="231"/>
        <v/>
      </c>
      <c r="IS489" s="356" t="str">
        <f t="shared" si="232"/>
        <v/>
      </c>
      <c r="IT489" s="356" t="str">
        <f t="shared" si="233"/>
        <v/>
      </c>
      <c r="IU489" s="356" t="str">
        <f t="shared" si="234"/>
        <v/>
      </c>
      <c r="IV489" s="356" t="str">
        <f t="shared" si="235"/>
        <v/>
      </c>
      <c r="IW489" s="356" t="str">
        <f t="shared" si="236"/>
        <v/>
      </c>
      <c r="IX489" s="356" t="str">
        <f t="shared" si="237"/>
        <v/>
      </c>
      <c r="IY489" s="356" t="str">
        <f t="shared" si="238"/>
        <v/>
      </c>
      <c r="IZ489" s="356" t="str">
        <f t="shared" si="239"/>
        <v/>
      </c>
      <c r="JA489" s="356" t="str">
        <f t="shared" si="240"/>
        <v/>
      </c>
      <c r="JB489" s="356" t="str">
        <f t="shared" si="241"/>
        <v/>
      </c>
      <c r="JC489" s="356" t="str">
        <f t="shared" si="242"/>
        <v/>
      </c>
      <c r="JD489" s="356" t="str">
        <f t="shared" si="243"/>
        <v/>
      </c>
      <c r="JE489" s="356" t="str">
        <f t="shared" si="244"/>
        <v/>
      </c>
      <c r="JF489" s="356" t="str">
        <f t="shared" si="245"/>
        <v/>
      </c>
      <c r="JG489" s="356" t="str">
        <f t="shared" si="246"/>
        <v/>
      </c>
      <c r="JH489" s="356" t="str">
        <f t="shared" si="247"/>
        <v/>
      </c>
      <c r="JI489" s="1785" t="str">
        <f t="shared" si="248"/>
        <v/>
      </c>
      <c r="JJ489" s="1785" t="str">
        <f t="shared" si="249"/>
        <v/>
      </c>
      <c r="JK489" s="1785" t="str">
        <f t="shared" si="250"/>
        <v/>
      </c>
      <c r="JL489" s="1785" t="str">
        <f t="shared" si="251"/>
        <v/>
      </c>
      <c r="JM489" s="1785" t="str">
        <f t="shared" si="252"/>
        <v/>
      </c>
      <c r="JN489" s="1785" t="str">
        <f t="shared" si="253"/>
        <v/>
      </c>
      <c r="JO489" s="1785" t="str">
        <f t="shared" si="254"/>
        <v/>
      </c>
      <c r="JP489" s="1785" t="str">
        <f t="shared" si="255"/>
        <v/>
      </c>
      <c r="JQ489" s="1785" t="str">
        <f t="shared" si="256"/>
        <v/>
      </c>
      <c r="JR489" s="1785" t="str">
        <f t="shared" si="257"/>
        <v/>
      </c>
      <c r="JS489" s="1785" t="str">
        <f t="shared" si="258"/>
        <v/>
      </c>
      <c r="JT489" s="1785" t="str">
        <f t="shared" si="259"/>
        <v/>
      </c>
      <c r="JU489" s="1785" t="str">
        <f t="shared" si="260"/>
        <v/>
      </c>
      <c r="JV489" s="1785" t="str">
        <f t="shared" si="261"/>
        <v/>
      </c>
      <c r="JW489" s="1785" t="str">
        <f t="shared" si="262"/>
        <v/>
      </c>
      <c r="JX489" s="1785" t="str">
        <f t="shared" si="263"/>
        <v/>
      </c>
      <c r="JY489" s="1785" t="str">
        <f t="shared" si="264"/>
        <v/>
      </c>
      <c r="JZ489" s="1785" t="str">
        <f t="shared" si="265"/>
        <v/>
      </c>
      <c r="KA489" s="1785" t="str">
        <f t="shared" si="266"/>
        <v/>
      </c>
      <c r="KB489" s="1785" t="str">
        <f t="shared" si="267"/>
        <v/>
      </c>
      <c r="KC489" s="1785" t="str">
        <f t="shared" si="268"/>
        <v/>
      </c>
      <c r="KD489" s="1785" t="str">
        <f t="shared" si="269"/>
        <v/>
      </c>
      <c r="KE489" s="1785" t="str">
        <f t="shared" si="270"/>
        <v/>
      </c>
      <c r="KF489" s="1785" t="str">
        <f t="shared" si="271"/>
        <v/>
      </c>
      <c r="KG489" s="1785" t="str">
        <f t="shared" si="272"/>
        <v/>
      </c>
      <c r="KH489" s="1785" t="str">
        <f t="shared" si="273"/>
        <v/>
      </c>
      <c r="KI489" s="1785" t="str">
        <f t="shared" si="274"/>
        <v/>
      </c>
      <c r="KJ489" s="1785" t="str">
        <f t="shared" si="275"/>
        <v/>
      </c>
      <c r="KK489" s="1785" t="str">
        <f t="shared" si="276"/>
        <v/>
      </c>
      <c r="KL489" s="1785" t="str">
        <f t="shared" si="277"/>
        <v/>
      </c>
      <c r="KM489" s="1785" t="str">
        <f t="shared" si="278"/>
        <v/>
      </c>
      <c r="KN489" s="1785" t="str">
        <f t="shared" si="279"/>
        <v/>
      </c>
      <c r="KO489" s="1785" t="str">
        <f t="shared" si="280"/>
        <v/>
      </c>
      <c r="KP489" s="1785" t="str">
        <f t="shared" si="281"/>
        <v/>
      </c>
      <c r="KQ489" s="1785" t="str">
        <f t="shared" si="282"/>
        <v/>
      </c>
      <c r="KR489" s="1785" t="str">
        <f t="shared" si="283"/>
        <v/>
      </c>
      <c r="KS489" s="1785" t="str">
        <f t="shared" si="284"/>
        <v/>
      </c>
      <c r="KT489" s="1785" t="str">
        <f t="shared" si="285"/>
        <v/>
      </c>
      <c r="KU489" s="1785" t="str">
        <f t="shared" si="286"/>
        <v/>
      </c>
      <c r="KV489" s="1785" t="str">
        <f t="shared" si="287"/>
        <v/>
      </c>
      <c r="KW489" s="1785" t="str">
        <f t="shared" si="288"/>
        <v/>
      </c>
      <c r="KX489" s="1785" t="str">
        <f t="shared" si="289"/>
        <v/>
      </c>
      <c r="KY489" s="1785" t="str">
        <f t="shared" si="290"/>
        <v/>
      </c>
      <c r="KZ489" s="1785" t="str">
        <f t="shared" si="291"/>
        <v/>
      </c>
      <c r="LA489" s="1785" t="str">
        <f t="shared" si="292"/>
        <v/>
      </c>
      <c r="LB489" s="1785" t="str">
        <f t="shared" si="293"/>
        <v/>
      </c>
      <c r="LC489" s="1785" t="str">
        <f t="shared" si="294"/>
        <v/>
      </c>
      <c r="LD489" s="1785" t="str">
        <f t="shared" si="295"/>
        <v/>
      </c>
      <c r="LE489" s="1785" t="str">
        <f t="shared" si="296"/>
        <v/>
      </c>
      <c r="LF489" s="1785" t="str">
        <f t="shared" si="297"/>
        <v/>
      </c>
      <c r="LG489" s="1785" t="str">
        <f t="shared" si="298"/>
        <v/>
      </c>
      <c r="LH489" s="1785" t="str">
        <f t="shared" si="299"/>
        <v/>
      </c>
      <c r="LI489" s="1785" t="str">
        <f t="shared" si="300"/>
        <v/>
      </c>
      <c r="LJ489" s="1785" t="str">
        <f t="shared" si="301"/>
        <v/>
      </c>
      <c r="LK489" s="1785" t="str">
        <f t="shared" si="302"/>
        <v/>
      </c>
      <c r="LL489" s="1785" t="str">
        <f t="shared" si="303"/>
        <v/>
      </c>
      <c r="LM489" s="1785" t="str">
        <f t="shared" si="304"/>
        <v/>
      </c>
      <c r="LN489" s="1785" t="str">
        <f t="shared" si="305"/>
        <v/>
      </c>
      <c r="LO489" s="1785" t="str">
        <f t="shared" si="306"/>
        <v/>
      </c>
      <c r="LP489" s="1785" t="str">
        <f t="shared" si="307"/>
        <v/>
      </c>
      <c r="LQ489" s="1785" t="str">
        <f t="shared" si="308"/>
        <v/>
      </c>
      <c r="LR489" s="1785" t="str">
        <f t="shared" si="309"/>
        <v/>
      </c>
      <c r="LS489" s="1785" t="str">
        <f t="shared" si="310"/>
        <v/>
      </c>
      <c r="LT489" s="1785" t="str">
        <f t="shared" si="311"/>
        <v/>
      </c>
      <c r="LU489" s="1785" t="str">
        <f t="shared" si="312"/>
        <v/>
      </c>
      <c r="LV489" s="1785" t="str">
        <f t="shared" si="313"/>
        <v/>
      </c>
      <c r="LW489" s="1785" t="str">
        <f t="shared" si="314"/>
        <v/>
      </c>
      <c r="LX489" s="1785" t="str">
        <f t="shared" si="315"/>
        <v/>
      </c>
      <c r="LY489" s="1785" t="str">
        <f t="shared" si="316"/>
        <v/>
      </c>
      <c r="LZ489" s="1785" t="str">
        <f t="shared" si="317"/>
        <v/>
      </c>
      <c r="MA489" s="1785" t="str">
        <f t="shared" si="318"/>
        <v/>
      </c>
      <c r="MB489" s="1785" t="str">
        <f t="shared" si="319"/>
        <v/>
      </c>
      <c r="MC489" s="1785" t="str">
        <f t="shared" si="320"/>
        <v/>
      </c>
      <c r="MD489" s="1785" t="str">
        <f t="shared" si="321"/>
        <v/>
      </c>
      <c r="ME489" s="1785" t="str">
        <f t="shared" si="322"/>
        <v/>
      </c>
      <c r="MF489" s="1785" t="str">
        <f t="shared" si="323"/>
        <v/>
      </c>
      <c r="MG489" s="1785" t="str">
        <f t="shared" si="324"/>
        <v/>
      </c>
      <c r="MH489" s="1785" t="str">
        <f t="shared" si="325"/>
        <v/>
      </c>
      <c r="MI489" s="1785" t="str">
        <f t="shared" si="326"/>
        <v/>
      </c>
      <c r="MJ489" s="1785" t="str">
        <f t="shared" si="327"/>
        <v/>
      </c>
      <c r="MK489" s="1785" t="str">
        <f t="shared" si="328"/>
        <v/>
      </c>
      <c r="ML489" s="1785" t="str">
        <f t="shared" si="329"/>
        <v/>
      </c>
      <c r="MM489" s="1785" t="str">
        <f t="shared" si="330"/>
        <v/>
      </c>
      <c r="MN489" s="1785" t="str">
        <f t="shared" si="331"/>
        <v/>
      </c>
      <c r="MO489" s="1785" t="str">
        <f t="shared" si="332"/>
        <v/>
      </c>
      <c r="MP489" s="2470" t="str">
        <f t="shared" si="333"/>
        <v/>
      </c>
      <c r="MQ489" s="2470" t="str">
        <f t="shared" si="334"/>
        <v/>
      </c>
      <c r="MR489" s="2470" t="str">
        <f t="shared" si="335"/>
        <v/>
      </c>
      <c r="MS489" s="2470" t="str">
        <f t="shared" si="336"/>
        <v/>
      </c>
      <c r="MT489" s="2470" t="str">
        <f t="shared" si="337"/>
        <v/>
      </c>
      <c r="MU489" s="356" t="str">
        <f t="shared" si="338"/>
        <v/>
      </c>
      <c r="MV489" s="356" t="str">
        <f t="shared" si="339"/>
        <v/>
      </c>
      <c r="MW489" s="356" t="str">
        <f t="shared" si="340"/>
        <v/>
      </c>
      <c r="MX489" s="356" t="str">
        <f t="shared" si="341"/>
        <v/>
      </c>
      <c r="MY489" s="356" t="str">
        <f t="shared" si="342"/>
        <v/>
      </c>
      <c r="MZ489" s="356" t="str">
        <f t="shared" si="343"/>
        <v/>
      </c>
      <c r="NA489" s="356" t="str">
        <f t="shared" si="344"/>
        <v/>
      </c>
      <c r="NB489" s="356" t="str">
        <f t="shared" si="345"/>
        <v/>
      </c>
      <c r="NC489" s="356" t="str">
        <f t="shared" si="346"/>
        <v/>
      </c>
      <c r="ND489" s="356" t="str">
        <f t="shared" si="347"/>
        <v/>
      </c>
      <c r="NE489" s="356" t="str">
        <f t="shared" si="348"/>
        <v/>
      </c>
      <c r="NF489" s="356" t="str">
        <f t="shared" si="349"/>
        <v/>
      </c>
      <c r="NG489" s="356" t="str">
        <f t="shared" si="350"/>
        <v/>
      </c>
      <c r="NH489" s="356" t="str">
        <f t="shared" si="351"/>
        <v/>
      </c>
      <c r="NI489" s="356" t="str">
        <f t="shared" si="352"/>
        <v/>
      </c>
      <c r="NJ489" s="356" t="str">
        <f t="shared" si="353"/>
        <v/>
      </c>
      <c r="NK489" s="356" t="str">
        <f t="shared" si="354"/>
        <v/>
      </c>
      <c r="NL489" s="356" t="str">
        <f t="shared" si="355"/>
        <v/>
      </c>
      <c r="NM489" s="356" t="str">
        <f t="shared" si="356"/>
        <v/>
      </c>
      <c r="NN489" s="356" t="str">
        <f t="shared" si="357"/>
        <v/>
      </c>
      <c r="NO489" s="1640">
        <f t="shared" si="358"/>
        <v>0</v>
      </c>
      <c r="NP489" s="1640">
        <f t="shared" si="359"/>
        <v>0</v>
      </c>
      <c r="NQ489" s="1640">
        <f t="shared" si="360"/>
        <v>0</v>
      </c>
      <c r="NR489" s="1640">
        <f t="shared" si="361"/>
        <v>0</v>
      </c>
      <c r="NS489" s="1640">
        <f t="shared" si="362"/>
        <v>0</v>
      </c>
      <c r="NT489" s="1640">
        <f t="shared" si="368"/>
        <v>0</v>
      </c>
      <c r="NU489" s="1640">
        <f t="shared" si="369"/>
        <v>0</v>
      </c>
      <c r="NV489" s="1640">
        <f t="shared" si="370"/>
        <v>0</v>
      </c>
      <c r="NW489" s="1640">
        <f t="shared" si="371"/>
        <v>0</v>
      </c>
      <c r="NX489" s="1640">
        <f t="shared" si="372"/>
        <v>0</v>
      </c>
      <c r="NY489" s="1640">
        <f t="shared" si="363"/>
        <v>0</v>
      </c>
      <c r="NZ489" s="1640">
        <f t="shared" si="364"/>
        <v>0</v>
      </c>
      <c r="OA489" s="1640">
        <f t="shared" si="365"/>
        <v>0</v>
      </c>
      <c r="OB489" s="1640">
        <f t="shared" si="366"/>
        <v>0</v>
      </c>
      <c r="OC489" s="1640">
        <f t="shared" si="367"/>
        <v>0</v>
      </c>
      <c r="OY489" s="356" t="s">
        <v>4322</v>
      </c>
      <c r="OZ489" s="1640">
        <v>36</v>
      </c>
    </row>
    <row r="490" spans="1:416" ht="12" customHeight="1">
      <c r="A490" s="2706" t="str">
        <f t="shared" si="0"/>
        <v/>
      </c>
      <c r="B490" s="2725">
        <f>'Part V-Revenues &amp; Expenses'!B37</f>
        <v>0</v>
      </c>
      <c r="C490" s="2726">
        <f>'Part V-Revenues &amp; Expenses'!C37</f>
        <v>0</v>
      </c>
      <c r="D490" s="2727">
        <f>'Part V-Revenues &amp; Expenses'!D37</f>
        <v>0</v>
      </c>
      <c r="E490" s="2728">
        <f>'Part V-Revenues &amp; Expenses'!E37</f>
        <v>0</v>
      </c>
      <c r="F490" s="2728">
        <f>'Part V-Revenues &amp; Expenses'!F37</f>
        <v>0</v>
      </c>
      <c r="G490" s="2728">
        <f>'Part V-Revenues &amp; Expenses'!G37</f>
        <v>0</v>
      </c>
      <c r="H490" s="2728">
        <f>'Part V-Revenues &amp; Expenses'!H37</f>
        <v>0</v>
      </c>
      <c r="I490" s="2728">
        <f>'Part V-Revenues &amp; Expenses'!I37</f>
        <v>0</v>
      </c>
      <c r="J490" s="2728">
        <f>'Part V-Revenues &amp; Expenses'!J37</f>
        <v>0</v>
      </c>
      <c r="K490" s="2729">
        <f>'Part V-Revenues &amp; Expenses'!K37</f>
        <v>0</v>
      </c>
      <c r="L490" s="2730">
        <f t="shared" si="1"/>
        <v>0</v>
      </c>
      <c r="M490" s="2730">
        <f t="shared" si="2"/>
        <v>0</v>
      </c>
      <c r="N490" s="2580">
        <f>'Part V-Revenues &amp; Expenses'!N37</f>
        <v>0</v>
      </c>
      <c r="O490" s="1248">
        <f>'Part V-Revenues &amp; Expenses'!O37</f>
        <v>0</v>
      </c>
      <c r="P490" s="2580">
        <f>'Part V-Revenues &amp; Expenses'!P37</f>
        <v>0</v>
      </c>
      <c r="Q490" s="2469">
        <f>'Part V-Revenues &amp; Expenses'!Q37</f>
        <v>0</v>
      </c>
      <c r="R490" s="2731"/>
      <c r="S490" s="2732"/>
      <c r="T490" s="2647"/>
      <c r="U490" s="2647"/>
      <c r="V490" s="2647"/>
      <c r="W490" s="2647"/>
      <c r="X490" s="356" t="str">
        <f t="shared" si="3"/>
        <v/>
      </c>
      <c r="Y490" s="356" t="str">
        <f t="shared" si="4"/>
        <v/>
      </c>
      <c r="Z490" s="356" t="str">
        <f t="shared" si="5"/>
        <v/>
      </c>
      <c r="AA490" s="356" t="str">
        <f t="shared" si="6"/>
        <v/>
      </c>
      <c r="AB490" s="356" t="str">
        <f t="shared" si="7"/>
        <v/>
      </c>
      <c r="AC490" s="356" t="str">
        <f t="shared" si="8"/>
        <v/>
      </c>
      <c r="AD490" s="356" t="str">
        <f t="shared" si="9"/>
        <v/>
      </c>
      <c r="AE490" s="356" t="str">
        <f t="shared" si="10"/>
        <v/>
      </c>
      <c r="AF490" s="356" t="str">
        <f t="shared" si="11"/>
        <v/>
      </c>
      <c r="AG490" s="356" t="str">
        <f t="shared" si="12"/>
        <v/>
      </c>
      <c r="AH490" s="356" t="str">
        <f t="shared" si="13"/>
        <v/>
      </c>
      <c r="AI490" s="356" t="str">
        <f t="shared" si="14"/>
        <v/>
      </c>
      <c r="AJ490" s="356" t="str">
        <f t="shared" si="15"/>
        <v/>
      </c>
      <c r="AK490" s="356" t="str">
        <f t="shared" si="16"/>
        <v/>
      </c>
      <c r="AL490" s="356" t="str">
        <f t="shared" si="17"/>
        <v/>
      </c>
      <c r="AM490" s="356" t="str">
        <f t="shared" si="18"/>
        <v/>
      </c>
      <c r="AN490" s="356" t="str">
        <f t="shared" si="19"/>
        <v/>
      </c>
      <c r="AO490" s="356" t="str">
        <f t="shared" si="20"/>
        <v/>
      </c>
      <c r="AP490" s="356" t="str">
        <f t="shared" si="21"/>
        <v/>
      </c>
      <c r="AQ490" s="356" t="str">
        <f t="shared" si="22"/>
        <v/>
      </c>
      <c r="AR490" s="356" t="str">
        <f t="shared" si="23"/>
        <v/>
      </c>
      <c r="AS490" s="356" t="str">
        <f t="shared" si="24"/>
        <v/>
      </c>
      <c r="AT490" s="356" t="str">
        <f t="shared" si="25"/>
        <v/>
      </c>
      <c r="AU490" s="356" t="str">
        <f t="shared" si="26"/>
        <v/>
      </c>
      <c r="AV490" s="356" t="str">
        <f t="shared" si="27"/>
        <v/>
      </c>
      <c r="AW490" s="356" t="str">
        <f t="shared" si="28"/>
        <v/>
      </c>
      <c r="AX490" s="356" t="str">
        <f t="shared" si="29"/>
        <v/>
      </c>
      <c r="AY490" s="356" t="str">
        <f t="shared" si="30"/>
        <v/>
      </c>
      <c r="AZ490" s="356" t="str">
        <f t="shared" si="31"/>
        <v/>
      </c>
      <c r="BA490" s="356" t="str">
        <f t="shared" si="32"/>
        <v/>
      </c>
      <c r="BB490" s="356" t="str">
        <f t="shared" si="33"/>
        <v/>
      </c>
      <c r="BC490" s="356" t="str">
        <f t="shared" si="34"/>
        <v/>
      </c>
      <c r="BD490" s="356" t="str">
        <f t="shared" si="35"/>
        <v/>
      </c>
      <c r="BE490" s="356" t="str">
        <f t="shared" si="36"/>
        <v/>
      </c>
      <c r="BF490" s="356" t="str">
        <f t="shared" si="37"/>
        <v/>
      </c>
      <c r="BG490" s="356" t="str">
        <f t="shared" si="38"/>
        <v/>
      </c>
      <c r="BH490" s="356" t="str">
        <f t="shared" si="39"/>
        <v/>
      </c>
      <c r="BI490" s="356" t="str">
        <f t="shared" si="40"/>
        <v/>
      </c>
      <c r="BJ490" s="356" t="str">
        <f t="shared" si="41"/>
        <v/>
      </c>
      <c r="BK490" s="356" t="str">
        <f t="shared" si="42"/>
        <v/>
      </c>
      <c r="BL490" s="356" t="str">
        <f t="shared" si="43"/>
        <v/>
      </c>
      <c r="BM490" s="356" t="str">
        <f t="shared" si="44"/>
        <v/>
      </c>
      <c r="BN490" s="356" t="str">
        <f t="shared" si="45"/>
        <v/>
      </c>
      <c r="BO490" s="356" t="str">
        <f t="shared" si="46"/>
        <v/>
      </c>
      <c r="BP490" s="356" t="str">
        <f t="shared" si="47"/>
        <v/>
      </c>
      <c r="BQ490" s="356" t="str">
        <f t="shared" si="48"/>
        <v/>
      </c>
      <c r="BR490" s="356" t="str">
        <f t="shared" si="49"/>
        <v/>
      </c>
      <c r="BS490" s="356" t="str">
        <f t="shared" si="50"/>
        <v/>
      </c>
      <c r="BT490" s="356" t="str">
        <f t="shared" si="51"/>
        <v/>
      </c>
      <c r="BU490" s="356" t="str">
        <f t="shared" si="52"/>
        <v/>
      </c>
      <c r="BV490" s="356" t="str">
        <f t="shared" si="53"/>
        <v/>
      </c>
      <c r="BW490" s="356" t="str">
        <f t="shared" si="54"/>
        <v/>
      </c>
      <c r="BX490" s="356" t="str">
        <f t="shared" si="55"/>
        <v/>
      </c>
      <c r="BY490" s="356" t="str">
        <f t="shared" si="56"/>
        <v/>
      </c>
      <c r="BZ490" s="356" t="str">
        <f t="shared" si="57"/>
        <v/>
      </c>
      <c r="CA490" s="356" t="str">
        <f t="shared" si="58"/>
        <v/>
      </c>
      <c r="CB490" s="356" t="str">
        <f t="shared" si="59"/>
        <v/>
      </c>
      <c r="CC490" s="356" t="str">
        <f t="shared" si="60"/>
        <v/>
      </c>
      <c r="CD490" s="356" t="str">
        <f t="shared" si="61"/>
        <v/>
      </c>
      <c r="CE490" s="356" t="str">
        <f t="shared" si="62"/>
        <v/>
      </c>
      <c r="CF490" s="356" t="str">
        <f t="shared" si="63"/>
        <v/>
      </c>
      <c r="CG490" s="356" t="str">
        <f t="shared" si="64"/>
        <v/>
      </c>
      <c r="CH490" s="356" t="str">
        <f t="shared" si="65"/>
        <v/>
      </c>
      <c r="CI490" s="356" t="str">
        <f t="shared" si="66"/>
        <v/>
      </c>
      <c r="CJ490" s="356" t="str">
        <f t="shared" si="67"/>
        <v/>
      </c>
      <c r="CK490" s="356" t="str">
        <f t="shared" si="68"/>
        <v/>
      </c>
      <c r="CL490" s="356" t="str">
        <f t="shared" si="69"/>
        <v/>
      </c>
      <c r="CM490" s="356" t="str">
        <f t="shared" si="70"/>
        <v/>
      </c>
      <c r="CN490" s="356" t="str">
        <f t="shared" si="71"/>
        <v/>
      </c>
      <c r="CO490" s="356" t="str">
        <f t="shared" si="72"/>
        <v/>
      </c>
      <c r="CP490" s="356" t="str">
        <f t="shared" si="73"/>
        <v/>
      </c>
      <c r="CQ490" s="356" t="str">
        <f t="shared" si="74"/>
        <v/>
      </c>
      <c r="CR490" s="356" t="str">
        <f t="shared" si="75"/>
        <v/>
      </c>
      <c r="CS490" s="356" t="str">
        <f t="shared" si="76"/>
        <v/>
      </c>
      <c r="CT490" s="356" t="str">
        <f t="shared" si="77"/>
        <v/>
      </c>
      <c r="CU490" s="356" t="str">
        <f t="shared" si="78"/>
        <v/>
      </c>
      <c r="CV490" s="356" t="str">
        <f t="shared" si="79"/>
        <v/>
      </c>
      <c r="CW490" s="356" t="str">
        <f t="shared" si="80"/>
        <v/>
      </c>
      <c r="CX490" s="356" t="str">
        <f t="shared" si="81"/>
        <v/>
      </c>
      <c r="CY490" s="356" t="str">
        <f t="shared" si="82"/>
        <v/>
      </c>
      <c r="CZ490" s="356" t="str">
        <f t="shared" si="83"/>
        <v/>
      </c>
      <c r="DA490" s="356" t="str">
        <f t="shared" si="84"/>
        <v/>
      </c>
      <c r="DB490" s="356" t="str">
        <f t="shared" si="85"/>
        <v/>
      </c>
      <c r="DC490" s="356" t="str">
        <f t="shared" si="86"/>
        <v/>
      </c>
      <c r="DD490" s="356" t="str">
        <f t="shared" si="87"/>
        <v/>
      </c>
      <c r="DE490" s="356" t="str">
        <f t="shared" si="88"/>
        <v/>
      </c>
      <c r="DF490" s="356" t="str">
        <f t="shared" si="89"/>
        <v/>
      </c>
      <c r="DG490" s="356" t="str">
        <f t="shared" si="90"/>
        <v/>
      </c>
      <c r="DH490" s="356" t="str">
        <f t="shared" si="91"/>
        <v/>
      </c>
      <c r="DI490" s="356" t="str">
        <f t="shared" si="92"/>
        <v/>
      </c>
      <c r="DJ490" s="356" t="str">
        <f t="shared" si="93"/>
        <v/>
      </c>
      <c r="DK490" s="356" t="str">
        <f t="shared" si="94"/>
        <v/>
      </c>
      <c r="DL490" s="356" t="str">
        <f t="shared" si="95"/>
        <v/>
      </c>
      <c r="DM490" s="356" t="str">
        <f t="shared" si="96"/>
        <v/>
      </c>
      <c r="DN490" s="356" t="str">
        <f t="shared" si="97"/>
        <v/>
      </c>
      <c r="DO490" s="356" t="str">
        <f t="shared" si="98"/>
        <v/>
      </c>
      <c r="DP490" s="356" t="str">
        <f t="shared" si="99"/>
        <v/>
      </c>
      <c r="DQ490" s="356" t="str">
        <f t="shared" si="100"/>
        <v/>
      </c>
      <c r="DR490" s="356" t="str">
        <f t="shared" si="101"/>
        <v/>
      </c>
      <c r="DS490" s="356" t="str">
        <f t="shared" si="102"/>
        <v/>
      </c>
      <c r="DT490" s="356" t="str">
        <f t="shared" si="103"/>
        <v/>
      </c>
      <c r="DU490" s="356" t="str">
        <f t="shared" si="104"/>
        <v/>
      </c>
      <c r="DV490" s="356" t="str">
        <f t="shared" si="105"/>
        <v/>
      </c>
      <c r="DW490" s="356" t="str">
        <f t="shared" si="106"/>
        <v/>
      </c>
      <c r="DX490" s="356" t="str">
        <f t="shared" si="107"/>
        <v/>
      </c>
      <c r="DY490" s="356" t="str">
        <f t="shared" si="108"/>
        <v/>
      </c>
      <c r="DZ490" s="356" t="str">
        <f t="shared" si="109"/>
        <v/>
      </c>
      <c r="EA490" s="356" t="str">
        <f t="shared" si="110"/>
        <v/>
      </c>
      <c r="EB490" s="356" t="str">
        <f t="shared" si="111"/>
        <v/>
      </c>
      <c r="EC490" s="356" t="str">
        <f t="shared" si="112"/>
        <v/>
      </c>
      <c r="ED490" s="356" t="str">
        <f t="shared" si="113"/>
        <v/>
      </c>
      <c r="EE490" s="356" t="str">
        <f t="shared" si="114"/>
        <v/>
      </c>
      <c r="EF490" s="356" t="str">
        <f t="shared" si="115"/>
        <v/>
      </c>
      <c r="EG490" s="356" t="str">
        <f t="shared" si="116"/>
        <v/>
      </c>
      <c r="EH490" s="356" t="str">
        <f t="shared" si="117"/>
        <v/>
      </c>
      <c r="EI490" s="356" t="str">
        <f t="shared" si="118"/>
        <v/>
      </c>
      <c r="EJ490" s="356" t="str">
        <f t="shared" si="119"/>
        <v/>
      </c>
      <c r="EK490" s="356" t="str">
        <f t="shared" si="120"/>
        <v/>
      </c>
      <c r="EL490" s="356" t="str">
        <f t="shared" si="121"/>
        <v/>
      </c>
      <c r="EM490" s="356" t="str">
        <f t="shared" si="122"/>
        <v/>
      </c>
      <c r="EN490" s="356" t="str">
        <f t="shared" si="123"/>
        <v/>
      </c>
      <c r="EO490" s="356" t="str">
        <f t="shared" si="124"/>
        <v/>
      </c>
      <c r="EP490" s="356" t="str">
        <f t="shared" si="125"/>
        <v/>
      </c>
      <c r="EQ490" s="356" t="str">
        <f t="shared" si="126"/>
        <v/>
      </c>
      <c r="ER490" s="356" t="str">
        <f t="shared" si="127"/>
        <v/>
      </c>
      <c r="ES490" s="356" t="str">
        <f t="shared" si="128"/>
        <v/>
      </c>
      <c r="ET490" s="356" t="str">
        <f t="shared" si="129"/>
        <v/>
      </c>
      <c r="EU490" s="356" t="str">
        <f t="shared" si="130"/>
        <v/>
      </c>
      <c r="EV490" s="356" t="str">
        <f t="shared" si="131"/>
        <v/>
      </c>
      <c r="EW490" s="356" t="str">
        <f t="shared" si="132"/>
        <v/>
      </c>
      <c r="EX490" s="356" t="str">
        <f t="shared" si="133"/>
        <v/>
      </c>
      <c r="EY490" s="356" t="str">
        <f t="shared" si="134"/>
        <v/>
      </c>
      <c r="EZ490" s="356" t="str">
        <f t="shared" si="135"/>
        <v/>
      </c>
      <c r="FA490" s="356" t="str">
        <f t="shared" si="136"/>
        <v/>
      </c>
      <c r="FB490" s="356" t="str">
        <f t="shared" si="137"/>
        <v/>
      </c>
      <c r="FC490" s="356" t="str">
        <f t="shared" si="138"/>
        <v/>
      </c>
      <c r="FD490" s="356" t="str">
        <f t="shared" si="139"/>
        <v/>
      </c>
      <c r="FE490" s="356" t="str">
        <f t="shared" si="140"/>
        <v/>
      </c>
      <c r="FF490" s="356" t="str">
        <f t="shared" si="141"/>
        <v/>
      </c>
      <c r="FG490" s="356" t="str">
        <f t="shared" si="142"/>
        <v/>
      </c>
      <c r="FH490" s="356" t="str">
        <f t="shared" si="143"/>
        <v/>
      </c>
      <c r="FI490" s="356" t="str">
        <f t="shared" si="144"/>
        <v/>
      </c>
      <c r="FJ490" s="356" t="str">
        <f t="shared" si="145"/>
        <v/>
      </c>
      <c r="FK490" s="356" t="str">
        <f t="shared" si="146"/>
        <v/>
      </c>
      <c r="FL490" s="356" t="str">
        <f t="shared" si="147"/>
        <v/>
      </c>
      <c r="FM490" s="356" t="str">
        <f t="shared" si="148"/>
        <v/>
      </c>
      <c r="FN490" s="356" t="str">
        <f t="shared" si="149"/>
        <v/>
      </c>
      <c r="FO490" s="356" t="str">
        <f t="shared" si="150"/>
        <v/>
      </c>
      <c r="FP490" s="356" t="str">
        <f t="shared" si="151"/>
        <v/>
      </c>
      <c r="FQ490" s="356" t="str">
        <f t="shared" si="152"/>
        <v/>
      </c>
      <c r="FR490" s="356" t="str">
        <f t="shared" si="153"/>
        <v/>
      </c>
      <c r="FS490" s="356" t="str">
        <f t="shared" si="154"/>
        <v/>
      </c>
      <c r="FT490" s="356" t="str">
        <f t="shared" si="155"/>
        <v/>
      </c>
      <c r="FU490" s="356" t="str">
        <f t="shared" si="156"/>
        <v/>
      </c>
      <c r="FV490" s="356" t="str">
        <f t="shared" si="157"/>
        <v/>
      </c>
      <c r="FW490" s="356" t="str">
        <f t="shared" si="158"/>
        <v/>
      </c>
      <c r="FX490" s="356" t="str">
        <f t="shared" si="159"/>
        <v/>
      </c>
      <c r="FY490" s="356" t="str">
        <f t="shared" si="160"/>
        <v/>
      </c>
      <c r="FZ490" s="356" t="str">
        <f t="shared" si="161"/>
        <v/>
      </c>
      <c r="GA490" s="356" t="str">
        <f t="shared" si="162"/>
        <v/>
      </c>
      <c r="GB490" s="356" t="str">
        <f t="shared" si="163"/>
        <v/>
      </c>
      <c r="GC490" s="356" t="str">
        <f t="shared" si="164"/>
        <v/>
      </c>
      <c r="GD490" s="356" t="str">
        <f t="shared" si="165"/>
        <v/>
      </c>
      <c r="GE490" s="356" t="str">
        <f t="shared" si="166"/>
        <v/>
      </c>
      <c r="GF490" s="356" t="str">
        <f t="shared" si="167"/>
        <v/>
      </c>
      <c r="GG490" s="356" t="str">
        <f t="shared" si="168"/>
        <v/>
      </c>
      <c r="GH490" s="356" t="str">
        <f t="shared" si="169"/>
        <v/>
      </c>
      <c r="GI490" s="356" t="str">
        <f t="shared" si="170"/>
        <v/>
      </c>
      <c r="GJ490" s="356" t="str">
        <f t="shared" si="171"/>
        <v/>
      </c>
      <c r="GK490" s="356" t="str">
        <f t="shared" si="172"/>
        <v/>
      </c>
      <c r="GL490" s="356" t="str">
        <f t="shared" si="173"/>
        <v/>
      </c>
      <c r="GM490" s="356" t="str">
        <f t="shared" si="174"/>
        <v/>
      </c>
      <c r="GN490" s="356" t="str">
        <f t="shared" si="175"/>
        <v/>
      </c>
      <c r="GO490" s="356" t="str">
        <f t="shared" si="176"/>
        <v/>
      </c>
      <c r="GP490" s="356" t="str">
        <f t="shared" si="177"/>
        <v/>
      </c>
      <c r="GQ490" s="356" t="str">
        <f t="shared" si="178"/>
        <v/>
      </c>
      <c r="GR490" s="356" t="str">
        <f t="shared" si="179"/>
        <v/>
      </c>
      <c r="GS490" s="356" t="str">
        <f t="shared" si="180"/>
        <v/>
      </c>
      <c r="GT490" s="356" t="str">
        <f t="shared" si="181"/>
        <v/>
      </c>
      <c r="GU490" s="356" t="str">
        <f t="shared" si="182"/>
        <v/>
      </c>
      <c r="GV490" s="356" t="str">
        <f t="shared" si="183"/>
        <v/>
      </c>
      <c r="GW490" s="356" t="str">
        <f t="shared" si="184"/>
        <v/>
      </c>
      <c r="GX490" s="356" t="str">
        <f t="shared" si="185"/>
        <v/>
      </c>
      <c r="GY490" s="356" t="str">
        <f t="shared" si="186"/>
        <v/>
      </c>
      <c r="GZ490" s="356" t="str">
        <f t="shared" si="187"/>
        <v/>
      </c>
      <c r="HA490" s="356" t="str">
        <f t="shared" si="188"/>
        <v/>
      </c>
      <c r="HB490" s="356" t="str">
        <f t="shared" si="189"/>
        <v/>
      </c>
      <c r="HC490" s="356" t="str">
        <f t="shared" si="190"/>
        <v/>
      </c>
      <c r="HD490" s="356" t="str">
        <f t="shared" si="191"/>
        <v/>
      </c>
      <c r="HE490" s="356" t="str">
        <f t="shared" si="192"/>
        <v/>
      </c>
      <c r="HF490" s="356" t="str">
        <f t="shared" si="193"/>
        <v/>
      </c>
      <c r="HG490" s="356" t="str">
        <f t="shared" si="194"/>
        <v/>
      </c>
      <c r="HH490" s="356" t="str">
        <f t="shared" si="195"/>
        <v/>
      </c>
      <c r="HI490" s="356" t="str">
        <f t="shared" si="196"/>
        <v/>
      </c>
      <c r="HJ490" s="356" t="str">
        <f t="shared" si="197"/>
        <v/>
      </c>
      <c r="HK490" s="356" t="str">
        <f t="shared" si="198"/>
        <v/>
      </c>
      <c r="HL490" s="356" t="str">
        <f t="shared" si="199"/>
        <v/>
      </c>
      <c r="HM490" s="356" t="str">
        <f t="shared" si="200"/>
        <v/>
      </c>
      <c r="HN490" s="356" t="str">
        <f t="shared" si="201"/>
        <v/>
      </c>
      <c r="HO490" s="356" t="str">
        <f t="shared" si="202"/>
        <v/>
      </c>
      <c r="HP490" s="356" t="str">
        <f t="shared" si="203"/>
        <v/>
      </c>
      <c r="HQ490" s="356" t="str">
        <f t="shared" si="204"/>
        <v/>
      </c>
      <c r="HR490" s="356" t="str">
        <f t="shared" si="205"/>
        <v/>
      </c>
      <c r="HS490" s="356" t="str">
        <f t="shared" si="206"/>
        <v/>
      </c>
      <c r="HT490" s="356" t="str">
        <f t="shared" si="207"/>
        <v/>
      </c>
      <c r="HU490" s="356" t="str">
        <f t="shared" si="208"/>
        <v/>
      </c>
      <c r="HV490" s="356" t="str">
        <f t="shared" si="209"/>
        <v/>
      </c>
      <c r="HW490" s="356" t="str">
        <f t="shared" si="210"/>
        <v/>
      </c>
      <c r="HX490" s="356" t="str">
        <f t="shared" si="211"/>
        <v/>
      </c>
      <c r="HY490" s="356" t="str">
        <f t="shared" si="212"/>
        <v/>
      </c>
      <c r="HZ490" s="356" t="str">
        <f t="shared" si="213"/>
        <v/>
      </c>
      <c r="IA490" s="356" t="str">
        <f t="shared" si="214"/>
        <v/>
      </c>
      <c r="IB490" s="356" t="str">
        <f t="shared" si="215"/>
        <v/>
      </c>
      <c r="IC490" s="356" t="str">
        <f t="shared" si="216"/>
        <v/>
      </c>
      <c r="ID490" s="356" t="str">
        <f t="shared" si="217"/>
        <v/>
      </c>
      <c r="IE490" s="356" t="str">
        <f t="shared" si="218"/>
        <v/>
      </c>
      <c r="IF490" s="356" t="str">
        <f t="shared" si="219"/>
        <v/>
      </c>
      <c r="IG490" s="356" t="str">
        <f t="shared" si="220"/>
        <v/>
      </c>
      <c r="IH490" s="356" t="str">
        <f t="shared" si="221"/>
        <v/>
      </c>
      <c r="II490" s="356" t="str">
        <f t="shared" si="222"/>
        <v/>
      </c>
      <c r="IJ490" s="356" t="str">
        <f t="shared" si="223"/>
        <v/>
      </c>
      <c r="IK490" s="356" t="str">
        <f t="shared" si="224"/>
        <v/>
      </c>
      <c r="IL490" s="356" t="str">
        <f t="shared" si="225"/>
        <v/>
      </c>
      <c r="IM490" s="356" t="str">
        <f t="shared" si="226"/>
        <v/>
      </c>
      <c r="IN490" s="356" t="str">
        <f t="shared" si="227"/>
        <v/>
      </c>
      <c r="IO490" s="356" t="str">
        <f t="shared" si="228"/>
        <v/>
      </c>
      <c r="IP490" s="356" t="str">
        <f t="shared" si="229"/>
        <v/>
      </c>
      <c r="IQ490" s="356" t="str">
        <f t="shared" si="230"/>
        <v/>
      </c>
      <c r="IR490" s="356" t="str">
        <f t="shared" si="231"/>
        <v/>
      </c>
      <c r="IS490" s="356" t="str">
        <f t="shared" si="232"/>
        <v/>
      </c>
      <c r="IT490" s="356" t="str">
        <f t="shared" si="233"/>
        <v/>
      </c>
      <c r="IU490" s="356" t="str">
        <f t="shared" si="234"/>
        <v/>
      </c>
      <c r="IV490" s="356" t="str">
        <f t="shared" si="235"/>
        <v/>
      </c>
      <c r="IW490" s="356" t="str">
        <f t="shared" si="236"/>
        <v/>
      </c>
      <c r="IX490" s="356" t="str">
        <f t="shared" si="237"/>
        <v/>
      </c>
      <c r="IY490" s="356" t="str">
        <f t="shared" si="238"/>
        <v/>
      </c>
      <c r="IZ490" s="356" t="str">
        <f t="shared" si="239"/>
        <v/>
      </c>
      <c r="JA490" s="356" t="str">
        <f t="shared" si="240"/>
        <v/>
      </c>
      <c r="JB490" s="356" t="str">
        <f t="shared" si="241"/>
        <v/>
      </c>
      <c r="JC490" s="356" t="str">
        <f t="shared" si="242"/>
        <v/>
      </c>
      <c r="JD490" s="356" t="str">
        <f t="shared" si="243"/>
        <v/>
      </c>
      <c r="JE490" s="356" t="str">
        <f t="shared" si="244"/>
        <v/>
      </c>
      <c r="JF490" s="356" t="str">
        <f t="shared" si="245"/>
        <v/>
      </c>
      <c r="JG490" s="356" t="str">
        <f t="shared" si="246"/>
        <v/>
      </c>
      <c r="JH490" s="356" t="str">
        <f t="shared" si="247"/>
        <v/>
      </c>
      <c r="JI490" s="1785" t="str">
        <f t="shared" si="248"/>
        <v/>
      </c>
      <c r="JJ490" s="1785" t="str">
        <f t="shared" si="249"/>
        <v/>
      </c>
      <c r="JK490" s="1785" t="str">
        <f t="shared" si="250"/>
        <v/>
      </c>
      <c r="JL490" s="1785" t="str">
        <f t="shared" si="251"/>
        <v/>
      </c>
      <c r="JM490" s="1785" t="str">
        <f t="shared" si="252"/>
        <v/>
      </c>
      <c r="JN490" s="1785" t="str">
        <f t="shared" si="253"/>
        <v/>
      </c>
      <c r="JO490" s="1785" t="str">
        <f t="shared" si="254"/>
        <v/>
      </c>
      <c r="JP490" s="1785" t="str">
        <f t="shared" si="255"/>
        <v/>
      </c>
      <c r="JQ490" s="1785" t="str">
        <f t="shared" si="256"/>
        <v/>
      </c>
      <c r="JR490" s="1785" t="str">
        <f t="shared" si="257"/>
        <v/>
      </c>
      <c r="JS490" s="1785" t="str">
        <f t="shared" si="258"/>
        <v/>
      </c>
      <c r="JT490" s="1785" t="str">
        <f t="shared" si="259"/>
        <v/>
      </c>
      <c r="JU490" s="1785" t="str">
        <f t="shared" si="260"/>
        <v/>
      </c>
      <c r="JV490" s="1785" t="str">
        <f t="shared" si="261"/>
        <v/>
      </c>
      <c r="JW490" s="1785" t="str">
        <f t="shared" si="262"/>
        <v/>
      </c>
      <c r="JX490" s="1785" t="str">
        <f t="shared" si="263"/>
        <v/>
      </c>
      <c r="JY490" s="1785" t="str">
        <f t="shared" si="264"/>
        <v/>
      </c>
      <c r="JZ490" s="1785" t="str">
        <f t="shared" si="265"/>
        <v/>
      </c>
      <c r="KA490" s="1785" t="str">
        <f t="shared" si="266"/>
        <v/>
      </c>
      <c r="KB490" s="1785" t="str">
        <f t="shared" si="267"/>
        <v/>
      </c>
      <c r="KC490" s="1785" t="str">
        <f t="shared" si="268"/>
        <v/>
      </c>
      <c r="KD490" s="1785" t="str">
        <f t="shared" si="269"/>
        <v/>
      </c>
      <c r="KE490" s="1785" t="str">
        <f t="shared" si="270"/>
        <v/>
      </c>
      <c r="KF490" s="1785" t="str">
        <f t="shared" si="271"/>
        <v/>
      </c>
      <c r="KG490" s="1785" t="str">
        <f t="shared" si="272"/>
        <v/>
      </c>
      <c r="KH490" s="1785" t="str">
        <f t="shared" si="273"/>
        <v/>
      </c>
      <c r="KI490" s="1785" t="str">
        <f t="shared" si="274"/>
        <v/>
      </c>
      <c r="KJ490" s="1785" t="str">
        <f t="shared" si="275"/>
        <v/>
      </c>
      <c r="KK490" s="1785" t="str">
        <f t="shared" si="276"/>
        <v/>
      </c>
      <c r="KL490" s="1785" t="str">
        <f t="shared" si="277"/>
        <v/>
      </c>
      <c r="KM490" s="1785" t="str">
        <f t="shared" si="278"/>
        <v/>
      </c>
      <c r="KN490" s="1785" t="str">
        <f t="shared" si="279"/>
        <v/>
      </c>
      <c r="KO490" s="1785" t="str">
        <f t="shared" si="280"/>
        <v/>
      </c>
      <c r="KP490" s="1785" t="str">
        <f t="shared" si="281"/>
        <v/>
      </c>
      <c r="KQ490" s="1785" t="str">
        <f t="shared" si="282"/>
        <v/>
      </c>
      <c r="KR490" s="1785" t="str">
        <f t="shared" si="283"/>
        <v/>
      </c>
      <c r="KS490" s="1785" t="str">
        <f t="shared" si="284"/>
        <v/>
      </c>
      <c r="KT490" s="1785" t="str">
        <f t="shared" si="285"/>
        <v/>
      </c>
      <c r="KU490" s="1785" t="str">
        <f t="shared" si="286"/>
        <v/>
      </c>
      <c r="KV490" s="1785" t="str">
        <f t="shared" si="287"/>
        <v/>
      </c>
      <c r="KW490" s="1785" t="str">
        <f t="shared" si="288"/>
        <v/>
      </c>
      <c r="KX490" s="1785" t="str">
        <f t="shared" si="289"/>
        <v/>
      </c>
      <c r="KY490" s="1785" t="str">
        <f t="shared" si="290"/>
        <v/>
      </c>
      <c r="KZ490" s="1785" t="str">
        <f t="shared" si="291"/>
        <v/>
      </c>
      <c r="LA490" s="1785" t="str">
        <f t="shared" si="292"/>
        <v/>
      </c>
      <c r="LB490" s="1785" t="str">
        <f t="shared" si="293"/>
        <v/>
      </c>
      <c r="LC490" s="1785" t="str">
        <f t="shared" si="294"/>
        <v/>
      </c>
      <c r="LD490" s="1785" t="str">
        <f t="shared" si="295"/>
        <v/>
      </c>
      <c r="LE490" s="1785" t="str">
        <f t="shared" si="296"/>
        <v/>
      </c>
      <c r="LF490" s="1785" t="str">
        <f t="shared" si="297"/>
        <v/>
      </c>
      <c r="LG490" s="1785" t="str">
        <f t="shared" si="298"/>
        <v/>
      </c>
      <c r="LH490" s="1785" t="str">
        <f t="shared" si="299"/>
        <v/>
      </c>
      <c r="LI490" s="1785" t="str">
        <f t="shared" si="300"/>
        <v/>
      </c>
      <c r="LJ490" s="1785" t="str">
        <f t="shared" si="301"/>
        <v/>
      </c>
      <c r="LK490" s="1785" t="str">
        <f t="shared" si="302"/>
        <v/>
      </c>
      <c r="LL490" s="1785" t="str">
        <f t="shared" si="303"/>
        <v/>
      </c>
      <c r="LM490" s="1785" t="str">
        <f t="shared" si="304"/>
        <v/>
      </c>
      <c r="LN490" s="1785" t="str">
        <f t="shared" si="305"/>
        <v/>
      </c>
      <c r="LO490" s="1785" t="str">
        <f t="shared" si="306"/>
        <v/>
      </c>
      <c r="LP490" s="1785" t="str">
        <f t="shared" si="307"/>
        <v/>
      </c>
      <c r="LQ490" s="1785" t="str">
        <f t="shared" si="308"/>
        <v/>
      </c>
      <c r="LR490" s="1785" t="str">
        <f t="shared" si="309"/>
        <v/>
      </c>
      <c r="LS490" s="1785" t="str">
        <f t="shared" si="310"/>
        <v/>
      </c>
      <c r="LT490" s="1785" t="str">
        <f t="shared" si="311"/>
        <v/>
      </c>
      <c r="LU490" s="1785" t="str">
        <f t="shared" si="312"/>
        <v/>
      </c>
      <c r="LV490" s="1785" t="str">
        <f t="shared" si="313"/>
        <v/>
      </c>
      <c r="LW490" s="1785" t="str">
        <f t="shared" si="314"/>
        <v/>
      </c>
      <c r="LX490" s="1785" t="str">
        <f t="shared" si="315"/>
        <v/>
      </c>
      <c r="LY490" s="1785" t="str">
        <f t="shared" si="316"/>
        <v/>
      </c>
      <c r="LZ490" s="1785" t="str">
        <f t="shared" si="317"/>
        <v/>
      </c>
      <c r="MA490" s="1785" t="str">
        <f t="shared" si="318"/>
        <v/>
      </c>
      <c r="MB490" s="1785" t="str">
        <f t="shared" si="319"/>
        <v/>
      </c>
      <c r="MC490" s="1785" t="str">
        <f t="shared" si="320"/>
        <v/>
      </c>
      <c r="MD490" s="1785" t="str">
        <f t="shared" si="321"/>
        <v/>
      </c>
      <c r="ME490" s="1785" t="str">
        <f t="shared" si="322"/>
        <v/>
      </c>
      <c r="MF490" s="1785" t="str">
        <f t="shared" si="323"/>
        <v/>
      </c>
      <c r="MG490" s="1785" t="str">
        <f t="shared" si="324"/>
        <v/>
      </c>
      <c r="MH490" s="1785" t="str">
        <f t="shared" si="325"/>
        <v/>
      </c>
      <c r="MI490" s="1785" t="str">
        <f t="shared" si="326"/>
        <v/>
      </c>
      <c r="MJ490" s="1785" t="str">
        <f t="shared" si="327"/>
        <v/>
      </c>
      <c r="MK490" s="1785" t="str">
        <f t="shared" si="328"/>
        <v/>
      </c>
      <c r="ML490" s="1785" t="str">
        <f t="shared" si="329"/>
        <v/>
      </c>
      <c r="MM490" s="1785" t="str">
        <f t="shared" si="330"/>
        <v/>
      </c>
      <c r="MN490" s="1785" t="str">
        <f t="shared" si="331"/>
        <v/>
      </c>
      <c r="MO490" s="1785" t="str">
        <f t="shared" si="332"/>
        <v/>
      </c>
      <c r="MP490" s="2470" t="str">
        <f t="shared" si="333"/>
        <v/>
      </c>
      <c r="MQ490" s="2470" t="str">
        <f t="shared" si="334"/>
        <v/>
      </c>
      <c r="MR490" s="2470" t="str">
        <f t="shared" si="335"/>
        <v/>
      </c>
      <c r="MS490" s="2470" t="str">
        <f t="shared" si="336"/>
        <v/>
      </c>
      <c r="MT490" s="2470" t="str">
        <f t="shared" si="337"/>
        <v/>
      </c>
      <c r="MU490" s="356" t="str">
        <f t="shared" si="338"/>
        <v/>
      </c>
      <c r="MV490" s="356" t="str">
        <f t="shared" si="339"/>
        <v/>
      </c>
      <c r="MW490" s="356" t="str">
        <f t="shared" si="340"/>
        <v/>
      </c>
      <c r="MX490" s="356" t="str">
        <f t="shared" si="341"/>
        <v/>
      </c>
      <c r="MY490" s="356" t="str">
        <f t="shared" si="342"/>
        <v/>
      </c>
      <c r="MZ490" s="356" t="str">
        <f t="shared" si="343"/>
        <v/>
      </c>
      <c r="NA490" s="356" t="str">
        <f t="shared" si="344"/>
        <v/>
      </c>
      <c r="NB490" s="356" t="str">
        <f t="shared" si="345"/>
        <v/>
      </c>
      <c r="NC490" s="356" t="str">
        <f t="shared" si="346"/>
        <v/>
      </c>
      <c r="ND490" s="356" t="str">
        <f t="shared" si="347"/>
        <v/>
      </c>
      <c r="NE490" s="356" t="str">
        <f t="shared" si="348"/>
        <v/>
      </c>
      <c r="NF490" s="356" t="str">
        <f t="shared" si="349"/>
        <v/>
      </c>
      <c r="NG490" s="356" t="str">
        <f t="shared" si="350"/>
        <v/>
      </c>
      <c r="NH490" s="356" t="str">
        <f t="shared" si="351"/>
        <v/>
      </c>
      <c r="NI490" s="356" t="str">
        <f t="shared" si="352"/>
        <v/>
      </c>
      <c r="NJ490" s="356" t="str">
        <f t="shared" si="353"/>
        <v/>
      </c>
      <c r="NK490" s="356" t="str">
        <f t="shared" si="354"/>
        <v/>
      </c>
      <c r="NL490" s="356" t="str">
        <f t="shared" si="355"/>
        <v/>
      </c>
      <c r="NM490" s="356" t="str">
        <f t="shared" si="356"/>
        <v/>
      </c>
      <c r="NN490" s="356" t="str">
        <f t="shared" si="357"/>
        <v/>
      </c>
      <c r="NO490" s="1640">
        <f t="shared" si="358"/>
        <v>0</v>
      </c>
      <c r="NP490" s="1640">
        <f t="shared" si="359"/>
        <v>0</v>
      </c>
      <c r="NQ490" s="1640">
        <f t="shared" si="360"/>
        <v>0</v>
      </c>
      <c r="NR490" s="1640">
        <f t="shared" si="361"/>
        <v>0</v>
      </c>
      <c r="NS490" s="1640">
        <f t="shared" si="362"/>
        <v>0</v>
      </c>
      <c r="NT490" s="1640">
        <f t="shared" si="368"/>
        <v>0</v>
      </c>
      <c r="NU490" s="1640">
        <f t="shared" si="369"/>
        <v>0</v>
      </c>
      <c r="NV490" s="1640">
        <f t="shared" si="370"/>
        <v>0</v>
      </c>
      <c r="NW490" s="1640">
        <f t="shared" si="371"/>
        <v>0</v>
      </c>
      <c r="NX490" s="1640">
        <f t="shared" si="372"/>
        <v>0</v>
      </c>
      <c r="NY490" s="1640">
        <f t="shared" si="363"/>
        <v>0</v>
      </c>
      <c r="NZ490" s="1640">
        <f t="shared" si="364"/>
        <v>0</v>
      </c>
      <c r="OA490" s="1640">
        <f t="shared" si="365"/>
        <v>0</v>
      </c>
      <c r="OB490" s="1640">
        <f t="shared" si="366"/>
        <v>0</v>
      </c>
      <c r="OC490" s="1640">
        <f t="shared" si="367"/>
        <v>0</v>
      </c>
      <c r="OY490" s="356" t="s">
        <v>4323</v>
      </c>
      <c r="OZ490" s="1784">
        <v>37</v>
      </c>
    </row>
    <row r="491" spans="1:416" ht="12" customHeight="1">
      <c r="A491" s="2706" t="str">
        <f t="shared" si="0"/>
        <v/>
      </c>
      <c r="B491" s="2725">
        <f>'Part V-Revenues &amp; Expenses'!B38</f>
        <v>0</v>
      </c>
      <c r="C491" s="2726">
        <f>'Part V-Revenues &amp; Expenses'!C38</f>
        <v>0</v>
      </c>
      <c r="D491" s="2727">
        <f>'Part V-Revenues &amp; Expenses'!D38</f>
        <v>0</v>
      </c>
      <c r="E491" s="2728">
        <f>'Part V-Revenues &amp; Expenses'!E38</f>
        <v>0</v>
      </c>
      <c r="F491" s="2728">
        <f>'Part V-Revenues &amp; Expenses'!F38</f>
        <v>0</v>
      </c>
      <c r="G491" s="2728">
        <f>'Part V-Revenues &amp; Expenses'!G38</f>
        <v>0</v>
      </c>
      <c r="H491" s="2728">
        <f>'Part V-Revenues &amp; Expenses'!H38</f>
        <v>0</v>
      </c>
      <c r="I491" s="2728">
        <f>'Part V-Revenues &amp; Expenses'!I38</f>
        <v>0</v>
      </c>
      <c r="J491" s="2728">
        <f>'Part V-Revenues &amp; Expenses'!J38</f>
        <v>0</v>
      </c>
      <c r="K491" s="2729">
        <f>'Part V-Revenues &amp; Expenses'!K38</f>
        <v>0</v>
      </c>
      <c r="L491" s="2730">
        <f t="shared" si="1"/>
        <v>0</v>
      </c>
      <c r="M491" s="2730">
        <f t="shared" si="2"/>
        <v>0</v>
      </c>
      <c r="N491" s="2580">
        <f>'Part V-Revenues &amp; Expenses'!N38</f>
        <v>0</v>
      </c>
      <c r="O491" s="1248">
        <f>'Part V-Revenues &amp; Expenses'!O38</f>
        <v>0</v>
      </c>
      <c r="P491" s="2580">
        <f>'Part V-Revenues &amp; Expenses'!P38</f>
        <v>0</v>
      </c>
      <c r="Q491" s="2469">
        <f>'Part V-Revenues &amp; Expenses'!Q38</f>
        <v>0</v>
      </c>
      <c r="R491" s="2731"/>
      <c r="S491" s="2732"/>
      <c r="T491" s="2647"/>
      <c r="U491" s="2647"/>
      <c r="V491" s="2647"/>
      <c r="W491" s="2647"/>
      <c r="X491" s="356" t="str">
        <f t="shared" si="3"/>
        <v/>
      </c>
      <c r="Y491" s="356" t="str">
        <f t="shared" si="4"/>
        <v/>
      </c>
      <c r="Z491" s="356" t="str">
        <f t="shared" si="5"/>
        <v/>
      </c>
      <c r="AA491" s="356" t="str">
        <f t="shared" si="6"/>
        <v/>
      </c>
      <c r="AB491" s="356" t="str">
        <f t="shared" si="7"/>
        <v/>
      </c>
      <c r="AC491" s="356" t="str">
        <f t="shared" si="8"/>
        <v/>
      </c>
      <c r="AD491" s="356" t="str">
        <f t="shared" si="9"/>
        <v/>
      </c>
      <c r="AE491" s="356" t="str">
        <f t="shared" si="10"/>
        <v/>
      </c>
      <c r="AF491" s="356" t="str">
        <f t="shared" si="11"/>
        <v/>
      </c>
      <c r="AG491" s="356" t="str">
        <f t="shared" si="12"/>
        <v/>
      </c>
      <c r="AH491" s="356" t="str">
        <f t="shared" si="13"/>
        <v/>
      </c>
      <c r="AI491" s="356" t="str">
        <f t="shared" si="14"/>
        <v/>
      </c>
      <c r="AJ491" s="356" t="str">
        <f t="shared" si="15"/>
        <v/>
      </c>
      <c r="AK491" s="356" t="str">
        <f t="shared" si="16"/>
        <v/>
      </c>
      <c r="AL491" s="356" t="str">
        <f t="shared" si="17"/>
        <v/>
      </c>
      <c r="AM491" s="356" t="str">
        <f t="shared" si="18"/>
        <v/>
      </c>
      <c r="AN491" s="356" t="str">
        <f t="shared" si="19"/>
        <v/>
      </c>
      <c r="AO491" s="356" t="str">
        <f t="shared" si="20"/>
        <v/>
      </c>
      <c r="AP491" s="356" t="str">
        <f t="shared" si="21"/>
        <v/>
      </c>
      <c r="AQ491" s="356" t="str">
        <f t="shared" si="22"/>
        <v/>
      </c>
      <c r="AR491" s="356" t="str">
        <f t="shared" si="23"/>
        <v/>
      </c>
      <c r="AS491" s="356" t="str">
        <f t="shared" si="24"/>
        <v/>
      </c>
      <c r="AT491" s="356" t="str">
        <f t="shared" si="25"/>
        <v/>
      </c>
      <c r="AU491" s="356" t="str">
        <f t="shared" si="26"/>
        <v/>
      </c>
      <c r="AV491" s="356" t="str">
        <f t="shared" si="27"/>
        <v/>
      </c>
      <c r="AW491" s="356" t="str">
        <f t="shared" si="28"/>
        <v/>
      </c>
      <c r="AX491" s="356" t="str">
        <f t="shared" si="29"/>
        <v/>
      </c>
      <c r="AY491" s="356" t="str">
        <f t="shared" si="30"/>
        <v/>
      </c>
      <c r="AZ491" s="356" t="str">
        <f t="shared" si="31"/>
        <v/>
      </c>
      <c r="BA491" s="356" t="str">
        <f t="shared" si="32"/>
        <v/>
      </c>
      <c r="BB491" s="356" t="str">
        <f t="shared" si="33"/>
        <v/>
      </c>
      <c r="BC491" s="356" t="str">
        <f t="shared" si="34"/>
        <v/>
      </c>
      <c r="BD491" s="356" t="str">
        <f t="shared" si="35"/>
        <v/>
      </c>
      <c r="BE491" s="356" t="str">
        <f t="shared" si="36"/>
        <v/>
      </c>
      <c r="BF491" s="356" t="str">
        <f t="shared" si="37"/>
        <v/>
      </c>
      <c r="BG491" s="356" t="str">
        <f t="shared" si="38"/>
        <v/>
      </c>
      <c r="BH491" s="356" t="str">
        <f t="shared" si="39"/>
        <v/>
      </c>
      <c r="BI491" s="356" t="str">
        <f t="shared" si="40"/>
        <v/>
      </c>
      <c r="BJ491" s="356" t="str">
        <f t="shared" si="41"/>
        <v/>
      </c>
      <c r="BK491" s="356" t="str">
        <f t="shared" si="42"/>
        <v/>
      </c>
      <c r="BL491" s="356" t="str">
        <f t="shared" si="43"/>
        <v/>
      </c>
      <c r="BM491" s="356" t="str">
        <f t="shared" si="44"/>
        <v/>
      </c>
      <c r="BN491" s="356" t="str">
        <f t="shared" si="45"/>
        <v/>
      </c>
      <c r="BO491" s="356" t="str">
        <f t="shared" si="46"/>
        <v/>
      </c>
      <c r="BP491" s="356" t="str">
        <f t="shared" si="47"/>
        <v/>
      </c>
      <c r="BQ491" s="356" t="str">
        <f t="shared" si="48"/>
        <v/>
      </c>
      <c r="BR491" s="356" t="str">
        <f t="shared" si="49"/>
        <v/>
      </c>
      <c r="BS491" s="356" t="str">
        <f t="shared" si="50"/>
        <v/>
      </c>
      <c r="BT491" s="356" t="str">
        <f t="shared" si="51"/>
        <v/>
      </c>
      <c r="BU491" s="356" t="str">
        <f t="shared" si="52"/>
        <v/>
      </c>
      <c r="BV491" s="356" t="str">
        <f t="shared" si="53"/>
        <v/>
      </c>
      <c r="BW491" s="356" t="str">
        <f t="shared" si="54"/>
        <v/>
      </c>
      <c r="BX491" s="356" t="str">
        <f t="shared" si="55"/>
        <v/>
      </c>
      <c r="BY491" s="356" t="str">
        <f t="shared" si="56"/>
        <v/>
      </c>
      <c r="BZ491" s="356" t="str">
        <f t="shared" si="57"/>
        <v/>
      </c>
      <c r="CA491" s="356" t="str">
        <f t="shared" si="58"/>
        <v/>
      </c>
      <c r="CB491" s="356" t="str">
        <f t="shared" si="59"/>
        <v/>
      </c>
      <c r="CC491" s="356" t="str">
        <f t="shared" si="60"/>
        <v/>
      </c>
      <c r="CD491" s="356" t="str">
        <f t="shared" si="61"/>
        <v/>
      </c>
      <c r="CE491" s="356" t="str">
        <f t="shared" si="62"/>
        <v/>
      </c>
      <c r="CF491" s="356" t="str">
        <f t="shared" si="63"/>
        <v/>
      </c>
      <c r="CG491" s="356" t="str">
        <f t="shared" si="64"/>
        <v/>
      </c>
      <c r="CH491" s="356" t="str">
        <f t="shared" si="65"/>
        <v/>
      </c>
      <c r="CI491" s="356" t="str">
        <f t="shared" si="66"/>
        <v/>
      </c>
      <c r="CJ491" s="356" t="str">
        <f t="shared" si="67"/>
        <v/>
      </c>
      <c r="CK491" s="356" t="str">
        <f t="shared" si="68"/>
        <v/>
      </c>
      <c r="CL491" s="356" t="str">
        <f t="shared" si="69"/>
        <v/>
      </c>
      <c r="CM491" s="356" t="str">
        <f t="shared" si="70"/>
        <v/>
      </c>
      <c r="CN491" s="356" t="str">
        <f t="shared" si="71"/>
        <v/>
      </c>
      <c r="CO491" s="356" t="str">
        <f t="shared" si="72"/>
        <v/>
      </c>
      <c r="CP491" s="356" t="str">
        <f t="shared" si="73"/>
        <v/>
      </c>
      <c r="CQ491" s="356" t="str">
        <f t="shared" si="74"/>
        <v/>
      </c>
      <c r="CR491" s="356" t="str">
        <f t="shared" si="75"/>
        <v/>
      </c>
      <c r="CS491" s="356" t="str">
        <f t="shared" si="76"/>
        <v/>
      </c>
      <c r="CT491" s="356" t="str">
        <f t="shared" si="77"/>
        <v/>
      </c>
      <c r="CU491" s="356" t="str">
        <f t="shared" si="78"/>
        <v/>
      </c>
      <c r="CV491" s="356" t="str">
        <f t="shared" si="79"/>
        <v/>
      </c>
      <c r="CW491" s="356" t="str">
        <f t="shared" si="80"/>
        <v/>
      </c>
      <c r="CX491" s="356" t="str">
        <f t="shared" si="81"/>
        <v/>
      </c>
      <c r="CY491" s="356" t="str">
        <f t="shared" si="82"/>
        <v/>
      </c>
      <c r="CZ491" s="356" t="str">
        <f t="shared" si="83"/>
        <v/>
      </c>
      <c r="DA491" s="356" t="str">
        <f t="shared" si="84"/>
        <v/>
      </c>
      <c r="DB491" s="356" t="str">
        <f t="shared" si="85"/>
        <v/>
      </c>
      <c r="DC491" s="356" t="str">
        <f t="shared" si="86"/>
        <v/>
      </c>
      <c r="DD491" s="356" t="str">
        <f t="shared" si="87"/>
        <v/>
      </c>
      <c r="DE491" s="356" t="str">
        <f t="shared" si="88"/>
        <v/>
      </c>
      <c r="DF491" s="356" t="str">
        <f t="shared" si="89"/>
        <v/>
      </c>
      <c r="DG491" s="356" t="str">
        <f t="shared" si="90"/>
        <v/>
      </c>
      <c r="DH491" s="356" t="str">
        <f t="shared" si="91"/>
        <v/>
      </c>
      <c r="DI491" s="356" t="str">
        <f t="shared" si="92"/>
        <v/>
      </c>
      <c r="DJ491" s="356" t="str">
        <f t="shared" si="93"/>
        <v/>
      </c>
      <c r="DK491" s="356" t="str">
        <f t="shared" si="94"/>
        <v/>
      </c>
      <c r="DL491" s="356" t="str">
        <f t="shared" si="95"/>
        <v/>
      </c>
      <c r="DM491" s="356" t="str">
        <f t="shared" si="96"/>
        <v/>
      </c>
      <c r="DN491" s="356" t="str">
        <f t="shared" si="97"/>
        <v/>
      </c>
      <c r="DO491" s="356" t="str">
        <f t="shared" si="98"/>
        <v/>
      </c>
      <c r="DP491" s="356" t="str">
        <f t="shared" si="99"/>
        <v/>
      </c>
      <c r="DQ491" s="356" t="str">
        <f t="shared" si="100"/>
        <v/>
      </c>
      <c r="DR491" s="356" t="str">
        <f t="shared" si="101"/>
        <v/>
      </c>
      <c r="DS491" s="356" t="str">
        <f t="shared" si="102"/>
        <v/>
      </c>
      <c r="DT491" s="356" t="str">
        <f t="shared" si="103"/>
        <v/>
      </c>
      <c r="DU491" s="356" t="str">
        <f t="shared" si="104"/>
        <v/>
      </c>
      <c r="DV491" s="356" t="str">
        <f t="shared" si="105"/>
        <v/>
      </c>
      <c r="DW491" s="356" t="str">
        <f t="shared" si="106"/>
        <v/>
      </c>
      <c r="DX491" s="356" t="str">
        <f t="shared" si="107"/>
        <v/>
      </c>
      <c r="DY491" s="356" t="str">
        <f t="shared" si="108"/>
        <v/>
      </c>
      <c r="DZ491" s="356" t="str">
        <f t="shared" si="109"/>
        <v/>
      </c>
      <c r="EA491" s="356" t="str">
        <f t="shared" si="110"/>
        <v/>
      </c>
      <c r="EB491" s="356" t="str">
        <f t="shared" si="111"/>
        <v/>
      </c>
      <c r="EC491" s="356" t="str">
        <f t="shared" si="112"/>
        <v/>
      </c>
      <c r="ED491" s="356" t="str">
        <f t="shared" si="113"/>
        <v/>
      </c>
      <c r="EE491" s="356" t="str">
        <f t="shared" si="114"/>
        <v/>
      </c>
      <c r="EF491" s="356" t="str">
        <f t="shared" si="115"/>
        <v/>
      </c>
      <c r="EG491" s="356" t="str">
        <f t="shared" si="116"/>
        <v/>
      </c>
      <c r="EH491" s="356" t="str">
        <f t="shared" si="117"/>
        <v/>
      </c>
      <c r="EI491" s="356" t="str">
        <f t="shared" si="118"/>
        <v/>
      </c>
      <c r="EJ491" s="356" t="str">
        <f t="shared" si="119"/>
        <v/>
      </c>
      <c r="EK491" s="356" t="str">
        <f t="shared" si="120"/>
        <v/>
      </c>
      <c r="EL491" s="356" t="str">
        <f t="shared" si="121"/>
        <v/>
      </c>
      <c r="EM491" s="356" t="str">
        <f t="shared" si="122"/>
        <v/>
      </c>
      <c r="EN491" s="356" t="str">
        <f t="shared" si="123"/>
        <v/>
      </c>
      <c r="EO491" s="356" t="str">
        <f t="shared" si="124"/>
        <v/>
      </c>
      <c r="EP491" s="356" t="str">
        <f t="shared" si="125"/>
        <v/>
      </c>
      <c r="EQ491" s="356" t="str">
        <f t="shared" si="126"/>
        <v/>
      </c>
      <c r="ER491" s="356" t="str">
        <f t="shared" si="127"/>
        <v/>
      </c>
      <c r="ES491" s="356" t="str">
        <f t="shared" si="128"/>
        <v/>
      </c>
      <c r="ET491" s="356" t="str">
        <f t="shared" si="129"/>
        <v/>
      </c>
      <c r="EU491" s="356" t="str">
        <f t="shared" si="130"/>
        <v/>
      </c>
      <c r="EV491" s="356" t="str">
        <f t="shared" si="131"/>
        <v/>
      </c>
      <c r="EW491" s="356" t="str">
        <f t="shared" si="132"/>
        <v/>
      </c>
      <c r="EX491" s="356" t="str">
        <f t="shared" si="133"/>
        <v/>
      </c>
      <c r="EY491" s="356" t="str">
        <f t="shared" si="134"/>
        <v/>
      </c>
      <c r="EZ491" s="356" t="str">
        <f t="shared" si="135"/>
        <v/>
      </c>
      <c r="FA491" s="356" t="str">
        <f t="shared" si="136"/>
        <v/>
      </c>
      <c r="FB491" s="356" t="str">
        <f t="shared" si="137"/>
        <v/>
      </c>
      <c r="FC491" s="356" t="str">
        <f t="shared" si="138"/>
        <v/>
      </c>
      <c r="FD491" s="356" t="str">
        <f t="shared" si="139"/>
        <v/>
      </c>
      <c r="FE491" s="356" t="str">
        <f t="shared" si="140"/>
        <v/>
      </c>
      <c r="FF491" s="356" t="str">
        <f t="shared" si="141"/>
        <v/>
      </c>
      <c r="FG491" s="356" t="str">
        <f t="shared" si="142"/>
        <v/>
      </c>
      <c r="FH491" s="356" t="str">
        <f t="shared" si="143"/>
        <v/>
      </c>
      <c r="FI491" s="356" t="str">
        <f t="shared" si="144"/>
        <v/>
      </c>
      <c r="FJ491" s="356" t="str">
        <f t="shared" si="145"/>
        <v/>
      </c>
      <c r="FK491" s="356" t="str">
        <f t="shared" si="146"/>
        <v/>
      </c>
      <c r="FL491" s="356" t="str">
        <f t="shared" si="147"/>
        <v/>
      </c>
      <c r="FM491" s="356" t="str">
        <f t="shared" si="148"/>
        <v/>
      </c>
      <c r="FN491" s="356" t="str">
        <f t="shared" si="149"/>
        <v/>
      </c>
      <c r="FO491" s="356" t="str">
        <f t="shared" si="150"/>
        <v/>
      </c>
      <c r="FP491" s="356" t="str">
        <f t="shared" si="151"/>
        <v/>
      </c>
      <c r="FQ491" s="356" t="str">
        <f t="shared" si="152"/>
        <v/>
      </c>
      <c r="FR491" s="356" t="str">
        <f t="shared" si="153"/>
        <v/>
      </c>
      <c r="FS491" s="356" t="str">
        <f t="shared" si="154"/>
        <v/>
      </c>
      <c r="FT491" s="356" t="str">
        <f t="shared" si="155"/>
        <v/>
      </c>
      <c r="FU491" s="356" t="str">
        <f t="shared" si="156"/>
        <v/>
      </c>
      <c r="FV491" s="356" t="str">
        <f t="shared" si="157"/>
        <v/>
      </c>
      <c r="FW491" s="356" t="str">
        <f t="shared" si="158"/>
        <v/>
      </c>
      <c r="FX491" s="356" t="str">
        <f t="shared" si="159"/>
        <v/>
      </c>
      <c r="FY491" s="356" t="str">
        <f t="shared" si="160"/>
        <v/>
      </c>
      <c r="FZ491" s="356" t="str">
        <f t="shared" si="161"/>
        <v/>
      </c>
      <c r="GA491" s="356" t="str">
        <f t="shared" si="162"/>
        <v/>
      </c>
      <c r="GB491" s="356" t="str">
        <f t="shared" si="163"/>
        <v/>
      </c>
      <c r="GC491" s="356" t="str">
        <f t="shared" si="164"/>
        <v/>
      </c>
      <c r="GD491" s="356" t="str">
        <f t="shared" si="165"/>
        <v/>
      </c>
      <c r="GE491" s="356" t="str">
        <f t="shared" si="166"/>
        <v/>
      </c>
      <c r="GF491" s="356" t="str">
        <f t="shared" si="167"/>
        <v/>
      </c>
      <c r="GG491" s="356" t="str">
        <f t="shared" si="168"/>
        <v/>
      </c>
      <c r="GH491" s="356" t="str">
        <f t="shared" si="169"/>
        <v/>
      </c>
      <c r="GI491" s="356" t="str">
        <f t="shared" si="170"/>
        <v/>
      </c>
      <c r="GJ491" s="356" t="str">
        <f t="shared" si="171"/>
        <v/>
      </c>
      <c r="GK491" s="356" t="str">
        <f t="shared" si="172"/>
        <v/>
      </c>
      <c r="GL491" s="356" t="str">
        <f t="shared" si="173"/>
        <v/>
      </c>
      <c r="GM491" s="356" t="str">
        <f t="shared" si="174"/>
        <v/>
      </c>
      <c r="GN491" s="356" t="str">
        <f t="shared" si="175"/>
        <v/>
      </c>
      <c r="GO491" s="356" t="str">
        <f t="shared" si="176"/>
        <v/>
      </c>
      <c r="GP491" s="356" t="str">
        <f t="shared" si="177"/>
        <v/>
      </c>
      <c r="GQ491" s="356" t="str">
        <f t="shared" si="178"/>
        <v/>
      </c>
      <c r="GR491" s="356" t="str">
        <f t="shared" si="179"/>
        <v/>
      </c>
      <c r="GS491" s="356" t="str">
        <f t="shared" si="180"/>
        <v/>
      </c>
      <c r="GT491" s="356" t="str">
        <f t="shared" si="181"/>
        <v/>
      </c>
      <c r="GU491" s="356" t="str">
        <f t="shared" si="182"/>
        <v/>
      </c>
      <c r="GV491" s="356" t="str">
        <f t="shared" si="183"/>
        <v/>
      </c>
      <c r="GW491" s="356" t="str">
        <f t="shared" si="184"/>
        <v/>
      </c>
      <c r="GX491" s="356" t="str">
        <f t="shared" si="185"/>
        <v/>
      </c>
      <c r="GY491" s="356" t="str">
        <f t="shared" si="186"/>
        <v/>
      </c>
      <c r="GZ491" s="356" t="str">
        <f t="shared" si="187"/>
        <v/>
      </c>
      <c r="HA491" s="356" t="str">
        <f t="shared" si="188"/>
        <v/>
      </c>
      <c r="HB491" s="356" t="str">
        <f t="shared" si="189"/>
        <v/>
      </c>
      <c r="HC491" s="356" t="str">
        <f t="shared" si="190"/>
        <v/>
      </c>
      <c r="HD491" s="356" t="str">
        <f t="shared" si="191"/>
        <v/>
      </c>
      <c r="HE491" s="356" t="str">
        <f t="shared" si="192"/>
        <v/>
      </c>
      <c r="HF491" s="356" t="str">
        <f t="shared" si="193"/>
        <v/>
      </c>
      <c r="HG491" s="356" t="str">
        <f t="shared" si="194"/>
        <v/>
      </c>
      <c r="HH491" s="356" t="str">
        <f t="shared" si="195"/>
        <v/>
      </c>
      <c r="HI491" s="356" t="str">
        <f t="shared" si="196"/>
        <v/>
      </c>
      <c r="HJ491" s="356" t="str">
        <f t="shared" si="197"/>
        <v/>
      </c>
      <c r="HK491" s="356" t="str">
        <f t="shared" si="198"/>
        <v/>
      </c>
      <c r="HL491" s="356" t="str">
        <f t="shared" si="199"/>
        <v/>
      </c>
      <c r="HM491" s="356" t="str">
        <f t="shared" si="200"/>
        <v/>
      </c>
      <c r="HN491" s="356" t="str">
        <f t="shared" si="201"/>
        <v/>
      </c>
      <c r="HO491" s="356" t="str">
        <f t="shared" si="202"/>
        <v/>
      </c>
      <c r="HP491" s="356" t="str">
        <f t="shared" si="203"/>
        <v/>
      </c>
      <c r="HQ491" s="356" t="str">
        <f t="shared" si="204"/>
        <v/>
      </c>
      <c r="HR491" s="356" t="str">
        <f t="shared" si="205"/>
        <v/>
      </c>
      <c r="HS491" s="356" t="str">
        <f t="shared" si="206"/>
        <v/>
      </c>
      <c r="HT491" s="356" t="str">
        <f t="shared" si="207"/>
        <v/>
      </c>
      <c r="HU491" s="356" t="str">
        <f t="shared" si="208"/>
        <v/>
      </c>
      <c r="HV491" s="356" t="str">
        <f t="shared" si="209"/>
        <v/>
      </c>
      <c r="HW491" s="356" t="str">
        <f t="shared" si="210"/>
        <v/>
      </c>
      <c r="HX491" s="356" t="str">
        <f t="shared" si="211"/>
        <v/>
      </c>
      <c r="HY491" s="356" t="str">
        <f t="shared" si="212"/>
        <v/>
      </c>
      <c r="HZ491" s="356" t="str">
        <f t="shared" si="213"/>
        <v/>
      </c>
      <c r="IA491" s="356" t="str">
        <f t="shared" si="214"/>
        <v/>
      </c>
      <c r="IB491" s="356" t="str">
        <f t="shared" si="215"/>
        <v/>
      </c>
      <c r="IC491" s="356" t="str">
        <f t="shared" si="216"/>
        <v/>
      </c>
      <c r="ID491" s="356" t="str">
        <f t="shared" si="217"/>
        <v/>
      </c>
      <c r="IE491" s="356" t="str">
        <f t="shared" si="218"/>
        <v/>
      </c>
      <c r="IF491" s="356" t="str">
        <f t="shared" si="219"/>
        <v/>
      </c>
      <c r="IG491" s="356" t="str">
        <f t="shared" si="220"/>
        <v/>
      </c>
      <c r="IH491" s="356" t="str">
        <f t="shared" si="221"/>
        <v/>
      </c>
      <c r="II491" s="356" t="str">
        <f t="shared" si="222"/>
        <v/>
      </c>
      <c r="IJ491" s="356" t="str">
        <f t="shared" si="223"/>
        <v/>
      </c>
      <c r="IK491" s="356" t="str">
        <f t="shared" si="224"/>
        <v/>
      </c>
      <c r="IL491" s="356" t="str">
        <f t="shared" si="225"/>
        <v/>
      </c>
      <c r="IM491" s="356" t="str">
        <f t="shared" si="226"/>
        <v/>
      </c>
      <c r="IN491" s="356" t="str">
        <f t="shared" si="227"/>
        <v/>
      </c>
      <c r="IO491" s="356" t="str">
        <f t="shared" si="228"/>
        <v/>
      </c>
      <c r="IP491" s="356" t="str">
        <f t="shared" si="229"/>
        <v/>
      </c>
      <c r="IQ491" s="356" t="str">
        <f t="shared" si="230"/>
        <v/>
      </c>
      <c r="IR491" s="356" t="str">
        <f t="shared" si="231"/>
        <v/>
      </c>
      <c r="IS491" s="356" t="str">
        <f t="shared" si="232"/>
        <v/>
      </c>
      <c r="IT491" s="356" t="str">
        <f t="shared" si="233"/>
        <v/>
      </c>
      <c r="IU491" s="356" t="str">
        <f t="shared" si="234"/>
        <v/>
      </c>
      <c r="IV491" s="356" t="str">
        <f t="shared" si="235"/>
        <v/>
      </c>
      <c r="IW491" s="356" t="str">
        <f t="shared" si="236"/>
        <v/>
      </c>
      <c r="IX491" s="356" t="str">
        <f t="shared" si="237"/>
        <v/>
      </c>
      <c r="IY491" s="356" t="str">
        <f t="shared" si="238"/>
        <v/>
      </c>
      <c r="IZ491" s="356" t="str">
        <f t="shared" si="239"/>
        <v/>
      </c>
      <c r="JA491" s="356" t="str">
        <f t="shared" si="240"/>
        <v/>
      </c>
      <c r="JB491" s="356" t="str">
        <f t="shared" si="241"/>
        <v/>
      </c>
      <c r="JC491" s="356" t="str">
        <f t="shared" si="242"/>
        <v/>
      </c>
      <c r="JD491" s="356" t="str">
        <f t="shared" si="243"/>
        <v/>
      </c>
      <c r="JE491" s="356" t="str">
        <f t="shared" si="244"/>
        <v/>
      </c>
      <c r="JF491" s="356" t="str">
        <f t="shared" si="245"/>
        <v/>
      </c>
      <c r="JG491" s="356" t="str">
        <f t="shared" si="246"/>
        <v/>
      </c>
      <c r="JH491" s="356" t="str">
        <f t="shared" si="247"/>
        <v/>
      </c>
      <c r="JI491" s="1785" t="str">
        <f t="shared" si="248"/>
        <v/>
      </c>
      <c r="JJ491" s="1785" t="str">
        <f t="shared" si="249"/>
        <v/>
      </c>
      <c r="JK491" s="1785" t="str">
        <f t="shared" si="250"/>
        <v/>
      </c>
      <c r="JL491" s="1785" t="str">
        <f t="shared" si="251"/>
        <v/>
      </c>
      <c r="JM491" s="1785" t="str">
        <f t="shared" si="252"/>
        <v/>
      </c>
      <c r="JN491" s="1785" t="str">
        <f t="shared" si="253"/>
        <v/>
      </c>
      <c r="JO491" s="1785" t="str">
        <f t="shared" si="254"/>
        <v/>
      </c>
      <c r="JP491" s="1785" t="str">
        <f t="shared" si="255"/>
        <v/>
      </c>
      <c r="JQ491" s="1785" t="str">
        <f t="shared" si="256"/>
        <v/>
      </c>
      <c r="JR491" s="1785" t="str">
        <f t="shared" si="257"/>
        <v/>
      </c>
      <c r="JS491" s="1785" t="str">
        <f t="shared" si="258"/>
        <v/>
      </c>
      <c r="JT491" s="1785" t="str">
        <f t="shared" si="259"/>
        <v/>
      </c>
      <c r="JU491" s="1785" t="str">
        <f t="shared" si="260"/>
        <v/>
      </c>
      <c r="JV491" s="1785" t="str">
        <f t="shared" si="261"/>
        <v/>
      </c>
      <c r="JW491" s="1785" t="str">
        <f t="shared" si="262"/>
        <v/>
      </c>
      <c r="JX491" s="1785" t="str">
        <f t="shared" si="263"/>
        <v/>
      </c>
      <c r="JY491" s="1785" t="str">
        <f t="shared" si="264"/>
        <v/>
      </c>
      <c r="JZ491" s="1785" t="str">
        <f t="shared" si="265"/>
        <v/>
      </c>
      <c r="KA491" s="1785" t="str">
        <f t="shared" si="266"/>
        <v/>
      </c>
      <c r="KB491" s="1785" t="str">
        <f t="shared" si="267"/>
        <v/>
      </c>
      <c r="KC491" s="1785" t="str">
        <f t="shared" si="268"/>
        <v/>
      </c>
      <c r="KD491" s="1785" t="str">
        <f t="shared" si="269"/>
        <v/>
      </c>
      <c r="KE491" s="1785" t="str">
        <f t="shared" si="270"/>
        <v/>
      </c>
      <c r="KF491" s="1785" t="str">
        <f t="shared" si="271"/>
        <v/>
      </c>
      <c r="KG491" s="1785" t="str">
        <f t="shared" si="272"/>
        <v/>
      </c>
      <c r="KH491" s="1785" t="str">
        <f t="shared" si="273"/>
        <v/>
      </c>
      <c r="KI491" s="1785" t="str">
        <f t="shared" si="274"/>
        <v/>
      </c>
      <c r="KJ491" s="1785" t="str">
        <f t="shared" si="275"/>
        <v/>
      </c>
      <c r="KK491" s="1785" t="str">
        <f t="shared" si="276"/>
        <v/>
      </c>
      <c r="KL491" s="1785" t="str">
        <f t="shared" si="277"/>
        <v/>
      </c>
      <c r="KM491" s="1785" t="str">
        <f t="shared" si="278"/>
        <v/>
      </c>
      <c r="KN491" s="1785" t="str">
        <f t="shared" si="279"/>
        <v/>
      </c>
      <c r="KO491" s="1785" t="str">
        <f t="shared" si="280"/>
        <v/>
      </c>
      <c r="KP491" s="1785" t="str">
        <f t="shared" si="281"/>
        <v/>
      </c>
      <c r="KQ491" s="1785" t="str">
        <f t="shared" si="282"/>
        <v/>
      </c>
      <c r="KR491" s="1785" t="str">
        <f t="shared" si="283"/>
        <v/>
      </c>
      <c r="KS491" s="1785" t="str">
        <f t="shared" si="284"/>
        <v/>
      </c>
      <c r="KT491" s="1785" t="str">
        <f t="shared" si="285"/>
        <v/>
      </c>
      <c r="KU491" s="1785" t="str">
        <f t="shared" si="286"/>
        <v/>
      </c>
      <c r="KV491" s="1785" t="str">
        <f t="shared" si="287"/>
        <v/>
      </c>
      <c r="KW491" s="1785" t="str">
        <f t="shared" si="288"/>
        <v/>
      </c>
      <c r="KX491" s="1785" t="str">
        <f t="shared" si="289"/>
        <v/>
      </c>
      <c r="KY491" s="1785" t="str">
        <f t="shared" si="290"/>
        <v/>
      </c>
      <c r="KZ491" s="1785" t="str">
        <f t="shared" si="291"/>
        <v/>
      </c>
      <c r="LA491" s="1785" t="str">
        <f t="shared" si="292"/>
        <v/>
      </c>
      <c r="LB491" s="1785" t="str">
        <f t="shared" si="293"/>
        <v/>
      </c>
      <c r="LC491" s="1785" t="str">
        <f t="shared" si="294"/>
        <v/>
      </c>
      <c r="LD491" s="1785" t="str">
        <f t="shared" si="295"/>
        <v/>
      </c>
      <c r="LE491" s="1785" t="str">
        <f t="shared" si="296"/>
        <v/>
      </c>
      <c r="LF491" s="1785" t="str">
        <f t="shared" si="297"/>
        <v/>
      </c>
      <c r="LG491" s="1785" t="str">
        <f t="shared" si="298"/>
        <v/>
      </c>
      <c r="LH491" s="1785" t="str">
        <f t="shared" si="299"/>
        <v/>
      </c>
      <c r="LI491" s="1785" t="str">
        <f t="shared" si="300"/>
        <v/>
      </c>
      <c r="LJ491" s="1785" t="str">
        <f t="shared" si="301"/>
        <v/>
      </c>
      <c r="LK491" s="1785" t="str">
        <f t="shared" si="302"/>
        <v/>
      </c>
      <c r="LL491" s="1785" t="str">
        <f t="shared" si="303"/>
        <v/>
      </c>
      <c r="LM491" s="1785" t="str">
        <f t="shared" si="304"/>
        <v/>
      </c>
      <c r="LN491" s="1785" t="str">
        <f t="shared" si="305"/>
        <v/>
      </c>
      <c r="LO491" s="1785" t="str">
        <f t="shared" si="306"/>
        <v/>
      </c>
      <c r="LP491" s="1785" t="str">
        <f t="shared" si="307"/>
        <v/>
      </c>
      <c r="LQ491" s="1785" t="str">
        <f t="shared" si="308"/>
        <v/>
      </c>
      <c r="LR491" s="1785" t="str">
        <f t="shared" si="309"/>
        <v/>
      </c>
      <c r="LS491" s="1785" t="str">
        <f t="shared" si="310"/>
        <v/>
      </c>
      <c r="LT491" s="1785" t="str">
        <f t="shared" si="311"/>
        <v/>
      </c>
      <c r="LU491" s="1785" t="str">
        <f t="shared" si="312"/>
        <v/>
      </c>
      <c r="LV491" s="1785" t="str">
        <f t="shared" si="313"/>
        <v/>
      </c>
      <c r="LW491" s="1785" t="str">
        <f t="shared" si="314"/>
        <v/>
      </c>
      <c r="LX491" s="1785" t="str">
        <f t="shared" si="315"/>
        <v/>
      </c>
      <c r="LY491" s="1785" t="str">
        <f t="shared" si="316"/>
        <v/>
      </c>
      <c r="LZ491" s="1785" t="str">
        <f t="shared" si="317"/>
        <v/>
      </c>
      <c r="MA491" s="1785" t="str">
        <f t="shared" si="318"/>
        <v/>
      </c>
      <c r="MB491" s="1785" t="str">
        <f t="shared" si="319"/>
        <v/>
      </c>
      <c r="MC491" s="1785" t="str">
        <f t="shared" si="320"/>
        <v/>
      </c>
      <c r="MD491" s="1785" t="str">
        <f t="shared" si="321"/>
        <v/>
      </c>
      <c r="ME491" s="1785" t="str">
        <f t="shared" si="322"/>
        <v/>
      </c>
      <c r="MF491" s="1785" t="str">
        <f t="shared" si="323"/>
        <v/>
      </c>
      <c r="MG491" s="1785" t="str">
        <f t="shared" si="324"/>
        <v/>
      </c>
      <c r="MH491" s="1785" t="str">
        <f t="shared" si="325"/>
        <v/>
      </c>
      <c r="MI491" s="1785" t="str">
        <f t="shared" si="326"/>
        <v/>
      </c>
      <c r="MJ491" s="1785" t="str">
        <f t="shared" si="327"/>
        <v/>
      </c>
      <c r="MK491" s="1785" t="str">
        <f t="shared" si="328"/>
        <v/>
      </c>
      <c r="ML491" s="1785" t="str">
        <f t="shared" si="329"/>
        <v/>
      </c>
      <c r="MM491" s="1785" t="str">
        <f t="shared" si="330"/>
        <v/>
      </c>
      <c r="MN491" s="1785" t="str">
        <f t="shared" si="331"/>
        <v/>
      </c>
      <c r="MO491" s="1785" t="str">
        <f t="shared" si="332"/>
        <v/>
      </c>
      <c r="MP491" s="2470" t="str">
        <f t="shared" si="333"/>
        <v/>
      </c>
      <c r="MQ491" s="2470" t="str">
        <f t="shared" si="334"/>
        <v/>
      </c>
      <c r="MR491" s="2470" t="str">
        <f t="shared" si="335"/>
        <v/>
      </c>
      <c r="MS491" s="2470" t="str">
        <f t="shared" si="336"/>
        <v/>
      </c>
      <c r="MT491" s="2470" t="str">
        <f t="shared" si="337"/>
        <v/>
      </c>
      <c r="MU491" s="356" t="str">
        <f t="shared" si="338"/>
        <v/>
      </c>
      <c r="MV491" s="356" t="str">
        <f t="shared" si="339"/>
        <v/>
      </c>
      <c r="MW491" s="356" t="str">
        <f t="shared" si="340"/>
        <v/>
      </c>
      <c r="MX491" s="356" t="str">
        <f t="shared" si="341"/>
        <v/>
      </c>
      <c r="MY491" s="356" t="str">
        <f t="shared" si="342"/>
        <v/>
      </c>
      <c r="MZ491" s="356" t="str">
        <f t="shared" si="343"/>
        <v/>
      </c>
      <c r="NA491" s="356" t="str">
        <f t="shared" si="344"/>
        <v/>
      </c>
      <c r="NB491" s="356" t="str">
        <f t="shared" si="345"/>
        <v/>
      </c>
      <c r="NC491" s="356" t="str">
        <f t="shared" si="346"/>
        <v/>
      </c>
      <c r="ND491" s="356" t="str">
        <f t="shared" si="347"/>
        <v/>
      </c>
      <c r="NE491" s="356" t="str">
        <f t="shared" si="348"/>
        <v/>
      </c>
      <c r="NF491" s="356" t="str">
        <f t="shared" si="349"/>
        <v/>
      </c>
      <c r="NG491" s="356" t="str">
        <f t="shared" si="350"/>
        <v/>
      </c>
      <c r="NH491" s="356" t="str">
        <f t="shared" si="351"/>
        <v/>
      </c>
      <c r="NI491" s="356" t="str">
        <f t="shared" si="352"/>
        <v/>
      </c>
      <c r="NJ491" s="356" t="str">
        <f t="shared" si="353"/>
        <v/>
      </c>
      <c r="NK491" s="356" t="str">
        <f t="shared" si="354"/>
        <v/>
      </c>
      <c r="NL491" s="356" t="str">
        <f t="shared" si="355"/>
        <v/>
      </c>
      <c r="NM491" s="356" t="str">
        <f t="shared" si="356"/>
        <v/>
      </c>
      <c r="NN491" s="356" t="str">
        <f t="shared" si="357"/>
        <v/>
      </c>
      <c r="NO491" s="1640">
        <f t="shared" si="358"/>
        <v>0</v>
      </c>
      <c r="NP491" s="1640">
        <f t="shared" si="359"/>
        <v>0</v>
      </c>
      <c r="NQ491" s="1640">
        <f t="shared" si="360"/>
        <v>0</v>
      </c>
      <c r="NR491" s="1640">
        <f t="shared" si="361"/>
        <v>0</v>
      </c>
      <c r="NS491" s="1640">
        <f t="shared" si="362"/>
        <v>0</v>
      </c>
      <c r="NT491" s="1640">
        <f t="shared" si="368"/>
        <v>0</v>
      </c>
      <c r="NU491" s="1640">
        <f t="shared" si="369"/>
        <v>0</v>
      </c>
      <c r="NV491" s="1640">
        <f t="shared" si="370"/>
        <v>0</v>
      </c>
      <c r="NW491" s="1640">
        <f t="shared" si="371"/>
        <v>0</v>
      </c>
      <c r="NX491" s="1640">
        <f t="shared" si="372"/>
        <v>0</v>
      </c>
      <c r="NY491" s="1640">
        <f t="shared" si="363"/>
        <v>0</v>
      </c>
      <c r="NZ491" s="1640">
        <f t="shared" si="364"/>
        <v>0</v>
      </c>
      <c r="OA491" s="1640">
        <f t="shared" si="365"/>
        <v>0</v>
      </c>
      <c r="OB491" s="1640">
        <f t="shared" si="366"/>
        <v>0</v>
      </c>
      <c r="OC491" s="1640">
        <f t="shared" si="367"/>
        <v>0</v>
      </c>
      <c r="OY491" s="356" t="s">
        <v>4324</v>
      </c>
      <c r="OZ491" s="1784">
        <v>38</v>
      </c>
    </row>
    <row r="492" spans="1:416" ht="12" customHeight="1">
      <c r="A492" s="2706" t="str">
        <f t="shared" si="0"/>
        <v/>
      </c>
      <c r="B492" s="2725">
        <f>'Part V-Revenues &amp; Expenses'!B39</f>
        <v>0</v>
      </c>
      <c r="C492" s="2726">
        <f>'Part V-Revenues &amp; Expenses'!C39</f>
        <v>0</v>
      </c>
      <c r="D492" s="2727">
        <f>'Part V-Revenues &amp; Expenses'!D39</f>
        <v>0</v>
      </c>
      <c r="E492" s="2728">
        <f>'Part V-Revenues &amp; Expenses'!E39</f>
        <v>0</v>
      </c>
      <c r="F492" s="2728">
        <f>'Part V-Revenues &amp; Expenses'!F39</f>
        <v>0</v>
      </c>
      <c r="G492" s="2728">
        <f>'Part V-Revenues &amp; Expenses'!G39</f>
        <v>0</v>
      </c>
      <c r="H492" s="2728">
        <f>'Part V-Revenues &amp; Expenses'!H39</f>
        <v>0</v>
      </c>
      <c r="I492" s="2728">
        <f>'Part V-Revenues &amp; Expenses'!I39</f>
        <v>0</v>
      </c>
      <c r="J492" s="2728">
        <f>'Part V-Revenues &amp; Expenses'!J39</f>
        <v>0</v>
      </c>
      <c r="K492" s="2729">
        <f>'Part V-Revenues &amp; Expenses'!K39</f>
        <v>0</v>
      </c>
      <c r="L492" s="2730">
        <f t="shared" si="1"/>
        <v>0</v>
      </c>
      <c r="M492" s="2730">
        <f t="shared" si="2"/>
        <v>0</v>
      </c>
      <c r="N492" s="2580">
        <f>'Part V-Revenues &amp; Expenses'!N39</f>
        <v>0</v>
      </c>
      <c r="O492" s="1248">
        <f>'Part V-Revenues &amp; Expenses'!O39</f>
        <v>0</v>
      </c>
      <c r="P492" s="2580">
        <f>'Part V-Revenues &amp; Expenses'!P39</f>
        <v>0</v>
      </c>
      <c r="Q492" s="2469">
        <f>'Part V-Revenues &amp; Expenses'!Q39</f>
        <v>0</v>
      </c>
      <c r="R492" s="2731"/>
      <c r="S492" s="2732"/>
      <c r="T492" s="2647"/>
      <c r="U492" s="2647"/>
      <c r="V492" s="2647"/>
      <c r="W492" s="2647"/>
      <c r="X492" s="356" t="str">
        <f t="shared" si="3"/>
        <v/>
      </c>
      <c r="Y492" s="356" t="str">
        <f t="shared" si="4"/>
        <v/>
      </c>
      <c r="Z492" s="356" t="str">
        <f t="shared" si="5"/>
        <v/>
      </c>
      <c r="AA492" s="356" t="str">
        <f t="shared" si="6"/>
        <v/>
      </c>
      <c r="AB492" s="356" t="str">
        <f t="shared" si="7"/>
        <v/>
      </c>
      <c r="AC492" s="356" t="str">
        <f t="shared" si="8"/>
        <v/>
      </c>
      <c r="AD492" s="356" t="str">
        <f t="shared" si="9"/>
        <v/>
      </c>
      <c r="AE492" s="356" t="str">
        <f t="shared" si="10"/>
        <v/>
      </c>
      <c r="AF492" s="356" t="str">
        <f t="shared" si="11"/>
        <v/>
      </c>
      <c r="AG492" s="356" t="str">
        <f t="shared" si="12"/>
        <v/>
      </c>
      <c r="AH492" s="356" t="str">
        <f t="shared" si="13"/>
        <v/>
      </c>
      <c r="AI492" s="356" t="str">
        <f t="shared" si="14"/>
        <v/>
      </c>
      <c r="AJ492" s="356" t="str">
        <f t="shared" si="15"/>
        <v/>
      </c>
      <c r="AK492" s="356" t="str">
        <f t="shared" si="16"/>
        <v/>
      </c>
      <c r="AL492" s="356" t="str">
        <f t="shared" si="17"/>
        <v/>
      </c>
      <c r="AM492" s="356" t="str">
        <f t="shared" si="18"/>
        <v/>
      </c>
      <c r="AN492" s="356" t="str">
        <f t="shared" si="19"/>
        <v/>
      </c>
      <c r="AO492" s="356" t="str">
        <f t="shared" si="20"/>
        <v/>
      </c>
      <c r="AP492" s="356" t="str">
        <f t="shared" si="21"/>
        <v/>
      </c>
      <c r="AQ492" s="356" t="str">
        <f t="shared" si="22"/>
        <v/>
      </c>
      <c r="AR492" s="356" t="str">
        <f t="shared" si="23"/>
        <v/>
      </c>
      <c r="AS492" s="356" t="str">
        <f t="shared" si="24"/>
        <v/>
      </c>
      <c r="AT492" s="356" t="str">
        <f t="shared" si="25"/>
        <v/>
      </c>
      <c r="AU492" s="356" t="str">
        <f t="shared" si="26"/>
        <v/>
      </c>
      <c r="AV492" s="356" t="str">
        <f t="shared" si="27"/>
        <v/>
      </c>
      <c r="AW492" s="356" t="str">
        <f t="shared" si="28"/>
        <v/>
      </c>
      <c r="AX492" s="356" t="str">
        <f t="shared" si="29"/>
        <v/>
      </c>
      <c r="AY492" s="356" t="str">
        <f t="shared" si="30"/>
        <v/>
      </c>
      <c r="AZ492" s="356" t="str">
        <f t="shared" si="31"/>
        <v/>
      </c>
      <c r="BA492" s="356" t="str">
        <f t="shared" si="32"/>
        <v/>
      </c>
      <c r="BB492" s="356" t="str">
        <f t="shared" si="33"/>
        <v/>
      </c>
      <c r="BC492" s="356" t="str">
        <f t="shared" si="34"/>
        <v/>
      </c>
      <c r="BD492" s="356" t="str">
        <f t="shared" si="35"/>
        <v/>
      </c>
      <c r="BE492" s="356" t="str">
        <f t="shared" si="36"/>
        <v/>
      </c>
      <c r="BF492" s="356" t="str">
        <f t="shared" si="37"/>
        <v/>
      </c>
      <c r="BG492" s="356" t="str">
        <f t="shared" si="38"/>
        <v/>
      </c>
      <c r="BH492" s="356" t="str">
        <f t="shared" si="39"/>
        <v/>
      </c>
      <c r="BI492" s="356" t="str">
        <f t="shared" si="40"/>
        <v/>
      </c>
      <c r="BJ492" s="356" t="str">
        <f t="shared" si="41"/>
        <v/>
      </c>
      <c r="BK492" s="356" t="str">
        <f t="shared" si="42"/>
        <v/>
      </c>
      <c r="BL492" s="356" t="str">
        <f t="shared" si="43"/>
        <v/>
      </c>
      <c r="BM492" s="356" t="str">
        <f t="shared" si="44"/>
        <v/>
      </c>
      <c r="BN492" s="356" t="str">
        <f t="shared" si="45"/>
        <v/>
      </c>
      <c r="BO492" s="356" t="str">
        <f t="shared" si="46"/>
        <v/>
      </c>
      <c r="BP492" s="356" t="str">
        <f t="shared" si="47"/>
        <v/>
      </c>
      <c r="BQ492" s="356" t="str">
        <f t="shared" si="48"/>
        <v/>
      </c>
      <c r="BR492" s="356" t="str">
        <f t="shared" si="49"/>
        <v/>
      </c>
      <c r="BS492" s="356" t="str">
        <f t="shared" si="50"/>
        <v/>
      </c>
      <c r="BT492" s="356" t="str">
        <f t="shared" si="51"/>
        <v/>
      </c>
      <c r="BU492" s="356" t="str">
        <f t="shared" si="52"/>
        <v/>
      </c>
      <c r="BV492" s="356" t="str">
        <f t="shared" si="53"/>
        <v/>
      </c>
      <c r="BW492" s="356" t="str">
        <f t="shared" si="54"/>
        <v/>
      </c>
      <c r="BX492" s="356" t="str">
        <f t="shared" si="55"/>
        <v/>
      </c>
      <c r="BY492" s="356" t="str">
        <f t="shared" si="56"/>
        <v/>
      </c>
      <c r="BZ492" s="356" t="str">
        <f t="shared" si="57"/>
        <v/>
      </c>
      <c r="CA492" s="356" t="str">
        <f t="shared" si="58"/>
        <v/>
      </c>
      <c r="CB492" s="356" t="str">
        <f t="shared" si="59"/>
        <v/>
      </c>
      <c r="CC492" s="356" t="str">
        <f t="shared" si="60"/>
        <v/>
      </c>
      <c r="CD492" s="356" t="str">
        <f t="shared" si="61"/>
        <v/>
      </c>
      <c r="CE492" s="356" t="str">
        <f t="shared" si="62"/>
        <v/>
      </c>
      <c r="CF492" s="356" t="str">
        <f t="shared" si="63"/>
        <v/>
      </c>
      <c r="CG492" s="356" t="str">
        <f t="shared" si="64"/>
        <v/>
      </c>
      <c r="CH492" s="356" t="str">
        <f t="shared" si="65"/>
        <v/>
      </c>
      <c r="CI492" s="356" t="str">
        <f t="shared" si="66"/>
        <v/>
      </c>
      <c r="CJ492" s="356" t="str">
        <f t="shared" si="67"/>
        <v/>
      </c>
      <c r="CK492" s="356" t="str">
        <f t="shared" si="68"/>
        <v/>
      </c>
      <c r="CL492" s="356" t="str">
        <f t="shared" si="69"/>
        <v/>
      </c>
      <c r="CM492" s="356" t="str">
        <f t="shared" si="70"/>
        <v/>
      </c>
      <c r="CN492" s="356" t="str">
        <f t="shared" si="71"/>
        <v/>
      </c>
      <c r="CO492" s="356" t="str">
        <f t="shared" si="72"/>
        <v/>
      </c>
      <c r="CP492" s="356" t="str">
        <f t="shared" si="73"/>
        <v/>
      </c>
      <c r="CQ492" s="356" t="str">
        <f t="shared" si="74"/>
        <v/>
      </c>
      <c r="CR492" s="356" t="str">
        <f t="shared" si="75"/>
        <v/>
      </c>
      <c r="CS492" s="356" t="str">
        <f t="shared" si="76"/>
        <v/>
      </c>
      <c r="CT492" s="356" t="str">
        <f t="shared" si="77"/>
        <v/>
      </c>
      <c r="CU492" s="356" t="str">
        <f t="shared" si="78"/>
        <v/>
      </c>
      <c r="CV492" s="356" t="str">
        <f t="shared" si="79"/>
        <v/>
      </c>
      <c r="CW492" s="356" t="str">
        <f t="shared" si="80"/>
        <v/>
      </c>
      <c r="CX492" s="356" t="str">
        <f t="shared" si="81"/>
        <v/>
      </c>
      <c r="CY492" s="356" t="str">
        <f t="shared" si="82"/>
        <v/>
      </c>
      <c r="CZ492" s="356" t="str">
        <f t="shared" si="83"/>
        <v/>
      </c>
      <c r="DA492" s="356" t="str">
        <f t="shared" si="84"/>
        <v/>
      </c>
      <c r="DB492" s="356" t="str">
        <f t="shared" si="85"/>
        <v/>
      </c>
      <c r="DC492" s="356" t="str">
        <f t="shared" si="86"/>
        <v/>
      </c>
      <c r="DD492" s="356" t="str">
        <f t="shared" si="87"/>
        <v/>
      </c>
      <c r="DE492" s="356" t="str">
        <f t="shared" si="88"/>
        <v/>
      </c>
      <c r="DF492" s="356" t="str">
        <f t="shared" si="89"/>
        <v/>
      </c>
      <c r="DG492" s="356" t="str">
        <f t="shared" si="90"/>
        <v/>
      </c>
      <c r="DH492" s="356" t="str">
        <f t="shared" si="91"/>
        <v/>
      </c>
      <c r="DI492" s="356" t="str">
        <f t="shared" si="92"/>
        <v/>
      </c>
      <c r="DJ492" s="356" t="str">
        <f t="shared" si="93"/>
        <v/>
      </c>
      <c r="DK492" s="356" t="str">
        <f t="shared" si="94"/>
        <v/>
      </c>
      <c r="DL492" s="356" t="str">
        <f t="shared" si="95"/>
        <v/>
      </c>
      <c r="DM492" s="356" t="str">
        <f t="shared" si="96"/>
        <v/>
      </c>
      <c r="DN492" s="356" t="str">
        <f t="shared" si="97"/>
        <v/>
      </c>
      <c r="DO492" s="356" t="str">
        <f t="shared" si="98"/>
        <v/>
      </c>
      <c r="DP492" s="356" t="str">
        <f t="shared" si="99"/>
        <v/>
      </c>
      <c r="DQ492" s="356" t="str">
        <f t="shared" si="100"/>
        <v/>
      </c>
      <c r="DR492" s="356" t="str">
        <f t="shared" si="101"/>
        <v/>
      </c>
      <c r="DS492" s="356" t="str">
        <f t="shared" si="102"/>
        <v/>
      </c>
      <c r="DT492" s="356" t="str">
        <f t="shared" si="103"/>
        <v/>
      </c>
      <c r="DU492" s="356" t="str">
        <f t="shared" si="104"/>
        <v/>
      </c>
      <c r="DV492" s="356" t="str">
        <f t="shared" si="105"/>
        <v/>
      </c>
      <c r="DW492" s="356" t="str">
        <f t="shared" si="106"/>
        <v/>
      </c>
      <c r="DX492" s="356" t="str">
        <f t="shared" si="107"/>
        <v/>
      </c>
      <c r="DY492" s="356" t="str">
        <f t="shared" si="108"/>
        <v/>
      </c>
      <c r="DZ492" s="356" t="str">
        <f t="shared" si="109"/>
        <v/>
      </c>
      <c r="EA492" s="356" t="str">
        <f t="shared" si="110"/>
        <v/>
      </c>
      <c r="EB492" s="356" t="str">
        <f t="shared" si="111"/>
        <v/>
      </c>
      <c r="EC492" s="356" t="str">
        <f t="shared" si="112"/>
        <v/>
      </c>
      <c r="ED492" s="356" t="str">
        <f t="shared" si="113"/>
        <v/>
      </c>
      <c r="EE492" s="356" t="str">
        <f t="shared" si="114"/>
        <v/>
      </c>
      <c r="EF492" s="356" t="str">
        <f t="shared" si="115"/>
        <v/>
      </c>
      <c r="EG492" s="356" t="str">
        <f t="shared" si="116"/>
        <v/>
      </c>
      <c r="EH492" s="356" t="str">
        <f t="shared" si="117"/>
        <v/>
      </c>
      <c r="EI492" s="356" t="str">
        <f t="shared" si="118"/>
        <v/>
      </c>
      <c r="EJ492" s="356" t="str">
        <f t="shared" si="119"/>
        <v/>
      </c>
      <c r="EK492" s="356" t="str">
        <f t="shared" si="120"/>
        <v/>
      </c>
      <c r="EL492" s="356" t="str">
        <f t="shared" si="121"/>
        <v/>
      </c>
      <c r="EM492" s="356" t="str">
        <f t="shared" si="122"/>
        <v/>
      </c>
      <c r="EN492" s="356" t="str">
        <f t="shared" si="123"/>
        <v/>
      </c>
      <c r="EO492" s="356" t="str">
        <f t="shared" si="124"/>
        <v/>
      </c>
      <c r="EP492" s="356" t="str">
        <f t="shared" si="125"/>
        <v/>
      </c>
      <c r="EQ492" s="356" t="str">
        <f t="shared" si="126"/>
        <v/>
      </c>
      <c r="ER492" s="356" t="str">
        <f t="shared" si="127"/>
        <v/>
      </c>
      <c r="ES492" s="356" t="str">
        <f t="shared" si="128"/>
        <v/>
      </c>
      <c r="ET492" s="356" t="str">
        <f t="shared" si="129"/>
        <v/>
      </c>
      <c r="EU492" s="356" t="str">
        <f t="shared" si="130"/>
        <v/>
      </c>
      <c r="EV492" s="356" t="str">
        <f t="shared" si="131"/>
        <v/>
      </c>
      <c r="EW492" s="356" t="str">
        <f t="shared" si="132"/>
        <v/>
      </c>
      <c r="EX492" s="356" t="str">
        <f t="shared" si="133"/>
        <v/>
      </c>
      <c r="EY492" s="356" t="str">
        <f t="shared" si="134"/>
        <v/>
      </c>
      <c r="EZ492" s="356" t="str">
        <f t="shared" si="135"/>
        <v/>
      </c>
      <c r="FA492" s="356" t="str">
        <f t="shared" si="136"/>
        <v/>
      </c>
      <c r="FB492" s="356" t="str">
        <f t="shared" si="137"/>
        <v/>
      </c>
      <c r="FC492" s="356" t="str">
        <f t="shared" si="138"/>
        <v/>
      </c>
      <c r="FD492" s="356" t="str">
        <f t="shared" si="139"/>
        <v/>
      </c>
      <c r="FE492" s="356" t="str">
        <f t="shared" si="140"/>
        <v/>
      </c>
      <c r="FF492" s="356" t="str">
        <f t="shared" si="141"/>
        <v/>
      </c>
      <c r="FG492" s="356" t="str">
        <f t="shared" si="142"/>
        <v/>
      </c>
      <c r="FH492" s="356" t="str">
        <f t="shared" si="143"/>
        <v/>
      </c>
      <c r="FI492" s="356" t="str">
        <f t="shared" si="144"/>
        <v/>
      </c>
      <c r="FJ492" s="356" t="str">
        <f t="shared" si="145"/>
        <v/>
      </c>
      <c r="FK492" s="356" t="str">
        <f t="shared" si="146"/>
        <v/>
      </c>
      <c r="FL492" s="356" t="str">
        <f t="shared" si="147"/>
        <v/>
      </c>
      <c r="FM492" s="356" t="str">
        <f t="shared" si="148"/>
        <v/>
      </c>
      <c r="FN492" s="356" t="str">
        <f t="shared" si="149"/>
        <v/>
      </c>
      <c r="FO492" s="356" t="str">
        <f t="shared" si="150"/>
        <v/>
      </c>
      <c r="FP492" s="356" t="str">
        <f t="shared" si="151"/>
        <v/>
      </c>
      <c r="FQ492" s="356" t="str">
        <f t="shared" si="152"/>
        <v/>
      </c>
      <c r="FR492" s="356" t="str">
        <f t="shared" si="153"/>
        <v/>
      </c>
      <c r="FS492" s="356" t="str">
        <f t="shared" si="154"/>
        <v/>
      </c>
      <c r="FT492" s="356" t="str">
        <f t="shared" si="155"/>
        <v/>
      </c>
      <c r="FU492" s="356" t="str">
        <f t="shared" si="156"/>
        <v/>
      </c>
      <c r="FV492" s="356" t="str">
        <f t="shared" si="157"/>
        <v/>
      </c>
      <c r="FW492" s="356" t="str">
        <f t="shared" si="158"/>
        <v/>
      </c>
      <c r="FX492" s="356" t="str">
        <f t="shared" si="159"/>
        <v/>
      </c>
      <c r="FY492" s="356" t="str">
        <f t="shared" si="160"/>
        <v/>
      </c>
      <c r="FZ492" s="356" t="str">
        <f t="shared" si="161"/>
        <v/>
      </c>
      <c r="GA492" s="356" t="str">
        <f t="shared" si="162"/>
        <v/>
      </c>
      <c r="GB492" s="356" t="str">
        <f t="shared" si="163"/>
        <v/>
      </c>
      <c r="GC492" s="356" t="str">
        <f t="shared" si="164"/>
        <v/>
      </c>
      <c r="GD492" s="356" t="str">
        <f t="shared" si="165"/>
        <v/>
      </c>
      <c r="GE492" s="356" t="str">
        <f t="shared" si="166"/>
        <v/>
      </c>
      <c r="GF492" s="356" t="str">
        <f t="shared" si="167"/>
        <v/>
      </c>
      <c r="GG492" s="356" t="str">
        <f t="shared" si="168"/>
        <v/>
      </c>
      <c r="GH492" s="356" t="str">
        <f t="shared" si="169"/>
        <v/>
      </c>
      <c r="GI492" s="356" t="str">
        <f t="shared" si="170"/>
        <v/>
      </c>
      <c r="GJ492" s="356" t="str">
        <f t="shared" si="171"/>
        <v/>
      </c>
      <c r="GK492" s="356" t="str">
        <f t="shared" si="172"/>
        <v/>
      </c>
      <c r="GL492" s="356" t="str">
        <f t="shared" si="173"/>
        <v/>
      </c>
      <c r="GM492" s="356" t="str">
        <f t="shared" si="174"/>
        <v/>
      </c>
      <c r="GN492" s="356" t="str">
        <f t="shared" si="175"/>
        <v/>
      </c>
      <c r="GO492" s="356" t="str">
        <f t="shared" si="176"/>
        <v/>
      </c>
      <c r="GP492" s="356" t="str">
        <f t="shared" si="177"/>
        <v/>
      </c>
      <c r="GQ492" s="356" t="str">
        <f t="shared" si="178"/>
        <v/>
      </c>
      <c r="GR492" s="356" t="str">
        <f t="shared" si="179"/>
        <v/>
      </c>
      <c r="GS492" s="356" t="str">
        <f t="shared" si="180"/>
        <v/>
      </c>
      <c r="GT492" s="356" t="str">
        <f t="shared" si="181"/>
        <v/>
      </c>
      <c r="GU492" s="356" t="str">
        <f t="shared" si="182"/>
        <v/>
      </c>
      <c r="GV492" s="356" t="str">
        <f t="shared" si="183"/>
        <v/>
      </c>
      <c r="GW492" s="356" t="str">
        <f t="shared" si="184"/>
        <v/>
      </c>
      <c r="GX492" s="356" t="str">
        <f t="shared" si="185"/>
        <v/>
      </c>
      <c r="GY492" s="356" t="str">
        <f t="shared" si="186"/>
        <v/>
      </c>
      <c r="GZ492" s="356" t="str">
        <f t="shared" si="187"/>
        <v/>
      </c>
      <c r="HA492" s="356" t="str">
        <f t="shared" si="188"/>
        <v/>
      </c>
      <c r="HB492" s="356" t="str">
        <f t="shared" si="189"/>
        <v/>
      </c>
      <c r="HC492" s="356" t="str">
        <f t="shared" si="190"/>
        <v/>
      </c>
      <c r="HD492" s="356" t="str">
        <f t="shared" si="191"/>
        <v/>
      </c>
      <c r="HE492" s="356" t="str">
        <f t="shared" si="192"/>
        <v/>
      </c>
      <c r="HF492" s="356" t="str">
        <f t="shared" si="193"/>
        <v/>
      </c>
      <c r="HG492" s="356" t="str">
        <f t="shared" si="194"/>
        <v/>
      </c>
      <c r="HH492" s="356" t="str">
        <f t="shared" si="195"/>
        <v/>
      </c>
      <c r="HI492" s="356" t="str">
        <f t="shared" si="196"/>
        <v/>
      </c>
      <c r="HJ492" s="356" t="str">
        <f t="shared" si="197"/>
        <v/>
      </c>
      <c r="HK492" s="356" t="str">
        <f t="shared" si="198"/>
        <v/>
      </c>
      <c r="HL492" s="356" t="str">
        <f t="shared" si="199"/>
        <v/>
      </c>
      <c r="HM492" s="356" t="str">
        <f t="shared" si="200"/>
        <v/>
      </c>
      <c r="HN492" s="356" t="str">
        <f t="shared" si="201"/>
        <v/>
      </c>
      <c r="HO492" s="356" t="str">
        <f t="shared" si="202"/>
        <v/>
      </c>
      <c r="HP492" s="356" t="str">
        <f t="shared" si="203"/>
        <v/>
      </c>
      <c r="HQ492" s="356" t="str">
        <f t="shared" si="204"/>
        <v/>
      </c>
      <c r="HR492" s="356" t="str">
        <f t="shared" si="205"/>
        <v/>
      </c>
      <c r="HS492" s="356" t="str">
        <f t="shared" si="206"/>
        <v/>
      </c>
      <c r="HT492" s="356" t="str">
        <f t="shared" si="207"/>
        <v/>
      </c>
      <c r="HU492" s="356" t="str">
        <f t="shared" si="208"/>
        <v/>
      </c>
      <c r="HV492" s="356" t="str">
        <f t="shared" si="209"/>
        <v/>
      </c>
      <c r="HW492" s="356" t="str">
        <f t="shared" si="210"/>
        <v/>
      </c>
      <c r="HX492" s="356" t="str">
        <f t="shared" si="211"/>
        <v/>
      </c>
      <c r="HY492" s="356" t="str">
        <f t="shared" si="212"/>
        <v/>
      </c>
      <c r="HZ492" s="356" t="str">
        <f t="shared" si="213"/>
        <v/>
      </c>
      <c r="IA492" s="356" t="str">
        <f t="shared" si="214"/>
        <v/>
      </c>
      <c r="IB492" s="356" t="str">
        <f t="shared" si="215"/>
        <v/>
      </c>
      <c r="IC492" s="356" t="str">
        <f t="shared" si="216"/>
        <v/>
      </c>
      <c r="ID492" s="356" t="str">
        <f t="shared" si="217"/>
        <v/>
      </c>
      <c r="IE492" s="356" t="str">
        <f t="shared" si="218"/>
        <v/>
      </c>
      <c r="IF492" s="356" t="str">
        <f t="shared" si="219"/>
        <v/>
      </c>
      <c r="IG492" s="356" t="str">
        <f t="shared" si="220"/>
        <v/>
      </c>
      <c r="IH492" s="356" t="str">
        <f t="shared" si="221"/>
        <v/>
      </c>
      <c r="II492" s="356" t="str">
        <f t="shared" si="222"/>
        <v/>
      </c>
      <c r="IJ492" s="356" t="str">
        <f t="shared" si="223"/>
        <v/>
      </c>
      <c r="IK492" s="356" t="str">
        <f t="shared" si="224"/>
        <v/>
      </c>
      <c r="IL492" s="356" t="str">
        <f t="shared" si="225"/>
        <v/>
      </c>
      <c r="IM492" s="356" t="str">
        <f t="shared" si="226"/>
        <v/>
      </c>
      <c r="IN492" s="356" t="str">
        <f t="shared" si="227"/>
        <v/>
      </c>
      <c r="IO492" s="356" t="str">
        <f t="shared" si="228"/>
        <v/>
      </c>
      <c r="IP492" s="356" t="str">
        <f t="shared" si="229"/>
        <v/>
      </c>
      <c r="IQ492" s="356" t="str">
        <f t="shared" si="230"/>
        <v/>
      </c>
      <c r="IR492" s="356" t="str">
        <f t="shared" si="231"/>
        <v/>
      </c>
      <c r="IS492" s="356" t="str">
        <f t="shared" si="232"/>
        <v/>
      </c>
      <c r="IT492" s="356" t="str">
        <f t="shared" si="233"/>
        <v/>
      </c>
      <c r="IU492" s="356" t="str">
        <f t="shared" si="234"/>
        <v/>
      </c>
      <c r="IV492" s="356" t="str">
        <f t="shared" si="235"/>
        <v/>
      </c>
      <c r="IW492" s="356" t="str">
        <f t="shared" si="236"/>
        <v/>
      </c>
      <c r="IX492" s="356" t="str">
        <f t="shared" si="237"/>
        <v/>
      </c>
      <c r="IY492" s="356" t="str">
        <f t="shared" si="238"/>
        <v/>
      </c>
      <c r="IZ492" s="356" t="str">
        <f t="shared" si="239"/>
        <v/>
      </c>
      <c r="JA492" s="356" t="str">
        <f t="shared" si="240"/>
        <v/>
      </c>
      <c r="JB492" s="356" t="str">
        <f t="shared" si="241"/>
        <v/>
      </c>
      <c r="JC492" s="356" t="str">
        <f t="shared" si="242"/>
        <v/>
      </c>
      <c r="JD492" s="356" t="str">
        <f t="shared" si="243"/>
        <v/>
      </c>
      <c r="JE492" s="356" t="str">
        <f t="shared" si="244"/>
        <v/>
      </c>
      <c r="JF492" s="356" t="str">
        <f t="shared" si="245"/>
        <v/>
      </c>
      <c r="JG492" s="356" t="str">
        <f t="shared" si="246"/>
        <v/>
      </c>
      <c r="JH492" s="356" t="str">
        <f t="shared" si="247"/>
        <v/>
      </c>
      <c r="JI492" s="1785" t="str">
        <f t="shared" si="248"/>
        <v/>
      </c>
      <c r="JJ492" s="1785" t="str">
        <f t="shared" si="249"/>
        <v/>
      </c>
      <c r="JK492" s="1785" t="str">
        <f t="shared" si="250"/>
        <v/>
      </c>
      <c r="JL492" s="1785" t="str">
        <f t="shared" si="251"/>
        <v/>
      </c>
      <c r="JM492" s="1785" t="str">
        <f t="shared" si="252"/>
        <v/>
      </c>
      <c r="JN492" s="1785" t="str">
        <f t="shared" si="253"/>
        <v/>
      </c>
      <c r="JO492" s="1785" t="str">
        <f t="shared" si="254"/>
        <v/>
      </c>
      <c r="JP492" s="1785" t="str">
        <f t="shared" si="255"/>
        <v/>
      </c>
      <c r="JQ492" s="1785" t="str">
        <f t="shared" si="256"/>
        <v/>
      </c>
      <c r="JR492" s="1785" t="str">
        <f t="shared" si="257"/>
        <v/>
      </c>
      <c r="JS492" s="1785" t="str">
        <f t="shared" si="258"/>
        <v/>
      </c>
      <c r="JT492" s="1785" t="str">
        <f t="shared" si="259"/>
        <v/>
      </c>
      <c r="JU492" s="1785" t="str">
        <f t="shared" si="260"/>
        <v/>
      </c>
      <c r="JV492" s="1785" t="str">
        <f t="shared" si="261"/>
        <v/>
      </c>
      <c r="JW492" s="1785" t="str">
        <f t="shared" si="262"/>
        <v/>
      </c>
      <c r="JX492" s="1785" t="str">
        <f t="shared" si="263"/>
        <v/>
      </c>
      <c r="JY492" s="1785" t="str">
        <f t="shared" si="264"/>
        <v/>
      </c>
      <c r="JZ492" s="1785" t="str">
        <f t="shared" si="265"/>
        <v/>
      </c>
      <c r="KA492" s="1785" t="str">
        <f t="shared" si="266"/>
        <v/>
      </c>
      <c r="KB492" s="1785" t="str">
        <f t="shared" si="267"/>
        <v/>
      </c>
      <c r="KC492" s="1785" t="str">
        <f t="shared" si="268"/>
        <v/>
      </c>
      <c r="KD492" s="1785" t="str">
        <f t="shared" si="269"/>
        <v/>
      </c>
      <c r="KE492" s="1785" t="str">
        <f t="shared" si="270"/>
        <v/>
      </c>
      <c r="KF492" s="1785" t="str">
        <f t="shared" si="271"/>
        <v/>
      </c>
      <c r="KG492" s="1785" t="str">
        <f t="shared" si="272"/>
        <v/>
      </c>
      <c r="KH492" s="1785" t="str">
        <f t="shared" si="273"/>
        <v/>
      </c>
      <c r="KI492" s="1785" t="str">
        <f t="shared" si="274"/>
        <v/>
      </c>
      <c r="KJ492" s="1785" t="str">
        <f t="shared" si="275"/>
        <v/>
      </c>
      <c r="KK492" s="1785" t="str">
        <f t="shared" si="276"/>
        <v/>
      </c>
      <c r="KL492" s="1785" t="str">
        <f t="shared" si="277"/>
        <v/>
      </c>
      <c r="KM492" s="1785" t="str">
        <f t="shared" si="278"/>
        <v/>
      </c>
      <c r="KN492" s="1785" t="str">
        <f t="shared" si="279"/>
        <v/>
      </c>
      <c r="KO492" s="1785" t="str">
        <f t="shared" si="280"/>
        <v/>
      </c>
      <c r="KP492" s="1785" t="str">
        <f t="shared" si="281"/>
        <v/>
      </c>
      <c r="KQ492" s="1785" t="str">
        <f t="shared" si="282"/>
        <v/>
      </c>
      <c r="KR492" s="1785" t="str">
        <f t="shared" si="283"/>
        <v/>
      </c>
      <c r="KS492" s="1785" t="str">
        <f t="shared" si="284"/>
        <v/>
      </c>
      <c r="KT492" s="1785" t="str">
        <f t="shared" si="285"/>
        <v/>
      </c>
      <c r="KU492" s="1785" t="str">
        <f t="shared" si="286"/>
        <v/>
      </c>
      <c r="KV492" s="1785" t="str">
        <f t="shared" si="287"/>
        <v/>
      </c>
      <c r="KW492" s="1785" t="str">
        <f t="shared" si="288"/>
        <v/>
      </c>
      <c r="KX492" s="1785" t="str">
        <f t="shared" si="289"/>
        <v/>
      </c>
      <c r="KY492" s="1785" t="str">
        <f t="shared" si="290"/>
        <v/>
      </c>
      <c r="KZ492" s="1785" t="str">
        <f t="shared" si="291"/>
        <v/>
      </c>
      <c r="LA492" s="1785" t="str">
        <f t="shared" si="292"/>
        <v/>
      </c>
      <c r="LB492" s="1785" t="str">
        <f t="shared" si="293"/>
        <v/>
      </c>
      <c r="LC492" s="1785" t="str">
        <f t="shared" si="294"/>
        <v/>
      </c>
      <c r="LD492" s="1785" t="str">
        <f t="shared" si="295"/>
        <v/>
      </c>
      <c r="LE492" s="1785" t="str">
        <f t="shared" si="296"/>
        <v/>
      </c>
      <c r="LF492" s="1785" t="str">
        <f t="shared" si="297"/>
        <v/>
      </c>
      <c r="LG492" s="1785" t="str">
        <f t="shared" si="298"/>
        <v/>
      </c>
      <c r="LH492" s="1785" t="str">
        <f t="shared" si="299"/>
        <v/>
      </c>
      <c r="LI492" s="1785" t="str">
        <f t="shared" si="300"/>
        <v/>
      </c>
      <c r="LJ492" s="1785" t="str">
        <f t="shared" si="301"/>
        <v/>
      </c>
      <c r="LK492" s="1785" t="str">
        <f t="shared" si="302"/>
        <v/>
      </c>
      <c r="LL492" s="1785" t="str">
        <f t="shared" si="303"/>
        <v/>
      </c>
      <c r="LM492" s="1785" t="str">
        <f t="shared" si="304"/>
        <v/>
      </c>
      <c r="LN492" s="1785" t="str">
        <f t="shared" si="305"/>
        <v/>
      </c>
      <c r="LO492" s="1785" t="str">
        <f t="shared" si="306"/>
        <v/>
      </c>
      <c r="LP492" s="1785" t="str">
        <f t="shared" si="307"/>
        <v/>
      </c>
      <c r="LQ492" s="1785" t="str">
        <f t="shared" si="308"/>
        <v/>
      </c>
      <c r="LR492" s="1785" t="str">
        <f t="shared" si="309"/>
        <v/>
      </c>
      <c r="LS492" s="1785" t="str">
        <f t="shared" si="310"/>
        <v/>
      </c>
      <c r="LT492" s="1785" t="str">
        <f t="shared" si="311"/>
        <v/>
      </c>
      <c r="LU492" s="1785" t="str">
        <f t="shared" si="312"/>
        <v/>
      </c>
      <c r="LV492" s="1785" t="str">
        <f t="shared" si="313"/>
        <v/>
      </c>
      <c r="LW492" s="1785" t="str">
        <f t="shared" si="314"/>
        <v/>
      </c>
      <c r="LX492" s="1785" t="str">
        <f t="shared" si="315"/>
        <v/>
      </c>
      <c r="LY492" s="1785" t="str">
        <f t="shared" si="316"/>
        <v/>
      </c>
      <c r="LZ492" s="1785" t="str">
        <f t="shared" si="317"/>
        <v/>
      </c>
      <c r="MA492" s="1785" t="str">
        <f t="shared" si="318"/>
        <v/>
      </c>
      <c r="MB492" s="1785" t="str">
        <f t="shared" si="319"/>
        <v/>
      </c>
      <c r="MC492" s="1785" t="str">
        <f t="shared" si="320"/>
        <v/>
      </c>
      <c r="MD492" s="1785" t="str">
        <f t="shared" si="321"/>
        <v/>
      </c>
      <c r="ME492" s="1785" t="str">
        <f t="shared" si="322"/>
        <v/>
      </c>
      <c r="MF492" s="1785" t="str">
        <f t="shared" si="323"/>
        <v/>
      </c>
      <c r="MG492" s="1785" t="str">
        <f t="shared" si="324"/>
        <v/>
      </c>
      <c r="MH492" s="1785" t="str">
        <f t="shared" si="325"/>
        <v/>
      </c>
      <c r="MI492" s="1785" t="str">
        <f t="shared" si="326"/>
        <v/>
      </c>
      <c r="MJ492" s="1785" t="str">
        <f t="shared" si="327"/>
        <v/>
      </c>
      <c r="MK492" s="1785" t="str">
        <f t="shared" si="328"/>
        <v/>
      </c>
      <c r="ML492" s="1785" t="str">
        <f t="shared" si="329"/>
        <v/>
      </c>
      <c r="MM492" s="1785" t="str">
        <f t="shared" si="330"/>
        <v/>
      </c>
      <c r="MN492" s="1785" t="str">
        <f t="shared" si="331"/>
        <v/>
      </c>
      <c r="MO492" s="1785" t="str">
        <f t="shared" si="332"/>
        <v/>
      </c>
      <c r="MP492" s="2470" t="str">
        <f t="shared" si="333"/>
        <v/>
      </c>
      <c r="MQ492" s="2470" t="str">
        <f t="shared" si="334"/>
        <v/>
      </c>
      <c r="MR492" s="2470" t="str">
        <f t="shared" si="335"/>
        <v/>
      </c>
      <c r="MS492" s="2470" t="str">
        <f t="shared" si="336"/>
        <v/>
      </c>
      <c r="MT492" s="2470" t="str">
        <f t="shared" si="337"/>
        <v/>
      </c>
      <c r="MU492" s="356" t="str">
        <f t="shared" si="338"/>
        <v/>
      </c>
      <c r="MV492" s="356" t="str">
        <f t="shared" si="339"/>
        <v/>
      </c>
      <c r="MW492" s="356" t="str">
        <f t="shared" si="340"/>
        <v/>
      </c>
      <c r="MX492" s="356" t="str">
        <f t="shared" si="341"/>
        <v/>
      </c>
      <c r="MY492" s="356" t="str">
        <f t="shared" si="342"/>
        <v/>
      </c>
      <c r="MZ492" s="356" t="str">
        <f t="shared" si="343"/>
        <v/>
      </c>
      <c r="NA492" s="356" t="str">
        <f t="shared" si="344"/>
        <v/>
      </c>
      <c r="NB492" s="356" t="str">
        <f t="shared" si="345"/>
        <v/>
      </c>
      <c r="NC492" s="356" t="str">
        <f t="shared" si="346"/>
        <v/>
      </c>
      <c r="ND492" s="356" t="str">
        <f t="shared" si="347"/>
        <v/>
      </c>
      <c r="NE492" s="356" t="str">
        <f t="shared" si="348"/>
        <v/>
      </c>
      <c r="NF492" s="356" t="str">
        <f t="shared" si="349"/>
        <v/>
      </c>
      <c r="NG492" s="356" t="str">
        <f t="shared" si="350"/>
        <v/>
      </c>
      <c r="NH492" s="356" t="str">
        <f t="shared" si="351"/>
        <v/>
      </c>
      <c r="NI492" s="356" t="str">
        <f t="shared" si="352"/>
        <v/>
      </c>
      <c r="NJ492" s="356" t="str">
        <f t="shared" si="353"/>
        <v/>
      </c>
      <c r="NK492" s="356" t="str">
        <f t="shared" si="354"/>
        <v/>
      </c>
      <c r="NL492" s="356" t="str">
        <f t="shared" si="355"/>
        <v/>
      </c>
      <c r="NM492" s="356" t="str">
        <f t="shared" si="356"/>
        <v/>
      </c>
      <c r="NN492" s="356" t="str">
        <f t="shared" si="357"/>
        <v/>
      </c>
      <c r="NO492" s="1640">
        <f t="shared" si="358"/>
        <v>0</v>
      </c>
      <c r="NP492" s="1640">
        <f t="shared" si="359"/>
        <v>0</v>
      </c>
      <c r="NQ492" s="1640">
        <f t="shared" si="360"/>
        <v>0</v>
      </c>
      <c r="NR492" s="1640">
        <f t="shared" si="361"/>
        <v>0</v>
      </c>
      <c r="NS492" s="1640">
        <f t="shared" si="362"/>
        <v>0</v>
      </c>
      <c r="NT492" s="1640">
        <f t="shared" si="368"/>
        <v>0</v>
      </c>
      <c r="NU492" s="1640">
        <f t="shared" si="369"/>
        <v>0</v>
      </c>
      <c r="NV492" s="1640">
        <f t="shared" si="370"/>
        <v>0</v>
      </c>
      <c r="NW492" s="1640">
        <f t="shared" si="371"/>
        <v>0</v>
      </c>
      <c r="NX492" s="1640">
        <f t="shared" si="372"/>
        <v>0</v>
      </c>
      <c r="NY492" s="1640">
        <f t="shared" si="363"/>
        <v>0</v>
      </c>
      <c r="NZ492" s="1640">
        <f t="shared" si="364"/>
        <v>0</v>
      </c>
      <c r="OA492" s="1640">
        <f t="shared" si="365"/>
        <v>0</v>
      </c>
      <c r="OB492" s="1640">
        <f t="shared" si="366"/>
        <v>0</v>
      </c>
      <c r="OC492" s="1640">
        <f t="shared" si="367"/>
        <v>0</v>
      </c>
      <c r="OY492" s="356" t="s">
        <v>4325</v>
      </c>
      <c r="OZ492" s="1784">
        <v>39</v>
      </c>
    </row>
    <row r="493" spans="1:416" ht="12" customHeight="1">
      <c r="A493" s="2706" t="str">
        <f t="shared" si="0"/>
        <v/>
      </c>
      <c r="B493" s="2725">
        <f>'Part V-Revenues &amp; Expenses'!B40</f>
        <v>0</v>
      </c>
      <c r="C493" s="2726">
        <f>'Part V-Revenues &amp; Expenses'!C40</f>
        <v>0</v>
      </c>
      <c r="D493" s="2727">
        <f>'Part V-Revenues &amp; Expenses'!D40</f>
        <v>0</v>
      </c>
      <c r="E493" s="2728">
        <f>'Part V-Revenues &amp; Expenses'!E40</f>
        <v>0</v>
      </c>
      <c r="F493" s="2728">
        <f>'Part V-Revenues &amp; Expenses'!F40</f>
        <v>0</v>
      </c>
      <c r="G493" s="2728">
        <f>'Part V-Revenues &amp; Expenses'!G40</f>
        <v>0</v>
      </c>
      <c r="H493" s="2728">
        <f>'Part V-Revenues &amp; Expenses'!H40</f>
        <v>0</v>
      </c>
      <c r="I493" s="2728">
        <f>'Part V-Revenues &amp; Expenses'!I40</f>
        <v>0</v>
      </c>
      <c r="J493" s="2728">
        <f>'Part V-Revenues &amp; Expenses'!J40</f>
        <v>0</v>
      </c>
      <c r="K493" s="2729">
        <f>'Part V-Revenues &amp; Expenses'!K40</f>
        <v>0</v>
      </c>
      <c r="L493" s="2730">
        <f t="shared" si="1"/>
        <v>0</v>
      </c>
      <c r="M493" s="2730">
        <f t="shared" si="2"/>
        <v>0</v>
      </c>
      <c r="N493" s="2580">
        <f>'Part V-Revenues &amp; Expenses'!N40</f>
        <v>0</v>
      </c>
      <c r="O493" s="1248">
        <f>'Part V-Revenues &amp; Expenses'!O40</f>
        <v>0</v>
      </c>
      <c r="P493" s="2580">
        <f>'Part V-Revenues &amp; Expenses'!P40</f>
        <v>0</v>
      </c>
      <c r="Q493" s="2469">
        <f>'Part V-Revenues &amp; Expenses'!Q40</f>
        <v>0</v>
      </c>
      <c r="R493" s="2731"/>
      <c r="S493" s="2732"/>
      <c r="T493" s="2647"/>
      <c r="U493" s="2647"/>
      <c r="V493" s="2647"/>
      <c r="W493" s="2647"/>
      <c r="X493" s="356" t="str">
        <f t="shared" si="3"/>
        <v/>
      </c>
      <c r="Y493" s="356" t="str">
        <f t="shared" si="4"/>
        <v/>
      </c>
      <c r="Z493" s="356" t="str">
        <f t="shared" si="5"/>
        <v/>
      </c>
      <c r="AA493" s="356" t="str">
        <f t="shared" si="6"/>
        <v/>
      </c>
      <c r="AB493" s="356" t="str">
        <f t="shared" si="7"/>
        <v/>
      </c>
      <c r="AC493" s="356" t="str">
        <f t="shared" si="8"/>
        <v/>
      </c>
      <c r="AD493" s="356" t="str">
        <f t="shared" si="9"/>
        <v/>
      </c>
      <c r="AE493" s="356" t="str">
        <f t="shared" si="10"/>
        <v/>
      </c>
      <c r="AF493" s="356" t="str">
        <f t="shared" si="11"/>
        <v/>
      </c>
      <c r="AG493" s="356" t="str">
        <f t="shared" si="12"/>
        <v/>
      </c>
      <c r="AH493" s="356" t="str">
        <f t="shared" si="13"/>
        <v/>
      </c>
      <c r="AI493" s="356" t="str">
        <f t="shared" si="14"/>
        <v/>
      </c>
      <c r="AJ493" s="356" t="str">
        <f t="shared" si="15"/>
        <v/>
      </c>
      <c r="AK493" s="356" t="str">
        <f t="shared" si="16"/>
        <v/>
      </c>
      <c r="AL493" s="356" t="str">
        <f t="shared" si="17"/>
        <v/>
      </c>
      <c r="AM493" s="356" t="str">
        <f t="shared" si="18"/>
        <v/>
      </c>
      <c r="AN493" s="356" t="str">
        <f t="shared" si="19"/>
        <v/>
      </c>
      <c r="AO493" s="356" t="str">
        <f t="shared" si="20"/>
        <v/>
      </c>
      <c r="AP493" s="356" t="str">
        <f t="shared" si="21"/>
        <v/>
      </c>
      <c r="AQ493" s="356" t="str">
        <f t="shared" si="22"/>
        <v/>
      </c>
      <c r="AR493" s="356" t="str">
        <f t="shared" si="23"/>
        <v/>
      </c>
      <c r="AS493" s="356" t="str">
        <f t="shared" si="24"/>
        <v/>
      </c>
      <c r="AT493" s="356" t="str">
        <f t="shared" si="25"/>
        <v/>
      </c>
      <c r="AU493" s="356" t="str">
        <f t="shared" si="26"/>
        <v/>
      </c>
      <c r="AV493" s="356" t="str">
        <f t="shared" si="27"/>
        <v/>
      </c>
      <c r="AW493" s="356" t="str">
        <f t="shared" si="28"/>
        <v/>
      </c>
      <c r="AX493" s="356" t="str">
        <f t="shared" si="29"/>
        <v/>
      </c>
      <c r="AY493" s="356" t="str">
        <f t="shared" si="30"/>
        <v/>
      </c>
      <c r="AZ493" s="356" t="str">
        <f t="shared" si="31"/>
        <v/>
      </c>
      <c r="BA493" s="356" t="str">
        <f t="shared" si="32"/>
        <v/>
      </c>
      <c r="BB493" s="356" t="str">
        <f t="shared" si="33"/>
        <v/>
      </c>
      <c r="BC493" s="356" t="str">
        <f t="shared" si="34"/>
        <v/>
      </c>
      <c r="BD493" s="356" t="str">
        <f t="shared" si="35"/>
        <v/>
      </c>
      <c r="BE493" s="356" t="str">
        <f t="shared" si="36"/>
        <v/>
      </c>
      <c r="BF493" s="356" t="str">
        <f t="shared" si="37"/>
        <v/>
      </c>
      <c r="BG493" s="356" t="str">
        <f t="shared" si="38"/>
        <v/>
      </c>
      <c r="BH493" s="356" t="str">
        <f t="shared" si="39"/>
        <v/>
      </c>
      <c r="BI493" s="356" t="str">
        <f t="shared" si="40"/>
        <v/>
      </c>
      <c r="BJ493" s="356" t="str">
        <f t="shared" si="41"/>
        <v/>
      </c>
      <c r="BK493" s="356" t="str">
        <f t="shared" si="42"/>
        <v/>
      </c>
      <c r="BL493" s="356" t="str">
        <f t="shared" si="43"/>
        <v/>
      </c>
      <c r="BM493" s="356" t="str">
        <f t="shared" si="44"/>
        <v/>
      </c>
      <c r="BN493" s="356" t="str">
        <f t="shared" si="45"/>
        <v/>
      </c>
      <c r="BO493" s="356" t="str">
        <f t="shared" si="46"/>
        <v/>
      </c>
      <c r="BP493" s="356" t="str">
        <f t="shared" si="47"/>
        <v/>
      </c>
      <c r="BQ493" s="356" t="str">
        <f t="shared" si="48"/>
        <v/>
      </c>
      <c r="BR493" s="356" t="str">
        <f t="shared" si="49"/>
        <v/>
      </c>
      <c r="BS493" s="356" t="str">
        <f t="shared" si="50"/>
        <v/>
      </c>
      <c r="BT493" s="356" t="str">
        <f t="shared" si="51"/>
        <v/>
      </c>
      <c r="BU493" s="356" t="str">
        <f t="shared" si="52"/>
        <v/>
      </c>
      <c r="BV493" s="356" t="str">
        <f t="shared" si="53"/>
        <v/>
      </c>
      <c r="BW493" s="356" t="str">
        <f t="shared" si="54"/>
        <v/>
      </c>
      <c r="BX493" s="356" t="str">
        <f t="shared" si="55"/>
        <v/>
      </c>
      <c r="BY493" s="356" t="str">
        <f t="shared" si="56"/>
        <v/>
      </c>
      <c r="BZ493" s="356" t="str">
        <f t="shared" si="57"/>
        <v/>
      </c>
      <c r="CA493" s="356" t="str">
        <f t="shared" si="58"/>
        <v/>
      </c>
      <c r="CB493" s="356" t="str">
        <f t="shared" si="59"/>
        <v/>
      </c>
      <c r="CC493" s="356" t="str">
        <f t="shared" si="60"/>
        <v/>
      </c>
      <c r="CD493" s="356" t="str">
        <f t="shared" si="61"/>
        <v/>
      </c>
      <c r="CE493" s="356" t="str">
        <f t="shared" si="62"/>
        <v/>
      </c>
      <c r="CF493" s="356" t="str">
        <f t="shared" si="63"/>
        <v/>
      </c>
      <c r="CG493" s="356" t="str">
        <f t="shared" si="64"/>
        <v/>
      </c>
      <c r="CH493" s="356" t="str">
        <f t="shared" si="65"/>
        <v/>
      </c>
      <c r="CI493" s="356" t="str">
        <f t="shared" si="66"/>
        <v/>
      </c>
      <c r="CJ493" s="356" t="str">
        <f t="shared" si="67"/>
        <v/>
      </c>
      <c r="CK493" s="356" t="str">
        <f t="shared" si="68"/>
        <v/>
      </c>
      <c r="CL493" s="356" t="str">
        <f t="shared" si="69"/>
        <v/>
      </c>
      <c r="CM493" s="356" t="str">
        <f t="shared" si="70"/>
        <v/>
      </c>
      <c r="CN493" s="356" t="str">
        <f t="shared" si="71"/>
        <v/>
      </c>
      <c r="CO493" s="356" t="str">
        <f t="shared" si="72"/>
        <v/>
      </c>
      <c r="CP493" s="356" t="str">
        <f t="shared" si="73"/>
        <v/>
      </c>
      <c r="CQ493" s="356" t="str">
        <f t="shared" si="74"/>
        <v/>
      </c>
      <c r="CR493" s="356" t="str">
        <f t="shared" si="75"/>
        <v/>
      </c>
      <c r="CS493" s="356" t="str">
        <f t="shared" si="76"/>
        <v/>
      </c>
      <c r="CT493" s="356" t="str">
        <f t="shared" si="77"/>
        <v/>
      </c>
      <c r="CU493" s="356" t="str">
        <f t="shared" si="78"/>
        <v/>
      </c>
      <c r="CV493" s="356" t="str">
        <f t="shared" si="79"/>
        <v/>
      </c>
      <c r="CW493" s="356" t="str">
        <f t="shared" si="80"/>
        <v/>
      </c>
      <c r="CX493" s="356" t="str">
        <f t="shared" si="81"/>
        <v/>
      </c>
      <c r="CY493" s="356" t="str">
        <f t="shared" si="82"/>
        <v/>
      </c>
      <c r="CZ493" s="356" t="str">
        <f t="shared" si="83"/>
        <v/>
      </c>
      <c r="DA493" s="356" t="str">
        <f t="shared" si="84"/>
        <v/>
      </c>
      <c r="DB493" s="356" t="str">
        <f t="shared" si="85"/>
        <v/>
      </c>
      <c r="DC493" s="356" t="str">
        <f t="shared" si="86"/>
        <v/>
      </c>
      <c r="DD493" s="356" t="str">
        <f t="shared" si="87"/>
        <v/>
      </c>
      <c r="DE493" s="356" t="str">
        <f t="shared" si="88"/>
        <v/>
      </c>
      <c r="DF493" s="356" t="str">
        <f t="shared" si="89"/>
        <v/>
      </c>
      <c r="DG493" s="356" t="str">
        <f t="shared" si="90"/>
        <v/>
      </c>
      <c r="DH493" s="356" t="str">
        <f t="shared" si="91"/>
        <v/>
      </c>
      <c r="DI493" s="356" t="str">
        <f t="shared" si="92"/>
        <v/>
      </c>
      <c r="DJ493" s="356" t="str">
        <f t="shared" si="93"/>
        <v/>
      </c>
      <c r="DK493" s="356" t="str">
        <f t="shared" si="94"/>
        <v/>
      </c>
      <c r="DL493" s="356" t="str">
        <f t="shared" si="95"/>
        <v/>
      </c>
      <c r="DM493" s="356" t="str">
        <f t="shared" si="96"/>
        <v/>
      </c>
      <c r="DN493" s="356" t="str">
        <f t="shared" si="97"/>
        <v/>
      </c>
      <c r="DO493" s="356" t="str">
        <f t="shared" si="98"/>
        <v/>
      </c>
      <c r="DP493" s="356" t="str">
        <f t="shared" si="99"/>
        <v/>
      </c>
      <c r="DQ493" s="356" t="str">
        <f t="shared" si="100"/>
        <v/>
      </c>
      <c r="DR493" s="356" t="str">
        <f t="shared" si="101"/>
        <v/>
      </c>
      <c r="DS493" s="356" t="str">
        <f t="shared" si="102"/>
        <v/>
      </c>
      <c r="DT493" s="356" t="str">
        <f t="shared" si="103"/>
        <v/>
      </c>
      <c r="DU493" s="356" t="str">
        <f t="shared" si="104"/>
        <v/>
      </c>
      <c r="DV493" s="356" t="str">
        <f t="shared" si="105"/>
        <v/>
      </c>
      <c r="DW493" s="356" t="str">
        <f t="shared" si="106"/>
        <v/>
      </c>
      <c r="DX493" s="356" t="str">
        <f t="shared" si="107"/>
        <v/>
      </c>
      <c r="DY493" s="356" t="str">
        <f t="shared" si="108"/>
        <v/>
      </c>
      <c r="DZ493" s="356" t="str">
        <f t="shared" si="109"/>
        <v/>
      </c>
      <c r="EA493" s="356" t="str">
        <f t="shared" si="110"/>
        <v/>
      </c>
      <c r="EB493" s="356" t="str">
        <f t="shared" si="111"/>
        <v/>
      </c>
      <c r="EC493" s="356" t="str">
        <f t="shared" si="112"/>
        <v/>
      </c>
      <c r="ED493" s="356" t="str">
        <f t="shared" si="113"/>
        <v/>
      </c>
      <c r="EE493" s="356" t="str">
        <f t="shared" si="114"/>
        <v/>
      </c>
      <c r="EF493" s="356" t="str">
        <f t="shared" si="115"/>
        <v/>
      </c>
      <c r="EG493" s="356" t="str">
        <f t="shared" si="116"/>
        <v/>
      </c>
      <c r="EH493" s="356" t="str">
        <f t="shared" si="117"/>
        <v/>
      </c>
      <c r="EI493" s="356" t="str">
        <f t="shared" si="118"/>
        <v/>
      </c>
      <c r="EJ493" s="356" t="str">
        <f t="shared" si="119"/>
        <v/>
      </c>
      <c r="EK493" s="356" t="str">
        <f t="shared" si="120"/>
        <v/>
      </c>
      <c r="EL493" s="356" t="str">
        <f t="shared" si="121"/>
        <v/>
      </c>
      <c r="EM493" s="356" t="str">
        <f t="shared" si="122"/>
        <v/>
      </c>
      <c r="EN493" s="356" t="str">
        <f t="shared" si="123"/>
        <v/>
      </c>
      <c r="EO493" s="356" t="str">
        <f t="shared" si="124"/>
        <v/>
      </c>
      <c r="EP493" s="356" t="str">
        <f t="shared" si="125"/>
        <v/>
      </c>
      <c r="EQ493" s="356" t="str">
        <f t="shared" si="126"/>
        <v/>
      </c>
      <c r="ER493" s="356" t="str">
        <f t="shared" si="127"/>
        <v/>
      </c>
      <c r="ES493" s="356" t="str">
        <f t="shared" si="128"/>
        <v/>
      </c>
      <c r="ET493" s="356" t="str">
        <f t="shared" si="129"/>
        <v/>
      </c>
      <c r="EU493" s="356" t="str">
        <f t="shared" si="130"/>
        <v/>
      </c>
      <c r="EV493" s="356" t="str">
        <f t="shared" si="131"/>
        <v/>
      </c>
      <c r="EW493" s="356" t="str">
        <f t="shared" si="132"/>
        <v/>
      </c>
      <c r="EX493" s="356" t="str">
        <f t="shared" si="133"/>
        <v/>
      </c>
      <c r="EY493" s="356" t="str">
        <f t="shared" si="134"/>
        <v/>
      </c>
      <c r="EZ493" s="356" t="str">
        <f t="shared" si="135"/>
        <v/>
      </c>
      <c r="FA493" s="356" t="str">
        <f t="shared" si="136"/>
        <v/>
      </c>
      <c r="FB493" s="356" t="str">
        <f t="shared" si="137"/>
        <v/>
      </c>
      <c r="FC493" s="356" t="str">
        <f t="shared" si="138"/>
        <v/>
      </c>
      <c r="FD493" s="356" t="str">
        <f t="shared" si="139"/>
        <v/>
      </c>
      <c r="FE493" s="356" t="str">
        <f t="shared" si="140"/>
        <v/>
      </c>
      <c r="FF493" s="356" t="str">
        <f t="shared" si="141"/>
        <v/>
      </c>
      <c r="FG493" s="356" t="str">
        <f t="shared" si="142"/>
        <v/>
      </c>
      <c r="FH493" s="356" t="str">
        <f t="shared" si="143"/>
        <v/>
      </c>
      <c r="FI493" s="356" t="str">
        <f t="shared" si="144"/>
        <v/>
      </c>
      <c r="FJ493" s="356" t="str">
        <f t="shared" si="145"/>
        <v/>
      </c>
      <c r="FK493" s="356" t="str">
        <f t="shared" si="146"/>
        <v/>
      </c>
      <c r="FL493" s="356" t="str">
        <f t="shared" si="147"/>
        <v/>
      </c>
      <c r="FM493" s="356" t="str">
        <f t="shared" si="148"/>
        <v/>
      </c>
      <c r="FN493" s="356" t="str">
        <f t="shared" si="149"/>
        <v/>
      </c>
      <c r="FO493" s="356" t="str">
        <f t="shared" si="150"/>
        <v/>
      </c>
      <c r="FP493" s="356" t="str">
        <f t="shared" si="151"/>
        <v/>
      </c>
      <c r="FQ493" s="356" t="str">
        <f t="shared" si="152"/>
        <v/>
      </c>
      <c r="FR493" s="356" t="str">
        <f t="shared" si="153"/>
        <v/>
      </c>
      <c r="FS493" s="356" t="str">
        <f t="shared" si="154"/>
        <v/>
      </c>
      <c r="FT493" s="356" t="str">
        <f t="shared" si="155"/>
        <v/>
      </c>
      <c r="FU493" s="356" t="str">
        <f t="shared" si="156"/>
        <v/>
      </c>
      <c r="FV493" s="356" t="str">
        <f t="shared" si="157"/>
        <v/>
      </c>
      <c r="FW493" s="356" t="str">
        <f t="shared" si="158"/>
        <v/>
      </c>
      <c r="FX493" s="356" t="str">
        <f t="shared" si="159"/>
        <v/>
      </c>
      <c r="FY493" s="356" t="str">
        <f t="shared" si="160"/>
        <v/>
      </c>
      <c r="FZ493" s="356" t="str">
        <f t="shared" si="161"/>
        <v/>
      </c>
      <c r="GA493" s="356" t="str">
        <f t="shared" si="162"/>
        <v/>
      </c>
      <c r="GB493" s="356" t="str">
        <f t="shared" si="163"/>
        <v/>
      </c>
      <c r="GC493" s="356" t="str">
        <f t="shared" si="164"/>
        <v/>
      </c>
      <c r="GD493" s="356" t="str">
        <f t="shared" si="165"/>
        <v/>
      </c>
      <c r="GE493" s="356" t="str">
        <f t="shared" si="166"/>
        <v/>
      </c>
      <c r="GF493" s="356" t="str">
        <f t="shared" si="167"/>
        <v/>
      </c>
      <c r="GG493" s="356" t="str">
        <f t="shared" si="168"/>
        <v/>
      </c>
      <c r="GH493" s="356" t="str">
        <f t="shared" si="169"/>
        <v/>
      </c>
      <c r="GI493" s="356" t="str">
        <f t="shared" si="170"/>
        <v/>
      </c>
      <c r="GJ493" s="356" t="str">
        <f t="shared" si="171"/>
        <v/>
      </c>
      <c r="GK493" s="356" t="str">
        <f t="shared" si="172"/>
        <v/>
      </c>
      <c r="GL493" s="356" t="str">
        <f t="shared" si="173"/>
        <v/>
      </c>
      <c r="GM493" s="356" t="str">
        <f t="shared" si="174"/>
        <v/>
      </c>
      <c r="GN493" s="356" t="str">
        <f t="shared" si="175"/>
        <v/>
      </c>
      <c r="GO493" s="356" t="str">
        <f t="shared" si="176"/>
        <v/>
      </c>
      <c r="GP493" s="356" t="str">
        <f t="shared" si="177"/>
        <v/>
      </c>
      <c r="GQ493" s="356" t="str">
        <f t="shared" si="178"/>
        <v/>
      </c>
      <c r="GR493" s="356" t="str">
        <f t="shared" si="179"/>
        <v/>
      </c>
      <c r="GS493" s="356" t="str">
        <f t="shared" si="180"/>
        <v/>
      </c>
      <c r="GT493" s="356" t="str">
        <f t="shared" si="181"/>
        <v/>
      </c>
      <c r="GU493" s="356" t="str">
        <f t="shared" si="182"/>
        <v/>
      </c>
      <c r="GV493" s="356" t="str">
        <f t="shared" si="183"/>
        <v/>
      </c>
      <c r="GW493" s="356" t="str">
        <f t="shared" si="184"/>
        <v/>
      </c>
      <c r="GX493" s="356" t="str">
        <f t="shared" si="185"/>
        <v/>
      </c>
      <c r="GY493" s="356" t="str">
        <f t="shared" si="186"/>
        <v/>
      </c>
      <c r="GZ493" s="356" t="str">
        <f t="shared" si="187"/>
        <v/>
      </c>
      <c r="HA493" s="356" t="str">
        <f t="shared" si="188"/>
        <v/>
      </c>
      <c r="HB493" s="356" t="str">
        <f t="shared" si="189"/>
        <v/>
      </c>
      <c r="HC493" s="356" t="str">
        <f t="shared" si="190"/>
        <v/>
      </c>
      <c r="HD493" s="356" t="str">
        <f t="shared" si="191"/>
        <v/>
      </c>
      <c r="HE493" s="356" t="str">
        <f t="shared" si="192"/>
        <v/>
      </c>
      <c r="HF493" s="356" t="str">
        <f t="shared" si="193"/>
        <v/>
      </c>
      <c r="HG493" s="356" t="str">
        <f t="shared" si="194"/>
        <v/>
      </c>
      <c r="HH493" s="356" t="str">
        <f t="shared" si="195"/>
        <v/>
      </c>
      <c r="HI493" s="356" t="str">
        <f t="shared" si="196"/>
        <v/>
      </c>
      <c r="HJ493" s="356" t="str">
        <f t="shared" si="197"/>
        <v/>
      </c>
      <c r="HK493" s="356" t="str">
        <f t="shared" si="198"/>
        <v/>
      </c>
      <c r="HL493" s="356" t="str">
        <f t="shared" si="199"/>
        <v/>
      </c>
      <c r="HM493" s="356" t="str">
        <f t="shared" si="200"/>
        <v/>
      </c>
      <c r="HN493" s="356" t="str">
        <f t="shared" si="201"/>
        <v/>
      </c>
      <c r="HO493" s="356" t="str">
        <f t="shared" si="202"/>
        <v/>
      </c>
      <c r="HP493" s="356" t="str">
        <f t="shared" si="203"/>
        <v/>
      </c>
      <c r="HQ493" s="356" t="str">
        <f t="shared" si="204"/>
        <v/>
      </c>
      <c r="HR493" s="356" t="str">
        <f t="shared" si="205"/>
        <v/>
      </c>
      <c r="HS493" s="356" t="str">
        <f t="shared" si="206"/>
        <v/>
      </c>
      <c r="HT493" s="356" t="str">
        <f t="shared" si="207"/>
        <v/>
      </c>
      <c r="HU493" s="356" t="str">
        <f t="shared" si="208"/>
        <v/>
      </c>
      <c r="HV493" s="356" t="str">
        <f t="shared" si="209"/>
        <v/>
      </c>
      <c r="HW493" s="356" t="str">
        <f t="shared" si="210"/>
        <v/>
      </c>
      <c r="HX493" s="356" t="str">
        <f t="shared" si="211"/>
        <v/>
      </c>
      <c r="HY493" s="356" t="str">
        <f t="shared" si="212"/>
        <v/>
      </c>
      <c r="HZ493" s="356" t="str">
        <f t="shared" si="213"/>
        <v/>
      </c>
      <c r="IA493" s="356" t="str">
        <f t="shared" si="214"/>
        <v/>
      </c>
      <c r="IB493" s="356" t="str">
        <f t="shared" si="215"/>
        <v/>
      </c>
      <c r="IC493" s="356" t="str">
        <f t="shared" si="216"/>
        <v/>
      </c>
      <c r="ID493" s="356" t="str">
        <f t="shared" si="217"/>
        <v/>
      </c>
      <c r="IE493" s="356" t="str">
        <f t="shared" si="218"/>
        <v/>
      </c>
      <c r="IF493" s="356" t="str">
        <f t="shared" si="219"/>
        <v/>
      </c>
      <c r="IG493" s="356" t="str">
        <f t="shared" si="220"/>
        <v/>
      </c>
      <c r="IH493" s="356" t="str">
        <f t="shared" si="221"/>
        <v/>
      </c>
      <c r="II493" s="356" t="str">
        <f t="shared" si="222"/>
        <v/>
      </c>
      <c r="IJ493" s="356" t="str">
        <f t="shared" si="223"/>
        <v/>
      </c>
      <c r="IK493" s="356" t="str">
        <f t="shared" si="224"/>
        <v/>
      </c>
      <c r="IL493" s="356" t="str">
        <f t="shared" si="225"/>
        <v/>
      </c>
      <c r="IM493" s="356" t="str">
        <f t="shared" si="226"/>
        <v/>
      </c>
      <c r="IN493" s="356" t="str">
        <f t="shared" si="227"/>
        <v/>
      </c>
      <c r="IO493" s="356" t="str">
        <f t="shared" si="228"/>
        <v/>
      </c>
      <c r="IP493" s="356" t="str">
        <f t="shared" si="229"/>
        <v/>
      </c>
      <c r="IQ493" s="356" t="str">
        <f t="shared" si="230"/>
        <v/>
      </c>
      <c r="IR493" s="356" t="str">
        <f t="shared" si="231"/>
        <v/>
      </c>
      <c r="IS493" s="356" t="str">
        <f t="shared" si="232"/>
        <v/>
      </c>
      <c r="IT493" s="356" t="str">
        <f t="shared" si="233"/>
        <v/>
      </c>
      <c r="IU493" s="356" t="str">
        <f t="shared" si="234"/>
        <v/>
      </c>
      <c r="IV493" s="356" t="str">
        <f t="shared" si="235"/>
        <v/>
      </c>
      <c r="IW493" s="356" t="str">
        <f t="shared" si="236"/>
        <v/>
      </c>
      <c r="IX493" s="356" t="str">
        <f t="shared" si="237"/>
        <v/>
      </c>
      <c r="IY493" s="356" t="str">
        <f t="shared" si="238"/>
        <v/>
      </c>
      <c r="IZ493" s="356" t="str">
        <f t="shared" si="239"/>
        <v/>
      </c>
      <c r="JA493" s="356" t="str">
        <f t="shared" si="240"/>
        <v/>
      </c>
      <c r="JB493" s="356" t="str">
        <f t="shared" si="241"/>
        <v/>
      </c>
      <c r="JC493" s="356" t="str">
        <f t="shared" si="242"/>
        <v/>
      </c>
      <c r="JD493" s="356" t="str">
        <f t="shared" si="243"/>
        <v/>
      </c>
      <c r="JE493" s="356" t="str">
        <f t="shared" si="244"/>
        <v/>
      </c>
      <c r="JF493" s="356" t="str">
        <f t="shared" si="245"/>
        <v/>
      </c>
      <c r="JG493" s="356" t="str">
        <f t="shared" si="246"/>
        <v/>
      </c>
      <c r="JH493" s="356" t="str">
        <f t="shared" si="247"/>
        <v/>
      </c>
      <c r="JI493" s="1785" t="str">
        <f t="shared" si="248"/>
        <v/>
      </c>
      <c r="JJ493" s="1785" t="str">
        <f t="shared" si="249"/>
        <v/>
      </c>
      <c r="JK493" s="1785" t="str">
        <f t="shared" si="250"/>
        <v/>
      </c>
      <c r="JL493" s="1785" t="str">
        <f t="shared" si="251"/>
        <v/>
      </c>
      <c r="JM493" s="1785" t="str">
        <f t="shared" si="252"/>
        <v/>
      </c>
      <c r="JN493" s="1785" t="str">
        <f t="shared" si="253"/>
        <v/>
      </c>
      <c r="JO493" s="1785" t="str">
        <f t="shared" si="254"/>
        <v/>
      </c>
      <c r="JP493" s="1785" t="str">
        <f t="shared" si="255"/>
        <v/>
      </c>
      <c r="JQ493" s="1785" t="str">
        <f t="shared" si="256"/>
        <v/>
      </c>
      <c r="JR493" s="1785" t="str">
        <f t="shared" si="257"/>
        <v/>
      </c>
      <c r="JS493" s="1785" t="str">
        <f t="shared" si="258"/>
        <v/>
      </c>
      <c r="JT493" s="1785" t="str">
        <f t="shared" si="259"/>
        <v/>
      </c>
      <c r="JU493" s="1785" t="str">
        <f t="shared" si="260"/>
        <v/>
      </c>
      <c r="JV493" s="1785" t="str">
        <f t="shared" si="261"/>
        <v/>
      </c>
      <c r="JW493" s="1785" t="str">
        <f t="shared" si="262"/>
        <v/>
      </c>
      <c r="JX493" s="1785" t="str">
        <f t="shared" si="263"/>
        <v/>
      </c>
      <c r="JY493" s="1785" t="str">
        <f t="shared" si="264"/>
        <v/>
      </c>
      <c r="JZ493" s="1785" t="str">
        <f t="shared" si="265"/>
        <v/>
      </c>
      <c r="KA493" s="1785" t="str">
        <f t="shared" si="266"/>
        <v/>
      </c>
      <c r="KB493" s="1785" t="str">
        <f t="shared" si="267"/>
        <v/>
      </c>
      <c r="KC493" s="1785" t="str">
        <f t="shared" si="268"/>
        <v/>
      </c>
      <c r="KD493" s="1785" t="str">
        <f t="shared" si="269"/>
        <v/>
      </c>
      <c r="KE493" s="1785" t="str">
        <f t="shared" si="270"/>
        <v/>
      </c>
      <c r="KF493" s="1785" t="str">
        <f t="shared" si="271"/>
        <v/>
      </c>
      <c r="KG493" s="1785" t="str">
        <f t="shared" si="272"/>
        <v/>
      </c>
      <c r="KH493" s="1785" t="str">
        <f t="shared" si="273"/>
        <v/>
      </c>
      <c r="KI493" s="1785" t="str">
        <f t="shared" si="274"/>
        <v/>
      </c>
      <c r="KJ493" s="1785" t="str">
        <f t="shared" si="275"/>
        <v/>
      </c>
      <c r="KK493" s="1785" t="str">
        <f t="shared" si="276"/>
        <v/>
      </c>
      <c r="KL493" s="1785" t="str">
        <f t="shared" si="277"/>
        <v/>
      </c>
      <c r="KM493" s="1785" t="str">
        <f t="shared" si="278"/>
        <v/>
      </c>
      <c r="KN493" s="1785" t="str">
        <f t="shared" si="279"/>
        <v/>
      </c>
      <c r="KO493" s="1785" t="str">
        <f t="shared" si="280"/>
        <v/>
      </c>
      <c r="KP493" s="1785" t="str">
        <f t="shared" si="281"/>
        <v/>
      </c>
      <c r="KQ493" s="1785" t="str">
        <f t="shared" si="282"/>
        <v/>
      </c>
      <c r="KR493" s="1785" t="str">
        <f t="shared" si="283"/>
        <v/>
      </c>
      <c r="KS493" s="1785" t="str">
        <f t="shared" si="284"/>
        <v/>
      </c>
      <c r="KT493" s="1785" t="str">
        <f t="shared" si="285"/>
        <v/>
      </c>
      <c r="KU493" s="1785" t="str">
        <f t="shared" si="286"/>
        <v/>
      </c>
      <c r="KV493" s="1785" t="str">
        <f t="shared" si="287"/>
        <v/>
      </c>
      <c r="KW493" s="1785" t="str">
        <f t="shared" si="288"/>
        <v/>
      </c>
      <c r="KX493" s="1785" t="str">
        <f t="shared" si="289"/>
        <v/>
      </c>
      <c r="KY493" s="1785" t="str">
        <f t="shared" si="290"/>
        <v/>
      </c>
      <c r="KZ493" s="1785" t="str">
        <f t="shared" si="291"/>
        <v/>
      </c>
      <c r="LA493" s="1785" t="str">
        <f t="shared" si="292"/>
        <v/>
      </c>
      <c r="LB493" s="1785" t="str">
        <f t="shared" si="293"/>
        <v/>
      </c>
      <c r="LC493" s="1785" t="str">
        <f t="shared" si="294"/>
        <v/>
      </c>
      <c r="LD493" s="1785" t="str">
        <f t="shared" si="295"/>
        <v/>
      </c>
      <c r="LE493" s="1785" t="str">
        <f t="shared" si="296"/>
        <v/>
      </c>
      <c r="LF493" s="1785" t="str">
        <f t="shared" si="297"/>
        <v/>
      </c>
      <c r="LG493" s="1785" t="str">
        <f t="shared" si="298"/>
        <v/>
      </c>
      <c r="LH493" s="1785" t="str">
        <f t="shared" si="299"/>
        <v/>
      </c>
      <c r="LI493" s="1785" t="str">
        <f t="shared" si="300"/>
        <v/>
      </c>
      <c r="LJ493" s="1785" t="str">
        <f t="shared" si="301"/>
        <v/>
      </c>
      <c r="LK493" s="1785" t="str">
        <f t="shared" si="302"/>
        <v/>
      </c>
      <c r="LL493" s="1785" t="str">
        <f t="shared" si="303"/>
        <v/>
      </c>
      <c r="LM493" s="1785" t="str">
        <f t="shared" si="304"/>
        <v/>
      </c>
      <c r="LN493" s="1785" t="str">
        <f t="shared" si="305"/>
        <v/>
      </c>
      <c r="LO493" s="1785" t="str">
        <f t="shared" si="306"/>
        <v/>
      </c>
      <c r="LP493" s="1785" t="str">
        <f t="shared" si="307"/>
        <v/>
      </c>
      <c r="LQ493" s="1785" t="str">
        <f t="shared" si="308"/>
        <v/>
      </c>
      <c r="LR493" s="1785" t="str">
        <f t="shared" si="309"/>
        <v/>
      </c>
      <c r="LS493" s="1785" t="str">
        <f t="shared" si="310"/>
        <v/>
      </c>
      <c r="LT493" s="1785" t="str">
        <f t="shared" si="311"/>
        <v/>
      </c>
      <c r="LU493" s="1785" t="str">
        <f t="shared" si="312"/>
        <v/>
      </c>
      <c r="LV493" s="1785" t="str">
        <f t="shared" si="313"/>
        <v/>
      </c>
      <c r="LW493" s="1785" t="str">
        <f t="shared" si="314"/>
        <v/>
      </c>
      <c r="LX493" s="1785" t="str">
        <f t="shared" si="315"/>
        <v/>
      </c>
      <c r="LY493" s="1785" t="str">
        <f t="shared" si="316"/>
        <v/>
      </c>
      <c r="LZ493" s="1785" t="str">
        <f t="shared" si="317"/>
        <v/>
      </c>
      <c r="MA493" s="1785" t="str">
        <f t="shared" si="318"/>
        <v/>
      </c>
      <c r="MB493" s="1785" t="str">
        <f t="shared" si="319"/>
        <v/>
      </c>
      <c r="MC493" s="1785" t="str">
        <f t="shared" si="320"/>
        <v/>
      </c>
      <c r="MD493" s="1785" t="str">
        <f t="shared" si="321"/>
        <v/>
      </c>
      <c r="ME493" s="1785" t="str">
        <f t="shared" si="322"/>
        <v/>
      </c>
      <c r="MF493" s="1785" t="str">
        <f t="shared" si="323"/>
        <v/>
      </c>
      <c r="MG493" s="1785" t="str">
        <f t="shared" si="324"/>
        <v/>
      </c>
      <c r="MH493" s="1785" t="str">
        <f t="shared" si="325"/>
        <v/>
      </c>
      <c r="MI493" s="1785" t="str">
        <f t="shared" si="326"/>
        <v/>
      </c>
      <c r="MJ493" s="1785" t="str">
        <f t="shared" si="327"/>
        <v/>
      </c>
      <c r="MK493" s="1785" t="str">
        <f t="shared" si="328"/>
        <v/>
      </c>
      <c r="ML493" s="1785" t="str">
        <f t="shared" si="329"/>
        <v/>
      </c>
      <c r="MM493" s="1785" t="str">
        <f t="shared" si="330"/>
        <v/>
      </c>
      <c r="MN493" s="1785" t="str">
        <f t="shared" si="331"/>
        <v/>
      </c>
      <c r="MO493" s="1785" t="str">
        <f t="shared" si="332"/>
        <v/>
      </c>
      <c r="MP493" s="2470" t="str">
        <f t="shared" si="333"/>
        <v/>
      </c>
      <c r="MQ493" s="2470" t="str">
        <f t="shared" si="334"/>
        <v/>
      </c>
      <c r="MR493" s="2470" t="str">
        <f t="shared" si="335"/>
        <v/>
      </c>
      <c r="MS493" s="2470" t="str">
        <f t="shared" si="336"/>
        <v/>
      </c>
      <c r="MT493" s="2470" t="str">
        <f t="shared" si="337"/>
        <v/>
      </c>
      <c r="MU493" s="356" t="str">
        <f t="shared" si="338"/>
        <v/>
      </c>
      <c r="MV493" s="356" t="str">
        <f t="shared" si="339"/>
        <v/>
      </c>
      <c r="MW493" s="356" t="str">
        <f t="shared" si="340"/>
        <v/>
      </c>
      <c r="MX493" s="356" t="str">
        <f t="shared" si="341"/>
        <v/>
      </c>
      <c r="MY493" s="356" t="str">
        <f t="shared" si="342"/>
        <v/>
      </c>
      <c r="MZ493" s="356" t="str">
        <f t="shared" si="343"/>
        <v/>
      </c>
      <c r="NA493" s="356" t="str">
        <f t="shared" si="344"/>
        <v/>
      </c>
      <c r="NB493" s="356" t="str">
        <f t="shared" si="345"/>
        <v/>
      </c>
      <c r="NC493" s="356" t="str">
        <f t="shared" si="346"/>
        <v/>
      </c>
      <c r="ND493" s="356" t="str">
        <f t="shared" si="347"/>
        <v/>
      </c>
      <c r="NE493" s="356" t="str">
        <f t="shared" si="348"/>
        <v/>
      </c>
      <c r="NF493" s="356" t="str">
        <f t="shared" si="349"/>
        <v/>
      </c>
      <c r="NG493" s="356" t="str">
        <f t="shared" si="350"/>
        <v/>
      </c>
      <c r="NH493" s="356" t="str">
        <f t="shared" si="351"/>
        <v/>
      </c>
      <c r="NI493" s="356" t="str">
        <f t="shared" si="352"/>
        <v/>
      </c>
      <c r="NJ493" s="356" t="str">
        <f t="shared" si="353"/>
        <v/>
      </c>
      <c r="NK493" s="356" t="str">
        <f t="shared" si="354"/>
        <v/>
      </c>
      <c r="NL493" s="356" t="str">
        <f t="shared" si="355"/>
        <v/>
      </c>
      <c r="NM493" s="356" t="str">
        <f t="shared" si="356"/>
        <v/>
      </c>
      <c r="NN493" s="356" t="str">
        <f t="shared" si="357"/>
        <v/>
      </c>
      <c r="NO493" s="1640">
        <f t="shared" si="358"/>
        <v>0</v>
      </c>
      <c r="NP493" s="1640">
        <f t="shared" si="359"/>
        <v>0</v>
      </c>
      <c r="NQ493" s="1640">
        <f t="shared" si="360"/>
        <v>0</v>
      </c>
      <c r="NR493" s="1640">
        <f t="shared" si="361"/>
        <v>0</v>
      </c>
      <c r="NS493" s="1640">
        <f t="shared" si="362"/>
        <v>0</v>
      </c>
      <c r="NT493" s="1640">
        <f t="shared" si="368"/>
        <v>0</v>
      </c>
      <c r="NU493" s="1640">
        <f t="shared" si="369"/>
        <v>0</v>
      </c>
      <c r="NV493" s="1640">
        <f t="shared" si="370"/>
        <v>0</v>
      </c>
      <c r="NW493" s="1640">
        <f t="shared" si="371"/>
        <v>0</v>
      </c>
      <c r="NX493" s="1640">
        <f t="shared" si="372"/>
        <v>0</v>
      </c>
      <c r="NY493" s="1640">
        <f t="shared" si="363"/>
        <v>0</v>
      </c>
      <c r="NZ493" s="1640">
        <f t="shared" si="364"/>
        <v>0</v>
      </c>
      <c r="OA493" s="1640">
        <f t="shared" si="365"/>
        <v>0</v>
      </c>
      <c r="OB493" s="1640">
        <f t="shared" si="366"/>
        <v>0</v>
      </c>
      <c r="OC493" s="1640">
        <f t="shared" si="367"/>
        <v>0</v>
      </c>
      <c r="OY493" s="356" t="s">
        <v>4326</v>
      </c>
      <c r="OZ493" s="1784">
        <v>40</v>
      </c>
    </row>
    <row r="494" spans="1:416" ht="12" customHeight="1">
      <c r="A494" s="2706" t="str">
        <f t="shared" si="0"/>
        <v/>
      </c>
      <c r="B494" s="2725">
        <f>'Part V-Revenues &amp; Expenses'!B41</f>
        <v>0</v>
      </c>
      <c r="C494" s="2726">
        <f>'Part V-Revenues &amp; Expenses'!C41</f>
        <v>0</v>
      </c>
      <c r="D494" s="2727">
        <f>'Part V-Revenues &amp; Expenses'!D41</f>
        <v>0</v>
      </c>
      <c r="E494" s="2728">
        <f>'Part V-Revenues &amp; Expenses'!E41</f>
        <v>0</v>
      </c>
      <c r="F494" s="2728">
        <f>'Part V-Revenues &amp; Expenses'!F41</f>
        <v>0</v>
      </c>
      <c r="G494" s="2728">
        <f>'Part V-Revenues &amp; Expenses'!G41</f>
        <v>0</v>
      </c>
      <c r="H494" s="2728">
        <f>'Part V-Revenues &amp; Expenses'!H41</f>
        <v>0</v>
      </c>
      <c r="I494" s="2728">
        <f>'Part V-Revenues &amp; Expenses'!I41</f>
        <v>0</v>
      </c>
      <c r="J494" s="2728">
        <f>'Part V-Revenues &amp; Expenses'!J41</f>
        <v>0</v>
      </c>
      <c r="K494" s="2729">
        <f>'Part V-Revenues &amp; Expenses'!K41</f>
        <v>0</v>
      </c>
      <c r="L494" s="2730">
        <f t="shared" si="1"/>
        <v>0</v>
      </c>
      <c r="M494" s="2730">
        <f t="shared" si="2"/>
        <v>0</v>
      </c>
      <c r="N494" s="2580">
        <f>'Part V-Revenues &amp; Expenses'!N41</f>
        <v>0</v>
      </c>
      <c r="O494" s="1248">
        <f>'Part V-Revenues &amp; Expenses'!O41</f>
        <v>0</v>
      </c>
      <c r="P494" s="2580">
        <f>'Part V-Revenues &amp; Expenses'!P41</f>
        <v>0</v>
      </c>
      <c r="Q494" s="2469">
        <f>'Part V-Revenues &amp; Expenses'!Q41</f>
        <v>0</v>
      </c>
      <c r="R494" s="2731"/>
      <c r="S494" s="2732"/>
      <c r="T494" s="2647"/>
      <c r="U494" s="2647"/>
      <c r="V494" s="2647"/>
      <c r="W494" s="2647"/>
      <c r="X494" s="356" t="str">
        <f t="shared" si="3"/>
        <v/>
      </c>
      <c r="Y494" s="356" t="str">
        <f t="shared" si="4"/>
        <v/>
      </c>
      <c r="Z494" s="356" t="str">
        <f t="shared" si="5"/>
        <v/>
      </c>
      <c r="AA494" s="356" t="str">
        <f t="shared" si="6"/>
        <v/>
      </c>
      <c r="AB494" s="356" t="str">
        <f t="shared" si="7"/>
        <v/>
      </c>
      <c r="AC494" s="356" t="str">
        <f t="shared" si="8"/>
        <v/>
      </c>
      <c r="AD494" s="356" t="str">
        <f t="shared" si="9"/>
        <v/>
      </c>
      <c r="AE494" s="356" t="str">
        <f t="shared" si="10"/>
        <v/>
      </c>
      <c r="AF494" s="356" t="str">
        <f t="shared" si="11"/>
        <v/>
      </c>
      <c r="AG494" s="356" t="str">
        <f t="shared" si="12"/>
        <v/>
      </c>
      <c r="AH494" s="356" t="str">
        <f t="shared" si="13"/>
        <v/>
      </c>
      <c r="AI494" s="356" t="str">
        <f t="shared" si="14"/>
        <v/>
      </c>
      <c r="AJ494" s="356" t="str">
        <f t="shared" si="15"/>
        <v/>
      </c>
      <c r="AK494" s="356" t="str">
        <f t="shared" si="16"/>
        <v/>
      </c>
      <c r="AL494" s="356" t="str">
        <f t="shared" si="17"/>
        <v/>
      </c>
      <c r="AM494" s="356" t="str">
        <f t="shared" si="18"/>
        <v/>
      </c>
      <c r="AN494" s="356" t="str">
        <f t="shared" si="19"/>
        <v/>
      </c>
      <c r="AO494" s="356" t="str">
        <f t="shared" si="20"/>
        <v/>
      </c>
      <c r="AP494" s="356" t="str">
        <f t="shared" si="21"/>
        <v/>
      </c>
      <c r="AQ494" s="356" t="str">
        <f t="shared" si="22"/>
        <v/>
      </c>
      <c r="AR494" s="356" t="str">
        <f t="shared" si="23"/>
        <v/>
      </c>
      <c r="AS494" s="356" t="str">
        <f t="shared" si="24"/>
        <v/>
      </c>
      <c r="AT494" s="356" t="str">
        <f t="shared" si="25"/>
        <v/>
      </c>
      <c r="AU494" s="356" t="str">
        <f t="shared" si="26"/>
        <v/>
      </c>
      <c r="AV494" s="356" t="str">
        <f t="shared" si="27"/>
        <v/>
      </c>
      <c r="AW494" s="356" t="str">
        <f t="shared" si="28"/>
        <v/>
      </c>
      <c r="AX494" s="356" t="str">
        <f t="shared" si="29"/>
        <v/>
      </c>
      <c r="AY494" s="356" t="str">
        <f t="shared" si="30"/>
        <v/>
      </c>
      <c r="AZ494" s="356" t="str">
        <f t="shared" si="31"/>
        <v/>
      </c>
      <c r="BA494" s="356" t="str">
        <f t="shared" si="32"/>
        <v/>
      </c>
      <c r="BB494" s="356" t="str">
        <f t="shared" si="33"/>
        <v/>
      </c>
      <c r="BC494" s="356" t="str">
        <f t="shared" si="34"/>
        <v/>
      </c>
      <c r="BD494" s="356" t="str">
        <f t="shared" si="35"/>
        <v/>
      </c>
      <c r="BE494" s="356" t="str">
        <f t="shared" si="36"/>
        <v/>
      </c>
      <c r="BF494" s="356" t="str">
        <f t="shared" si="37"/>
        <v/>
      </c>
      <c r="BG494" s="356" t="str">
        <f t="shared" si="38"/>
        <v/>
      </c>
      <c r="BH494" s="356" t="str">
        <f t="shared" si="39"/>
        <v/>
      </c>
      <c r="BI494" s="356" t="str">
        <f t="shared" si="40"/>
        <v/>
      </c>
      <c r="BJ494" s="356" t="str">
        <f t="shared" si="41"/>
        <v/>
      </c>
      <c r="BK494" s="356" t="str">
        <f t="shared" si="42"/>
        <v/>
      </c>
      <c r="BL494" s="356" t="str">
        <f t="shared" si="43"/>
        <v/>
      </c>
      <c r="BM494" s="356" t="str">
        <f t="shared" si="44"/>
        <v/>
      </c>
      <c r="BN494" s="356" t="str">
        <f t="shared" si="45"/>
        <v/>
      </c>
      <c r="BO494" s="356" t="str">
        <f t="shared" si="46"/>
        <v/>
      </c>
      <c r="BP494" s="356" t="str">
        <f t="shared" si="47"/>
        <v/>
      </c>
      <c r="BQ494" s="356" t="str">
        <f t="shared" si="48"/>
        <v/>
      </c>
      <c r="BR494" s="356" t="str">
        <f t="shared" si="49"/>
        <v/>
      </c>
      <c r="BS494" s="356" t="str">
        <f t="shared" si="50"/>
        <v/>
      </c>
      <c r="BT494" s="356" t="str">
        <f t="shared" si="51"/>
        <v/>
      </c>
      <c r="BU494" s="356" t="str">
        <f t="shared" si="52"/>
        <v/>
      </c>
      <c r="BV494" s="356" t="str">
        <f t="shared" si="53"/>
        <v/>
      </c>
      <c r="BW494" s="356" t="str">
        <f t="shared" si="54"/>
        <v/>
      </c>
      <c r="BX494" s="356" t="str">
        <f t="shared" si="55"/>
        <v/>
      </c>
      <c r="BY494" s="356" t="str">
        <f t="shared" si="56"/>
        <v/>
      </c>
      <c r="BZ494" s="356" t="str">
        <f t="shared" si="57"/>
        <v/>
      </c>
      <c r="CA494" s="356" t="str">
        <f t="shared" si="58"/>
        <v/>
      </c>
      <c r="CB494" s="356" t="str">
        <f t="shared" si="59"/>
        <v/>
      </c>
      <c r="CC494" s="356" t="str">
        <f t="shared" si="60"/>
        <v/>
      </c>
      <c r="CD494" s="356" t="str">
        <f t="shared" si="61"/>
        <v/>
      </c>
      <c r="CE494" s="356" t="str">
        <f t="shared" si="62"/>
        <v/>
      </c>
      <c r="CF494" s="356" t="str">
        <f t="shared" si="63"/>
        <v/>
      </c>
      <c r="CG494" s="356" t="str">
        <f t="shared" si="64"/>
        <v/>
      </c>
      <c r="CH494" s="356" t="str">
        <f t="shared" si="65"/>
        <v/>
      </c>
      <c r="CI494" s="356" t="str">
        <f t="shared" si="66"/>
        <v/>
      </c>
      <c r="CJ494" s="356" t="str">
        <f t="shared" si="67"/>
        <v/>
      </c>
      <c r="CK494" s="356" t="str">
        <f t="shared" si="68"/>
        <v/>
      </c>
      <c r="CL494" s="356" t="str">
        <f t="shared" si="69"/>
        <v/>
      </c>
      <c r="CM494" s="356" t="str">
        <f t="shared" si="70"/>
        <v/>
      </c>
      <c r="CN494" s="356" t="str">
        <f t="shared" si="71"/>
        <v/>
      </c>
      <c r="CO494" s="356" t="str">
        <f t="shared" si="72"/>
        <v/>
      </c>
      <c r="CP494" s="356" t="str">
        <f t="shared" si="73"/>
        <v/>
      </c>
      <c r="CQ494" s="356" t="str">
        <f t="shared" si="74"/>
        <v/>
      </c>
      <c r="CR494" s="356" t="str">
        <f t="shared" si="75"/>
        <v/>
      </c>
      <c r="CS494" s="356" t="str">
        <f t="shared" si="76"/>
        <v/>
      </c>
      <c r="CT494" s="356" t="str">
        <f t="shared" si="77"/>
        <v/>
      </c>
      <c r="CU494" s="356" t="str">
        <f t="shared" si="78"/>
        <v/>
      </c>
      <c r="CV494" s="356" t="str">
        <f t="shared" si="79"/>
        <v/>
      </c>
      <c r="CW494" s="356" t="str">
        <f t="shared" si="80"/>
        <v/>
      </c>
      <c r="CX494" s="356" t="str">
        <f t="shared" si="81"/>
        <v/>
      </c>
      <c r="CY494" s="356" t="str">
        <f t="shared" si="82"/>
        <v/>
      </c>
      <c r="CZ494" s="356" t="str">
        <f t="shared" si="83"/>
        <v/>
      </c>
      <c r="DA494" s="356" t="str">
        <f t="shared" si="84"/>
        <v/>
      </c>
      <c r="DB494" s="356" t="str">
        <f t="shared" si="85"/>
        <v/>
      </c>
      <c r="DC494" s="356" t="str">
        <f t="shared" si="86"/>
        <v/>
      </c>
      <c r="DD494" s="356" t="str">
        <f t="shared" si="87"/>
        <v/>
      </c>
      <c r="DE494" s="356" t="str">
        <f t="shared" si="88"/>
        <v/>
      </c>
      <c r="DF494" s="356" t="str">
        <f t="shared" si="89"/>
        <v/>
      </c>
      <c r="DG494" s="356" t="str">
        <f t="shared" si="90"/>
        <v/>
      </c>
      <c r="DH494" s="356" t="str">
        <f t="shared" si="91"/>
        <v/>
      </c>
      <c r="DI494" s="356" t="str">
        <f t="shared" si="92"/>
        <v/>
      </c>
      <c r="DJ494" s="356" t="str">
        <f t="shared" si="93"/>
        <v/>
      </c>
      <c r="DK494" s="356" t="str">
        <f t="shared" si="94"/>
        <v/>
      </c>
      <c r="DL494" s="356" t="str">
        <f t="shared" si="95"/>
        <v/>
      </c>
      <c r="DM494" s="356" t="str">
        <f t="shared" si="96"/>
        <v/>
      </c>
      <c r="DN494" s="356" t="str">
        <f t="shared" si="97"/>
        <v/>
      </c>
      <c r="DO494" s="356" t="str">
        <f t="shared" si="98"/>
        <v/>
      </c>
      <c r="DP494" s="356" t="str">
        <f t="shared" si="99"/>
        <v/>
      </c>
      <c r="DQ494" s="356" t="str">
        <f t="shared" si="100"/>
        <v/>
      </c>
      <c r="DR494" s="356" t="str">
        <f t="shared" si="101"/>
        <v/>
      </c>
      <c r="DS494" s="356" t="str">
        <f t="shared" si="102"/>
        <v/>
      </c>
      <c r="DT494" s="356" t="str">
        <f t="shared" si="103"/>
        <v/>
      </c>
      <c r="DU494" s="356" t="str">
        <f t="shared" si="104"/>
        <v/>
      </c>
      <c r="DV494" s="356" t="str">
        <f t="shared" si="105"/>
        <v/>
      </c>
      <c r="DW494" s="356" t="str">
        <f t="shared" si="106"/>
        <v/>
      </c>
      <c r="DX494" s="356" t="str">
        <f t="shared" si="107"/>
        <v/>
      </c>
      <c r="DY494" s="356" t="str">
        <f t="shared" si="108"/>
        <v/>
      </c>
      <c r="DZ494" s="356" t="str">
        <f t="shared" si="109"/>
        <v/>
      </c>
      <c r="EA494" s="356" t="str">
        <f t="shared" si="110"/>
        <v/>
      </c>
      <c r="EB494" s="356" t="str">
        <f t="shared" si="111"/>
        <v/>
      </c>
      <c r="EC494" s="356" t="str">
        <f t="shared" si="112"/>
        <v/>
      </c>
      <c r="ED494" s="356" t="str">
        <f t="shared" si="113"/>
        <v/>
      </c>
      <c r="EE494" s="356" t="str">
        <f t="shared" si="114"/>
        <v/>
      </c>
      <c r="EF494" s="356" t="str">
        <f t="shared" si="115"/>
        <v/>
      </c>
      <c r="EG494" s="356" t="str">
        <f t="shared" si="116"/>
        <v/>
      </c>
      <c r="EH494" s="356" t="str">
        <f t="shared" si="117"/>
        <v/>
      </c>
      <c r="EI494" s="356" t="str">
        <f t="shared" si="118"/>
        <v/>
      </c>
      <c r="EJ494" s="356" t="str">
        <f t="shared" si="119"/>
        <v/>
      </c>
      <c r="EK494" s="356" t="str">
        <f t="shared" si="120"/>
        <v/>
      </c>
      <c r="EL494" s="356" t="str">
        <f t="shared" si="121"/>
        <v/>
      </c>
      <c r="EM494" s="356" t="str">
        <f t="shared" si="122"/>
        <v/>
      </c>
      <c r="EN494" s="356" t="str">
        <f t="shared" si="123"/>
        <v/>
      </c>
      <c r="EO494" s="356" t="str">
        <f t="shared" si="124"/>
        <v/>
      </c>
      <c r="EP494" s="356" t="str">
        <f t="shared" si="125"/>
        <v/>
      </c>
      <c r="EQ494" s="356" t="str">
        <f t="shared" si="126"/>
        <v/>
      </c>
      <c r="ER494" s="356" t="str">
        <f t="shared" si="127"/>
        <v/>
      </c>
      <c r="ES494" s="356" t="str">
        <f t="shared" si="128"/>
        <v/>
      </c>
      <c r="ET494" s="356" t="str">
        <f t="shared" si="129"/>
        <v/>
      </c>
      <c r="EU494" s="356" t="str">
        <f t="shared" si="130"/>
        <v/>
      </c>
      <c r="EV494" s="356" t="str">
        <f t="shared" si="131"/>
        <v/>
      </c>
      <c r="EW494" s="356" t="str">
        <f t="shared" si="132"/>
        <v/>
      </c>
      <c r="EX494" s="356" t="str">
        <f t="shared" si="133"/>
        <v/>
      </c>
      <c r="EY494" s="356" t="str">
        <f t="shared" si="134"/>
        <v/>
      </c>
      <c r="EZ494" s="356" t="str">
        <f t="shared" si="135"/>
        <v/>
      </c>
      <c r="FA494" s="356" t="str">
        <f t="shared" si="136"/>
        <v/>
      </c>
      <c r="FB494" s="356" t="str">
        <f t="shared" si="137"/>
        <v/>
      </c>
      <c r="FC494" s="356" t="str">
        <f t="shared" si="138"/>
        <v/>
      </c>
      <c r="FD494" s="356" t="str">
        <f t="shared" si="139"/>
        <v/>
      </c>
      <c r="FE494" s="356" t="str">
        <f t="shared" si="140"/>
        <v/>
      </c>
      <c r="FF494" s="356" t="str">
        <f t="shared" si="141"/>
        <v/>
      </c>
      <c r="FG494" s="356" t="str">
        <f t="shared" si="142"/>
        <v/>
      </c>
      <c r="FH494" s="356" t="str">
        <f t="shared" si="143"/>
        <v/>
      </c>
      <c r="FI494" s="356" t="str">
        <f t="shared" si="144"/>
        <v/>
      </c>
      <c r="FJ494" s="356" t="str">
        <f t="shared" si="145"/>
        <v/>
      </c>
      <c r="FK494" s="356" t="str">
        <f t="shared" si="146"/>
        <v/>
      </c>
      <c r="FL494" s="356" t="str">
        <f t="shared" si="147"/>
        <v/>
      </c>
      <c r="FM494" s="356" t="str">
        <f t="shared" si="148"/>
        <v/>
      </c>
      <c r="FN494" s="356" t="str">
        <f t="shared" si="149"/>
        <v/>
      </c>
      <c r="FO494" s="356" t="str">
        <f t="shared" si="150"/>
        <v/>
      </c>
      <c r="FP494" s="356" t="str">
        <f t="shared" si="151"/>
        <v/>
      </c>
      <c r="FQ494" s="356" t="str">
        <f t="shared" si="152"/>
        <v/>
      </c>
      <c r="FR494" s="356" t="str">
        <f t="shared" si="153"/>
        <v/>
      </c>
      <c r="FS494" s="356" t="str">
        <f t="shared" si="154"/>
        <v/>
      </c>
      <c r="FT494" s="356" t="str">
        <f t="shared" si="155"/>
        <v/>
      </c>
      <c r="FU494" s="356" t="str">
        <f t="shared" si="156"/>
        <v/>
      </c>
      <c r="FV494" s="356" t="str">
        <f t="shared" si="157"/>
        <v/>
      </c>
      <c r="FW494" s="356" t="str">
        <f t="shared" si="158"/>
        <v/>
      </c>
      <c r="FX494" s="356" t="str">
        <f t="shared" si="159"/>
        <v/>
      </c>
      <c r="FY494" s="356" t="str">
        <f t="shared" si="160"/>
        <v/>
      </c>
      <c r="FZ494" s="356" t="str">
        <f t="shared" si="161"/>
        <v/>
      </c>
      <c r="GA494" s="356" t="str">
        <f t="shared" si="162"/>
        <v/>
      </c>
      <c r="GB494" s="356" t="str">
        <f t="shared" si="163"/>
        <v/>
      </c>
      <c r="GC494" s="356" t="str">
        <f t="shared" si="164"/>
        <v/>
      </c>
      <c r="GD494" s="356" t="str">
        <f t="shared" si="165"/>
        <v/>
      </c>
      <c r="GE494" s="356" t="str">
        <f t="shared" si="166"/>
        <v/>
      </c>
      <c r="GF494" s="356" t="str">
        <f t="shared" si="167"/>
        <v/>
      </c>
      <c r="GG494" s="356" t="str">
        <f t="shared" si="168"/>
        <v/>
      </c>
      <c r="GH494" s="356" t="str">
        <f t="shared" si="169"/>
        <v/>
      </c>
      <c r="GI494" s="356" t="str">
        <f t="shared" si="170"/>
        <v/>
      </c>
      <c r="GJ494" s="356" t="str">
        <f t="shared" si="171"/>
        <v/>
      </c>
      <c r="GK494" s="356" t="str">
        <f t="shared" si="172"/>
        <v/>
      </c>
      <c r="GL494" s="356" t="str">
        <f t="shared" si="173"/>
        <v/>
      </c>
      <c r="GM494" s="356" t="str">
        <f t="shared" si="174"/>
        <v/>
      </c>
      <c r="GN494" s="356" t="str">
        <f t="shared" si="175"/>
        <v/>
      </c>
      <c r="GO494" s="356" t="str">
        <f t="shared" si="176"/>
        <v/>
      </c>
      <c r="GP494" s="356" t="str">
        <f t="shared" si="177"/>
        <v/>
      </c>
      <c r="GQ494" s="356" t="str">
        <f t="shared" si="178"/>
        <v/>
      </c>
      <c r="GR494" s="356" t="str">
        <f t="shared" si="179"/>
        <v/>
      </c>
      <c r="GS494" s="356" t="str">
        <f t="shared" si="180"/>
        <v/>
      </c>
      <c r="GT494" s="356" t="str">
        <f t="shared" si="181"/>
        <v/>
      </c>
      <c r="GU494" s="356" t="str">
        <f t="shared" si="182"/>
        <v/>
      </c>
      <c r="GV494" s="356" t="str">
        <f t="shared" si="183"/>
        <v/>
      </c>
      <c r="GW494" s="356" t="str">
        <f t="shared" si="184"/>
        <v/>
      </c>
      <c r="GX494" s="356" t="str">
        <f t="shared" si="185"/>
        <v/>
      </c>
      <c r="GY494" s="356" t="str">
        <f t="shared" si="186"/>
        <v/>
      </c>
      <c r="GZ494" s="356" t="str">
        <f t="shared" si="187"/>
        <v/>
      </c>
      <c r="HA494" s="356" t="str">
        <f t="shared" si="188"/>
        <v/>
      </c>
      <c r="HB494" s="356" t="str">
        <f t="shared" si="189"/>
        <v/>
      </c>
      <c r="HC494" s="356" t="str">
        <f t="shared" si="190"/>
        <v/>
      </c>
      <c r="HD494" s="356" t="str">
        <f t="shared" si="191"/>
        <v/>
      </c>
      <c r="HE494" s="356" t="str">
        <f t="shared" si="192"/>
        <v/>
      </c>
      <c r="HF494" s="356" t="str">
        <f t="shared" si="193"/>
        <v/>
      </c>
      <c r="HG494" s="356" t="str">
        <f t="shared" si="194"/>
        <v/>
      </c>
      <c r="HH494" s="356" t="str">
        <f t="shared" si="195"/>
        <v/>
      </c>
      <c r="HI494" s="356" t="str">
        <f t="shared" si="196"/>
        <v/>
      </c>
      <c r="HJ494" s="356" t="str">
        <f t="shared" si="197"/>
        <v/>
      </c>
      <c r="HK494" s="356" t="str">
        <f t="shared" si="198"/>
        <v/>
      </c>
      <c r="HL494" s="356" t="str">
        <f t="shared" si="199"/>
        <v/>
      </c>
      <c r="HM494" s="356" t="str">
        <f t="shared" si="200"/>
        <v/>
      </c>
      <c r="HN494" s="356" t="str">
        <f t="shared" si="201"/>
        <v/>
      </c>
      <c r="HO494" s="356" t="str">
        <f t="shared" si="202"/>
        <v/>
      </c>
      <c r="HP494" s="356" t="str">
        <f t="shared" si="203"/>
        <v/>
      </c>
      <c r="HQ494" s="356" t="str">
        <f t="shared" si="204"/>
        <v/>
      </c>
      <c r="HR494" s="356" t="str">
        <f t="shared" si="205"/>
        <v/>
      </c>
      <c r="HS494" s="356" t="str">
        <f t="shared" si="206"/>
        <v/>
      </c>
      <c r="HT494" s="356" t="str">
        <f t="shared" si="207"/>
        <v/>
      </c>
      <c r="HU494" s="356" t="str">
        <f t="shared" si="208"/>
        <v/>
      </c>
      <c r="HV494" s="356" t="str">
        <f t="shared" si="209"/>
        <v/>
      </c>
      <c r="HW494" s="356" t="str">
        <f t="shared" si="210"/>
        <v/>
      </c>
      <c r="HX494" s="356" t="str">
        <f t="shared" si="211"/>
        <v/>
      </c>
      <c r="HY494" s="356" t="str">
        <f t="shared" si="212"/>
        <v/>
      </c>
      <c r="HZ494" s="356" t="str">
        <f t="shared" si="213"/>
        <v/>
      </c>
      <c r="IA494" s="356" t="str">
        <f t="shared" si="214"/>
        <v/>
      </c>
      <c r="IB494" s="356" t="str">
        <f t="shared" si="215"/>
        <v/>
      </c>
      <c r="IC494" s="356" t="str">
        <f t="shared" si="216"/>
        <v/>
      </c>
      <c r="ID494" s="356" t="str">
        <f t="shared" si="217"/>
        <v/>
      </c>
      <c r="IE494" s="356" t="str">
        <f t="shared" si="218"/>
        <v/>
      </c>
      <c r="IF494" s="356" t="str">
        <f t="shared" si="219"/>
        <v/>
      </c>
      <c r="IG494" s="356" t="str">
        <f t="shared" si="220"/>
        <v/>
      </c>
      <c r="IH494" s="356" t="str">
        <f t="shared" si="221"/>
        <v/>
      </c>
      <c r="II494" s="356" t="str">
        <f t="shared" si="222"/>
        <v/>
      </c>
      <c r="IJ494" s="356" t="str">
        <f t="shared" si="223"/>
        <v/>
      </c>
      <c r="IK494" s="356" t="str">
        <f t="shared" si="224"/>
        <v/>
      </c>
      <c r="IL494" s="356" t="str">
        <f t="shared" si="225"/>
        <v/>
      </c>
      <c r="IM494" s="356" t="str">
        <f t="shared" si="226"/>
        <v/>
      </c>
      <c r="IN494" s="356" t="str">
        <f t="shared" si="227"/>
        <v/>
      </c>
      <c r="IO494" s="356" t="str">
        <f t="shared" si="228"/>
        <v/>
      </c>
      <c r="IP494" s="356" t="str">
        <f t="shared" si="229"/>
        <v/>
      </c>
      <c r="IQ494" s="356" t="str">
        <f t="shared" si="230"/>
        <v/>
      </c>
      <c r="IR494" s="356" t="str">
        <f t="shared" si="231"/>
        <v/>
      </c>
      <c r="IS494" s="356" t="str">
        <f t="shared" si="232"/>
        <v/>
      </c>
      <c r="IT494" s="356" t="str">
        <f t="shared" si="233"/>
        <v/>
      </c>
      <c r="IU494" s="356" t="str">
        <f t="shared" si="234"/>
        <v/>
      </c>
      <c r="IV494" s="356" t="str">
        <f t="shared" si="235"/>
        <v/>
      </c>
      <c r="IW494" s="356" t="str">
        <f t="shared" si="236"/>
        <v/>
      </c>
      <c r="IX494" s="356" t="str">
        <f t="shared" si="237"/>
        <v/>
      </c>
      <c r="IY494" s="356" t="str">
        <f t="shared" si="238"/>
        <v/>
      </c>
      <c r="IZ494" s="356" t="str">
        <f t="shared" si="239"/>
        <v/>
      </c>
      <c r="JA494" s="356" t="str">
        <f t="shared" si="240"/>
        <v/>
      </c>
      <c r="JB494" s="356" t="str">
        <f t="shared" si="241"/>
        <v/>
      </c>
      <c r="JC494" s="356" t="str">
        <f t="shared" si="242"/>
        <v/>
      </c>
      <c r="JD494" s="356" t="str">
        <f t="shared" si="243"/>
        <v/>
      </c>
      <c r="JE494" s="356" t="str">
        <f t="shared" si="244"/>
        <v/>
      </c>
      <c r="JF494" s="356" t="str">
        <f t="shared" si="245"/>
        <v/>
      </c>
      <c r="JG494" s="356" t="str">
        <f t="shared" si="246"/>
        <v/>
      </c>
      <c r="JH494" s="356" t="str">
        <f t="shared" si="247"/>
        <v/>
      </c>
      <c r="JI494" s="1785" t="str">
        <f t="shared" si="248"/>
        <v/>
      </c>
      <c r="JJ494" s="1785" t="str">
        <f t="shared" si="249"/>
        <v/>
      </c>
      <c r="JK494" s="1785" t="str">
        <f t="shared" si="250"/>
        <v/>
      </c>
      <c r="JL494" s="1785" t="str">
        <f t="shared" si="251"/>
        <v/>
      </c>
      <c r="JM494" s="1785" t="str">
        <f t="shared" si="252"/>
        <v/>
      </c>
      <c r="JN494" s="1785" t="str">
        <f t="shared" si="253"/>
        <v/>
      </c>
      <c r="JO494" s="1785" t="str">
        <f t="shared" si="254"/>
        <v/>
      </c>
      <c r="JP494" s="1785" t="str">
        <f t="shared" si="255"/>
        <v/>
      </c>
      <c r="JQ494" s="1785" t="str">
        <f t="shared" si="256"/>
        <v/>
      </c>
      <c r="JR494" s="1785" t="str">
        <f t="shared" si="257"/>
        <v/>
      </c>
      <c r="JS494" s="1785" t="str">
        <f t="shared" si="258"/>
        <v/>
      </c>
      <c r="JT494" s="1785" t="str">
        <f t="shared" si="259"/>
        <v/>
      </c>
      <c r="JU494" s="1785" t="str">
        <f t="shared" si="260"/>
        <v/>
      </c>
      <c r="JV494" s="1785" t="str">
        <f t="shared" si="261"/>
        <v/>
      </c>
      <c r="JW494" s="1785" t="str">
        <f t="shared" si="262"/>
        <v/>
      </c>
      <c r="JX494" s="1785" t="str">
        <f t="shared" si="263"/>
        <v/>
      </c>
      <c r="JY494" s="1785" t="str">
        <f t="shared" si="264"/>
        <v/>
      </c>
      <c r="JZ494" s="1785" t="str">
        <f t="shared" si="265"/>
        <v/>
      </c>
      <c r="KA494" s="1785" t="str">
        <f t="shared" si="266"/>
        <v/>
      </c>
      <c r="KB494" s="1785" t="str">
        <f t="shared" si="267"/>
        <v/>
      </c>
      <c r="KC494" s="1785" t="str">
        <f t="shared" si="268"/>
        <v/>
      </c>
      <c r="KD494" s="1785" t="str">
        <f t="shared" si="269"/>
        <v/>
      </c>
      <c r="KE494" s="1785" t="str">
        <f t="shared" si="270"/>
        <v/>
      </c>
      <c r="KF494" s="1785" t="str">
        <f t="shared" si="271"/>
        <v/>
      </c>
      <c r="KG494" s="1785" t="str">
        <f t="shared" si="272"/>
        <v/>
      </c>
      <c r="KH494" s="1785" t="str">
        <f t="shared" si="273"/>
        <v/>
      </c>
      <c r="KI494" s="1785" t="str">
        <f t="shared" si="274"/>
        <v/>
      </c>
      <c r="KJ494" s="1785" t="str">
        <f t="shared" si="275"/>
        <v/>
      </c>
      <c r="KK494" s="1785" t="str">
        <f t="shared" si="276"/>
        <v/>
      </c>
      <c r="KL494" s="1785" t="str">
        <f t="shared" si="277"/>
        <v/>
      </c>
      <c r="KM494" s="1785" t="str">
        <f t="shared" si="278"/>
        <v/>
      </c>
      <c r="KN494" s="1785" t="str">
        <f t="shared" si="279"/>
        <v/>
      </c>
      <c r="KO494" s="1785" t="str">
        <f t="shared" si="280"/>
        <v/>
      </c>
      <c r="KP494" s="1785" t="str">
        <f t="shared" si="281"/>
        <v/>
      </c>
      <c r="KQ494" s="1785" t="str">
        <f t="shared" si="282"/>
        <v/>
      </c>
      <c r="KR494" s="1785" t="str">
        <f t="shared" si="283"/>
        <v/>
      </c>
      <c r="KS494" s="1785" t="str">
        <f t="shared" si="284"/>
        <v/>
      </c>
      <c r="KT494" s="1785" t="str">
        <f t="shared" si="285"/>
        <v/>
      </c>
      <c r="KU494" s="1785" t="str">
        <f t="shared" si="286"/>
        <v/>
      </c>
      <c r="KV494" s="1785" t="str">
        <f t="shared" si="287"/>
        <v/>
      </c>
      <c r="KW494" s="1785" t="str">
        <f t="shared" si="288"/>
        <v/>
      </c>
      <c r="KX494" s="1785" t="str">
        <f t="shared" si="289"/>
        <v/>
      </c>
      <c r="KY494" s="1785" t="str">
        <f t="shared" si="290"/>
        <v/>
      </c>
      <c r="KZ494" s="1785" t="str">
        <f t="shared" si="291"/>
        <v/>
      </c>
      <c r="LA494" s="1785" t="str">
        <f t="shared" si="292"/>
        <v/>
      </c>
      <c r="LB494" s="1785" t="str">
        <f t="shared" si="293"/>
        <v/>
      </c>
      <c r="LC494" s="1785" t="str">
        <f t="shared" si="294"/>
        <v/>
      </c>
      <c r="LD494" s="1785" t="str">
        <f t="shared" si="295"/>
        <v/>
      </c>
      <c r="LE494" s="1785" t="str">
        <f t="shared" si="296"/>
        <v/>
      </c>
      <c r="LF494" s="1785" t="str">
        <f t="shared" si="297"/>
        <v/>
      </c>
      <c r="LG494" s="1785" t="str">
        <f t="shared" si="298"/>
        <v/>
      </c>
      <c r="LH494" s="1785" t="str">
        <f t="shared" si="299"/>
        <v/>
      </c>
      <c r="LI494" s="1785" t="str">
        <f t="shared" si="300"/>
        <v/>
      </c>
      <c r="LJ494" s="1785" t="str">
        <f t="shared" si="301"/>
        <v/>
      </c>
      <c r="LK494" s="1785" t="str">
        <f t="shared" si="302"/>
        <v/>
      </c>
      <c r="LL494" s="1785" t="str">
        <f t="shared" si="303"/>
        <v/>
      </c>
      <c r="LM494" s="1785" t="str">
        <f t="shared" si="304"/>
        <v/>
      </c>
      <c r="LN494" s="1785" t="str">
        <f t="shared" si="305"/>
        <v/>
      </c>
      <c r="LO494" s="1785" t="str">
        <f t="shared" si="306"/>
        <v/>
      </c>
      <c r="LP494" s="1785" t="str">
        <f t="shared" si="307"/>
        <v/>
      </c>
      <c r="LQ494" s="1785" t="str">
        <f t="shared" si="308"/>
        <v/>
      </c>
      <c r="LR494" s="1785" t="str">
        <f t="shared" si="309"/>
        <v/>
      </c>
      <c r="LS494" s="1785" t="str">
        <f t="shared" si="310"/>
        <v/>
      </c>
      <c r="LT494" s="1785" t="str">
        <f t="shared" si="311"/>
        <v/>
      </c>
      <c r="LU494" s="1785" t="str">
        <f t="shared" si="312"/>
        <v/>
      </c>
      <c r="LV494" s="1785" t="str">
        <f t="shared" si="313"/>
        <v/>
      </c>
      <c r="LW494" s="1785" t="str">
        <f t="shared" si="314"/>
        <v/>
      </c>
      <c r="LX494" s="1785" t="str">
        <f t="shared" si="315"/>
        <v/>
      </c>
      <c r="LY494" s="1785" t="str">
        <f t="shared" si="316"/>
        <v/>
      </c>
      <c r="LZ494" s="1785" t="str">
        <f t="shared" si="317"/>
        <v/>
      </c>
      <c r="MA494" s="1785" t="str">
        <f t="shared" si="318"/>
        <v/>
      </c>
      <c r="MB494" s="1785" t="str">
        <f t="shared" si="319"/>
        <v/>
      </c>
      <c r="MC494" s="1785" t="str">
        <f t="shared" si="320"/>
        <v/>
      </c>
      <c r="MD494" s="1785" t="str">
        <f t="shared" si="321"/>
        <v/>
      </c>
      <c r="ME494" s="1785" t="str">
        <f t="shared" si="322"/>
        <v/>
      </c>
      <c r="MF494" s="1785" t="str">
        <f t="shared" si="323"/>
        <v/>
      </c>
      <c r="MG494" s="1785" t="str">
        <f t="shared" si="324"/>
        <v/>
      </c>
      <c r="MH494" s="1785" t="str">
        <f t="shared" si="325"/>
        <v/>
      </c>
      <c r="MI494" s="1785" t="str">
        <f t="shared" si="326"/>
        <v/>
      </c>
      <c r="MJ494" s="1785" t="str">
        <f t="shared" si="327"/>
        <v/>
      </c>
      <c r="MK494" s="1785" t="str">
        <f t="shared" si="328"/>
        <v/>
      </c>
      <c r="ML494" s="1785" t="str">
        <f t="shared" si="329"/>
        <v/>
      </c>
      <c r="MM494" s="1785" t="str">
        <f t="shared" si="330"/>
        <v/>
      </c>
      <c r="MN494" s="1785" t="str">
        <f t="shared" si="331"/>
        <v/>
      </c>
      <c r="MO494" s="1785" t="str">
        <f t="shared" si="332"/>
        <v/>
      </c>
      <c r="MP494" s="2470" t="str">
        <f t="shared" si="333"/>
        <v/>
      </c>
      <c r="MQ494" s="2470" t="str">
        <f t="shared" si="334"/>
        <v/>
      </c>
      <c r="MR494" s="2470" t="str">
        <f t="shared" si="335"/>
        <v/>
      </c>
      <c r="MS494" s="2470" t="str">
        <f t="shared" si="336"/>
        <v/>
      </c>
      <c r="MT494" s="2470" t="str">
        <f t="shared" si="337"/>
        <v/>
      </c>
      <c r="MU494" s="356" t="str">
        <f t="shared" si="338"/>
        <v/>
      </c>
      <c r="MV494" s="356" t="str">
        <f t="shared" si="339"/>
        <v/>
      </c>
      <c r="MW494" s="356" t="str">
        <f t="shared" si="340"/>
        <v/>
      </c>
      <c r="MX494" s="356" t="str">
        <f t="shared" si="341"/>
        <v/>
      </c>
      <c r="MY494" s="356" t="str">
        <f t="shared" si="342"/>
        <v/>
      </c>
      <c r="MZ494" s="356" t="str">
        <f t="shared" si="343"/>
        <v/>
      </c>
      <c r="NA494" s="356" t="str">
        <f t="shared" si="344"/>
        <v/>
      </c>
      <c r="NB494" s="356" t="str">
        <f t="shared" si="345"/>
        <v/>
      </c>
      <c r="NC494" s="356" t="str">
        <f t="shared" si="346"/>
        <v/>
      </c>
      <c r="ND494" s="356" t="str">
        <f t="shared" si="347"/>
        <v/>
      </c>
      <c r="NE494" s="356" t="str">
        <f t="shared" si="348"/>
        <v/>
      </c>
      <c r="NF494" s="356" t="str">
        <f t="shared" si="349"/>
        <v/>
      </c>
      <c r="NG494" s="356" t="str">
        <f t="shared" si="350"/>
        <v/>
      </c>
      <c r="NH494" s="356" t="str">
        <f t="shared" si="351"/>
        <v/>
      </c>
      <c r="NI494" s="356" t="str">
        <f t="shared" si="352"/>
        <v/>
      </c>
      <c r="NJ494" s="356" t="str">
        <f t="shared" si="353"/>
        <v/>
      </c>
      <c r="NK494" s="356" t="str">
        <f t="shared" si="354"/>
        <v/>
      </c>
      <c r="NL494" s="356" t="str">
        <f t="shared" si="355"/>
        <v/>
      </c>
      <c r="NM494" s="356" t="str">
        <f t="shared" si="356"/>
        <v/>
      </c>
      <c r="NN494" s="356" t="str">
        <f t="shared" si="357"/>
        <v/>
      </c>
      <c r="NO494" s="1640">
        <f t="shared" si="358"/>
        <v>0</v>
      </c>
      <c r="NP494" s="1640">
        <f t="shared" si="359"/>
        <v>0</v>
      </c>
      <c r="NQ494" s="1640">
        <f t="shared" si="360"/>
        <v>0</v>
      </c>
      <c r="NR494" s="1640">
        <f t="shared" si="361"/>
        <v>0</v>
      </c>
      <c r="NS494" s="1640">
        <f t="shared" si="362"/>
        <v>0</v>
      </c>
      <c r="NT494" s="1640">
        <f t="shared" si="368"/>
        <v>0</v>
      </c>
      <c r="NU494" s="1640">
        <f t="shared" si="369"/>
        <v>0</v>
      </c>
      <c r="NV494" s="1640">
        <f t="shared" si="370"/>
        <v>0</v>
      </c>
      <c r="NW494" s="1640">
        <f t="shared" si="371"/>
        <v>0</v>
      </c>
      <c r="NX494" s="1640">
        <f t="shared" si="372"/>
        <v>0</v>
      </c>
      <c r="NY494" s="1640">
        <f t="shared" si="363"/>
        <v>0</v>
      </c>
      <c r="NZ494" s="1640">
        <f t="shared" si="364"/>
        <v>0</v>
      </c>
      <c r="OA494" s="1640">
        <f t="shared" si="365"/>
        <v>0</v>
      </c>
      <c r="OB494" s="1640">
        <f t="shared" si="366"/>
        <v>0</v>
      </c>
      <c r="OC494" s="1640">
        <f t="shared" si="367"/>
        <v>0</v>
      </c>
      <c r="OY494" s="356" t="s">
        <v>4327</v>
      </c>
      <c r="OZ494" s="1784">
        <v>41</v>
      </c>
    </row>
    <row r="495" spans="1:416" ht="12" customHeight="1">
      <c r="A495" s="2706" t="str">
        <f t="shared" si="0"/>
        <v/>
      </c>
      <c r="B495" s="2725">
        <f>'Part V-Revenues &amp; Expenses'!B42</f>
        <v>0</v>
      </c>
      <c r="C495" s="2726">
        <f>'Part V-Revenues &amp; Expenses'!C42</f>
        <v>0</v>
      </c>
      <c r="D495" s="2727">
        <f>'Part V-Revenues &amp; Expenses'!D42</f>
        <v>0</v>
      </c>
      <c r="E495" s="2728">
        <f>'Part V-Revenues &amp; Expenses'!E42</f>
        <v>0</v>
      </c>
      <c r="F495" s="2728">
        <f>'Part V-Revenues &amp; Expenses'!F42</f>
        <v>0</v>
      </c>
      <c r="G495" s="2728">
        <f>'Part V-Revenues &amp; Expenses'!G42</f>
        <v>0</v>
      </c>
      <c r="H495" s="2728">
        <f>'Part V-Revenues &amp; Expenses'!H42</f>
        <v>0</v>
      </c>
      <c r="I495" s="2728">
        <f>'Part V-Revenues &amp; Expenses'!I42</f>
        <v>0</v>
      </c>
      <c r="J495" s="2728">
        <f>'Part V-Revenues &amp; Expenses'!J42</f>
        <v>0</v>
      </c>
      <c r="K495" s="2729">
        <f>'Part V-Revenues &amp; Expenses'!K42</f>
        <v>0</v>
      </c>
      <c r="L495" s="2730">
        <f t="shared" si="1"/>
        <v>0</v>
      </c>
      <c r="M495" s="2730">
        <f t="shared" si="2"/>
        <v>0</v>
      </c>
      <c r="N495" s="2580">
        <f>'Part V-Revenues &amp; Expenses'!N42</f>
        <v>0</v>
      </c>
      <c r="O495" s="1248">
        <f>'Part V-Revenues &amp; Expenses'!O42</f>
        <v>0</v>
      </c>
      <c r="P495" s="2580">
        <f>'Part V-Revenues &amp; Expenses'!P42</f>
        <v>0</v>
      </c>
      <c r="Q495" s="2469">
        <f>'Part V-Revenues &amp; Expenses'!Q42</f>
        <v>0</v>
      </c>
      <c r="R495" s="2731"/>
      <c r="S495" s="2732"/>
      <c r="T495" s="2647"/>
      <c r="U495" s="2647"/>
      <c r="V495" s="2647"/>
      <c r="W495" s="2647"/>
      <c r="X495" s="356" t="str">
        <f t="shared" si="3"/>
        <v/>
      </c>
      <c r="Y495" s="356" t="str">
        <f t="shared" si="4"/>
        <v/>
      </c>
      <c r="Z495" s="356" t="str">
        <f t="shared" si="5"/>
        <v/>
      </c>
      <c r="AA495" s="356" t="str">
        <f t="shared" si="6"/>
        <v/>
      </c>
      <c r="AB495" s="356" t="str">
        <f t="shared" si="7"/>
        <v/>
      </c>
      <c r="AC495" s="356" t="str">
        <f t="shared" si="8"/>
        <v/>
      </c>
      <c r="AD495" s="356" t="str">
        <f t="shared" si="9"/>
        <v/>
      </c>
      <c r="AE495" s="356" t="str">
        <f t="shared" si="10"/>
        <v/>
      </c>
      <c r="AF495" s="356" t="str">
        <f t="shared" si="11"/>
        <v/>
      </c>
      <c r="AG495" s="356" t="str">
        <f t="shared" si="12"/>
        <v/>
      </c>
      <c r="AH495" s="356" t="str">
        <f t="shared" si="13"/>
        <v/>
      </c>
      <c r="AI495" s="356" t="str">
        <f t="shared" si="14"/>
        <v/>
      </c>
      <c r="AJ495" s="356" t="str">
        <f t="shared" si="15"/>
        <v/>
      </c>
      <c r="AK495" s="356" t="str">
        <f t="shared" si="16"/>
        <v/>
      </c>
      <c r="AL495" s="356" t="str">
        <f t="shared" si="17"/>
        <v/>
      </c>
      <c r="AM495" s="356" t="str">
        <f t="shared" si="18"/>
        <v/>
      </c>
      <c r="AN495" s="356" t="str">
        <f t="shared" si="19"/>
        <v/>
      </c>
      <c r="AO495" s="356" t="str">
        <f t="shared" si="20"/>
        <v/>
      </c>
      <c r="AP495" s="356" t="str">
        <f t="shared" si="21"/>
        <v/>
      </c>
      <c r="AQ495" s="356" t="str">
        <f t="shared" si="22"/>
        <v/>
      </c>
      <c r="AR495" s="356" t="str">
        <f t="shared" si="23"/>
        <v/>
      </c>
      <c r="AS495" s="356" t="str">
        <f t="shared" si="24"/>
        <v/>
      </c>
      <c r="AT495" s="356" t="str">
        <f t="shared" si="25"/>
        <v/>
      </c>
      <c r="AU495" s="356" t="str">
        <f t="shared" si="26"/>
        <v/>
      </c>
      <c r="AV495" s="356" t="str">
        <f t="shared" si="27"/>
        <v/>
      </c>
      <c r="AW495" s="356" t="str">
        <f t="shared" si="28"/>
        <v/>
      </c>
      <c r="AX495" s="356" t="str">
        <f t="shared" si="29"/>
        <v/>
      </c>
      <c r="AY495" s="356" t="str">
        <f t="shared" si="30"/>
        <v/>
      </c>
      <c r="AZ495" s="356" t="str">
        <f t="shared" si="31"/>
        <v/>
      </c>
      <c r="BA495" s="356" t="str">
        <f t="shared" si="32"/>
        <v/>
      </c>
      <c r="BB495" s="356" t="str">
        <f t="shared" si="33"/>
        <v/>
      </c>
      <c r="BC495" s="356" t="str">
        <f t="shared" si="34"/>
        <v/>
      </c>
      <c r="BD495" s="356" t="str">
        <f t="shared" si="35"/>
        <v/>
      </c>
      <c r="BE495" s="356" t="str">
        <f t="shared" si="36"/>
        <v/>
      </c>
      <c r="BF495" s="356" t="str">
        <f t="shared" si="37"/>
        <v/>
      </c>
      <c r="BG495" s="356" t="str">
        <f t="shared" si="38"/>
        <v/>
      </c>
      <c r="BH495" s="356" t="str">
        <f t="shared" si="39"/>
        <v/>
      </c>
      <c r="BI495" s="356" t="str">
        <f t="shared" si="40"/>
        <v/>
      </c>
      <c r="BJ495" s="356" t="str">
        <f t="shared" si="41"/>
        <v/>
      </c>
      <c r="BK495" s="356" t="str">
        <f t="shared" si="42"/>
        <v/>
      </c>
      <c r="BL495" s="356" t="str">
        <f t="shared" si="43"/>
        <v/>
      </c>
      <c r="BM495" s="356" t="str">
        <f t="shared" si="44"/>
        <v/>
      </c>
      <c r="BN495" s="356" t="str">
        <f t="shared" si="45"/>
        <v/>
      </c>
      <c r="BO495" s="356" t="str">
        <f t="shared" si="46"/>
        <v/>
      </c>
      <c r="BP495" s="356" t="str">
        <f t="shared" si="47"/>
        <v/>
      </c>
      <c r="BQ495" s="356" t="str">
        <f t="shared" si="48"/>
        <v/>
      </c>
      <c r="BR495" s="356" t="str">
        <f t="shared" si="49"/>
        <v/>
      </c>
      <c r="BS495" s="356" t="str">
        <f t="shared" si="50"/>
        <v/>
      </c>
      <c r="BT495" s="356" t="str">
        <f t="shared" si="51"/>
        <v/>
      </c>
      <c r="BU495" s="356" t="str">
        <f t="shared" si="52"/>
        <v/>
      </c>
      <c r="BV495" s="356" t="str">
        <f t="shared" si="53"/>
        <v/>
      </c>
      <c r="BW495" s="356" t="str">
        <f t="shared" si="54"/>
        <v/>
      </c>
      <c r="BX495" s="356" t="str">
        <f t="shared" si="55"/>
        <v/>
      </c>
      <c r="BY495" s="356" t="str">
        <f t="shared" si="56"/>
        <v/>
      </c>
      <c r="BZ495" s="356" t="str">
        <f t="shared" si="57"/>
        <v/>
      </c>
      <c r="CA495" s="356" t="str">
        <f t="shared" si="58"/>
        <v/>
      </c>
      <c r="CB495" s="356" t="str">
        <f t="shared" si="59"/>
        <v/>
      </c>
      <c r="CC495" s="356" t="str">
        <f t="shared" si="60"/>
        <v/>
      </c>
      <c r="CD495" s="356" t="str">
        <f t="shared" si="61"/>
        <v/>
      </c>
      <c r="CE495" s="356" t="str">
        <f t="shared" si="62"/>
        <v/>
      </c>
      <c r="CF495" s="356" t="str">
        <f t="shared" si="63"/>
        <v/>
      </c>
      <c r="CG495" s="356" t="str">
        <f t="shared" si="64"/>
        <v/>
      </c>
      <c r="CH495" s="356" t="str">
        <f t="shared" si="65"/>
        <v/>
      </c>
      <c r="CI495" s="356" t="str">
        <f t="shared" si="66"/>
        <v/>
      </c>
      <c r="CJ495" s="356" t="str">
        <f t="shared" si="67"/>
        <v/>
      </c>
      <c r="CK495" s="356" t="str">
        <f t="shared" si="68"/>
        <v/>
      </c>
      <c r="CL495" s="356" t="str">
        <f t="shared" si="69"/>
        <v/>
      </c>
      <c r="CM495" s="356" t="str">
        <f t="shared" si="70"/>
        <v/>
      </c>
      <c r="CN495" s="356" t="str">
        <f t="shared" si="71"/>
        <v/>
      </c>
      <c r="CO495" s="356" t="str">
        <f t="shared" si="72"/>
        <v/>
      </c>
      <c r="CP495" s="356" t="str">
        <f t="shared" si="73"/>
        <v/>
      </c>
      <c r="CQ495" s="356" t="str">
        <f t="shared" si="74"/>
        <v/>
      </c>
      <c r="CR495" s="356" t="str">
        <f t="shared" si="75"/>
        <v/>
      </c>
      <c r="CS495" s="356" t="str">
        <f t="shared" si="76"/>
        <v/>
      </c>
      <c r="CT495" s="356" t="str">
        <f t="shared" si="77"/>
        <v/>
      </c>
      <c r="CU495" s="356" t="str">
        <f t="shared" si="78"/>
        <v/>
      </c>
      <c r="CV495" s="356" t="str">
        <f t="shared" si="79"/>
        <v/>
      </c>
      <c r="CW495" s="356" t="str">
        <f t="shared" si="80"/>
        <v/>
      </c>
      <c r="CX495" s="356" t="str">
        <f t="shared" si="81"/>
        <v/>
      </c>
      <c r="CY495" s="356" t="str">
        <f t="shared" si="82"/>
        <v/>
      </c>
      <c r="CZ495" s="356" t="str">
        <f t="shared" si="83"/>
        <v/>
      </c>
      <c r="DA495" s="356" t="str">
        <f t="shared" si="84"/>
        <v/>
      </c>
      <c r="DB495" s="356" t="str">
        <f t="shared" si="85"/>
        <v/>
      </c>
      <c r="DC495" s="356" t="str">
        <f t="shared" si="86"/>
        <v/>
      </c>
      <c r="DD495" s="356" t="str">
        <f t="shared" si="87"/>
        <v/>
      </c>
      <c r="DE495" s="356" t="str">
        <f t="shared" si="88"/>
        <v/>
      </c>
      <c r="DF495" s="356" t="str">
        <f t="shared" si="89"/>
        <v/>
      </c>
      <c r="DG495" s="356" t="str">
        <f t="shared" si="90"/>
        <v/>
      </c>
      <c r="DH495" s="356" t="str">
        <f t="shared" si="91"/>
        <v/>
      </c>
      <c r="DI495" s="356" t="str">
        <f t="shared" si="92"/>
        <v/>
      </c>
      <c r="DJ495" s="356" t="str">
        <f t="shared" si="93"/>
        <v/>
      </c>
      <c r="DK495" s="356" t="str">
        <f t="shared" si="94"/>
        <v/>
      </c>
      <c r="DL495" s="356" t="str">
        <f t="shared" si="95"/>
        <v/>
      </c>
      <c r="DM495" s="356" t="str">
        <f t="shared" si="96"/>
        <v/>
      </c>
      <c r="DN495" s="356" t="str">
        <f t="shared" si="97"/>
        <v/>
      </c>
      <c r="DO495" s="356" t="str">
        <f t="shared" si="98"/>
        <v/>
      </c>
      <c r="DP495" s="356" t="str">
        <f t="shared" si="99"/>
        <v/>
      </c>
      <c r="DQ495" s="356" t="str">
        <f t="shared" si="100"/>
        <v/>
      </c>
      <c r="DR495" s="356" t="str">
        <f t="shared" si="101"/>
        <v/>
      </c>
      <c r="DS495" s="356" t="str">
        <f t="shared" si="102"/>
        <v/>
      </c>
      <c r="DT495" s="356" t="str">
        <f t="shared" si="103"/>
        <v/>
      </c>
      <c r="DU495" s="356" t="str">
        <f t="shared" si="104"/>
        <v/>
      </c>
      <c r="DV495" s="356" t="str">
        <f t="shared" si="105"/>
        <v/>
      </c>
      <c r="DW495" s="356" t="str">
        <f t="shared" si="106"/>
        <v/>
      </c>
      <c r="DX495" s="356" t="str">
        <f t="shared" si="107"/>
        <v/>
      </c>
      <c r="DY495" s="356" t="str">
        <f t="shared" si="108"/>
        <v/>
      </c>
      <c r="DZ495" s="356" t="str">
        <f t="shared" si="109"/>
        <v/>
      </c>
      <c r="EA495" s="356" t="str">
        <f t="shared" si="110"/>
        <v/>
      </c>
      <c r="EB495" s="356" t="str">
        <f t="shared" si="111"/>
        <v/>
      </c>
      <c r="EC495" s="356" t="str">
        <f t="shared" si="112"/>
        <v/>
      </c>
      <c r="ED495" s="356" t="str">
        <f t="shared" si="113"/>
        <v/>
      </c>
      <c r="EE495" s="356" t="str">
        <f t="shared" si="114"/>
        <v/>
      </c>
      <c r="EF495" s="356" t="str">
        <f t="shared" si="115"/>
        <v/>
      </c>
      <c r="EG495" s="356" t="str">
        <f t="shared" si="116"/>
        <v/>
      </c>
      <c r="EH495" s="356" t="str">
        <f t="shared" si="117"/>
        <v/>
      </c>
      <c r="EI495" s="356" t="str">
        <f t="shared" si="118"/>
        <v/>
      </c>
      <c r="EJ495" s="356" t="str">
        <f t="shared" si="119"/>
        <v/>
      </c>
      <c r="EK495" s="356" t="str">
        <f t="shared" si="120"/>
        <v/>
      </c>
      <c r="EL495" s="356" t="str">
        <f t="shared" si="121"/>
        <v/>
      </c>
      <c r="EM495" s="356" t="str">
        <f t="shared" si="122"/>
        <v/>
      </c>
      <c r="EN495" s="356" t="str">
        <f t="shared" si="123"/>
        <v/>
      </c>
      <c r="EO495" s="356" t="str">
        <f t="shared" si="124"/>
        <v/>
      </c>
      <c r="EP495" s="356" t="str">
        <f t="shared" si="125"/>
        <v/>
      </c>
      <c r="EQ495" s="356" t="str">
        <f t="shared" si="126"/>
        <v/>
      </c>
      <c r="ER495" s="356" t="str">
        <f t="shared" si="127"/>
        <v/>
      </c>
      <c r="ES495" s="356" t="str">
        <f t="shared" si="128"/>
        <v/>
      </c>
      <c r="ET495" s="356" t="str">
        <f t="shared" si="129"/>
        <v/>
      </c>
      <c r="EU495" s="356" t="str">
        <f t="shared" si="130"/>
        <v/>
      </c>
      <c r="EV495" s="356" t="str">
        <f t="shared" si="131"/>
        <v/>
      </c>
      <c r="EW495" s="356" t="str">
        <f t="shared" si="132"/>
        <v/>
      </c>
      <c r="EX495" s="356" t="str">
        <f t="shared" si="133"/>
        <v/>
      </c>
      <c r="EY495" s="356" t="str">
        <f t="shared" si="134"/>
        <v/>
      </c>
      <c r="EZ495" s="356" t="str">
        <f t="shared" si="135"/>
        <v/>
      </c>
      <c r="FA495" s="356" t="str">
        <f t="shared" si="136"/>
        <v/>
      </c>
      <c r="FB495" s="356" t="str">
        <f t="shared" si="137"/>
        <v/>
      </c>
      <c r="FC495" s="356" t="str">
        <f t="shared" si="138"/>
        <v/>
      </c>
      <c r="FD495" s="356" t="str">
        <f t="shared" si="139"/>
        <v/>
      </c>
      <c r="FE495" s="356" t="str">
        <f t="shared" si="140"/>
        <v/>
      </c>
      <c r="FF495" s="356" t="str">
        <f t="shared" si="141"/>
        <v/>
      </c>
      <c r="FG495" s="356" t="str">
        <f t="shared" si="142"/>
        <v/>
      </c>
      <c r="FH495" s="356" t="str">
        <f t="shared" si="143"/>
        <v/>
      </c>
      <c r="FI495" s="356" t="str">
        <f t="shared" si="144"/>
        <v/>
      </c>
      <c r="FJ495" s="356" t="str">
        <f t="shared" si="145"/>
        <v/>
      </c>
      <c r="FK495" s="356" t="str">
        <f t="shared" si="146"/>
        <v/>
      </c>
      <c r="FL495" s="356" t="str">
        <f t="shared" si="147"/>
        <v/>
      </c>
      <c r="FM495" s="356" t="str">
        <f t="shared" si="148"/>
        <v/>
      </c>
      <c r="FN495" s="356" t="str">
        <f t="shared" si="149"/>
        <v/>
      </c>
      <c r="FO495" s="356" t="str">
        <f t="shared" si="150"/>
        <v/>
      </c>
      <c r="FP495" s="356" t="str">
        <f t="shared" si="151"/>
        <v/>
      </c>
      <c r="FQ495" s="356" t="str">
        <f t="shared" si="152"/>
        <v/>
      </c>
      <c r="FR495" s="356" t="str">
        <f t="shared" si="153"/>
        <v/>
      </c>
      <c r="FS495" s="356" t="str">
        <f t="shared" si="154"/>
        <v/>
      </c>
      <c r="FT495" s="356" t="str">
        <f t="shared" si="155"/>
        <v/>
      </c>
      <c r="FU495" s="356" t="str">
        <f t="shared" si="156"/>
        <v/>
      </c>
      <c r="FV495" s="356" t="str">
        <f t="shared" si="157"/>
        <v/>
      </c>
      <c r="FW495" s="356" t="str">
        <f t="shared" si="158"/>
        <v/>
      </c>
      <c r="FX495" s="356" t="str">
        <f t="shared" si="159"/>
        <v/>
      </c>
      <c r="FY495" s="356" t="str">
        <f t="shared" si="160"/>
        <v/>
      </c>
      <c r="FZ495" s="356" t="str">
        <f t="shared" si="161"/>
        <v/>
      </c>
      <c r="GA495" s="356" t="str">
        <f t="shared" si="162"/>
        <v/>
      </c>
      <c r="GB495" s="356" t="str">
        <f t="shared" si="163"/>
        <v/>
      </c>
      <c r="GC495" s="356" t="str">
        <f t="shared" si="164"/>
        <v/>
      </c>
      <c r="GD495" s="356" t="str">
        <f t="shared" si="165"/>
        <v/>
      </c>
      <c r="GE495" s="356" t="str">
        <f t="shared" si="166"/>
        <v/>
      </c>
      <c r="GF495" s="356" t="str">
        <f t="shared" si="167"/>
        <v/>
      </c>
      <c r="GG495" s="356" t="str">
        <f t="shared" si="168"/>
        <v/>
      </c>
      <c r="GH495" s="356" t="str">
        <f t="shared" si="169"/>
        <v/>
      </c>
      <c r="GI495" s="356" t="str">
        <f t="shared" si="170"/>
        <v/>
      </c>
      <c r="GJ495" s="356" t="str">
        <f t="shared" si="171"/>
        <v/>
      </c>
      <c r="GK495" s="356" t="str">
        <f t="shared" si="172"/>
        <v/>
      </c>
      <c r="GL495" s="356" t="str">
        <f t="shared" si="173"/>
        <v/>
      </c>
      <c r="GM495" s="356" t="str">
        <f t="shared" si="174"/>
        <v/>
      </c>
      <c r="GN495" s="356" t="str">
        <f t="shared" si="175"/>
        <v/>
      </c>
      <c r="GO495" s="356" t="str">
        <f t="shared" si="176"/>
        <v/>
      </c>
      <c r="GP495" s="356" t="str">
        <f t="shared" si="177"/>
        <v/>
      </c>
      <c r="GQ495" s="356" t="str">
        <f t="shared" si="178"/>
        <v/>
      </c>
      <c r="GR495" s="356" t="str">
        <f t="shared" si="179"/>
        <v/>
      </c>
      <c r="GS495" s="356" t="str">
        <f t="shared" si="180"/>
        <v/>
      </c>
      <c r="GT495" s="356" t="str">
        <f t="shared" si="181"/>
        <v/>
      </c>
      <c r="GU495" s="356" t="str">
        <f t="shared" si="182"/>
        <v/>
      </c>
      <c r="GV495" s="356" t="str">
        <f t="shared" si="183"/>
        <v/>
      </c>
      <c r="GW495" s="356" t="str">
        <f t="shared" si="184"/>
        <v/>
      </c>
      <c r="GX495" s="356" t="str">
        <f t="shared" si="185"/>
        <v/>
      </c>
      <c r="GY495" s="356" t="str">
        <f t="shared" si="186"/>
        <v/>
      </c>
      <c r="GZ495" s="356" t="str">
        <f t="shared" si="187"/>
        <v/>
      </c>
      <c r="HA495" s="356" t="str">
        <f t="shared" si="188"/>
        <v/>
      </c>
      <c r="HB495" s="356" t="str">
        <f t="shared" si="189"/>
        <v/>
      </c>
      <c r="HC495" s="356" t="str">
        <f t="shared" si="190"/>
        <v/>
      </c>
      <c r="HD495" s="356" t="str">
        <f t="shared" si="191"/>
        <v/>
      </c>
      <c r="HE495" s="356" t="str">
        <f t="shared" si="192"/>
        <v/>
      </c>
      <c r="HF495" s="356" t="str">
        <f t="shared" si="193"/>
        <v/>
      </c>
      <c r="HG495" s="356" t="str">
        <f t="shared" si="194"/>
        <v/>
      </c>
      <c r="HH495" s="356" t="str">
        <f t="shared" si="195"/>
        <v/>
      </c>
      <c r="HI495" s="356" t="str">
        <f t="shared" si="196"/>
        <v/>
      </c>
      <c r="HJ495" s="356" t="str">
        <f t="shared" si="197"/>
        <v/>
      </c>
      <c r="HK495" s="356" t="str">
        <f t="shared" si="198"/>
        <v/>
      </c>
      <c r="HL495" s="356" t="str">
        <f t="shared" si="199"/>
        <v/>
      </c>
      <c r="HM495" s="356" t="str">
        <f t="shared" si="200"/>
        <v/>
      </c>
      <c r="HN495" s="356" t="str">
        <f t="shared" si="201"/>
        <v/>
      </c>
      <c r="HO495" s="356" t="str">
        <f t="shared" si="202"/>
        <v/>
      </c>
      <c r="HP495" s="356" t="str">
        <f t="shared" si="203"/>
        <v/>
      </c>
      <c r="HQ495" s="356" t="str">
        <f t="shared" si="204"/>
        <v/>
      </c>
      <c r="HR495" s="356" t="str">
        <f t="shared" si="205"/>
        <v/>
      </c>
      <c r="HS495" s="356" t="str">
        <f t="shared" si="206"/>
        <v/>
      </c>
      <c r="HT495" s="356" t="str">
        <f t="shared" si="207"/>
        <v/>
      </c>
      <c r="HU495" s="356" t="str">
        <f t="shared" si="208"/>
        <v/>
      </c>
      <c r="HV495" s="356" t="str">
        <f t="shared" si="209"/>
        <v/>
      </c>
      <c r="HW495" s="356" t="str">
        <f t="shared" si="210"/>
        <v/>
      </c>
      <c r="HX495" s="356" t="str">
        <f t="shared" si="211"/>
        <v/>
      </c>
      <c r="HY495" s="356" t="str">
        <f t="shared" si="212"/>
        <v/>
      </c>
      <c r="HZ495" s="356" t="str">
        <f t="shared" si="213"/>
        <v/>
      </c>
      <c r="IA495" s="356" t="str">
        <f t="shared" si="214"/>
        <v/>
      </c>
      <c r="IB495" s="356" t="str">
        <f t="shared" si="215"/>
        <v/>
      </c>
      <c r="IC495" s="356" t="str">
        <f t="shared" si="216"/>
        <v/>
      </c>
      <c r="ID495" s="356" t="str">
        <f t="shared" si="217"/>
        <v/>
      </c>
      <c r="IE495" s="356" t="str">
        <f t="shared" si="218"/>
        <v/>
      </c>
      <c r="IF495" s="356" t="str">
        <f t="shared" si="219"/>
        <v/>
      </c>
      <c r="IG495" s="356" t="str">
        <f t="shared" si="220"/>
        <v/>
      </c>
      <c r="IH495" s="356" t="str">
        <f t="shared" si="221"/>
        <v/>
      </c>
      <c r="II495" s="356" t="str">
        <f t="shared" si="222"/>
        <v/>
      </c>
      <c r="IJ495" s="356" t="str">
        <f t="shared" si="223"/>
        <v/>
      </c>
      <c r="IK495" s="356" t="str">
        <f t="shared" si="224"/>
        <v/>
      </c>
      <c r="IL495" s="356" t="str">
        <f t="shared" si="225"/>
        <v/>
      </c>
      <c r="IM495" s="356" t="str">
        <f t="shared" si="226"/>
        <v/>
      </c>
      <c r="IN495" s="356" t="str">
        <f t="shared" si="227"/>
        <v/>
      </c>
      <c r="IO495" s="356" t="str">
        <f t="shared" si="228"/>
        <v/>
      </c>
      <c r="IP495" s="356" t="str">
        <f t="shared" si="229"/>
        <v/>
      </c>
      <c r="IQ495" s="356" t="str">
        <f t="shared" si="230"/>
        <v/>
      </c>
      <c r="IR495" s="356" t="str">
        <f t="shared" si="231"/>
        <v/>
      </c>
      <c r="IS495" s="356" t="str">
        <f t="shared" si="232"/>
        <v/>
      </c>
      <c r="IT495" s="356" t="str">
        <f t="shared" si="233"/>
        <v/>
      </c>
      <c r="IU495" s="356" t="str">
        <f t="shared" si="234"/>
        <v/>
      </c>
      <c r="IV495" s="356" t="str">
        <f t="shared" si="235"/>
        <v/>
      </c>
      <c r="IW495" s="356" t="str">
        <f t="shared" si="236"/>
        <v/>
      </c>
      <c r="IX495" s="356" t="str">
        <f t="shared" si="237"/>
        <v/>
      </c>
      <c r="IY495" s="356" t="str">
        <f t="shared" si="238"/>
        <v/>
      </c>
      <c r="IZ495" s="356" t="str">
        <f t="shared" si="239"/>
        <v/>
      </c>
      <c r="JA495" s="356" t="str">
        <f t="shared" si="240"/>
        <v/>
      </c>
      <c r="JB495" s="356" t="str">
        <f t="shared" si="241"/>
        <v/>
      </c>
      <c r="JC495" s="356" t="str">
        <f t="shared" si="242"/>
        <v/>
      </c>
      <c r="JD495" s="356" t="str">
        <f t="shared" si="243"/>
        <v/>
      </c>
      <c r="JE495" s="356" t="str">
        <f t="shared" si="244"/>
        <v/>
      </c>
      <c r="JF495" s="356" t="str">
        <f t="shared" si="245"/>
        <v/>
      </c>
      <c r="JG495" s="356" t="str">
        <f t="shared" si="246"/>
        <v/>
      </c>
      <c r="JH495" s="356" t="str">
        <f t="shared" si="247"/>
        <v/>
      </c>
      <c r="JI495" s="1785" t="str">
        <f t="shared" si="248"/>
        <v/>
      </c>
      <c r="JJ495" s="1785" t="str">
        <f t="shared" si="249"/>
        <v/>
      </c>
      <c r="JK495" s="1785" t="str">
        <f t="shared" si="250"/>
        <v/>
      </c>
      <c r="JL495" s="1785" t="str">
        <f t="shared" si="251"/>
        <v/>
      </c>
      <c r="JM495" s="1785" t="str">
        <f t="shared" si="252"/>
        <v/>
      </c>
      <c r="JN495" s="1785" t="str">
        <f t="shared" si="253"/>
        <v/>
      </c>
      <c r="JO495" s="1785" t="str">
        <f t="shared" si="254"/>
        <v/>
      </c>
      <c r="JP495" s="1785" t="str">
        <f t="shared" si="255"/>
        <v/>
      </c>
      <c r="JQ495" s="1785" t="str">
        <f t="shared" si="256"/>
        <v/>
      </c>
      <c r="JR495" s="1785" t="str">
        <f t="shared" si="257"/>
        <v/>
      </c>
      <c r="JS495" s="1785" t="str">
        <f t="shared" si="258"/>
        <v/>
      </c>
      <c r="JT495" s="1785" t="str">
        <f t="shared" si="259"/>
        <v/>
      </c>
      <c r="JU495" s="1785" t="str">
        <f t="shared" si="260"/>
        <v/>
      </c>
      <c r="JV495" s="1785" t="str">
        <f t="shared" si="261"/>
        <v/>
      </c>
      <c r="JW495" s="1785" t="str">
        <f t="shared" si="262"/>
        <v/>
      </c>
      <c r="JX495" s="1785" t="str">
        <f t="shared" si="263"/>
        <v/>
      </c>
      <c r="JY495" s="1785" t="str">
        <f t="shared" si="264"/>
        <v/>
      </c>
      <c r="JZ495" s="1785" t="str">
        <f t="shared" si="265"/>
        <v/>
      </c>
      <c r="KA495" s="1785" t="str">
        <f t="shared" si="266"/>
        <v/>
      </c>
      <c r="KB495" s="1785" t="str">
        <f t="shared" si="267"/>
        <v/>
      </c>
      <c r="KC495" s="1785" t="str">
        <f t="shared" si="268"/>
        <v/>
      </c>
      <c r="KD495" s="1785" t="str">
        <f t="shared" si="269"/>
        <v/>
      </c>
      <c r="KE495" s="1785" t="str">
        <f t="shared" si="270"/>
        <v/>
      </c>
      <c r="KF495" s="1785" t="str">
        <f t="shared" si="271"/>
        <v/>
      </c>
      <c r="KG495" s="1785" t="str">
        <f t="shared" si="272"/>
        <v/>
      </c>
      <c r="KH495" s="1785" t="str">
        <f t="shared" si="273"/>
        <v/>
      </c>
      <c r="KI495" s="1785" t="str">
        <f t="shared" si="274"/>
        <v/>
      </c>
      <c r="KJ495" s="1785" t="str">
        <f t="shared" si="275"/>
        <v/>
      </c>
      <c r="KK495" s="1785" t="str">
        <f t="shared" si="276"/>
        <v/>
      </c>
      <c r="KL495" s="1785" t="str">
        <f t="shared" si="277"/>
        <v/>
      </c>
      <c r="KM495" s="1785" t="str">
        <f t="shared" si="278"/>
        <v/>
      </c>
      <c r="KN495" s="1785" t="str">
        <f t="shared" si="279"/>
        <v/>
      </c>
      <c r="KO495" s="1785" t="str">
        <f t="shared" si="280"/>
        <v/>
      </c>
      <c r="KP495" s="1785" t="str">
        <f t="shared" si="281"/>
        <v/>
      </c>
      <c r="KQ495" s="1785" t="str">
        <f t="shared" si="282"/>
        <v/>
      </c>
      <c r="KR495" s="1785" t="str">
        <f t="shared" si="283"/>
        <v/>
      </c>
      <c r="KS495" s="1785" t="str">
        <f t="shared" si="284"/>
        <v/>
      </c>
      <c r="KT495" s="1785" t="str">
        <f t="shared" si="285"/>
        <v/>
      </c>
      <c r="KU495" s="1785" t="str">
        <f t="shared" si="286"/>
        <v/>
      </c>
      <c r="KV495" s="1785" t="str">
        <f t="shared" si="287"/>
        <v/>
      </c>
      <c r="KW495" s="1785" t="str">
        <f t="shared" si="288"/>
        <v/>
      </c>
      <c r="KX495" s="1785" t="str">
        <f t="shared" si="289"/>
        <v/>
      </c>
      <c r="KY495" s="1785" t="str">
        <f t="shared" si="290"/>
        <v/>
      </c>
      <c r="KZ495" s="1785" t="str">
        <f t="shared" si="291"/>
        <v/>
      </c>
      <c r="LA495" s="1785" t="str">
        <f t="shared" si="292"/>
        <v/>
      </c>
      <c r="LB495" s="1785" t="str">
        <f t="shared" si="293"/>
        <v/>
      </c>
      <c r="LC495" s="1785" t="str">
        <f t="shared" si="294"/>
        <v/>
      </c>
      <c r="LD495" s="1785" t="str">
        <f t="shared" si="295"/>
        <v/>
      </c>
      <c r="LE495" s="1785" t="str">
        <f t="shared" si="296"/>
        <v/>
      </c>
      <c r="LF495" s="1785" t="str">
        <f t="shared" si="297"/>
        <v/>
      </c>
      <c r="LG495" s="1785" t="str">
        <f t="shared" si="298"/>
        <v/>
      </c>
      <c r="LH495" s="1785" t="str">
        <f t="shared" si="299"/>
        <v/>
      </c>
      <c r="LI495" s="1785" t="str">
        <f t="shared" si="300"/>
        <v/>
      </c>
      <c r="LJ495" s="1785" t="str">
        <f t="shared" si="301"/>
        <v/>
      </c>
      <c r="LK495" s="1785" t="str">
        <f t="shared" si="302"/>
        <v/>
      </c>
      <c r="LL495" s="1785" t="str">
        <f t="shared" si="303"/>
        <v/>
      </c>
      <c r="LM495" s="1785" t="str">
        <f t="shared" si="304"/>
        <v/>
      </c>
      <c r="LN495" s="1785" t="str">
        <f t="shared" si="305"/>
        <v/>
      </c>
      <c r="LO495" s="1785" t="str">
        <f t="shared" si="306"/>
        <v/>
      </c>
      <c r="LP495" s="1785" t="str">
        <f t="shared" si="307"/>
        <v/>
      </c>
      <c r="LQ495" s="1785" t="str">
        <f t="shared" si="308"/>
        <v/>
      </c>
      <c r="LR495" s="1785" t="str">
        <f t="shared" si="309"/>
        <v/>
      </c>
      <c r="LS495" s="1785" t="str">
        <f t="shared" si="310"/>
        <v/>
      </c>
      <c r="LT495" s="1785" t="str">
        <f t="shared" si="311"/>
        <v/>
      </c>
      <c r="LU495" s="1785" t="str">
        <f t="shared" si="312"/>
        <v/>
      </c>
      <c r="LV495" s="1785" t="str">
        <f t="shared" si="313"/>
        <v/>
      </c>
      <c r="LW495" s="1785" t="str">
        <f t="shared" si="314"/>
        <v/>
      </c>
      <c r="LX495" s="1785" t="str">
        <f t="shared" si="315"/>
        <v/>
      </c>
      <c r="LY495" s="1785" t="str">
        <f t="shared" si="316"/>
        <v/>
      </c>
      <c r="LZ495" s="1785" t="str">
        <f t="shared" si="317"/>
        <v/>
      </c>
      <c r="MA495" s="1785" t="str">
        <f t="shared" si="318"/>
        <v/>
      </c>
      <c r="MB495" s="1785" t="str">
        <f t="shared" si="319"/>
        <v/>
      </c>
      <c r="MC495" s="1785" t="str">
        <f t="shared" si="320"/>
        <v/>
      </c>
      <c r="MD495" s="1785" t="str">
        <f t="shared" si="321"/>
        <v/>
      </c>
      <c r="ME495" s="1785" t="str">
        <f t="shared" si="322"/>
        <v/>
      </c>
      <c r="MF495" s="1785" t="str">
        <f t="shared" si="323"/>
        <v/>
      </c>
      <c r="MG495" s="1785" t="str">
        <f t="shared" si="324"/>
        <v/>
      </c>
      <c r="MH495" s="1785" t="str">
        <f t="shared" si="325"/>
        <v/>
      </c>
      <c r="MI495" s="1785" t="str">
        <f t="shared" si="326"/>
        <v/>
      </c>
      <c r="MJ495" s="1785" t="str">
        <f t="shared" si="327"/>
        <v/>
      </c>
      <c r="MK495" s="1785" t="str">
        <f t="shared" si="328"/>
        <v/>
      </c>
      <c r="ML495" s="1785" t="str">
        <f t="shared" si="329"/>
        <v/>
      </c>
      <c r="MM495" s="1785" t="str">
        <f t="shared" si="330"/>
        <v/>
      </c>
      <c r="MN495" s="1785" t="str">
        <f t="shared" si="331"/>
        <v/>
      </c>
      <c r="MO495" s="1785" t="str">
        <f t="shared" si="332"/>
        <v/>
      </c>
      <c r="MP495" s="2470" t="str">
        <f t="shared" si="333"/>
        <v/>
      </c>
      <c r="MQ495" s="2470" t="str">
        <f t="shared" si="334"/>
        <v/>
      </c>
      <c r="MR495" s="2470" t="str">
        <f t="shared" si="335"/>
        <v/>
      </c>
      <c r="MS495" s="2470" t="str">
        <f t="shared" si="336"/>
        <v/>
      </c>
      <c r="MT495" s="2470" t="str">
        <f t="shared" si="337"/>
        <v/>
      </c>
      <c r="MU495" s="356" t="str">
        <f t="shared" si="338"/>
        <v/>
      </c>
      <c r="MV495" s="356" t="str">
        <f t="shared" si="339"/>
        <v/>
      </c>
      <c r="MW495" s="356" t="str">
        <f t="shared" si="340"/>
        <v/>
      </c>
      <c r="MX495" s="356" t="str">
        <f t="shared" si="341"/>
        <v/>
      </c>
      <c r="MY495" s="356" t="str">
        <f t="shared" si="342"/>
        <v/>
      </c>
      <c r="MZ495" s="356" t="str">
        <f t="shared" si="343"/>
        <v/>
      </c>
      <c r="NA495" s="356" t="str">
        <f t="shared" si="344"/>
        <v/>
      </c>
      <c r="NB495" s="356" t="str">
        <f t="shared" si="345"/>
        <v/>
      </c>
      <c r="NC495" s="356" t="str">
        <f t="shared" si="346"/>
        <v/>
      </c>
      <c r="ND495" s="356" t="str">
        <f t="shared" si="347"/>
        <v/>
      </c>
      <c r="NE495" s="356" t="str">
        <f t="shared" si="348"/>
        <v/>
      </c>
      <c r="NF495" s="356" t="str">
        <f t="shared" si="349"/>
        <v/>
      </c>
      <c r="NG495" s="356" t="str">
        <f t="shared" si="350"/>
        <v/>
      </c>
      <c r="NH495" s="356" t="str">
        <f t="shared" si="351"/>
        <v/>
      </c>
      <c r="NI495" s="356" t="str">
        <f t="shared" si="352"/>
        <v/>
      </c>
      <c r="NJ495" s="356" t="str">
        <f t="shared" si="353"/>
        <v/>
      </c>
      <c r="NK495" s="356" t="str">
        <f t="shared" si="354"/>
        <v/>
      </c>
      <c r="NL495" s="356" t="str">
        <f t="shared" si="355"/>
        <v/>
      </c>
      <c r="NM495" s="356" t="str">
        <f t="shared" si="356"/>
        <v/>
      </c>
      <c r="NN495" s="356" t="str">
        <f t="shared" si="357"/>
        <v/>
      </c>
      <c r="NO495" s="1640">
        <f t="shared" si="358"/>
        <v>0</v>
      </c>
      <c r="NP495" s="1640">
        <f t="shared" si="359"/>
        <v>0</v>
      </c>
      <c r="NQ495" s="1640">
        <f t="shared" si="360"/>
        <v>0</v>
      </c>
      <c r="NR495" s="1640">
        <f t="shared" si="361"/>
        <v>0</v>
      </c>
      <c r="NS495" s="1640">
        <f t="shared" si="362"/>
        <v>0</v>
      </c>
      <c r="NT495" s="1640">
        <f t="shared" si="368"/>
        <v>0</v>
      </c>
      <c r="NU495" s="1640">
        <f t="shared" si="369"/>
        <v>0</v>
      </c>
      <c r="NV495" s="1640">
        <f t="shared" si="370"/>
        <v>0</v>
      </c>
      <c r="NW495" s="1640">
        <f t="shared" si="371"/>
        <v>0</v>
      </c>
      <c r="NX495" s="1640">
        <f t="shared" si="372"/>
        <v>0</v>
      </c>
      <c r="NY495" s="1640">
        <f t="shared" si="363"/>
        <v>0</v>
      </c>
      <c r="NZ495" s="1640">
        <f t="shared" si="364"/>
        <v>0</v>
      </c>
      <c r="OA495" s="1640">
        <f t="shared" si="365"/>
        <v>0</v>
      </c>
      <c r="OB495" s="1640">
        <f t="shared" si="366"/>
        <v>0</v>
      </c>
      <c r="OC495" s="1640">
        <f t="shared" si="367"/>
        <v>0</v>
      </c>
      <c r="OY495" s="356" t="s">
        <v>4328</v>
      </c>
      <c r="OZ495" s="2468">
        <v>42</v>
      </c>
    </row>
    <row r="496" spans="1:416" ht="12" customHeight="1">
      <c r="A496" s="2706" t="str">
        <f t="shared" si="0"/>
        <v/>
      </c>
      <c r="B496" s="2725">
        <f>'Part V-Revenues &amp; Expenses'!B43</f>
        <v>0</v>
      </c>
      <c r="C496" s="2726">
        <f>'Part V-Revenues &amp; Expenses'!C43</f>
        <v>0</v>
      </c>
      <c r="D496" s="2727">
        <f>'Part V-Revenues &amp; Expenses'!D43</f>
        <v>0</v>
      </c>
      <c r="E496" s="2728">
        <f>'Part V-Revenues &amp; Expenses'!E43</f>
        <v>0</v>
      </c>
      <c r="F496" s="2728">
        <f>'Part V-Revenues &amp; Expenses'!F43</f>
        <v>0</v>
      </c>
      <c r="G496" s="2728">
        <f>'Part V-Revenues &amp; Expenses'!G43</f>
        <v>0</v>
      </c>
      <c r="H496" s="2728">
        <f>'Part V-Revenues &amp; Expenses'!H43</f>
        <v>0</v>
      </c>
      <c r="I496" s="2728">
        <f>'Part V-Revenues &amp; Expenses'!I43</f>
        <v>0</v>
      </c>
      <c r="J496" s="2728">
        <f>'Part V-Revenues &amp; Expenses'!J43</f>
        <v>0</v>
      </c>
      <c r="K496" s="2729">
        <f>'Part V-Revenues &amp; Expenses'!K43</f>
        <v>0</v>
      </c>
      <c r="L496" s="2730">
        <f t="shared" si="1"/>
        <v>0</v>
      </c>
      <c r="M496" s="2730">
        <f t="shared" si="2"/>
        <v>0</v>
      </c>
      <c r="N496" s="2580">
        <f>'Part V-Revenues &amp; Expenses'!N43</f>
        <v>0</v>
      </c>
      <c r="O496" s="1248">
        <f>'Part V-Revenues &amp; Expenses'!O43</f>
        <v>0</v>
      </c>
      <c r="P496" s="2580">
        <f>'Part V-Revenues &amp; Expenses'!P43</f>
        <v>0</v>
      </c>
      <c r="Q496" s="2469">
        <f>'Part V-Revenues &amp; Expenses'!Q43</f>
        <v>0</v>
      </c>
      <c r="R496" s="2731"/>
      <c r="S496" s="2732"/>
      <c r="T496" s="2647"/>
      <c r="U496" s="2647"/>
      <c r="V496" s="2647"/>
      <c r="W496" s="2647"/>
      <c r="X496" s="356" t="str">
        <f t="shared" si="3"/>
        <v/>
      </c>
      <c r="Y496" s="356" t="str">
        <f t="shared" si="4"/>
        <v/>
      </c>
      <c r="Z496" s="356" t="str">
        <f t="shared" si="5"/>
        <v/>
      </c>
      <c r="AA496" s="356" t="str">
        <f t="shared" si="6"/>
        <v/>
      </c>
      <c r="AB496" s="356" t="str">
        <f t="shared" si="7"/>
        <v/>
      </c>
      <c r="AC496" s="356" t="str">
        <f t="shared" si="8"/>
        <v/>
      </c>
      <c r="AD496" s="356" t="str">
        <f t="shared" si="9"/>
        <v/>
      </c>
      <c r="AE496" s="356" t="str">
        <f t="shared" si="10"/>
        <v/>
      </c>
      <c r="AF496" s="356" t="str">
        <f t="shared" si="11"/>
        <v/>
      </c>
      <c r="AG496" s="356" t="str">
        <f t="shared" si="12"/>
        <v/>
      </c>
      <c r="AH496" s="356" t="str">
        <f t="shared" si="13"/>
        <v/>
      </c>
      <c r="AI496" s="356" t="str">
        <f t="shared" si="14"/>
        <v/>
      </c>
      <c r="AJ496" s="356" t="str">
        <f t="shared" si="15"/>
        <v/>
      </c>
      <c r="AK496" s="356" t="str">
        <f t="shared" si="16"/>
        <v/>
      </c>
      <c r="AL496" s="356" t="str">
        <f t="shared" si="17"/>
        <v/>
      </c>
      <c r="AM496" s="356" t="str">
        <f t="shared" si="18"/>
        <v/>
      </c>
      <c r="AN496" s="356" t="str">
        <f t="shared" si="19"/>
        <v/>
      </c>
      <c r="AO496" s="356" t="str">
        <f t="shared" si="20"/>
        <v/>
      </c>
      <c r="AP496" s="356" t="str">
        <f t="shared" si="21"/>
        <v/>
      </c>
      <c r="AQ496" s="356" t="str">
        <f t="shared" si="22"/>
        <v/>
      </c>
      <c r="AR496" s="356" t="str">
        <f t="shared" si="23"/>
        <v/>
      </c>
      <c r="AS496" s="356" t="str">
        <f t="shared" si="24"/>
        <v/>
      </c>
      <c r="AT496" s="356" t="str">
        <f t="shared" si="25"/>
        <v/>
      </c>
      <c r="AU496" s="356" t="str">
        <f t="shared" si="26"/>
        <v/>
      </c>
      <c r="AV496" s="356" t="str">
        <f t="shared" si="27"/>
        <v/>
      </c>
      <c r="AW496" s="356" t="str">
        <f t="shared" si="28"/>
        <v/>
      </c>
      <c r="AX496" s="356" t="str">
        <f t="shared" si="29"/>
        <v/>
      </c>
      <c r="AY496" s="356" t="str">
        <f t="shared" si="30"/>
        <v/>
      </c>
      <c r="AZ496" s="356" t="str">
        <f t="shared" si="31"/>
        <v/>
      </c>
      <c r="BA496" s="356" t="str">
        <f t="shared" si="32"/>
        <v/>
      </c>
      <c r="BB496" s="356" t="str">
        <f t="shared" si="33"/>
        <v/>
      </c>
      <c r="BC496" s="356" t="str">
        <f t="shared" si="34"/>
        <v/>
      </c>
      <c r="BD496" s="356" t="str">
        <f t="shared" si="35"/>
        <v/>
      </c>
      <c r="BE496" s="356" t="str">
        <f t="shared" si="36"/>
        <v/>
      </c>
      <c r="BF496" s="356" t="str">
        <f t="shared" si="37"/>
        <v/>
      </c>
      <c r="BG496" s="356" t="str">
        <f t="shared" si="38"/>
        <v/>
      </c>
      <c r="BH496" s="356" t="str">
        <f t="shared" si="39"/>
        <v/>
      </c>
      <c r="BI496" s="356" t="str">
        <f t="shared" si="40"/>
        <v/>
      </c>
      <c r="BJ496" s="356" t="str">
        <f t="shared" si="41"/>
        <v/>
      </c>
      <c r="BK496" s="356" t="str">
        <f t="shared" si="42"/>
        <v/>
      </c>
      <c r="BL496" s="356" t="str">
        <f t="shared" si="43"/>
        <v/>
      </c>
      <c r="BM496" s="356" t="str">
        <f t="shared" si="44"/>
        <v/>
      </c>
      <c r="BN496" s="356" t="str">
        <f t="shared" si="45"/>
        <v/>
      </c>
      <c r="BO496" s="356" t="str">
        <f t="shared" si="46"/>
        <v/>
      </c>
      <c r="BP496" s="356" t="str">
        <f t="shared" si="47"/>
        <v/>
      </c>
      <c r="BQ496" s="356" t="str">
        <f t="shared" si="48"/>
        <v/>
      </c>
      <c r="BR496" s="356" t="str">
        <f t="shared" si="49"/>
        <v/>
      </c>
      <c r="BS496" s="356" t="str">
        <f t="shared" si="50"/>
        <v/>
      </c>
      <c r="BT496" s="356" t="str">
        <f t="shared" si="51"/>
        <v/>
      </c>
      <c r="BU496" s="356" t="str">
        <f t="shared" si="52"/>
        <v/>
      </c>
      <c r="BV496" s="356" t="str">
        <f t="shared" si="53"/>
        <v/>
      </c>
      <c r="BW496" s="356" t="str">
        <f t="shared" si="54"/>
        <v/>
      </c>
      <c r="BX496" s="356" t="str">
        <f t="shared" si="55"/>
        <v/>
      </c>
      <c r="BY496" s="356" t="str">
        <f t="shared" si="56"/>
        <v/>
      </c>
      <c r="BZ496" s="356" t="str">
        <f t="shared" si="57"/>
        <v/>
      </c>
      <c r="CA496" s="356" t="str">
        <f t="shared" si="58"/>
        <v/>
      </c>
      <c r="CB496" s="356" t="str">
        <f t="shared" si="59"/>
        <v/>
      </c>
      <c r="CC496" s="356" t="str">
        <f t="shared" si="60"/>
        <v/>
      </c>
      <c r="CD496" s="356" t="str">
        <f t="shared" si="61"/>
        <v/>
      </c>
      <c r="CE496" s="356" t="str">
        <f t="shared" si="62"/>
        <v/>
      </c>
      <c r="CF496" s="356" t="str">
        <f t="shared" si="63"/>
        <v/>
      </c>
      <c r="CG496" s="356" t="str">
        <f t="shared" si="64"/>
        <v/>
      </c>
      <c r="CH496" s="356" t="str">
        <f t="shared" si="65"/>
        <v/>
      </c>
      <c r="CI496" s="356" t="str">
        <f t="shared" si="66"/>
        <v/>
      </c>
      <c r="CJ496" s="356" t="str">
        <f t="shared" si="67"/>
        <v/>
      </c>
      <c r="CK496" s="356" t="str">
        <f t="shared" si="68"/>
        <v/>
      </c>
      <c r="CL496" s="356" t="str">
        <f t="shared" si="69"/>
        <v/>
      </c>
      <c r="CM496" s="356" t="str">
        <f t="shared" si="70"/>
        <v/>
      </c>
      <c r="CN496" s="356" t="str">
        <f t="shared" si="71"/>
        <v/>
      </c>
      <c r="CO496" s="356" t="str">
        <f t="shared" si="72"/>
        <v/>
      </c>
      <c r="CP496" s="356" t="str">
        <f t="shared" si="73"/>
        <v/>
      </c>
      <c r="CQ496" s="356" t="str">
        <f t="shared" si="74"/>
        <v/>
      </c>
      <c r="CR496" s="356" t="str">
        <f t="shared" si="75"/>
        <v/>
      </c>
      <c r="CS496" s="356" t="str">
        <f t="shared" si="76"/>
        <v/>
      </c>
      <c r="CT496" s="356" t="str">
        <f t="shared" si="77"/>
        <v/>
      </c>
      <c r="CU496" s="356" t="str">
        <f t="shared" si="78"/>
        <v/>
      </c>
      <c r="CV496" s="356" t="str">
        <f t="shared" si="79"/>
        <v/>
      </c>
      <c r="CW496" s="356" t="str">
        <f t="shared" si="80"/>
        <v/>
      </c>
      <c r="CX496" s="356" t="str">
        <f t="shared" si="81"/>
        <v/>
      </c>
      <c r="CY496" s="356" t="str">
        <f t="shared" si="82"/>
        <v/>
      </c>
      <c r="CZ496" s="356" t="str">
        <f t="shared" si="83"/>
        <v/>
      </c>
      <c r="DA496" s="356" t="str">
        <f t="shared" si="84"/>
        <v/>
      </c>
      <c r="DB496" s="356" t="str">
        <f t="shared" si="85"/>
        <v/>
      </c>
      <c r="DC496" s="356" t="str">
        <f t="shared" si="86"/>
        <v/>
      </c>
      <c r="DD496" s="356" t="str">
        <f t="shared" si="87"/>
        <v/>
      </c>
      <c r="DE496" s="356" t="str">
        <f t="shared" si="88"/>
        <v/>
      </c>
      <c r="DF496" s="356" t="str">
        <f t="shared" si="89"/>
        <v/>
      </c>
      <c r="DG496" s="356" t="str">
        <f t="shared" si="90"/>
        <v/>
      </c>
      <c r="DH496" s="356" t="str">
        <f t="shared" si="91"/>
        <v/>
      </c>
      <c r="DI496" s="356" t="str">
        <f t="shared" si="92"/>
        <v/>
      </c>
      <c r="DJ496" s="356" t="str">
        <f t="shared" si="93"/>
        <v/>
      </c>
      <c r="DK496" s="356" t="str">
        <f t="shared" si="94"/>
        <v/>
      </c>
      <c r="DL496" s="356" t="str">
        <f t="shared" si="95"/>
        <v/>
      </c>
      <c r="DM496" s="356" t="str">
        <f t="shared" si="96"/>
        <v/>
      </c>
      <c r="DN496" s="356" t="str">
        <f t="shared" si="97"/>
        <v/>
      </c>
      <c r="DO496" s="356" t="str">
        <f t="shared" si="98"/>
        <v/>
      </c>
      <c r="DP496" s="356" t="str">
        <f t="shared" si="99"/>
        <v/>
      </c>
      <c r="DQ496" s="356" t="str">
        <f t="shared" si="100"/>
        <v/>
      </c>
      <c r="DR496" s="356" t="str">
        <f t="shared" si="101"/>
        <v/>
      </c>
      <c r="DS496" s="356" t="str">
        <f t="shared" si="102"/>
        <v/>
      </c>
      <c r="DT496" s="356" t="str">
        <f t="shared" si="103"/>
        <v/>
      </c>
      <c r="DU496" s="356" t="str">
        <f t="shared" si="104"/>
        <v/>
      </c>
      <c r="DV496" s="356" t="str">
        <f t="shared" si="105"/>
        <v/>
      </c>
      <c r="DW496" s="356" t="str">
        <f t="shared" si="106"/>
        <v/>
      </c>
      <c r="DX496" s="356" t="str">
        <f t="shared" si="107"/>
        <v/>
      </c>
      <c r="DY496" s="356" t="str">
        <f t="shared" si="108"/>
        <v/>
      </c>
      <c r="DZ496" s="356" t="str">
        <f t="shared" si="109"/>
        <v/>
      </c>
      <c r="EA496" s="356" t="str">
        <f t="shared" si="110"/>
        <v/>
      </c>
      <c r="EB496" s="356" t="str">
        <f t="shared" si="111"/>
        <v/>
      </c>
      <c r="EC496" s="356" t="str">
        <f t="shared" si="112"/>
        <v/>
      </c>
      <c r="ED496" s="356" t="str">
        <f t="shared" si="113"/>
        <v/>
      </c>
      <c r="EE496" s="356" t="str">
        <f t="shared" si="114"/>
        <v/>
      </c>
      <c r="EF496" s="356" t="str">
        <f t="shared" si="115"/>
        <v/>
      </c>
      <c r="EG496" s="356" t="str">
        <f t="shared" si="116"/>
        <v/>
      </c>
      <c r="EH496" s="356" t="str">
        <f t="shared" si="117"/>
        <v/>
      </c>
      <c r="EI496" s="356" t="str">
        <f t="shared" si="118"/>
        <v/>
      </c>
      <c r="EJ496" s="356" t="str">
        <f t="shared" si="119"/>
        <v/>
      </c>
      <c r="EK496" s="356" t="str">
        <f t="shared" si="120"/>
        <v/>
      </c>
      <c r="EL496" s="356" t="str">
        <f t="shared" si="121"/>
        <v/>
      </c>
      <c r="EM496" s="356" t="str">
        <f t="shared" si="122"/>
        <v/>
      </c>
      <c r="EN496" s="356" t="str">
        <f t="shared" si="123"/>
        <v/>
      </c>
      <c r="EO496" s="356" t="str">
        <f t="shared" si="124"/>
        <v/>
      </c>
      <c r="EP496" s="356" t="str">
        <f t="shared" si="125"/>
        <v/>
      </c>
      <c r="EQ496" s="356" t="str">
        <f t="shared" si="126"/>
        <v/>
      </c>
      <c r="ER496" s="356" t="str">
        <f t="shared" si="127"/>
        <v/>
      </c>
      <c r="ES496" s="356" t="str">
        <f t="shared" si="128"/>
        <v/>
      </c>
      <c r="ET496" s="356" t="str">
        <f t="shared" si="129"/>
        <v/>
      </c>
      <c r="EU496" s="356" t="str">
        <f t="shared" si="130"/>
        <v/>
      </c>
      <c r="EV496" s="356" t="str">
        <f t="shared" si="131"/>
        <v/>
      </c>
      <c r="EW496" s="356" t="str">
        <f t="shared" si="132"/>
        <v/>
      </c>
      <c r="EX496" s="356" t="str">
        <f t="shared" si="133"/>
        <v/>
      </c>
      <c r="EY496" s="356" t="str">
        <f t="shared" si="134"/>
        <v/>
      </c>
      <c r="EZ496" s="356" t="str">
        <f t="shared" si="135"/>
        <v/>
      </c>
      <c r="FA496" s="356" t="str">
        <f t="shared" si="136"/>
        <v/>
      </c>
      <c r="FB496" s="356" t="str">
        <f t="shared" si="137"/>
        <v/>
      </c>
      <c r="FC496" s="356" t="str">
        <f t="shared" si="138"/>
        <v/>
      </c>
      <c r="FD496" s="356" t="str">
        <f t="shared" si="139"/>
        <v/>
      </c>
      <c r="FE496" s="356" t="str">
        <f t="shared" si="140"/>
        <v/>
      </c>
      <c r="FF496" s="356" t="str">
        <f t="shared" si="141"/>
        <v/>
      </c>
      <c r="FG496" s="356" t="str">
        <f t="shared" si="142"/>
        <v/>
      </c>
      <c r="FH496" s="356" t="str">
        <f t="shared" si="143"/>
        <v/>
      </c>
      <c r="FI496" s="356" t="str">
        <f t="shared" si="144"/>
        <v/>
      </c>
      <c r="FJ496" s="356" t="str">
        <f t="shared" si="145"/>
        <v/>
      </c>
      <c r="FK496" s="356" t="str">
        <f t="shared" si="146"/>
        <v/>
      </c>
      <c r="FL496" s="356" t="str">
        <f t="shared" si="147"/>
        <v/>
      </c>
      <c r="FM496" s="356" t="str">
        <f t="shared" si="148"/>
        <v/>
      </c>
      <c r="FN496" s="356" t="str">
        <f t="shared" si="149"/>
        <v/>
      </c>
      <c r="FO496" s="356" t="str">
        <f t="shared" si="150"/>
        <v/>
      </c>
      <c r="FP496" s="356" t="str">
        <f t="shared" si="151"/>
        <v/>
      </c>
      <c r="FQ496" s="356" t="str">
        <f t="shared" si="152"/>
        <v/>
      </c>
      <c r="FR496" s="356" t="str">
        <f t="shared" si="153"/>
        <v/>
      </c>
      <c r="FS496" s="356" t="str">
        <f t="shared" si="154"/>
        <v/>
      </c>
      <c r="FT496" s="356" t="str">
        <f t="shared" si="155"/>
        <v/>
      </c>
      <c r="FU496" s="356" t="str">
        <f t="shared" si="156"/>
        <v/>
      </c>
      <c r="FV496" s="356" t="str">
        <f t="shared" si="157"/>
        <v/>
      </c>
      <c r="FW496" s="356" t="str">
        <f t="shared" si="158"/>
        <v/>
      </c>
      <c r="FX496" s="356" t="str">
        <f t="shared" si="159"/>
        <v/>
      </c>
      <c r="FY496" s="356" t="str">
        <f t="shared" si="160"/>
        <v/>
      </c>
      <c r="FZ496" s="356" t="str">
        <f t="shared" si="161"/>
        <v/>
      </c>
      <c r="GA496" s="356" t="str">
        <f t="shared" si="162"/>
        <v/>
      </c>
      <c r="GB496" s="356" t="str">
        <f t="shared" si="163"/>
        <v/>
      </c>
      <c r="GC496" s="356" t="str">
        <f t="shared" si="164"/>
        <v/>
      </c>
      <c r="GD496" s="356" t="str">
        <f t="shared" si="165"/>
        <v/>
      </c>
      <c r="GE496" s="356" t="str">
        <f t="shared" si="166"/>
        <v/>
      </c>
      <c r="GF496" s="356" t="str">
        <f t="shared" si="167"/>
        <v/>
      </c>
      <c r="GG496" s="356" t="str">
        <f t="shared" si="168"/>
        <v/>
      </c>
      <c r="GH496" s="356" t="str">
        <f t="shared" si="169"/>
        <v/>
      </c>
      <c r="GI496" s="356" t="str">
        <f t="shared" si="170"/>
        <v/>
      </c>
      <c r="GJ496" s="356" t="str">
        <f t="shared" si="171"/>
        <v/>
      </c>
      <c r="GK496" s="356" t="str">
        <f t="shared" si="172"/>
        <v/>
      </c>
      <c r="GL496" s="356" t="str">
        <f t="shared" si="173"/>
        <v/>
      </c>
      <c r="GM496" s="356" t="str">
        <f t="shared" si="174"/>
        <v/>
      </c>
      <c r="GN496" s="356" t="str">
        <f t="shared" si="175"/>
        <v/>
      </c>
      <c r="GO496" s="356" t="str">
        <f t="shared" si="176"/>
        <v/>
      </c>
      <c r="GP496" s="356" t="str">
        <f t="shared" si="177"/>
        <v/>
      </c>
      <c r="GQ496" s="356" t="str">
        <f t="shared" si="178"/>
        <v/>
      </c>
      <c r="GR496" s="356" t="str">
        <f t="shared" si="179"/>
        <v/>
      </c>
      <c r="GS496" s="356" t="str">
        <f t="shared" si="180"/>
        <v/>
      </c>
      <c r="GT496" s="356" t="str">
        <f t="shared" si="181"/>
        <v/>
      </c>
      <c r="GU496" s="356" t="str">
        <f t="shared" si="182"/>
        <v/>
      </c>
      <c r="GV496" s="356" t="str">
        <f t="shared" si="183"/>
        <v/>
      </c>
      <c r="GW496" s="356" t="str">
        <f t="shared" si="184"/>
        <v/>
      </c>
      <c r="GX496" s="356" t="str">
        <f t="shared" si="185"/>
        <v/>
      </c>
      <c r="GY496" s="356" t="str">
        <f t="shared" si="186"/>
        <v/>
      </c>
      <c r="GZ496" s="356" t="str">
        <f t="shared" si="187"/>
        <v/>
      </c>
      <c r="HA496" s="356" t="str">
        <f t="shared" si="188"/>
        <v/>
      </c>
      <c r="HB496" s="356" t="str">
        <f t="shared" si="189"/>
        <v/>
      </c>
      <c r="HC496" s="356" t="str">
        <f t="shared" si="190"/>
        <v/>
      </c>
      <c r="HD496" s="356" t="str">
        <f t="shared" si="191"/>
        <v/>
      </c>
      <c r="HE496" s="356" t="str">
        <f t="shared" si="192"/>
        <v/>
      </c>
      <c r="HF496" s="356" t="str">
        <f t="shared" si="193"/>
        <v/>
      </c>
      <c r="HG496" s="356" t="str">
        <f t="shared" si="194"/>
        <v/>
      </c>
      <c r="HH496" s="356" t="str">
        <f t="shared" si="195"/>
        <v/>
      </c>
      <c r="HI496" s="356" t="str">
        <f t="shared" si="196"/>
        <v/>
      </c>
      <c r="HJ496" s="356" t="str">
        <f t="shared" si="197"/>
        <v/>
      </c>
      <c r="HK496" s="356" t="str">
        <f t="shared" si="198"/>
        <v/>
      </c>
      <c r="HL496" s="356" t="str">
        <f t="shared" si="199"/>
        <v/>
      </c>
      <c r="HM496" s="356" t="str">
        <f t="shared" si="200"/>
        <v/>
      </c>
      <c r="HN496" s="356" t="str">
        <f t="shared" si="201"/>
        <v/>
      </c>
      <c r="HO496" s="356" t="str">
        <f t="shared" si="202"/>
        <v/>
      </c>
      <c r="HP496" s="356" t="str">
        <f t="shared" si="203"/>
        <v/>
      </c>
      <c r="HQ496" s="356" t="str">
        <f t="shared" si="204"/>
        <v/>
      </c>
      <c r="HR496" s="356" t="str">
        <f t="shared" si="205"/>
        <v/>
      </c>
      <c r="HS496" s="356" t="str">
        <f t="shared" si="206"/>
        <v/>
      </c>
      <c r="HT496" s="356" t="str">
        <f t="shared" si="207"/>
        <v/>
      </c>
      <c r="HU496" s="356" t="str">
        <f t="shared" si="208"/>
        <v/>
      </c>
      <c r="HV496" s="356" t="str">
        <f t="shared" si="209"/>
        <v/>
      </c>
      <c r="HW496" s="356" t="str">
        <f t="shared" si="210"/>
        <v/>
      </c>
      <c r="HX496" s="356" t="str">
        <f t="shared" si="211"/>
        <v/>
      </c>
      <c r="HY496" s="356" t="str">
        <f t="shared" si="212"/>
        <v/>
      </c>
      <c r="HZ496" s="356" t="str">
        <f t="shared" si="213"/>
        <v/>
      </c>
      <c r="IA496" s="356" t="str">
        <f t="shared" si="214"/>
        <v/>
      </c>
      <c r="IB496" s="356" t="str">
        <f t="shared" si="215"/>
        <v/>
      </c>
      <c r="IC496" s="356" t="str">
        <f t="shared" si="216"/>
        <v/>
      </c>
      <c r="ID496" s="356" t="str">
        <f t="shared" si="217"/>
        <v/>
      </c>
      <c r="IE496" s="356" t="str">
        <f t="shared" si="218"/>
        <v/>
      </c>
      <c r="IF496" s="356" t="str">
        <f t="shared" si="219"/>
        <v/>
      </c>
      <c r="IG496" s="356" t="str">
        <f t="shared" si="220"/>
        <v/>
      </c>
      <c r="IH496" s="356" t="str">
        <f t="shared" si="221"/>
        <v/>
      </c>
      <c r="II496" s="356" t="str">
        <f t="shared" si="222"/>
        <v/>
      </c>
      <c r="IJ496" s="356" t="str">
        <f t="shared" si="223"/>
        <v/>
      </c>
      <c r="IK496" s="356" t="str">
        <f t="shared" si="224"/>
        <v/>
      </c>
      <c r="IL496" s="356" t="str">
        <f t="shared" si="225"/>
        <v/>
      </c>
      <c r="IM496" s="356" t="str">
        <f t="shared" si="226"/>
        <v/>
      </c>
      <c r="IN496" s="356" t="str">
        <f t="shared" si="227"/>
        <v/>
      </c>
      <c r="IO496" s="356" t="str">
        <f t="shared" si="228"/>
        <v/>
      </c>
      <c r="IP496" s="356" t="str">
        <f t="shared" si="229"/>
        <v/>
      </c>
      <c r="IQ496" s="356" t="str">
        <f t="shared" si="230"/>
        <v/>
      </c>
      <c r="IR496" s="356" t="str">
        <f t="shared" si="231"/>
        <v/>
      </c>
      <c r="IS496" s="356" t="str">
        <f t="shared" si="232"/>
        <v/>
      </c>
      <c r="IT496" s="356" t="str">
        <f t="shared" si="233"/>
        <v/>
      </c>
      <c r="IU496" s="356" t="str">
        <f t="shared" si="234"/>
        <v/>
      </c>
      <c r="IV496" s="356" t="str">
        <f t="shared" si="235"/>
        <v/>
      </c>
      <c r="IW496" s="356" t="str">
        <f t="shared" si="236"/>
        <v/>
      </c>
      <c r="IX496" s="356" t="str">
        <f t="shared" si="237"/>
        <v/>
      </c>
      <c r="IY496" s="356" t="str">
        <f t="shared" si="238"/>
        <v/>
      </c>
      <c r="IZ496" s="356" t="str">
        <f t="shared" si="239"/>
        <v/>
      </c>
      <c r="JA496" s="356" t="str">
        <f t="shared" si="240"/>
        <v/>
      </c>
      <c r="JB496" s="356" t="str">
        <f t="shared" si="241"/>
        <v/>
      </c>
      <c r="JC496" s="356" t="str">
        <f t="shared" si="242"/>
        <v/>
      </c>
      <c r="JD496" s="356" t="str">
        <f t="shared" si="243"/>
        <v/>
      </c>
      <c r="JE496" s="356" t="str">
        <f t="shared" si="244"/>
        <v/>
      </c>
      <c r="JF496" s="356" t="str">
        <f t="shared" si="245"/>
        <v/>
      </c>
      <c r="JG496" s="356" t="str">
        <f t="shared" si="246"/>
        <v/>
      </c>
      <c r="JH496" s="356" t="str">
        <f t="shared" si="247"/>
        <v/>
      </c>
      <c r="JI496" s="1785" t="str">
        <f t="shared" si="248"/>
        <v/>
      </c>
      <c r="JJ496" s="1785" t="str">
        <f t="shared" si="249"/>
        <v/>
      </c>
      <c r="JK496" s="1785" t="str">
        <f t="shared" si="250"/>
        <v/>
      </c>
      <c r="JL496" s="1785" t="str">
        <f t="shared" si="251"/>
        <v/>
      </c>
      <c r="JM496" s="1785" t="str">
        <f t="shared" si="252"/>
        <v/>
      </c>
      <c r="JN496" s="1785" t="str">
        <f t="shared" si="253"/>
        <v/>
      </c>
      <c r="JO496" s="1785" t="str">
        <f t="shared" si="254"/>
        <v/>
      </c>
      <c r="JP496" s="1785" t="str">
        <f t="shared" si="255"/>
        <v/>
      </c>
      <c r="JQ496" s="1785" t="str">
        <f t="shared" si="256"/>
        <v/>
      </c>
      <c r="JR496" s="1785" t="str">
        <f t="shared" si="257"/>
        <v/>
      </c>
      <c r="JS496" s="1785" t="str">
        <f t="shared" si="258"/>
        <v/>
      </c>
      <c r="JT496" s="1785" t="str">
        <f t="shared" si="259"/>
        <v/>
      </c>
      <c r="JU496" s="1785" t="str">
        <f t="shared" si="260"/>
        <v/>
      </c>
      <c r="JV496" s="1785" t="str">
        <f t="shared" si="261"/>
        <v/>
      </c>
      <c r="JW496" s="1785" t="str">
        <f t="shared" si="262"/>
        <v/>
      </c>
      <c r="JX496" s="1785" t="str">
        <f t="shared" si="263"/>
        <v/>
      </c>
      <c r="JY496" s="1785" t="str">
        <f t="shared" si="264"/>
        <v/>
      </c>
      <c r="JZ496" s="1785" t="str">
        <f t="shared" si="265"/>
        <v/>
      </c>
      <c r="KA496" s="1785" t="str">
        <f t="shared" si="266"/>
        <v/>
      </c>
      <c r="KB496" s="1785" t="str">
        <f t="shared" si="267"/>
        <v/>
      </c>
      <c r="KC496" s="1785" t="str">
        <f t="shared" si="268"/>
        <v/>
      </c>
      <c r="KD496" s="1785" t="str">
        <f t="shared" si="269"/>
        <v/>
      </c>
      <c r="KE496" s="1785" t="str">
        <f t="shared" si="270"/>
        <v/>
      </c>
      <c r="KF496" s="1785" t="str">
        <f t="shared" si="271"/>
        <v/>
      </c>
      <c r="KG496" s="1785" t="str">
        <f t="shared" si="272"/>
        <v/>
      </c>
      <c r="KH496" s="1785" t="str">
        <f t="shared" si="273"/>
        <v/>
      </c>
      <c r="KI496" s="1785" t="str">
        <f t="shared" si="274"/>
        <v/>
      </c>
      <c r="KJ496" s="1785" t="str">
        <f t="shared" si="275"/>
        <v/>
      </c>
      <c r="KK496" s="1785" t="str">
        <f t="shared" si="276"/>
        <v/>
      </c>
      <c r="KL496" s="1785" t="str">
        <f t="shared" si="277"/>
        <v/>
      </c>
      <c r="KM496" s="1785" t="str">
        <f t="shared" si="278"/>
        <v/>
      </c>
      <c r="KN496" s="1785" t="str">
        <f t="shared" si="279"/>
        <v/>
      </c>
      <c r="KO496" s="1785" t="str">
        <f t="shared" si="280"/>
        <v/>
      </c>
      <c r="KP496" s="1785" t="str">
        <f t="shared" si="281"/>
        <v/>
      </c>
      <c r="KQ496" s="1785" t="str">
        <f t="shared" si="282"/>
        <v/>
      </c>
      <c r="KR496" s="1785" t="str">
        <f t="shared" si="283"/>
        <v/>
      </c>
      <c r="KS496" s="1785" t="str">
        <f t="shared" si="284"/>
        <v/>
      </c>
      <c r="KT496" s="1785" t="str">
        <f t="shared" si="285"/>
        <v/>
      </c>
      <c r="KU496" s="1785" t="str">
        <f t="shared" si="286"/>
        <v/>
      </c>
      <c r="KV496" s="1785" t="str">
        <f t="shared" si="287"/>
        <v/>
      </c>
      <c r="KW496" s="1785" t="str">
        <f t="shared" si="288"/>
        <v/>
      </c>
      <c r="KX496" s="1785" t="str">
        <f t="shared" si="289"/>
        <v/>
      </c>
      <c r="KY496" s="1785" t="str">
        <f t="shared" si="290"/>
        <v/>
      </c>
      <c r="KZ496" s="1785" t="str">
        <f t="shared" si="291"/>
        <v/>
      </c>
      <c r="LA496" s="1785" t="str">
        <f t="shared" si="292"/>
        <v/>
      </c>
      <c r="LB496" s="1785" t="str">
        <f t="shared" si="293"/>
        <v/>
      </c>
      <c r="LC496" s="1785" t="str">
        <f t="shared" si="294"/>
        <v/>
      </c>
      <c r="LD496" s="1785" t="str">
        <f t="shared" si="295"/>
        <v/>
      </c>
      <c r="LE496" s="1785" t="str">
        <f t="shared" si="296"/>
        <v/>
      </c>
      <c r="LF496" s="1785" t="str">
        <f t="shared" si="297"/>
        <v/>
      </c>
      <c r="LG496" s="1785" t="str">
        <f t="shared" si="298"/>
        <v/>
      </c>
      <c r="LH496" s="1785" t="str">
        <f t="shared" si="299"/>
        <v/>
      </c>
      <c r="LI496" s="1785" t="str">
        <f t="shared" si="300"/>
        <v/>
      </c>
      <c r="LJ496" s="1785" t="str">
        <f t="shared" si="301"/>
        <v/>
      </c>
      <c r="LK496" s="1785" t="str">
        <f t="shared" si="302"/>
        <v/>
      </c>
      <c r="LL496" s="1785" t="str">
        <f t="shared" si="303"/>
        <v/>
      </c>
      <c r="LM496" s="1785" t="str">
        <f t="shared" si="304"/>
        <v/>
      </c>
      <c r="LN496" s="1785" t="str">
        <f t="shared" si="305"/>
        <v/>
      </c>
      <c r="LO496" s="1785" t="str">
        <f t="shared" si="306"/>
        <v/>
      </c>
      <c r="LP496" s="1785" t="str">
        <f t="shared" si="307"/>
        <v/>
      </c>
      <c r="LQ496" s="1785" t="str">
        <f t="shared" si="308"/>
        <v/>
      </c>
      <c r="LR496" s="1785" t="str">
        <f t="shared" si="309"/>
        <v/>
      </c>
      <c r="LS496" s="1785" t="str">
        <f t="shared" si="310"/>
        <v/>
      </c>
      <c r="LT496" s="1785" t="str">
        <f t="shared" si="311"/>
        <v/>
      </c>
      <c r="LU496" s="1785" t="str">
        <f t="shared" si="312"/>
        <v/>
      </c>
      <c r="LV496" s="1785" t="str">
        <f t="shared" si="313"/>
        <v/>
      </c>
      <c r="LW496" s="1785" t="str">
        <f t="shared" si="314"/>
        <v/>
      </c>
      <c r="LX496" s="1785" t="str">
        <f t="shared" si="315"/>
        <v/>
      </c>
      <c r="LY496" s="1785" t="str">
        <f t="shared" si="316"/>
        <v/>
      </c>
      <c r="LZ496" s="1785" t="str">
        <f t="shared" si="317"/>
        <v/>
      </c>
      <c r="MA496" s="1785" t="str">
        <f t="shared" si="318"/>
        <v/>
      </c>
      <c r="MB496" s="1785" t="str">
        <f t="shared" si="319"/>
        <v/>
      </c>
      <c r="MC496" s="1785" t="str">
        <f t="shared" si="320"/>
        <v/>
      </c>
      <c r="MD496" s="1785" t="str">
        <f t="shared" si="321"/>
        <v/>
      </c>
      <c r="ME496" s="1785" t="str">
        <f t="shared" si="322"/>
        <v/>
      </c>
      <c r="MF496" s="1785" t="str">
        <f t="shared" si="323"/>
        <v/>
      </c>
      <c r="MG496" s="1785" t="str">
        <f t="shared" si="324"/>
        <v/>
      </c>
      <c r="MH496" s="1785" t="str">
        <f t="shared" si="325"/>
        <v/>
      </c>
      <c r="MI496" s="1785" t="str">
        <f t="shared" si="326"/>
        <v/>
      </c>
      <c r="MJ496" s="1785" t="str">
        <f t="shared" si="327"/>
        <v/>
      </c>
      <c r="MK496" s="1785" t="str">
        <f t="shared" si="328"/>
        <v/>
      </c>
      <c r="ML496" s="1785" t="str">
        <f t="shared" si="329"/>
        <v/>
      </c>
      <c r="MM496" s="1785" t="str">
        <f t="shared" si="330"/>
        <v/>
      </c>
      <c r="MN496" s="1785" t="str">
        <f t="shared" si="331"/>
        <v/>
      </c>
      <c r="MO496" s="1785" t="str">
        <f t="shared" si="332"/>
        <v/>
      </c>
      <c r="MP496" s="2470" t="str">
        <f t="shared" si="333"/>
        <v/>
      </c>
      <c r="MQ496" s="2470" t="str">
        <f t="shared" si="334"/>
        <v/>
      </c>
      <c r="MR496" s="2470" t="str">
        <f t="shared" si="335"/>
        <v/>
      </c>
      <c r="MS496" s="2470" t="str">
        <f t="shared" si="336"/>
        <v/>
      </c>
      <c r="MT496" s="2470" t="str">
        <f t="shared" si="337"/>
        <v/>
      </c>
      <c r="MU496" s="356" t="str">
        <f t="shared" si="338"/>
        <v/>
      </c>
      <c r="MV496" s="356" t="str">
        <f t="shared" si="339"/>
        <v/>
      </c>
      <c r="MW496" s="356" t="str">
        <f t="shared" si="340"/>
        <v/>
      </c>
      <c r="MX496" s="356" t="str">
        <f t="shared" si="341"/>
        <v/>
      </c>
      <c r="MY496" s="356" t="str">
        <f t="shared" si="342"/>
        <v/>
      </c>
      <c r="MZ496" s="356" t="str">
        <f t="shared" si="343"/>
        <v/>
      </c>
      <c r="NA496" s="356" t="str">
        <f t="shared" si="344"/>
        <v/>
      </c>
      <c r="NB496" s="356" t="str">
        <f t="shared" si="345"/>
        <v/>
      </c>
      <c r="NC496" s="356" t="str">
        <f t="shared" si="346"/>
        <v/>
      </c>
      <c r="ND496" s="356" t="str">
        <f t="shared" si="347"/>
        <v/>
      </c>
      <c r="NE496" s="356" t="str">
        <f t="shared" si="348"/>
        <v/>
      </c>
      <c r="NF496" s="356" t="str">
        <f t="shared" si="349"/>
        <v/>
      </c>
      <c r="NG496" s="356" t="str">
        <f t="shared" si="350"/>
        <v/>
      </c>
      <c r="NH496" s="356" t="str">
        <f t="shared" si="351"/>
        <v/>
      </c>
      <c r="NI496" s="356" t="str">
        <f t="shared" si="352"/>
        <v/>
      </c>
      <c r="NJ496" s="356" t="str">
        <f t="shared" si="353"/>
        <v/>
      </c>
      <c r="NK496" s="356" t="str">
        <f t="shared" si="354"/>
        <v/>
      </c>
      <c r="NL496" s="356" t="str">
        <f t="shared" si="355"/>
        <v/>
      </c>
      <c r="NM496" s="356" t="str">
        <f t="shared" si="356"/>
        <v/>
      </c>
      <c r="NN496" s="356" t="str">
        <f t="shared" si="357"/>
        <v/>
      </c>
      <c r="NO496" s="1640">
        <f t="shared" si="358"/>
        <v>0</v>
      </c>
      <c r="NP496" s="1640">
        <f t="shared" si="359"/>
        <v>0</v>
      </c>
      <c r="NQ496" s="1640">
        <f t="shared" si="360"/>
        <v>0</v>
      </c>
      <c r="NR496" s="1640">
        <f t="shared" si="361"/>
        <v>0</v>
      </c>
      <c r="NS496" s="1640">
        <f t="shared" si="362"/>
        <v>0</v>
      </c>
      <c r="NT496" s="1640">
        <f t="shared" si="368"/>
        <v>0</v>
      </c>
      <c r="NU496" s="1640">
        <f t="shared" si="369"/>
        <v>0</v>
      </c>
      <c r="NV496" s="1640">
        <f t="shared" si="370"/>
        <v>0</v>
      </c>
      <c r="NW496" s="1640">
        <f t="shared" si="371"/>
        <v>0</v>
      </c>
      <c r="NX496" s="1640">
        <f t="shared" si="372"/>
        <v>0</v>
      </c>
      <c r="NY496" s="1640">
        <f t="shared" si="363"/>
        <v>0</v>
      </c>
      <c r="NZ496" s="1640">
        <f t="shared" si="364"/>
        <v>0</v>
      </c>
      <c r="OA496" s="1640">
        <f t="shared" si="365"/>
        <v>0</v>
      </c>
      <c r="OB496" s="1640">
        <f t="shared" si="366"/>
        <v>0</v>
      </c>
      <c r="OC496" s="1640">
        <f t="shared" si="367"/>
        <v>0</v>
      </c>
      <c r="OY496" s="356" t="s">
        <v>4329</v>
      </c>
      <c r="OZ496" s="1784">
        <v>43</v>
      </c>
    </row>
    <row r="497" spans="1:416" ht="12" customHeight="1">
      <c r="A497" s="2706" t="str">
        <f t="shared" si="0"/>
        <v/>
      </c>
      <c r="B497" s="2725">
        <f>'Part V-Revenues &amp; Expenses'!B44</f>
        <v>0</v>
      </c>
      <c r="C497" s="2726">
        <f>'Part V-Revenues &amp; Expenses'!C44</f>
        <v>0</v>
      </c>
      <c r="D497" s="2727">
        <f>'Part V-Revenues &amp; Expenses'!D44</f>
        <v>0</v>
      </c>
      <c r="E497" s="2728">
        <f>'Part V-Revenues &amp; Expenses'!E44</f>
        <v>0</v>
      </c>
      <c r="F497" s="2728">
        <f>'Part V-Revenues &amp; Expenses'!F44</f>
        <v>0</v>
      </c>
      <c r="G497" s="2728">
        <f>'Part V-Revenues &amp; Expenses'!G44</f>
        <v>0</v>
      </c>
      <c r="H497" s="2728">
        <f>'Part V-Revenues &amp; Expenses'!H44</f>
        <v>0</v>
      </c>
      <c r="I497" s="2728">
        <f>'Part V-Revenues &amp; Expenses'!I44</f>
        <v>0</v>
      </c>
      <c r="J497" s="2728">
        <f>'Part V-Revenues &amp; Expenses'!J44</f>
        <v>0</v>
      </c>
      <c r="K497" s="2729">
        <f>'Part V-Revenues &amp; Expenses'!K44</f>
        <v>0</v>
      </c>
      <c r="L497" s="2730">
        <f t="shared" si="1"/>
        <v>0</v>
      </c>
      <c r="M497" s="2730">
        <f t="shared" si="2"/>
        <v>0</v>
      </c>
      <c r="N497" s="2580">
        <f>'Part V-Revenues &amp; Expenses'!N44</f>
        <v>0</v>
      </c>
      <c r="O497" s="1248">
        <f>'Part V-Revenues &amp; Expenses'!O44</f>
        <v>0</v>
      </c>
      <c r="P497" s="2580">
        <f>'Part V-Revenues &amp; Expenses'!P44</f>
        <v>0</v>
      </c>
      <c r="Q497" s="2469">
        <f>'Part V-Revenues &amp; Expenses'!Q44</f>
        <v>0</v>
      </c>
      <c r="R497" s="2731"/>
      <c r="S497" s="2732"/>
      <c r="T497" s="2647"/>
      <c r="U497" s="2647"/>
      <c r="V497" s="2647"/>
      <c r="W497" s="2647"/>
      <c r="X497" s="356" t="str">
        <f t="shared" si="3"/>
        <v/>
      </c>
      <c r="Y497" s="356" t="str">
        <f t="shared" si="4"/>
        <v/>
      </c>
      <c r="Z497" s="356" t="str">
        <f t="shared" si="5"/>
        <v/>
      </c>
      <c r="AA497" s="356" t="str">
        <f t="shared" si="6"/>
        <v/>
      </c>
      <c r="AB497" s="356" t="str">
        <f t="shared" si="7"/>
        <v/>
      </c>
      <c r="AC497" s="356" t="str">
        <f t="shared" si="8"/>
        <v/>
      </c>
      <c r="AD497" s="356" t="str">
        <f t="shared" si="9"/>
        <v/>
      </c>
      <c r="AE497" s="356" t="str">
        <f t="shared" si="10"/>
        <v/>
      </c>
      <c r="AF497" s="356" t="str">
        <f t="shared" si="11"/>
        <v/>
      </c>
      <c r="AG497" s="356" t="str">
        <f t="shared" si="12"/>
        <v/>
      </c>
      <c r="AH497" s="356" t="str">
        <f t="shared" si="13"/>
        <v/>
      </c>
      <c r="AI497" s="356" t="str">
        <f t="shared" si="14"/>
        <v/>
      </c>
      <c r="AJ497" s="356" t="str">
        <f t="shared" si="15"/>
        <v/>
      </c>
      <c r="AK497" s="356" t="str">
        <f t="shared" si="16"/>
        <v/>
      </c>
      <c r="AL497" s="356" t="str">
        <f t="shared" si="17"/>
        <v/>
      </c>
      <c r="AM497" s="356" t="str">
        <f t="shared" si="18"/>
        <v/>
      </c>
      <c r="AN497" s="356" t="str">
        <f t="shared" si="19"/>
        <v/>
      </c>
      <c r="AO497" s="356" t="str">
        <f t="shared" si="20"/>
        <v/>
      </c>
      <c r="AP497" s="356" t="str">
        <f t="shared" si="21"/>
        <v/>
      </c>
      <c r="AQ497" s="356" t="str">
        <f t="shared" si="22"/>
        <v/>
      </c>
      <c r="AR497" s="356" t="str">
        <f t="shared" si="23"/>
        <v/>
      </c>
      <c r="AS497" s="356" t="str">
        <f t="shared" si="24"/>
        <v/>
      </c>
      <c r="AT497" s="356" t="str">
        <f t="shared" si="25"/>
        <v/>
      </c>
      <c r="AU497" s="356" t="str">
        <f t="shared" si="26"/>
        <v/>
      </c>
      <c r="AV497" s="356" t="str">
        <f t="shared" si="27"/>
        <v/>
      </c>
      <c r="AW497" s="356" t="str">
        <f t="shared" si="28"/>
        <v/>
      </c>
      <c r="AX497" s="356" t="str">
        <f t="shared" si="29"/>
        <v/>
      </c>
      <c r="AY497" s="356" t="str">
        <f t="shared" si="30"/>
        <v/>
      </c>
      <c r="AZ497" s="356" t="str">
        <f t="shared" si="31"/>
        <v/>
      </c>
      <c r="BA497" s="356" t="str">
        <f t="shared" si="32"/>
        <v/>
      </c>
      <c r="BB497" s="356" t="str">
        <f t="shared" si="33"/>
        <v/>
      </c>
      <c r="BC497" s="356" t="str">
        <f t="shared" si="34"/>
        <v/>
      </c>
      <c r="BD497" s="356" t="str">
        <f t="shared" si="35"/>
        <v/>
      </c>
      <c r="BE497" s="356" t="str">
        <f t="shared" si="36"/>
        <v/>
      </c>
      <c r="BF497" s="356" t="str">
        <f t="shared" si="37"/>
        <v/>
      </c>
      <c r="BG497" s="356" t="str">
        <f t="shared" si="38"/>
        <v/>
      </c>
      <c r="BH497" s="356" t="str">
        <f t="shared" si="39"/>
        <v/>
      </c>
      <c r="BI497" s="356" t="str">
        <f t="shared" si="40"/>
        <v/>
      </c>
      <c r="BJ497" s="356" t="str">
        <f t="shared" si="41"/>
        <v/>
      </c>
      <c r="BK497" s="356" t="str">
        <f t="shared" si="42"/>
        <v/>
      </c>
      <c r="BL497" s="356" t="str">
        <f t="shared" si="43"/>
        <v/>
      </c>
      <c r="BM497" s="356" t="str">
        <f t="shared" si="44"/>
        <v/>
      </c>
      <c r="BN497" s="356" t="str">
        <f t="shared" si="45"/>
        <v/>
      </c>
      <c r="BO497" s="356" t="str">
        <f t="shared" si="46"/>
        <v/>
      </c>
      <c r="BP497" s="356" t="str">
        <f t="shared" si="47"/>
        <v/>
      </c>
      <c r="BQ497" s="356" t="str">
        <f t="shared" si="48"/>
        <v/>
      </c>
      <c r="BR497" s="356" t="str">
        <f t="shared" si="49"/>
        <v/>
      </c>
      <c r="BS497" s="356" t="str">
        <f t="shared" si="50"/>
        <v/>
      </c>
      <c r="BT497" s="356" t="str">
        <f t="shared" si="51"/>
        <v/>
      </c>
      <c r="BU497" s="356" t="str">
        <f t="shared" si="52"/>
        <v/>
      </c>
      <c r="BV497" s="356" t="str">
        <f t="shared" si="53"/>
        <v/>
      </c>
      <c r="BW497" s="356" t="str">
        <f t="shared" si="54"/>
        <v/>
      </c>
      <c r="BX497" s="356" t="str">
        <f t="shared" si="55"/>
        <v/>
      </c>
      <c r="BY497" s="356" t="str">
        <f t="shared" si="56"/>
        <v/>
      </c>
      <c r="BZ497" s="356" t="str">
        <f t="shared" si="57"/>
        <v/>
      </c>
      <c r="CA497" s="356" t="str">
        <f t="shared" si="58"/>
        <v/>
      </c>
      <c r="CB497" s="356" t="str">
        <f t="shared" si="59"/>
        <v/>
      </c>
      <c r="CC497" s="356" t="str">
        <f t="shared" si="60"/>
        <v/>
      </c>
      <c r="CD497" s="356" t="str">
        <f t="shared" si="61"/>
        <v/>
      </c>
      <c r="CE497" s="356" t="str">
        <f t="shared" si="62"/>
        <v/>
      </c>
      <c r="CF497" s="356" t="str">
        <f t="shared" si="63"/>
        <v/>
      </c>
      <c r="CG497" s="356" t="str">
        <f t="shared" si="64"/>
        <v/>
      </c>
      <c r="CH497" s="356" t="str">
        <f t="shared" si="65"/>
        <v/>
      </c>
      <c r="CI497" s="356" t="str">
        <f t="shared" si="66"/>
        <v/>
      </c>
      <c r="CJ497" s="356" t="str">
        <f t="shared" si="67"/>
        <v/>
      </c>
      <c r="CK497" s="356" t="str">
        <f t="shared" si="68"/>
        <v/>
      </c>
      <c r="CL497" s="356" t="str">
        <f t="shared" si="69"/>
        <v/>
      </c>
      <c r="CM497" s="356" t="str">
        <f t="shared" si="70"/>
        <v/>
      </c>
      <c r="CN497" s="356" t="str">
        <f t="shared" si="71"/>
        <v/>
      </c>
      <c r="CO497" s="356" t="str">
        <f t="shared" si="72"/>
        <v/>
      </c>
      <c r="CP497" s="356" t="str">
        <f t="shared" si="73"/>
        <v/>
      </c>
      <c r="CQ497" s="356" t="str">
        <f t="shared" si="74"/>
        <v/>
      </c>
      <c r="CR497" s="356" t="str">
        <f t="shared" si="75"/>
        <v/>
      </c>
      <c r="CS497" s="356" t="str">
        <f t="shared" si="76"/>
        <v/>
      </c>
      <c r="CT497" s="356" t="str">
        <f t="shared" si="77"/>
        <v/>
      </c>
      <c r="CU497" s="356" t="str">
        <f t="shared" si="78"/>
        <v/>
      </c>
      <c r="CV497" s="356" t="str">
        <f t="shared" si="79"/>
        <v/>
      </c>
      <c r="CW497" s="356" t="str">
        <f t="shared" si="80"/>
        <v/>
      </c>
      <c r="CX497" s="356" t="str">
        <f t="shared" si="81"/>
        <v/>
      </c>
      <c r="CY497" s="356" t="str">
        <f t="shared" si="82"/>
        <v/>
      </c>
      <c r="CZ497" s="356" t="str">
        <f t="shared" si="83"/>
        <v/>
      </c>
      <c r="DA497" s="356" t="str">
        <f t="shared" si="84"/>
        <v/>
      </c>
      <c r="DB497" s="356" t="str">
        <f t="shared" si="85"/>
        <v/>
      </c>
      <c r="DC497" s="356" t="str">
        <f t="shared" si="86"/>
        <v/>
      </c>
      <c r="DD497" s="356" t="str">
        <f t="shared" si="87"/>
        <v/>
      </c>
      <c r="DE497" s="356" t="str">
        <f t="shared" si="88"/>
        <v/>
      </c>
      <c r="DF497" s="356" t="str">
        <f t="shared" si="89"/>
        <v/>
      </c>
      <c r="DG497" s="356" t="str">
        <f t="shared" si="90"/>
        <v/>
      </c>
      <c r="DH497" s="356" t="str">
        <f t="shared" si="91"/>
        <v/>
      </c>
      <c r="DI497" s="356" t="str">
        <f t="shared" si="92"/>
        <v/>
      </c>
      <c r="DJ497" s="356" t="str">
        <f t="shared" si="93"/>
        <v/>
      </c>
      <c r="DK497" s="356" t="str">
        <f t="shared" si="94"/>
        <v/>
      </c>
      <c r="DL497" s="356" t="str">
        <f t="shared" si="95"/>
        <v/>
      </c>
      <c r="DM497" s="356" t="str">
        <f t="shared" si="96"/>
        <v/>
      </c>
      <c r="DN497" s="356" t="str">
        <f t="shared" si="97"/>
        <v/>
      </c>
      <c r="DO497" s="356" t="str">
        <f t="shared" si="98"/>
        <v/>
      </c>
      <c r="DP497" s="356" t="str">
        <f t="shared" si="99"/>
        <v/>
      </c>
      <c r="DQ497" s="356" t="str">
        <f t="shared" si="100"/>
        <v/>
      </c>
      <c r="DR497" s="356" t="str">
        <f t="shared" si="101"/>
        <v/>
      </c>
      <c r="DS497" s="356" t="str">
        <f t="shared" si="102"/>
        <v/>
      </c>
      <c r="DT497" s="356" t="str">
        <f t="shared" si="103"/>
        <v/>
      </c>
      <c r="DU497" s="356" t="str">
        <f t="shared" si="104"/>
        <v/>
      </c>
      <c r="DV497" s="356" t="str">
        <f t="shared" si="105"/>
        <v/>
      </c>
      <c r="DW497" s="356" t="str">
        <f t="shared" si="106"/>
        <v/>
      </c>
      <c r="DX497" s="356" t="str">
        <f t="shared" si="107"/>
        <v/>
      </c>
      <c r="DY497" s="356" t="str">
        <f t="shared" si="108"/>
        <v/>
      </c>
      <c r="DZ497" s="356" t="str">
        <f t="shared" si="109"/>
        <v/>
      </c>
      <c r="EA497" s="356" t="str">
        <f t="shared" si="110"/>
        <v/>
      </c>
      <c r="EB497" s="356" t="str">
        <f t="shared" si="111"/>
        <v/>
      </c>
      <c r="EC497" s="356" t="str">
        <f t="shared" si="112"/>
        <v/>
      </c>
      <c r="ED497" s="356" t="str">
        <f t="shared" si="113"/>
        <v/>
      </c>
      <c r="EE497" s="356" t="str">
        <f t="shared" si="114"/>
        <v/>
      </c>
      <c r="EF497" s="356" t="str">
        <f t="shared" si="115"/>
        <v/>
      </c>
      <c r="EG497" s="356" t="str">
        <f t="shared" si="116"/>
        <v/>
      </c>
      <c r="EH497" s="356" t="str">
        <f t="shared" si="117"/>
        <v/>
      </c>
      <c r="EI497" s="356" t="str">
        <f t="shared" si="118"/>
        <v/>
      </c>
      <c r="EJ497" s="356" t="str">
        <f t="shared" si="119"/>
        <v/>
      </c>
      <c r="EK497" s="356" t="str">
        <f t="shared" si="120"/>
        <v/>
      </c>
      <c r="EL497" s="356" t="str">
        <f t="shared" si="121"/>
        <v/>
      </c>
      <c r="EM497" s="356" t="str">
        <f t="shared" si="122"/>
        <v/>
      </c>
      <c r="EN497" s="356" t="str">
        <f t="shared" si="123"/>
        <v/>
      </c>
      <c r="EO497" s="356" t="str">
        <f t="shared" si="124"/>
        <v/>
      </c>
      <c r="EP497" s="356" t="str">
        <f t="shared" si="125"/>
        <v/>
      </c>
      <c r="EQ497" s="356" t="str">
        <f t="shared" si="126"/>
        <v/>
      </c>
      <c r="ER497" s="356" t="str">
        <f t="shared" si="127"/>
        <v/>
      </c>
      <c r="ES497" s="356" t="str">
        <f t="shared" si="128"/>
        <v/>
      </c>
      <c r="ET497" s="356" t="str">
        <f t="shared" si="129"/>
        <v/>
      </c>
      <c r="EU497" s="356" t="str">
        <f t="shared" si="130"/>
        <v/>
      </c>
      <c r="EV497" s="356" t="str">
        <f t="shared" si="131"/>
        <v/>
      </c>
      <c r="EW497" s="356" t="str">
        <f t="shared" si="132"/>
        <v/>
      </c>
      <c r="EX497" s="356" t="str">
        <f t="shared" si="133"/>
        <v/>
      </c>
      <c r="EY497" s="356" t="str">
        <f t="shared" si="134"/>
        <v/>
      </c>
      <c r="EZ497" s="356" t="str">
        <f t="shared" si="135"/>
        <v/>
      </c>
      <c r="FA497" s="356" t="str">
        <f t="shared" si="136"/>
        <v/>
      </c>
      <c r="FB497" s="356" t="str">
        <f t="shared" si="137"/>
        <v/>
      </c>
      <c r="FC497" s="356" t="str">
        <f t="shared" si="138"/>
        <v/>
      </c>
      <c r="FD497" s="356" t="str">
        <f t="shared" si="139"/>
        <v/>
      </c>
      <c r="FE497" s="356" t="str">
        <f t="shared" si="140"/>
        <v/>
      </c>
      <c r="FF497" s="356" t="str">
        <f t="shared" si="141"/>
        <v/>
      </c>
      <c r="FG497" s="356" t="str">
        <f t="shared" si="142"/>
        <v/>
      </c>
      <c r="FH497" s="356" t="str">
        <f t="shared" si="143"/>
        <v/>
      </c>
      <c r="FI497" s="356" t="str">
        <f t="shared" si="144"/>
        <v/>
      </c>
      <c r="FJ497" s="356" t="str">
        <f t="shared" si="145"/>
        <v/>
      </c>
      <c r="FK497" s="356" t="str">
        <f t="shared" si="146"/>
        <v/>
      </c>
      <c r="FL497" s="356" t="str">
        <f t="shared" si="147"/>
        <v/>
      </c>
      <c r="FM497" s="356" t="str">
        <f t="shared" si="148"/>
        <v/>
      </c>
      <c r="FN497" s="356" t="str">
        <f t="shared" si="149"/>
        <v/>
      </c>
      <c r="FO497" s="356" t="str">
        <f t="shared" si="150"/>
        <v/>
      </c>
      <c r="FP497" s="356" t="str">
        <f t="shared" si="151"/>
        <v/>
      </c>
      <c r="FQ497" s="356" t="str">
        <f t="shared" si="152"/>
        <v/>
      </c>
      <c r="FR497" s="356" t="str">
        <f t="shared" si="153"/>
        <v/>
      </c>
      <c r="FS497" s="356" t="str">
        <f t="shared" si="154"/>
        <v/>
      </c>
      <c r="FT497" s="356" t="str">
        <f t="shared" si="155"/>
        <v/>
      </c>
      <c r="FU497" s="356" t="str">
        <f t="shared" si="156"/>
        <v/>
      </c>
      <c r="FV497" s="356" t="str">
        <f t="shared" si="157"/>
        <v/>
      </c>
      <c r="FW497" s="356" t="str">
        <f t="shared" si="158"/>
        <v/>
      </c>
      <c r="FX497" s="356" t="str">
        <f t="shared" si="159"/>
        <v/>
      </c>
      <c r="FY497" s="356" t="str">
        <f t="shared" si="160"/>
        <v/>
      </c>
      <c r="FZ497" s="356" t="str">
        <f t="shared" si="161"/>
        <v/>
      </c>
      <c r="GA497" s="356" t="str">
        <f t="shared" si="162"/>
        <v/>
      </c>
      <c r="GB497" s="356" t="str">
        <f t="shared" si="163"/>
        <v/>
      </c>
      <c r="GC497" s="356" t="str">
        <f t="shared" si="164"/>
        <v/>
      </c>
      <c r="GD497" s="356" t="str">
        <f t="shared" si="165"/>
        <v/>
      </c>
      <c r="GE497" s="356" t="str">
        <f t="shared" si="166"/>
        <v/>
      </c>
      <c r="GF497" s="356" t="str">
        <f t="shared" si="167"/>
        <v/>
      </c>
      <c r="GG497" s="356" t="str">
        <f t="shared" si="168"/>
        <v/>
      </c>
      <c r="GH497" s="356" t="str">
        <f t="shared" si="169"/>
        <v/>
      </c>
      <c r="GI497" s="356" t="str">
        <f t="shared" si="170"/>
        <v/>
      </c>
      <c r="GJ497" s="356" t="str">
        <f t="shared" si="171"/>
        <v/>
      </c>
      <c r="GK497" s="356" t="str">
        <f t="shared" si="172"/>
        <v/>
      </c>
      <c r="GL497" s="356" t="str">
        <f t="shared" si="173"/>
        <v/>
      </c>
      <c r="GM497" s="356" t="str">
        <f t="shared" si="174"/>
        <v/>
      </c>
      <c r="GN497" s="356" t="str">
        <f t="shared" si="175"/>
        <v/>
      </c>
      <c r="GO497" s="356" t="str">
        <f t="shared" si="176"/>
        <v/>
      </c>
      <c r="GP497" s="356" t="str">
        <f t="shared" si="177"/>
        <v/>
      </c>
      <c r="GQ497" s="356" t="str">
        <f t="shared" si="178"/>
        <v/>
      </c>
      <c r="GR497" s="356" t="str">
        <f t="shared" si="179"/>
        <v/>
      </c>
      <c r="GS497" s="356" t="str">
        <f t="shared" si="180"/>
        <v/>
      </c>
      <c r="GT497" s="356" t="str">
        <f t="shared" si="181"/>
        <v/>
      </c>
      <c r="GU497" s="356" t="str">
        <f t="shared" si="182"/>
        <v/>
      </c>
      <c r="GV497" s="356" t="str">
        <f t="shared" si="183"/>
        <v/>
      </c>
      <c r="GW497" s="356" t="str">
        <f t="shared" si="184"/>
        <v/>
      </c>
      <c r="GX497" s="356" t="str">
        <f t="shared" si="185"/>
        <v/>
      </c>
      <c r="GY497" s="356" t="str">
        <f t="shared" si="186"/>
        <v/>
      </c>
      <c r="GZ497" s="356" t="str">
        <f t="shared" si="187"/>
        <v/>
      </c>
      <c r="HA497" s="356" t="str">
        <f t="shared" si="188"/>
        <v/>
      </c>
      <c r="HB497" s="356" t="str">
        <f t="shared" si="189"/>
        <v/>
      </c>
      <c r="HC497" s="356" t="str">
        <f t="shared" si="190"/>
        <v/>
      </c>
      <c r="HD497" s="356" t="str">
        <f t="shared" si="191"/>
        <v/>
      </c>
      <c r="HE497" s="356" t="str">
        <f t="shared" si="192"/>
        <v/>
      </c>
      <c r="HF497" s="356" t="str">
        <f t="shared" si="193"/>
        <v/>
      </c>
      <c r="HG497" s="356" t="str">
        <f t="shared" si="194"/>
        <v/>
      </c>
      <c r="HH497" s="356" t="str">
        <f t="shared" si="195"/>
        <v/>
      </c>
      <c r="HI497" s="356" t="str">
        <f t="shared" si="196"/>
        <v/>
      </c>
      <c r="HJ497" s="356" t="str">
        <f t="shared" si="197"/>
        <v/>
      </c>
      <c r="HK497" s="356" t="str">
        <f t="shared" si="198"/>
        <v/>
      </c>
      <c r="HL497" s="356" t="str">
        <f t="shared" si="199"/>
        <v/>
      </c>
      <c r="HM497" s="356" t="str">
        <f t="shared" si="200"/>
        <v/>
      </c>
      <c r="HN497" s="356" t="str">
        <f t="shared" si="201"/>
        <v/>
      </c>
      <c r="HO497" s="356" t="str">
        <f t="shared" si="202"/>
        <v/>
      </c>
      <c r="HP497" s="356" t="str">
        <f t="shared" si="203"/>
        <v/>
      </c>
      <c r="HQ497" s="356" t="str">
        <f t="shared" si="204"/>
        <v/>
      </c>
      <c r="HR497" s="356" t="str">
        <f t="shared" si="205"/>
        <v/>
      </c>
      <c r="HS497" s="356" t="str">
        <f t="shared" si="206"/>
        <v/>
      </c>
      <c r="HT497" s="356" t="str">
        <f t="shared" si="207"/>
        <v/>
      </c>
      <c r="HU497" s="356" t="str">
        <f t="shared" si="208"/>
        <v/>
      </c>
      <c r="HV497" s="356" t="str">
        <f t="shared" si="209"/>
        <v/>
      </c>
      <c r="HW497" s="356" t="str">
        <f t="shared" si="210"/>
        <v/>
      </c>
      <c r="HX497" s="356" t="str">
        <f t="shared" si="211"/>
        <v/>
      </c>
      <c r="HY497" s="356" t="str">
        <f t="shared" si="212"/>
        <v/>
      </c>
      <c r="HZ497" s="356" t="str">
        <f t="shared" si="213"/>
        <v/>
      </c>
      <c r="IA497" s="356" t="str">
        <f t="shared" si="214"/>
        <v/>
      </c>
      <c r="IB497" s="356" t="str">
        <f t="shared" si="215"/>
        <v/>
      </c>
      <c r="IC497" s="356" t="str">
        <f t="shared" si="216"/>
        <v/>
      </c>
      <c r="ID497" s="356" t="str">
        <f t="shared" si="217"/>
        <v/>
      </c>
      <c r="IE497" s="356" t="str">
        <f t="shared" si="218"/>
        <v/>
      </c>
      <c r="IF497" s="356" t="str">
        <f t="shared" si="219"/>
        <v/>
      </c>
      <c r="IG497" s="356" t="str">
        <f t="shared" si="220"/>
        <v/>
      </c>
      <c r="IH497" s="356" t="str">
        <f t="shared" si="221"/>
        <v/>
      </c>
      <c r="II497" s="356" t="str">
        <f t="shared" si="222"/>
        <v/>
      </c>
      <c r="IJ497" s="356" t="str">
        <f t="shared" si="223"/>
        <v/>
      </c>
      <c r="IK497" s="356" t="str">
        <f t="shared" si="224"/>
        <v/>
      </c>
      <c r="IL497" s="356" t="str">
        <f t="shared" si="225"/>
        <v/>
      </c>
      <c r="IM497" s="356" t="str">
        <f t="shared" si="226"/>
        <v/>
      </c>
      <c r="IN497" s="356" t="str">
        <f t="shared" si="227"/>
        <v/>
      </c>
      <c r="IO497" s="356" t="str">
        <f t="shared" si="228"/>
        <v/>
      </c>
      <c r="IP497" s="356" t="str">
        <f t="shared" si="229"/>
        <v/>
      </c>
      <c r="IQ497" s="356" t="str">
        <f t="shared" si="230"/>
        <v/>
      </c>
      <c r="IR497" s="356" t="str">
        <f t="shared" si="231"/>
        <v/>
      </c>
      <c r="IS497" s="356" t="str">
        <f t="shared" si="232"/>
        <v/>
      </c>
      <c r="IT497" s="356" t="str">
        <f t="shared" si="233"/>
        <v/>
      </c>
      <c r="IU497" s="356" t="str">
        <f t="shared" si="234"/>
        <v/>
      </c>
      <c r="IV497" s="356" t="str">
        <f t="shared" si="235"/>
        <v/>
      </c>
      <c r="IW497" s="356" t="str">
        <f t="shared" si="236"/>
        <v/>
      </c>
      <c r="IX497" s="356" t="str">
        <f t="shared" si="237"/>
        <v/>
      </c>
      <c r="IY497" s="356" t="str">
        <f t="shared" si="238"/>
        <v/>
      </c>
      <c r="IZ497" s="356" t="str">
        <f t="shared" si="239"/>
        <v/>
      </c>
      <c r="JA497" s="356" t="str">
        <f t="shared" si="240"/>
        <v/>
      </c>
      <c r="JB497" s="356" t="str">
        <f t="shared" si="241"/>
        <v/>
      </c>
      <c r="JC497" s="356" t="str">
        <f t="shared" si="242"/>
        <v/>
      </c>
      <c r="JD497" s="356" t="str">
        <f t="shared" si="243"/>
        <v/>
      </c>
      <c r="JE497" s="356" t="str">
        <f t="shared" si="244"/>
        <v/>
      </c>
      <c r="JF497" s="356" t="str">
        <f t="shared" si="245"/>
        <v/>
      </c>
      <c r="JG497" s="356" t="str">
        <f t="shared" si="246"/>
        <v/>
      </c>
      <c r="JH497" s="356" t="str">
        <f t="shared" si="247"/>
        <v/>
      </c>
      <c r="JI497" s="1785" t="str">
        <f t="shared" si="248"/>
        <v/>
      </c>
      <c r="JJ497" s="1785" t="str">
        <f t="shared" si="249"/>
        <v/>
      </c>
      <c r="JK497" s="1785" t="str">
        <f t="shared" si="250"/>
        <v/>
      </c>
      <c r="JL497" s="1785" t="str">
        <f t="shared" si="251"/>
        <v/>
      </c>
      <c r="JM497" s="1785" t="str">
        <f t="shared" si="252"/>
        <v/>
      </c>
      <c r="JN497" s="1785" t="str">
        <f t="shared" si="253"/>
        <v/>
      </c>
      <c r="JO497" s="1785" t="str">
        <f t="shared" si="254"/>
        <v/>
      </c>
      <c r="JP497" s="1785" t="str">
        <f t="shared" si="255"/>
        <v/>
      </c>
      <c r="JQ497" s="1785" t="str">
        <f t="shared" si="256"/>
        <v/>
      </c>
      <c r="JR497" s="1785" t="str">
        <f t="shared" si="257"/>
        <v/>
      </c>
      <c r="JS497" s="1785" t="str">
        <f t="shared" si="258"/>
        <v/>
      </c>
      <c r="JT497" s="1785" t="str">
        <f t="shared" si="259"/>
        <v/>
      </c>
      <c r="JU497" s="1785" t="str">
        <f t="shared" si="260"/>
        <v/>
      </c>
      <c r="JV497" s="1785" t="str">
        <f t="shared" si="261"/>
        <v/>
      </c>
      <c r="JW497" s="1785" t="str">
        <f t="shared" si="262"/>
        <v/>
      </c>
      <c r="JX497" s="1785" t="str">
        <f t="shared" si="263"/>
        <v/>
      </c>
      <c r="JY497" s="1785" t="str">
        <f t="shared" si="264"/>
        <v/>
      </c>
      <c r="JZ497" s="1785" t="str">
        <f t="shared" si="265"/>
        <v/>
      </c>
      <c r="KA497" s="1785" t="str">
        <f t="shared" si="266"/>
        <v/>
      </c>
      <c r="KB497" s="1785" t="str">
        <f t="shared" si="267"/>
        <v/>
      </c>
      <c r="KC497" s="1785" t="str">
        <f t="shared" si="268"/>
        <v/>
      </c>
      <c r="KD497" s="1785" t="str">
        <f t="shared" si="269"/>
        <v/>
      </c>
      <c r="KE497" s="1785" t="str">
        <f t="shared" si="270"/>
        <v/>
      </c>
      <c r="KF497" s="1785" t="str">
        <f t="shared" si="271"/>
        <v/>
      </c>
      <c r="KG497" s="1785" t="str">
        <f t="shared" si="272"/>
        <v/>
      </c>
      <c r="KH497" s="1785" t="str">
        <f t="shared" si="273"/>
        <v/>
      </c>
      <c r="KI497" s="1785" t="str">
        <f t="shared" si="274"/>
        <v/>
      </c>
      <c r="KJ497" s="1785" t="str">
        <f t="shared" si="275"/>
        <v/>
      </c>
      <c r="KK497" s="1785" t="str">
        <f t="shared" si="276"/>
        <v/>
      </c>
      <c r="KL497" s="1785" t="str">
        <f t="shared" si="277"/>
        <v/>
      </c>
      <c r="KM497" s="1785" t="str">
        <f t="shared" si="278"/>
        <v/>
      </c>
      <c r="KN497" s="1785" t="str">
        <f t="shared" si="279"/>
        <v/>
      </c>
      <c r="KO497" s="1785" t="str">
        <f t="shared" si="280"/>
        <v/>
      </c>
      <c r="KP497" s="1785" t="str">
        <f t="shared" si="281"/>
        <v/>
      </c>
      <c r="KQ497" s="1785" t="str">
        <f t="shared" si="282"/>
        <v/>
      </c>
      <c r="KR497" s="1785" t="str">
        <f t="shared" si="283"/>
        <v/>
      </c>
      <c r="KS497" s="1785" t="str">
        <f t="shared" si="284"/>
        <v/>
      </c>
      <c r="KT497" s="1785" t="str">
        <f t="shared" si="285"/>
        <v/>
      </c>
      <c r="KU497" s="1785" t="str">
        <f t="shared" si="286"/>
        <v/>
      </c>
      <c r="KV497" s="1785" t="str">
        <f t="shared" si="287"/>
        <v/>
      </c>
      <c r="KW497" s="1785" t="str">
        <f t="shared" si="288"/>
        <v/>
      </c>
      <c r="KX497" s="1785" t="str">
        <f t="shared" si="289"/>
        <v/>
      </c>
      <c r="KY497" s="1785" t="str">
        <f t="shared" si="290"/>
        <v/>
      </c>
      <c r="KZ497" s="1785" t="str">
        <f t="shared" si="291"/>
        <v/>
      </c>
      <c r="LA497" s="1785" t="str">
        <f t="shared" si="292"/>
        <v/>
      </c>
      <c r="LB497" s="1785" t="str">
        <f t="shared" si="293"/>
        <v/>
      </c>
      <c r="LC497" s="1785" t="str">
        <f t="shared" si="294"/>
        <v/>
      </c>
      <c r="LD497" s="1785" t="str">
        <f t="shared" si="295"/>
        <v/>
      </c>
      <c r="LE497" s="1785" t="str">
        <f t="shared" si="296"/>
        <v/>
      </c>
      <c r="LF497" s="1785" t="str">
        <f t="shared" si="297"/>
        <v/>
      </c>
      <c r="LG497" s="1785" t="str">
        <f t="shared" si="298"/>
        <v/>
      </c>
      <c r="LH497" s="1785" t="str">
        <f t="shared" si="299"/>
        <v/>
      </c>
      <c r="LI497" s="1785" t="str">
        <f t="shared" si="300"/>
        <v/>
      </c>
      <c r="LJ497" s="1785" t="str">
        <f t="shared" si="301"/>
        <v/>
      </c>
      <c r="LK497" s="1785" t="str">
        <f t="shared" si="302"/>
        <v/>
      </c>
      <c r="LL497" s="1785" t="str">
        <f t="shared" si="303"/>
        <v/>
      </c>
      <c r="LM497" s="1785" t="str">
        <f t="shared" si="304"/>
        <v/>
      </c>
      <c r="LN497" s="1785" t="str">
        <f t="shared" si="305"/>
        <v/>
      </c>
      <c r="LO497" s="1785" t="str">
        <f t="shared" si="306"/>
        <v/>
      </c>
      <c r="LP497" s="1785" t="str">
        <f t="shared" si="307"/>
        <v/>
      </c>
      <c r="LQ497" s="1785" t="str">
        <f t="shared" si="308"/>
        <v/>
      </c>
      <c r="LR497" s="1785" t="str">
        <f t="shared" si="309"/>
        <v/>
      </c>
      <c r="LS497" s="1785" t="str">
        <f t="shared" si="310"/>
        <v/>
      </c>
      <c r="LT497" s="1785" t="str">
        <f t="shared" si="311"/>
        <v/>
      </c>
      <c r="LU497" s="1785" t="str">
        <f t="shared" si="312"/>
        <v/>
      </c>
      <c r="LV497" s="1785" t="str">
        <f t="shared" si="313"/>
        <v/>
      </c>
      <c r="LW497" s="1785" t="str">
        <f t="shared" si="314"/>
        <v/>
      </c>
      <c r="LX497" s="1785" t="str">
        <f t="shared" si="315"/>
        <v/>
      </c>
      <c r="LY497" s="1785" t="str">
        <f t="shared" si="316"/>
        <v/>
      </c>
      <c r="LZ497" s="1785" t="str">
        <f t="shared" si="317"/>
        <v/>
      </c>
      <c r="MA497" s="1785" t="str">
        <f t="shared" si="318"/>
        <v/>
      </c>
      <c r="MB497" s="1785" t="str">
        <f t="shared" si="319"/>
        <v/>
      </c>
      <c r="MC497" s="1785" t="str">
        <f t="shared" si="320"/>
        <v/>
      </c>
      <c r="MD497" s="1785" t="str">
        <f t="shared" si="321"/>
        <v/>
      </c>
      <c r="ME497" s="1785" t="str">
        <f t="shared" si="322"/>
        <v/>
      </c>
      <c r="MF497" s="1785" t="str">
        <f t="shared" si="323"/>
        <v/>
      </c>
      <c r="MG497" s="1785" t="str">
        <f t="shared" si="324"/>
        <v/>
      </c>
      <c r="MH497" s="1785" t="str">
        <f t="shared" si="325"/>
        <v/>
      </c>
      <c r="MI497" s="1785" t="str">
        <f t="shared" si="326"/>
        <v/>
      </c>
      <c r="MJ497" s="1785" t="str">
        <f t="shared" si="327"/>
        <v/>
      </c>
      <c r="MK497" s="1785" t="str">
        <f t="shared" si="328"/>
        <v/>
      </c>
      <c r="ML497" s="1785" t="str">
        <f t="shared" si="329"/>
        <v/>
      </c>
      <c r="MM497" s="1785" t="str">
        <f t="shared" si="330"/>
        <v/>
      </c>
      <c r="MN497" s="1785" t="str">
        <f t="shared" si="331"/>
        <v/>
      </c>
      <c r="MO497" s="1785" t="str">
        <f t="shared" si="332"/>
        <v/>
      </c>
      <c r="MP497" s="2470" t="str">
        <f t="shared" si="333"/>
        <v/>
      </c>
      <c r="MQ497" s="2470" t="str">
        <f t="shared" si="334"/>
        <v/>
      </c>
      <c r="MR497" s="2470" t="str">
        <f t="shared" si="335"/>
        <v/>
      </c>
      <c r="MS497" s="2470" t="str">
        <f t="shared" si="336"/>
        <v/>
      </c>
      <c r="MT497" s="2470" t="str">
        <f t="shared" si="337"/>
        <v/>
      </c>
      <c r="MU497" s="356" t="str">
        <f t="shared" si="338"/>
        <v/>
      </c>
      <c r="MV497" s="356" t="str">
        <f t="shared" si="339"/>
        <v/>
      </c>
      <c r="MW497" s="356" t="str">
        <f t="shared" si="340"/>
        <v/>
      </c>
      <c r="MX497" s="356" t="str">
        <f t="shared" si="341"/>
        <v/>
      </c>
      <c r="MY497" s="356" t="str">
        <f t="shared" si="342"/>
        <v/>
      </c>
      <c r="MZ497" s="356" t="str">
        <f t="shared" si="343"/>
        <v/>
      </c>
      <c r="NA497" s="356" t="str">
        <f t="shared" si="344"/>
        <v/>
      </c>
      <c r="NB497" s="356" t="str">
        <f t="shared" si="345"/>
        <v/>
      </c>
      <c r="NC497" s="356" t="str">
        <f t="shared" si="346"/>
        <v/>
      </c>
      <c r="ND497" s="356" t="str">
        <f t="shared" si="347"/>
        <v/>
      </c>
      <c r="NE497" s="356" t="str">
        <f t="shared" si="348"/>
        <v/>
      </c>
      <c r="NF497" s="356" t="str">
        <f t="shared" si="349"/>
        <v/>
      </c>
      <c r="NG497" s="356" t="str">
        <f t="shared" si="350"/>
        <v/>
      </c>
      <c r="NH497" s="356" t="str">
        <f t="shared" si="351"/>
        <v/>
      </c>
      <c r="NI497" s="356" t="str">
        <f t="shared" si="352"/>
        <v/>
      </c>
      <c r="NJ497" s="356" t="str">
        <f t="shared" si="353"/>
        <v/>
      </c>
      <c r="NK497" s="356" t="str">
        <f t="shared" si="354"/>
        <v/>
      </c>
      <c r="NL497" s="356" t="str">
        <f t="shared" si="355"/>
        <v/>
      </c>
      <c r="NM497" s="356" t="str">
        <f t="shared" si="356"/>
        <v/>
      </c>
      <c r="NN497" s="356" t="str">
        <f t="shared" si="357"/>
        <v/>
      </c>
      <c r="NO497" s="1640">
        <f t="shared" si="358"/>
        <v>0</v>
      </c>
      <c r="NP497" s="1640">
        <f t="shared" si="359"/>
        <v>0</v>
      </c>
      <c r="NQ497" s="1640">
        <f t="shared" si="360"/>
        <v>0</v>
      </c>
      <c r="NR497" s="1640">
        <f t="shared" si="361"/>
        <v>0</v>
      </c>
      <c r="NS497" s="1640">
        <f t="shared" si="362"/>
        <v>0</v>
      </c>
      <c r="NT497" s="1640">
        <f t="shared" si="368"/>
        <v>0</v>
      </c>
      <c r="NU497" s="1640">
        <f t="shared" si="369"/>
        <v>0</v>
      </c>
      <c r="NV497" s="1640">
        <f t="shared" si="370"/>
        <v>0</v>
      </c>
      <c r="NW497" s="1640">
        <f t="shared" si="371"/>
        <v>0</v>
      </c>
      <c r="NX497" s="1640">
        <f t="shared" si="372"/>
        <v>0</v>
      </c>
      <c r="NY497" s="1640">
        <f t="shared" si="363"/>
        <v>0</v>
      </c>
      <c r="NZ497" s="1640">
        <f t="shared" si="364"/>
        <v>0</v>
      </c>
      <c r="OA497" s="1640">
        <f t="shared" si="365"/>
        <v>0</v>
      </c>
      <c r="OB497" s="1640">
        <f t="shared" si="366"/>
        <v>0</v>
      </c>
      <c r="OC497" s="1640">
        <f t="shared" si="367"/>
        <v>0</v>
      </c>
      <c r="OY497" s="356" t="s">
        <v>4330</v>
      </c>
      <c r="OZ497" s="1640">
        <v>44</v>
      </c>
    </row>
    <row r="498" spans="1:416" ht="12" customHeight="1">
      <c r="A498" s="2706" t="str">
        <f t="shared" si="0"/>
        <v/>
      </c>
      <c r="B498" s="2725">
        <f>'Part V-Revenues &amp; Expenses'!B45</f>
        <v>0</v>
      </c>
      <c r="C498" s="2726">
        <f>'Part V-Revenues &amp; Expenses'!C45</f>
        <v>0</v>
      </c>
      <c r="D498" s="2727">
        <f>'Part V-Revenues &amp; Expenses'!D45</f>
        <v>0</v>
      </c>
      <c r="E498" s="2728">
        <f>'Part V-Revenues &amp; Expenses'!E45</f>
        <v>0</v>
      </c>
      <c r="F498" s="2728">
        <f>'Part V-Revenues &amp; Expenses'!F45</f>
        <v>0</v>
      </c>
      <c r="G498" s="2728">
        <f>'Part V-Revenues &amp; Expenses'!G45</f>
        <v>0</v>
      </c>
      <c r="H498" s="2728">
        <f>'Part V-Revenues &amp; Expenses'!H45</f>
        <v>0</v>
      </c>
      <c r="I498" s="2728">
        <f>'Part V-Revenues &amp; Expenses'!I45</f>
        <v>0</v>
      </c>
      <c r="J498" s="2728">
        <f>'Part V-Revenues &amp; Expenses'!J45</f>
        <v>0</v>
      </c>
      <c r="K498" s="2729">
        <f>'Part V-Revenues &amp; Expenses'!K45</f>
        <v>0</v>
      </c>
      <c r="L498" s="2730">
        <f t="shared" si="1"/>
        <v>0</v>
      </c>
      <c r="M498" s="2730">
        <f t="shared" si="2"/>
        <v>0</v>
      </c>
      <c r="N498" s="2580">
        <f>'Part V-Revenues &amp; Expenses'!N45</f>
        <v>0</v>
      </c>
      <c r="O498" s="1248">
        <f>'Part V-Revenues &amp; Expenses'!O45</f>
        <v>0</v>
      </c>
      <c r="P498" s="2580">
        <f>'Part V-Revenues &amp; Expenses'!P45</f>
        <v>0</v>
      </c>
      <c r="Q498" s="2469">
        <f>'Part V-Revenues &amp; Expenses'!Q45</f>
        <v>0</v>
      </c>
      <c r="R498" s="2731"/>
      <c r="S498" s="2732"/>
      <c r="T498" s="2647"/>
      <c r="U498" s="2647"/>
      <c r="V498" s="2647"/>
      <c r="W498" s="2647"/>
      <c r="X498" s="356" t="str">
        <f t="shared" si="3"/>
        <v/>
      </c>
      <c r="Y498" s="356" t="str">
        <f t="shared" si="4"/>
        <v/>
      </c>
      <c r="Z498" s="356" t="str">
        <f t="shared" si="5"/>
        <v/>
      </c>
      <c r="AA498" s="356" t="str">
        <f t="shared" si="6"/>
        <v/>
      </c>
      <c r="AB498" s="356" t="str">
        <f t="shared" si="7"/>
        <v/>
      </c>
      <c r="AC498" s="356" t="str">
        <f t="shared" si="8"/>
        <v/>
      </c>
      <c r="AD498" s="356" t="str">
        <f t="shared" si="9"/>
        <v/>
      </c>
      <c r="AE498" s="356" t="str">
        <f t="shared" si="10"/>
        <v/>
      </c>
      <c r="AF498" s="356" t="str">
        <f t="shared" si="11"/>
        <v/>
      </c>
      <c r="AG498" s="356" t="str">
        <f t="shared" si="12"/>
        <v/>
      </c>
      <c r="AH498" s="356" t="str">
        <f t="shared" si="13"/>
        <v/>
      </c>
      <c r="AI498" s="356" t="str">
        <f t="shared" si="14"/>
        <v/>
      </c>
      <c r="AJ498" s="356" t="str">
        <f t="shared" si="15"/>
        <v/>
      </c>
      <c r="AK498" s="356" t="str">
        <f t="shared" si="16"/>
        <v/>
      </c>
      <c r="AL498" s="356" t="str">
        <f t="shared" si="17"/>
        <v/>
      </c>
      <c r="AM498" s="356" t="str">
        <f t="shared" si="18"/>
        <v/>
      </c>
      <c r="AN498" s="356" t="str">
        <f t="shared" si="19"/>
        <v/>
      </c>
      <c r="AO498" s="356" t="str">
        <f t="shared" si="20"/>
        <v/>
      </c>
      <c r="AP498" s="356" t="str">
        <f t="shared" si="21"/>
        <v/>
      </c>
      <c r="AQ498" s="356" t="str">
        <f t="shared" si="22"/>
        <v/>
      </c>
      <c r="AR498" s="356" t="str">
        <f t="shared" si="23"/>
        <v/>
      </c>
      <c r="AS498" s="356" t="str">
        <f t="shared" si="24"/>
        <v/>
      </c>
      <c r="AT498" s="356" t="str">
        <f t="shared" si="25"/>
        <v/>
      </c>
      <c r="AU498" s="356" t="str">
        <f t="shared" si="26"/>
        <v/>
      </c>
      <c r="AV498" s="356" t="str">
        <f t="shared" si="27"/>
        <v/>
      </c>
      <c r="AW498" s="356" t="str">
        <f t="shared" si="28"/>
        <v/>
      </c>
      <c r="AX498" s="356" t="str">
        <f t="shared" si="29"/>
        <v/>
      </c>
      <c r="AY498" s="356" t="str">
        <f t="shared" si="30"/>
        <v/>
      </c>
      <c r="AZ498" s="356" t="str">
        <f t="shared" si="31"/>
        <v/>
      </c>
      <c r="BA498" s="356" t="str">
        <f t="shared" si="32"/>
        <v/>
      </c>
      <c r="BB498" s="356" t="str">
        <f t="shared" si="33"/>
        <v/>
      </c>
      <c r="BC498" s="356" t="str">
        <f t="shared" si="34"/>
        <v/>
      </c>
      <c r="BD498" s="356" t="str">
        <f t="shared" si="35"/>
        <v/>
      </c>
      <c r="BE498" s="356" t="str">
        <f t="shared" si="36"/>
        <v/>
      </c>
      <c r="BF498" s="356" t="str">
        <f t="shared" si="37"/>
        <v/>
      </c>
      <c r="BG498" s="356" t="str">
        <f t="shared" si="38"/>
        <v/>
      </c>
      <c r="BH498" s="356" t="str">
        <f t="shared" si="39"/>
        <v/>
      </c>
      <c r="BI498" s="356" t="str">
        <f t="shared" si="40"/>
        <v/>
      </c>
      <c r="BJ498" s="356" t="str">
        <f t="shared" si="41"/>
        <v/>
      </c>
      <c r="BK498" s="356" t="str">
        <f t="shared" si="42"/>
        <v/>
      </c>
      <c r="BL498" s="356" t="str">
        <f t="shared" si="43"/>
        <v/>
      </c>
      <c r="BM498" s="356" t="str">
        <f t="shared" si="44"/>
        <v/>
      </c>
      <c r="BN498" s="356" t="str">
        <f t="shared" si="45"/>
        <v/>
      </c>
      <c r="BO498" s="356" t="str">
        <f t="shared" si="46"/>
        <v/>
      </c>
      <c r="BP498" s="356" t="str">
        <f t="shared" si="47"/>
        <v/>
      </c>
      <c r="BQ498" s="356" t="str">
        <f t="shared" si="48"/>
        <v/>
      </c>
      <c r="BR498" s="356" t="str">
        <f t="shared" si="49"/>
        <v/>
      </c>
      <c r="BS498" s="356" t="str">
        <f t="shared" si="50"/>
        <v/>
      </c>
      <c r="BT498" s="356" t="str">
        <f t="shared" si="51"/>
        <v/>
      </c>
      <c r="BU498" s="356" t="str">
        <f t="shared" si="52"/>
        <v/>
      </c>
      <c r="BV498" s="356" t="str">
        <f t="shared" si="53"/>
        <v/>
      </c>
      <c r="BW498" s="356" t="str">
        <f t="shared" si="54"/>
        <v/>
      </c>
      <c r="BX498" s="356" t="str">
        <f t="shared" si="55"/>
        <v/>
      </c>
      <c r="BY498" s="356" t="str">
        <f t="shared" si="56"/>
        <v/>
      </c>
      <c r="BZ498" s="356" t="str">
        <f t="shared" si="57"/>
        <v/>
      </c>
      <c r="CA498" s="356" t="str">
        <f t="shared" si="58"/>
        <v/>
      </c>
      <c r="CB498" s="356" t="str">
        <f t="shared" si="59"/>
        <v/>
      </c>
      <c r="CC498" s="356" t="str">
        <f t="shared" si="60"/>
        <v/>
      </c>
      <c r="CD498" s="356" t="str">
        <f t="shared" si="61"/>
        <v/>
      </c>
      <c r="CE498" s="356" t="str">
        <f t="shared" si="62"/>
        <v/>
      </c>
      <c r="CF498" s="356" t="str">
        <f t="shared" si="63"/>
        <v/>
      </c>
      <c r="CG498" s="356" t="str">
        <f t="shared" si="64"/>
        <v/>
      </c>
      <c r="CH498" s="356" t="str">
        <f t="shared" si="65"/>
        <v/>
      </c>
      <c r="CI498" s="356" t="str">
        <f t="shared" si="66"/>
        <v/>
      </c>
      <c r="CJ498" s="356" t="str">
        <f t="shared" si="67"/>
        <v/>
      </c>
      <c r="CK498" s="356" t="str">
        <f t="shared" si="68"/>
        <v/>
      </c>
      <c r="CL498" s="356" t="str">
        <f t="shared" si="69"/>
        <v/>
      </c>
      <c r="CM498" s="356" t="str">
        <f t="shared" si="70"/>
        <v/>
      </c>
      <c r="CN498" s="356" t="str">
        <f t="shared" si="71"/>
        <v/>
      </c>
      <c r="CO498" s="356" t="str">
        <f t="shared" si="72"/>
        <v/>
      </c>
      <c r="CP498" s="356" t="str">
        <f t="shared" si="73"/>
        <v/>
      </c>
      <c r="CQ498" s="356" t="str">
        <f t="shared" si="74"/>
        <v/>
      </c>
      <c r="CR498" s="356" t="str">
        <f t="shared" si="75"/>
        <v/>
      </c>
      <c r="CS498" s="356" t="str">
        <f t="shared" si="76"/>
        <v/>
      </c>
      <c r="CT498" s="356" t="str">
        <f t="shared" si="77"/>
        <v/>
      </c>
      <c r="CU498" s="356" t="str">
        <f t="shared" si="78"/>
        <v/>
      </c>
      <c r="CV498" s="356" t="str">
        <f t="shared" si="79"/>
        <v/>
      </c>
      <c r="CW498" s="356" t="str">
        <f t="shared" si="80"/>
        <v/>
      </c>
      <c r="CX498" s="356" t="str">
        <f t="shared" si="81"/>
        <v/>
      </c>
      <c r="CY498" s="356" t="str">
        <f t="shared" si="82"/>
        <v/>
      </c>
      <c r="CZ498" s="356" t="str">
        <f t="shared" si="83"/>
        <v/>
      </c>
      <c r="DA498" s="356" t="str">
        <f t="shared" si="84"/>
        <v/>
      </c>
      <c r="DB498" s="356" t="str">
        <f t="shared" si="85"/>
        <v/>
      </c>
      <c r="DC498" s="356" t="str">
        <f t="shared" si="86"/>
        <v/>
      </c>
      <c r="DD498" s="356" t="str">
        <f t="shared" si="87"/>
        <v/>
      </c>
      <c r="DE498" s="356" t="str">
        <f t="shared" si="88"/>
        <v/>
      </c>
      <c r="DF498" s="356" t="str">
        <f t="shared" si="89"/>
        <v/>
      </c>
      <c r="DG498" s="356" t="str">
        <f t="shared" si="90"/>
        <v/>
      </c>
      <c r="DH498" s="356" t="str">
        <f t="shared" si="91"/>
        <v/>
      </c>
      <c r="DI498" s="356" t="str">
        <f t="shared" si="92"/>
        <v/>
      </c>
      <c r="DJ498" s="356" t="str">
        <f t="shared" si="93"/>
        <v/>
      </c>
      <c r="DK498" s="356" t="str">
        <f t="shared" si="94"/>
        <v/>
      </c>
      <c r="DL498" s="356" t="str">
        <f t="shared" si="95"/>
        <v/>
      </c>
      <c r="DM498" s="356" t="str">
        <f t="shared" si="96"/>
        <v/>
      </c>
      <c r="DN498" s="356" t="str">
        <f t="shared" si="97"/>
        <v/>
      </c>
      <c r="DO498" s="356" t="str">
        <f t="shared" si="98"/>
        <v/>
      </c>
      <c r="DP498" s="356" t="str">
        <f t="shared" si="99"/>
        <v/>
      </c>
      <c r="DQ498" s="356" t="str">
        <f t="shared" si="100"/>
        <v/>
      </c>
      <c r="DR498" s="356" t="str">
        <f t="shared" si="101"/>
        <v/>
      </c>
      <c r="DS498" s="356" t="str">
        <f t="shared" si="102"/>
        <v/>
      </c>
      <c r="DT498" s="356" t="str">
        <f t="shared" si="103"/>
        <v/>
      </c>
      <c r="DU498" s="356" t="str">
        <f t="shared" si="104"/>
        <v/>
      </c>
      <c r="DV498" s="356" t="str">
        <f t="shared" si="105"/>
        <v/>
      </c>
      <c r="DW498" s="356" t="str">
        <f t="shared" si="106"/>
        <v/>
      </c>
      <c r="DX498" s="356" t="str">
        <f t="shared" si="107"/>
        <v/>
      </c>
      <c r="DY498" s="356" t="str">
        <f t="shared" si="108"/>
        <v/>
      </c>
      <c r="DZ498" s="356" t="str">
        <f t="shared" si="109"/>
        <v/>
      </c>
      <c r="EA498" s="356" t="str">
        <f t="shared" si="110"/>
        <v/>
      </c>
      <c r="EB498" s="356" t="str">
        <f t="shared" si="111"/>
        <v/>
      </c>
      <c r="EC498" s="356" t="str">
        <f t="shared" si="112"/>
        <v/>
      </c>
      <c r="ED498" s="356" t="str">
        <f t="shared" si="113"/>
        <v/>
      </c>
      <c r="EE498" s="356" t="str">
        <f t="shared" si="114"/>
        <v/>
      </c>
      <c r="EF498" s="356" t="str">
        <f t="shared" si="115"/>
        <v/>
      </c>
      <c r="EG498" s="356" t="str">
        <f t="shared" si="116"/>
        <v/>
      </c>
      <c r="EH498" s="356" t="str">
        <f t="shared" si="117"/>
        <v/>
      </c>
      <c r="EI498" s="356" t="str">
        <f t="shared" si="118"/>
        <v/>
      </c>
      <c r="EJ498" s="356" t="str">
        <f t="shared" si="119"/>
        <v/>
      </c>
      <c r="EK498" s="356" t="str">
        <f t="shared" si="120"/>
        <v/>
      </c>
      <c r="EL498" s="356" t="str">
        <f t="shared" si="121"/>
        <v/>
      </c>
      <c r="EM498" s="356" t="str">
        <f t="shared" si="122"/>
        <v/>
      </c>
      <c r="EN498" s="356" t="str">
        <f t="shared" si="123"/>
        <v/>
      </c>
      <c r="EO498" s="356" t="str">
        <f t="shared" si="124"/>
        <v/>
      </c>
      <c r="EP498" s="356" t="str">
        <f t="shared" si="125"/>
        <v/>
      </c>
      <c r="EQ498" s="356" t="str">
        <f t="shared" si="126"/>
        <v/>
      </c>
      <c r="ER498" s="356" t="str">
        <f t="shared" si="127"/>
        <v/>
      </c>
      <c r="ES498" s="356" t="str">
        <f t="shared" si="128"/>
        <v/>
      </c>
      <c r="ET498" s="356" t="str">
        <f t="shared" si="129"/>
        <v/>
      </c>
      <c r="EU498" s="356" t="str">
        <f t="shared" si="130"/>
        <v/>
      </c>
      <c r="EV498" s="356" t="str">
        <f t="shared" si="131"/>
        <v/>
      </c>
      <c r="EW498" s="356" t="str">
        <f t="shared" si="132"/>
        <v/>
      </c>
      <c r="EX498" s="356" t="str">
        <f t="shared" si="133"/>
        <v/>
      </c>
      <c r="EY498" s="356" t="str">
        <f t="shared" si="134"/>
        <v/>
      </c>
      <c r="EZ498" s="356" t="str">
        <f t="shared" si="135"/>
        <v/>
      </c>
      <c r="FA498" s="356" t="str">
        <f t="shared" si="136"/>
        <v/>
      </c>
      <c r="FB498" s="356" t="str">
        <f t="shared" si="137"/>
        <v/>
      </c>
      <c r="FC498" s="356" t="str">
        <f t="shared" si="138"/>
        <v/>
      </c>
      <c r="FD498" s="356" t="str">
        <f t="shared" si="139"/>
        <v/>
      </c>
      <c r="FE498" s="356" t="str">
        <f t="shared" si="140"/>
        <v/>
      </c>
      <c r="FF498" s="356" t="str">
        <f t="shared" si="141"/>
        <v/>
      </c>
      <c r="FG498" s="356" t="str">
        <f t="shared" si="142"/>
        <v/>
      </c>
      <c r="FH498" s="356" t="str">
        <f t="shared" si="143"/>
        <v/>
      </c>
      <c r="FI498" s="356" t="str">
        <f t="shared" si="144"/>
        <v/>
      </c>
      <c r="FJ498" s="356" t="str">
        <f t="shared" si="145"/>
        <v/>
      </c>
      <c r="FK498" s="356" t="str">
        <f t="shared" si="146"/>
        <v/>
      </c>
      <c r="FL498" s="356" t="str">
        <f t="shared" si="147"/>
        <v/>
      </c>
      <c r="FM498" s="356" t="str">
        <f t="shared" si="148"/>
        <v/>
      </c>
      <c r="FN498" s="356" t="str">
        <f t="shared" si="149"/>
        <v/>
      </c>
      <c r="FO498" s="356" t="str">
        <f t="shared" si="150"/>
        <v/>
      </c>
      <c r="FP498" s="356" t="str">
        <f t="shared" si="151"/>
        <v/>
      </c>
      <c r="FQ498" s="356" t="str">
        <f t="shared" si="152"/>
        <v/>
      </c>
      <c r="FR498" s="356" t="str">
        <f t="shared" si="153"/>
        <v/>
      </c>
      <c r="FS498" s="356" t="str">
        <f t="shared" si="154"/>
        <v/>
      </c>
      <c r="FT498" s="356" t="str">
        <f t="shared" si="155"/>
        <v/>
      </c>
      <c r="FU498" s="356" t="str">
        <f t="shared" si="156"/>
        <v/>
      </c>
      <c r="FV498" s="356" t="str">
        <f t="shared" si="157"/>
        <v/>
      </c>
      <c r="FW498" s="356" t="str">
        <f t="shared" si="158"/>
        <v/>
      </c>
      <c r="FX498" s="356" t="str">
        <f t="shared" si="159"/>
        <v/>
      </c>
      <c r="FY498" s="356" t="str">
        <f t="shared" si="160"/>
        <v/>
      </c>
      <c r="FZ498" s="356" t="str">
        <f t="shared" si="161"/>
        <v/>
      </c>
      <c r="GA498" s="356" t="str">
        <f t="shared" si="162"/>
        <v/>
      </c>
      <c r="GB498" s="356" t="str">
        <f t="shared" si="163"/>
        <v/>
      </c>
      <c r="GC498" s="356" t="str">
        <f t="shared" si="164"/>
        <v/>
      </c>
      <c r="GD498" s="356" t="str">
        <f t="shared" si="165"/>
        <v/>
      </c>
      <c r="GE498" s="356" t="str">
        <f t="shared" si="166"/>
        <v/>
      </c>
      <c r="GF498" s="356" t="str">
        <f t="shared" si="167"/>
        <v/>
      </c>
      <c r="GG498" s="356" t="str">
        <f t="shared" si="168"/>
        <v/>
      </c>
      <c r="GH498" s="356" t="str">
        <f t="shared" si="169"/>
        <v/>
      </c>
      <c r="GI498" s="356" t="str">
        <f t="shared" si="170"/>
        <v/>
      </c>
      <c r="GJ498" s="356" t="str">
        <f t="shared" si="171"/>
        <v/>
      </c>
      <c r="GK498" s="356" t="str">
        <f t="shared" si="172"/>
        <v/>
      </c>
      <c r="GL498" s="356" t="str">
        <f t="shared" si="173"/>
        <v/>
      </c>
      <c r="GM498" s="356" t="str">
        <f t="shared" si="174"/>
        <v/>
      </c>
      <c r="GN498" s="356" t="str">
        <f t="shared" si="175"/>
        <v/>
      </c>
      <c r="GO498" s="356" t="str">
        <f t="shared" si="176"/>
        <v/>
      </c>
      <c r="GP498" s="356" t="str">
        <f t="shared" si="177"/>
        <v/>
      </c>
      <c r="GQ498" s="356" t="str">
        <f t="shared" si="178"/>
        <v/>
      </c>
      <c r="GR498" s="356" t="str">
        <f t="shared" si="179"/>
        <v/>
      </c>
      <c r="GS498" s="356" t="str">
        <f t="shared" si="180"/>
        <v/>
      </c>
      <c r="GT498" s="356" t="str">
        <f t="shared" si="181"/>
        <v/>
      </c>
      <c r="GU498" s="356" t="str">
        <f t="shared" si="182"/>
        <v/>
      </c>
      <c r="GV498" s="356" t="str">
        <f t="shared" si="183"/>
        <v/>
      </c>
      <c r="GW498" s="356" t="str">
        <f t="shared" si="184"/>
        <v/>
      </c>
      <c r="GX498" s="356" t="str">
        <f t="shared" si="185"/>
        <v/>
      </c>
      <c r="GY498" s="356" t="str">
        <f t="shared" si="186"/>
        <v/>
      </c>
      <c r="GZ498" s="356" t="str">
        <f t="shared" si="187"/>
        <v/>
      </c>
      <c r="HA498" s="356" t="str">
        <f t="shared" si="188"/>
        <v/>
      </c>
      <c r="HB498" s="356" t="str">
        <f t="shared" si="189"/>
        <v/>
      </c>
      <c r="HC498" s="356" t="str">
        <f t="shared" si="190"/>
        <v/>
      </c>
      <c r="HD498" s="356" t="str">
        <f t="shared" si="191"/>
        <v/>
      </c>
      <c r="HE498" s="356" t="str">
        <f t="shared" si="192"/>
        <v/>
      </c>
      <c r="HF498" s="356" t="str">
        <f t="shared" si="193"/>
        <v/>
      </c>
      <c r="HG498" s="356" t="str">
        <f t="shared" si="194"/>
        <v/>
      </c>
      <c r="HH498" s="356" t="str">
        <f t="shared" si="195"/>
        <v/>
      </c>
      <c r="HI498" s="356" t="str">
        <f t="shared" si="196"/>
        <v/>
      </c>
      <c r="HJ498" s="356" t="str">
        <f t="shared" si="197"/>
        <v/>
      </c>
      <c r="HK498" s="356" t="str">
        <f t="shared" si="198"/>
        <v/>
      </c>
      <c r="HL498" s="356" t="str">
        <f t="shared" si="199"/>
        <v/>
      </c>
      <c r="HM498" s="356" t="str">
        <f t="shared" si="200"/>
        <v/>
      </c>
      <c r="HN498" s="356" t="str">
        <f t="shared" si="201"/>
        <v/>
      </c>
      <c r="HO498" s="356" t="str">
        <f t="shared" si="202"/>
        <v/>
      </c>
      <c r="HP498" s="356" t="str">
        <f t="shared" si="203"/>
        <v/>
      </c>
      <c r="HQ498" s="356" t="str">
        <f t="shared" si="204"/>
        <v/>
      </c>
      <c r="HR498" s="356" t="str">
        <f t="shared" si="205"/>
        <v/>
      </c>
      <c r="HS498" s="356" t="str">
        <f t="shared" si="206"/>
        <v/>
      </c>
      <c r="HT498" s="356" t="str">
        <f t="shared" si="207"/>
        <v/>
      </c>
      <c r="HU498" s="356" t="str">
        <f t="shared" si="208"/>
        <v/>
      </c>
      <c r="HV498" s="356" t="str">
        <f t="shared" si="209"/>
        <v/>
      </c>
      <c r="HW498" s="356" t="str">
        <f t="shared" si="210"/>
        <v/>
      </c>
      <c r="HX498" s="356" t="str">
        <f t="shared" si="211"/>
        <v/>
      </c>
      <c r="HY498" s="356" t="str">
        <f t="shared" si="212"/>
        <v/>
      </c>
      <c r="HZ498" s="356" t="str">
        <f t="shared" si="213"/>
        <v/>
      </c>
      <c r="IA498" s="356" t="str">
        <f t="shared" si="214"/>
        <v/>
      </c>
      <c r="IB498" s="356" t="str">
        <f t="shared" si="215"/>
        <v/>
      </c>
      <c r="IC498" s="356" t="str">
        <f t="shared" si="216"/>
        <v/>
      </c>
      <c r="ID498" s="356" t="str">
        <f t="shared" si="217"/>
        <v/>
      </c>
      <c r="IE498" s="356" t="str">
        <f t="shared" si="218"/>
        <v/>
      </c>
      <c r="IF498" s="356" t="str">
        <f t="shared" si="219"/>
        <v/>
      </c>
      <c r="IG498" s="356" t="str">
        <f t="shared" si="220"/>
        <v/>
      </c>
      <c r="IH498" s="356" t="str">
        <f t="shared" si="221"/>
        <v/>
      </c>
      <c r="II498" s="356" t="str">
        <f t="shared" si="222"/>
        <v/>
      </c>
      <c r="IJ498" s="356" t="str">
        <f t="shared" si="223"/>
        <v/>
      </c>
      <c r="IK498" s="356" t="str">
        <f t="shared" si="224"/>
        <v/>
      </c>
      <c r="IL498" s="356" t="str">
        <f t="shared" si="225"/>
        <v/>
      </c>
      <c r="IM498" s="356" t="str">
        <f t="shared" si="226"/>
        <v/>
      </c>
      <c r="IN498" s="356" t="str">
        <f t="shared" si="227"/>
        <v/>
      </c>
      <c r="IO498" s="356" t="str">
        <f t="shared" si="228"/>
        <v/>
      </c>
      <c r="IP498" s="356" t="str">
        <f t="shared" si="229"/>
        <v/>
      </c>
      <c r="IQ498" s="356" t="str">
        <f t="shared" si="230"/>
        <v/>
      </c>
      <c r="IR498" s="356" t="str">
        <f t="shared" si="231"/>
        <v/>
      </c>
      <c r="IS498" s="356" t="str">
        <f t="shared" si="232"/>
        <v/>
      </c>
      <c r="IT498" s="356" t="str">
        <f t="shared" si="233"/>
        <v/>
      </c>
      <c r="IU498" s="356" t="str">
        <f t="shared" si="234"/>
        <v/>
      </c>
      <c r="IV498" s="356" t="str">
        <f t="shared" si="235"/>
        <v/>
      </c>
      <c r="IW498" s="356" t="str">
        <f t="shared" si="236"/>
        <v/>
      </c>
      <c r="IX498" s="356" t="str">
        <f t="shared" si="237"/>
        <v/>
      </c>
      <c r="IY498" s="356" t="str">
        <f t="shared" si="238"/>
        <v/>
      </c>
      <c r="IZ498" s="356" t="str">
        <f t="shared" si="239"/>
        <v/>
      </c>
      <c r="JA498" s="356" t="str">
        <f t="shared" si="240"/>
        <v/>
      </c>
      <c r="JB498" s="356" t="str">
        <f t="shared" si="241"/>
        <v/>
      </c>
      <c r="JC498" s="356" t="str">
        <f t="shared" si="242"/>
        <v/>
      </c>
      <c r="JD498" s="356" t="str">
        <f t="shared" si="243"/>
        <v/>
      </c>
      <c r="JE498" s="356" t="str">
        <f t="shared" si="244"/>
        <v/>
      </c>
      <c r="JF498" s="356" t="str">
        <f t="shared" si="245"/>
        <v/>
      </c>
      <c r="JG498" s="356" t="str">
        <f t="shared" si="246"/>
        <v/>
      </c>
      <c r="JH498" s="356" t="str">
        <f t="shared" si="247"/>
        <v/>
      </c>
      <c r="JI498" s="1785" t="str">
        <f t="shared" si="248"/>
        <v/>
      </c>
      <c r="JJ498" s="1785" t="str">
        <f t="shared" si="249"/>
        <v/>
      </c>
      <c r="JK498" s="1785" t="str">
        <f t="shared" si="250"/>
        <v/>
      </c>
      <c r="JL498" s="1785" t="str">
        <f t="shared" si="251"/>
        <v/>
      </c>
      <c r="JM498" s="1785" t="str">
        <f t="shared" si="252"/>
        <v/>
      </c>
      <c r="JN498" s="1785" t="str">
        <f t="shared" si="253"/>
        <v/>
      </c>
      <c r="JO498" s="1785" t="str">
        <f t="shared" si="254"/>
        <v/>
      </c>
      <c r="JP498" s="1785" t="str">
        <f t="shared" si="255"/>
        <v/>
      </c>
      <c r="JQ498" s="1785" t="str">
        <f t="shared" si="256"/>
        <v/>
      </c>
      <c r="JR498" s="1785" t="str">
        <f t="shared" si="257"/>
        <v/>
      </c>
      <c r="JS498" s="1785" t="str">
        <f t="shared" si="258"/>
        <v/>
      </c>
      <c r="JT498" s="1785" t="str">
        <f t="shared" si="259"/>
        <v/>
      </c>
      <c r="JU498" s="1785" t="str">
        <f t="shared" si="260"/>
        <v/>
      </c>
      <c r="JV498" s="1785" t="str">
        <f t="shared" si="261"/>
        <v/>
      </c>
      <c r="JW498" s="1785" t="str">
        <f t="shared" si="262"/>
        <v/>
      </c>
      <c r="JX498" s="1785" t="str">
        <f t="shared" si="263"/>
        <v/>
      </c>
      <c r="JY498" s="1785" t="str">
        <f t="shared" si="264"/>
        <v/>
      </c>
      <c r="JZ498" s="1785" t="str">
        <f t="shared" si="265"/>
        <v/>
      </c>
      <c r="KA498" s="1785" t="str">
        <f t="shared" si="266"/>
        <v/>
      </c>
      <c r="KB498" s="1785" t="str">
        <f t="shared" si="267"/>
        <v/>
      </c>
      <c r="KC498" s="1785" t="str">
        <f t="shared" si="268"/>
        <v/>
      </c>
      <c r="KD498" s="1785" t="str">
        <f t="shared" si="269"/>
        <v/>
      </c>
      <c r="KE498" s="1785" t="str">
        <f t="shared" si="270"/>
        <v/>
      </c>
      <c r="KF498" s="1785" t="str">
        <f t="shared" si="271"/>
        <v/>
      </c>
      <c r="KG498" s="1785" t="str">
        <f t="shared" si="272"/>
        <v/>
      </c>
      <c r="KH498" s="1785" t="str">
        <f t="shared" si="273"/>
        <v/>
      </c>
      <c r="KI498" s="1785" t="str">
        <f t="shared" si="274"/>
        <v/>
      </c>
      <c r="KJ498" s="1785" t="str">
        <f t="shared" si="275"/>
        <v/>
      </c>
      <c r="KK498" s="1785" t="str">
        <f t="shared" si="276"/>
        <v/>
      </c>
      <c r="KL498" s="1785" t="str">
        <f t="shared" si="277"/>
        <v/>
      </c>
      <c r="KM498" s="1785" t="str">
        <f t="shared" si="278"/>
        <v/>
      </c>
      <c r="KN498" s="1785" t="str">
        <f t="shared" si="279"/>
        <v/>
      </c>
      <c r="KO498" s="1785" t="str">
        <f t="shared" si="280"/>
        <v/>
      </c>
      <c r="KP498" s="1785" t="str">
        <f t="shared" si="281"/>
        <v/>
      </c>
      <c r="KQ498" s="1785" t="str">
        <f t="shared" si="282"/>
        <v/>
      </c>
      <c r="KR498" s="1785" t="str">
        <f t="shared" si="283"/>
        <v/>
      </c>
      <c r="KS498" s="1785" t="str">
        <f t="shared" si="284"/>
        <v/>
      </c>
      <c r="KT498" s="1785" t="str">
        <f t="shared" si="285"/>
        <v/>
      </c>
      <c r="KU498" s="1785" t="str">
        <f t="shared" si="286"/>
        <v/>
      </c>
      <c r="KV498" s="1785" t="str">
        <f t="shared" si="287"/>
        <v/>
      </c>
      <c r="KW498" s="1785" t="str">
        <f t="shared" si="288"/>
        <v/>
      </c>
      <c r="KX498" s="1785" t="str">
        <f t="shared" si="289"/>
        <v/>
      </c>
      <c r="KY498" s="1785" t="str">
        <f t="shared" si="290"/>
        <v/>
      </c>
      <c r="KZ498" s="1785" t="str">
        <f t="shared" si="291"/>
        <v/>
      </c>
      <c r="LA498" s="1785" t="str">
        <f t="shared" si="292"/>
        <v/>
      </c>
      <c r="LB498" s="1785" t="str">
        <f t="shared" si="293"/>
        <v/>
      </c>
      <c r="LC498" s="1785" t="str">
        <f t="shared" si="294"/>
        <v/>
      </c>
      <c r="LD498" s="1785" t="str">
        <f t="shared" si="295"/>
        <v/>
      </c>
      <c r="LE498" s="1785" t="str">
        <f t="shared" si="296"/>
        <v/>
      </c>
      <c r="LF498" s="1785" t="str">
        <f t="shared" si="297"/>
        <v/>
      </c>
      <c r="LG498" s="1785" t="str">
        <f t="shared" si="298"/>
        <v/>
      </c>
      <c r="LH498" s="1785" t="str">
        <f t="shared" si="299"/>
        <v/>
      </c>
      <c r="LI498" s="1785" t="str">
        <f t="shared" si="300"/>
        <v/>
      </c>
      <c r="LJ498" s="1785" t="str">
        <f t="shared" si="301"/>
        <v/>
      </c>
      <c r="LK498" s="1785" t="str">
        <f t="shared" si="302"/>
        <v/>
      </c>
      <c r="LL498" s="1785" t="str">
        <f t="shared" si="303"/>
        <v/>
      </c>
      <c r="LM498" s="1785" t="str">
        <f t="shared" si="304"/>
        <v/>
      </c>
      <c r="LN498" s="1785" t="str">
        <f t="shared" si="305"/>
        <v/>
      </c>
      <c r="LO498" s="1785" t="str">
        <f t="shared" si="306"/>
        <v/>
      </c>
      <c r="LP498" s="1785" t="str">
        <f t="shared" si="307"/>
        <v/>
      </c>
      <c r="LQ498" s="1785" t="str">
        <f t="shared" si="308"/>
        <v/>
      </c>
      <c r="LR498" s="1785" t="str">
        <f t="shared" si="309"/>
        <v/>
      </c>
      <c r="LS498" s="1785" t="str">
        <f t="shared" si="310"/>
        <v/>
      </c>
      <c r="LT498" s="1785" t="str">
        <f t="shared" si="311"/>
        <v/>
      </c>
      <c r="LU498" s="1785" t="str">
        <f t="shared" si="312"/>
        <v/>
      </c>
      <c r="LV498" s="1785" t="str">
        <f t="shared" si="313"/>
        <v/>
      </c>
      <c r="LW498" s="1785" t="str">
        <f t="shared" si="314"/>
        <v/>
      </c>
      <c r="LX498" s="1785" t="str">
        <f t="shared" si="315"/>
        <v/>
      </c>
      <c r="LY498" s="1785" t="str">
        <f t="shared" si="316"/>
        <v/>
      </c>
      <c r="LZ498" s="1785" t="str">
        <f t="shared" si="317"/>
        <v/>
      </c>
      <c r="MA498" s="1785" t="str">
        <f t="shared" si="318"/>
        <v/>
      </c>
      <c r="MB498" s="1785" t="str">
        <f t="shared" si="319"/>
        <v/>
      </c>
      <c r="MC498" s="1785" t="str">
        <f t="shared" si="320"/>
        <v/>
      </c>
      <c r="MD498" s="1785" t="str">
        <f t="shared" si="321"/>
        <v/>
      </c>
      <c r="ME498" s="1785" t="str">
        <f t="shared" si="322"/>
        <v/>
      </c>
      <c r="MF498" s="1785" t="str">
        <f t="shared" si="323"/>
        <v/>
      </c>
      <c r="MG498" s="1785" t="str">
        <f t="shared" si="324"/>
        <v/>
      </c>
      <c r="MH498" s="1785" t="str">
        <f t="shared" si="325"/>
        <v/>
      </c>
      <c r="MI498" s="1785" t="str">
        <f t="shared" si="326"/>
        <v/>
      </c>
      <c r="MJ498" s="1785" t="str">
        <f t="shared" si="327"/>
        <v/>
      </c>
      <c r="MK498" s="1785" t="str">
        <f t="shared" si="328"/>
        <v/>
      </c>
      <c r="ML498" s="1785" t="str">
        <f t="shared" si="329"/>
        <v/>
      </c>
      <c r="MM498" s="1785" t="str">
        <f t="shared" si="330"/>
        <v/>
      </c>
      <c r="MN498" s="1785" t="str">
        <f t="shared" si="331"/>
        <v/>
      </c>
      <c r="MO498" s="1785" t="str">
        <f t="shared" si="332"/>
        <v/>
      </c>
      <c r="MP498" s="2470" t="str">
        <f t="shared" si="333"/>
        <v/>
      </c>
      <c r="MQ498" s="2470" t="str">
        <f t="shared" si="334"/>
        <v/>
      </c>
      <c r="MR498" s="2470" t="str">
        <f t="shared" si="335"/>
        <v/>
      </c>
      <c r="MS498" s="2470" t="str">
        <f t="shared" si="336"/>
        <v/>
      </c>
      <c r="MT498" s="2470" t="str">
        <f t="shared" si="337"/>
        <v/>
      </c>
      <c r="MU498" s="356" t="str">
        <f t="shared" si="338"/>
        <v/>
      </c>
      <c r="MV498" s="356" t="str">
        <f t="shared" si="339"/>
        <v/>
      </c>
      <c r="MW498" s="356" t="str">
        <f t="shared" si="340"/>
        <v/>
      </c>
      <c r="MX498" s="356" t="str">
        <f t="shared" si="341"/>
        <v/>
      </c>
      <c r="MY498" s="356" t="str">
        <f t="shared" si="342"/>
        <v/>
      </c>
      <c r="MZ498" s="356" t="str">
        <f t="shared" si="343"/>
        <v/>
      </c>
      <c r="NA498" s="356" t="str">
        <f t="shared" si="344"/>
        <v/>
      </c>
      <c r="NB498" s="356" t="str">
        <f t="shared" si="345"/>
        <v/>
      </c>
      <c r="NC498" s="356" t="str">
        <f t="shared" si="346"/>
        <v/>
      </c>
      <c r="ND498" s="356" t="str">
        <f t="shared" si="347"/>
        <v/>
      </c>
      <c r="NE498" s="356" t="str">
        <f t="shared" si="348"/>
        <v/>
      </c>
      <c r="NF498" s="356" t="str">
        <f t="shared" si="349"/>
        <v/>
      </c>
      <c r="NG498" s="356" t="str">
        <f t="shared" si="350"/>
        <v/>
      </c>
      <c r="NH498" s="356" t="str">
        <f t="shared" si="351"/>
        <v/>
      </c>
      <c r="NI498" s="356" t="str">
        <f t="shared" si="352"/>
        <v/>
      </c>
      <c r="NJ498" s="356" t="str">
        <f t="shared" si="353"/>
        <v/>
      </c>
      <c r="NK498" s="356" t="str">
        <f t="shared" si="354"/>
        <v/>
      </c>
      <c r="NL498" s="356" t="str">
        <f t="shared" si="355"/>
        <v/>
      </c>
      <c r="NM498" s="356" t="str">
        <f t="shared" si="356"/>
        <v/>
      </c>
      <c r="NN498" s="356" t="str">
        <f t="shared" si="357"/>
        <v/>
      </c>
      <c r="NO498" s="1640">
        <f t="shared" si="358"/>
        <v>0</v>
      </c>
      <c r="NP498" s="1640">
        <f t="shared" si="359"/>
        <v>0</v>
      </c>
      <c r="NQ498" s="1640">
        <f t="shared" si="360"/>
        <v>0</v>
      </c>
      <c r="NR498" s="1640">
        <f t="shared" si="361"/>
        <v>0</v>
      </c>
      <c r="NS498" s="1640">
        <f t="shared" si="362"/>
        <v>0</v>
      </c>
      <c r="NT498" s="1640">
        <f t="shared" si="368"/>
        <v>0</v>
      </c>
      <c r="NU498" s="1640">
        <f t="shared" si="369"/>
        <v>0</v>
      </c>
      <c r="NV498" s="1640">
        <f t="shared" si="370"/>
        <v>0</v>
      </c>
      <c r="NW498" s="1640">
        <f t="shared" si="371"/>
        <v>0</v>
      </c>
      <c r="NX498" s="1640">
        <f t="shared" si="372"/>
        <v>0</v>
      </c>
      <c r="NY498" s="1640">
        <f t="shared" si="363"/>
        <v>0</v>
      </c>
      <c r="NZ498" s="1640">
        <f t="shared" si="364"/>
        <v>0</v>
      </c>
      <c r="OA498" s="1640">
        <f t="shared" si="365"/>
        <v>0</v>
      </c>
      <c r="OB498" s="1640">
        <f t="shared" si="366"/>
        <v>0</v>
      </c>
      <c r="OC498" s="1640">
        <f t="shared" si="367"/>
        <v>0</v>
      </c>
      <c r="OY498" s="356" t="s">
        <v>4331</v>
      </c>
      <c r="OZ498" s="1784">
        <v>45</v>
      </c>
    </row>
    <row r="499" spans="1:416" ht="12" customHeight="1">
      <c r="A499" s="2706" t="str">
        <f t="shared" si="0"/>
        <v/>
      </c>
      <c r="B499" s="2725">
        <f>'Part V-Revenues &amp; Expenses'!B46</f>
        <v>0</v>
      </c>
      <c r="C499" s="2726">
        <f>'Part V-Revenues &amp; Expenses'!C46</f>
        <v>0</v>
      </c>
      <c r="D499" s="2727">
        <f>'Part V-Revenues &amp; Expenses'!D46</f>
        <v>0</v>
      </c>
      <c r="E499" s="2728">
        <f>'Part V-Revenues &amp; Expenses'!E46</f>
        <v>0</v>
      </c>
      <c r="F499" s="2728">
        <f>'Part V-Revenues &amp; Expenses'!F46</f>
        <v>0</v>
      </c>
      <c r="G499" s="2728">
        <f>'Part V-Revenues &amp; Expenses'!G46</f>
        <v>0</v>
      </c>
      <c r="H499" s="2728">
        <f>'Part V-Revenues &amp; Expenses'!H46</f>
        <v>0</v>
      </c>
      <c r="I499" s="2728">
        <f>'Part V-Revenues &amp; Expenses'!I46</f>
        <v>0</v>
      </c>
      <c r="J499" s="2728">
        <f>'Part V-Revenues &amp; Expenses'!J46</f>
        <v>0</v>
      </c>
      <c r="K499" s="2729">
        <f>'Part V-Revenues &amp; Expenses'!K46</f>
        <v>0</v>
      </c>
      <c r="L499" s="2730">
        <f t="shared" si="1"/>
        <v>0</v>
      </c>
      <c r="M499" s="2730">
        <f t="shared" si="2"/>
        <v>0</v>
      </c>
      <c r="N499" s="2580">
        <f>'Part V-Revenues &amp; Expenses'!N46</f>
        <v>0</v>
      </c>
      <c r="O499" s="1248">
        <f>'Part V-Revenues &amp; Expenses'!O46</f>
        <v>0</v>
      </c>
      <c r="P499" s="2580">
        <f>'Part V-Revenues &amp; Expenses'!P46</f>
        <v>0</v>
      </c>
      <c r="Q499" s="2469">
        <f>'Part V-Revenues &amp; Expenses'!Q46</f>
        <v>0</v>
      </c>
      <c r="R499" s="2731"/>
      <c r="S499" s="2732"/>
      <c r="T499" s="2647"/>
      <c r="U499" s="2647"/>
      <c r="V499" s="2647"/>
      <c r="W499" s="2647"/>
      <c r="X499" s="356" t="str">
        <f t="shared" si="3"/>
        <v/>
      </c>
      <c r="Y499" s="356" t="str">
        <f t="shared" si="4"/>
        <v/>
      </c>
      <c r="Z499" s="356" t="str">
        <f t="shared" si="5"/>
        <v/>
      </c>
      <c r="AA499" s="356" t="str">
        <f t="shared" si="6"/>
        <v/>
      </c>
      <c r="AB499" s="356" t="str">
        <f t="shared" si="7"/>
        <v/>
      </c>
      <c r="AC499" s="356" t="str">
        <f t="shared" si="8"/>
        <v/>
      </c>
      <c r="AD499" s="356" t="str">
        <f t="shared" si="9"/>
        <v/>
      </c>
      <c r="AE499" s="356" t="str">
        <f t="shared" si="10"/>
        <v/>
      </c>
      <c r="AF499" s="356" t="str">
        <f t="shared" si="11"/>
        <v/>
      </c>
      <c r="AG499" s="356" t="str">
        <f t="shared" si="12"/>
        <v/>
      </c>
      <c r="AH499" s="356" t="str">
        <f t="shared" si="13"/>
        <v/>
      </c>
      <c r="AI499" s="356" t="str">
        <f t="shared" si="14"/>
        <v/>
      </c>
      <c r="AJ499" s="356" t="str">
        <f t="shared" si="15"/>
        <v/>
      </c>
      <c r="AK499" s="356" t="str">
        <f t="shared" si="16"/>
        <v/>
      </c>
      <c r="AL499" s="356" t="str">
        <f t="shared" si="17"/>
        <v/>
      </c>
      <c r="AM499" s="356" t="str">
        <f t="shared" si="18"/>
        <v/>
      </c>
      <c r="AN499" s="356" t="str">
        <f t="shared" si="19"/>
        <v/>
      </c>
      <c r="AO499" s="356" t="str">
        <f t="shared" si="20"/>
        <v/>
      </c>
      <c r="AP499" s="356" t="str">
        <f t="shared" si="21"/>
        <v/>
      </c>
      <c r="AQ499" s="356" t="str">
        <f t="shared" si="22"/>
        <v/>
      </c>
      <c r="AR499" s="356" t="str">
        <f t="shared" si="23"/>
        <v/>
      </c>
      <c r="AS499" s="356" t="str">
        <f t="shared" si="24"/>
        <v/>
      </c>
      <c r="AT499" s="356" t="str">
        <f t="shared" si="25"/>
        <v/>
      </c>
      <c r="AU499" s="356" t="str">
        <f t="shared" si="26"/>
        <v/>
      </c>
      <c r="AV499" s="356" t="str">
        <f t="shared" si="27"/>
        <v/>
      </c>
      <c r="AW499" s="356" t="str">
        <f t="shared" si="28"/>
        <v/>
      </c>
      <c r="AX499" s="356" t="str">
        <f t="shared" si="29"/>
        <v/>
      </c>
      <c r="AY499" s="356" t="str">
        <f t="shared" si="30"/>
        <v/>
      </c>
      <c r="AZ499" s="356" t="str">
        <f t="shared" si="31"/>
        <v/>
      </c>
      <c r="BA499" s="356" t="str">
        <f t="shared" si="32"/>
        <v/>
      </c>
      <c r="BB499" s="356" t="str">
        <f t="shared" si="33"/>
        <v/>
      </c>
      <c r="BC499" s="356" t="str">
        <f t="shared" si="34"/>
        <v/>
      </c>
      <c r="BD499" s="356" t="str">
        <f t="shared" si="35"/>
        <v/>
      </c>
      <c r="BE499" s="356" t="str">
        <f t="shared" si="36"/>
        <v/>
      </c>
      <c r="BF499" s="356" t="str">
        <f t="shared" si="37"/>
        <v/>
      </c>
      <c r="BG499" s="356" t="str">
        <f t="shared" si="38"/>
        <v/>
      </c>
      <c r="BH499" s="356" t="str">
        <f t="shared" si="39"/>
        <v/>
      </c>
      <c r="BI499" s="356" t="str">
        <f t="shared" si="40"/>
        <v/>
      </c>
      <c r="BJ499" s="356" t="str">
        <f t="shared" si="41"/>
        <v/>
      </c>
      <c r="BK499" s="356" t="str">
        <f t="shared" si="42"/>
        <v/>
      </c>
      <c r="BL499" s="356" t="str">
        <f t="shared" si="43"/>
        <v/>
      </c>
      <c r="BM499" s="356" t="str">
        <f t="shared" si="44"/>
        <v/>
      </c>
      <c r="BN499" s="356" t="str">
        <f t="shared" si="45"/>
        <v/>
      </c>
      <c r="BO499" s="356" t="str">
        <f t="shared" si="46"/>
        <v/>
      </c>
      <c r="BP499" s="356" t="str">
        <f t="shared" si="47"/>
        <v/>
      </c>
      <c r="BQ499" s="356" t="str">
        <f t="shared" si="48"/>
        <v/>
      </c>
      <c r="BR499" s="356" t="str">
        <f t="shared" si="49"/>
        <v/>
      </c>
      <c r="BS499" s="356" t="str">
        <f t="shared" si="50"/>
        <v/>
      </c>
      <c r="BT499" s="356" t="str">
        <f t="shared" si="51"/>
        <v/>
      </c>
      <c r="BU499" s="356" t="str">
        <f t="shared" si="52"/>
        <v/>
      </c>
      <c r="BV499" s="356" t="str">
        <f t="shared" si="53"/>
        <v/>
      </c>
      <c r="BW499" s="356" t="str">
        <f t="shared" si="54"/>
        <v/>
      </c>
      <c r="BX499" s="356" t="str">
        <f t="shared" si="55"/>
        <v/>
      </c>
      <c r="BY499" s="356" t="str">
        <f t="shared" si="56"/>
        <v/>
      </c>
      <c r="BZ499" s="356" t="str">
        <f t="shared" si="57"/>
        <v/>
      </c>
      <c r="CA499" s="356" t="str">
        <f t="shared" si="58"/>
        <v/>
      </c>
      <c r="CB499" s="356" t="str">
        <f t="shared" si="59"/>
        <v/>
      </c>
      <c r="CC499" s="356" t="str">
        <f t="shared" si="60"/>
        <v/>
      </c>
      <c r="CD499" s="356" t="str">
        <f t="shared" si="61"/>
        <v/>
      </c>
      <c r="CE499" s="356" t="str">
        <f t="shared" si="62"/>
        <v/>
      </c>
      <c r="CF499" s="356" t="str">
        <f t="shared" si="63"/>
        <v/>
      </c>
      <c r="CG499" s="356" t="str">
        <f t="shared" si="64"/>
        <v/>
      </c>
      <c r="CH499" s="356" t="str">
        <f t="shared" si="65"/>
        <v/>
      </c>
      <c r="CI499" s="356" t="str">
        <f t="shared" si="66"/>
        <v/>
      </c>
      <c r="CJ499" s="356" t="str">
        <f t="shared" si="67"/>
        <v/>
      </c>
      <c r="CK499" s="356" t="str">
        <f t="shared" si="68"/>
        <v/>
      </c>
      <c r="CL499" s="356" t="str">
        <f t="shared" si="69"/>
        <v/>
      </c>
      <c r="CM499" s="356" t="str">
        <f t="shared" si="70"/>
        <v/>
      </c>
      <c r="CN499" s="356" t="str">
        <f t="shared" si="71"/>
        <v/>
      </c>
      <c r="CO499" s="356" t="str">
        <f t="shared" si="72"/>
        <v/>
      </c>
      <c r="CP499" s="356" t="str">
        <f t="shared" si="73"/>
        <v/>
      </c>
      <c r="CQ499" s="356" t="str">
        <f t="shared" si="74"/>
        <v/>
      </c>
      <c r="CR499" s="356" t="str">
        <f t="shared" si="75"/>
        <v/>
      </c>
      <c r="CS499" s="356" t="str">
        <f t="shared" si="76"/>
        <v/>
      </c>
      <c r="CT499" s="356" t="str">
        <f t="shared" si="77"/>
        <v/>
      </c>
      <c r="CU499" s="356" t="str">
        <f t="shared" si="78"/>
        <v/>
      </c>
      <c r="CV499" s="356" t="str">
        <f t="shared" si="79"/>
        <v/>
      </c>
      <c r="CW499" s="356" t="str">
        <f t="shared" si="80"/>
        <v/>
      </c>
      <c r="CX499" s="356" t="str">
        <f t="shared" si="81"/>
        <v/>
      </c>
      <c r="CY499" s="356" t="str">
        <f t="shared" si="82"/>
        <v/>
      </c>
      <c r="CZ499" s="356" t="str">
        <f t="shared" si="83"/>
        <v/>
      </c>
      <c r="DA499" s="356" t="str">
        <f t="shared" si="84"/>
        <v/>
      </c>
      <c r="DB499" s="356" t="str">
        <f t="shared" si="85"/>
        <v/>
      </c>
      <c r="DC499" s="356" t="str">
        <f t="shared" si="86"/>
        <v/>
      </c>
      <c r="DD499" s="356" t="str">
        <f t="shared" si="87"/>
        <v/>
      </c>
      <c r="DE499" s="356" t="str">
        <f t="shared" si="88"/>
        <v/>
      </c>
      <c r="DF499" s="356" t="str">
        <f t="shared" si="89"/>
        <v/>
      </c>
      <c r="DG499" s="356" t="str">
        <f t="shared" si="90"/>
        <v/>
      </c>
      <c r="DH499" s="356" t="str">
        <f t="shared" si="91"/>
        <v/>
      </c>
      <c r="DI499" s="356" t="str">
        <f t="shared" si="92"/>
        <v/>
      </c>
      <c r="DJ499" s="356" t="str">
        <f t="shared" si="93"/>
        <v/>
      </c>
      <c r="DK499" s="356" t="str">
        <f t="shared" si="94"/>
        <v/>
      </c>
      <c r="DL499" s="356" t="str">
        <f t="shared" si="95"/>
        <v/>
      </c>
      <c r="DM499" s="356" t="str">
        <f t="shared" si="96"/>
        <v/>
      </c>
      <c r="DN499" s="356" t="str">
        <f t="shared" si="97"/>
        <v/>
      </c>
      <c r="DO499" s="356" t="str">
        <f t="shared" si="98"/>
        <v/>
      </c>
      <c r="DP499" s="356" t="str">
        <f t="shared" si="99"/>
        <v/>
      </c>
      <c r="DQ499" s="356" t="str">
        <f t="shared" si="100"/>
        <v/>
      </c>
      <c r="DR499" s="356" t="str">
        <f t="shared" si="101"/>
        <v/>
      </c>
      <c r="DS499" s="356" t="str">
        <f t="shared" si="102"/>
        <v/>
      </c>
      <c r="DT499" s="356" t="str">
        <f t="shared" si="103"/>
        <v/>
      </c>
      <c r="DU499" s="356" t="str">
        <f t="shared" si="104"/>
        <v/>
      </c>
      <c r="DV499" s="356" t="str">
        <f t="shared" si="105"/>
        <v/>
      </c>
      <c r="DW499" s="356" t="str">
        <f t="shared" si="106"/>
        <v/>
      </c>
      <c r="DX499" s="356" t="str">
        <f t="shared" si="107"/>
        <v/>
      </c>
      <c r="DY499" s="356" t="str">
        <f t="shared" si="108"/>
        <v/>
      </c>
      <c r="DZ499" s="356" t="str">
        <f t="shared" si="109"/>
        <v/>
      </c>
      <c r="EA499" s="356" t="str">
        <f t="shared" si="110"/>
        <v/>
      </c>
      <c r="EB499" s="356" t="str">
        <f t="shared" si="111"/>
        <v/>
      </c>
      <c r="EC499" s="356" t="str">
        <f t="shared" si="112"/>
        <v/>
      </c>
      <c r="ED499" s="356" t="str">
        <f t="shared" si="113"/>
        <v/>
      </c>
      <c r="EE499" s="356" t="str">
        <f t="shared" si="114"/>
        <v/>
      </c>
      <c r="EF499" s="356" t="str">
        <f t="shared" si="115"/>
        <v/>
      </c>
      <c r="EG499" s="356" t="str">
        <f t="shared" si="116"/>
        <v/>
      </c>
      <c r="EH499" s="356" t="str">
        <f t="shared" si="117"/>
        <v/>
      </c>
      <c r="EI499" s="356" t="str">
        <f t="shared" si="118"/>
        <v/>
      </c>
      <c r="EJ499" s="356" t="str">
        <f t="shared" si="119"/>
        <v/>
      </c>
      <c r="EK499" s="356" t="str">
        <f t="shared" si="120"/>
        <v/>
      </c>
      <c r="EL499" s="356" t="str">
        <f t="shared" si="121"/>
        <v/>
      </c>
      <c r="EM499" s="356" t="str">
        <f t="shared" si="122"/>
        <v/>
      </c>
      <c r="EN499" s="356" t="str">
        <f t="shared" si="123"/>
        <v/>
      </c>
      <c r="EO499" s="356" t="str">
        <f t="shared" si="124"/>
        <v/>
      </c>
      <c r="EP499" s="356" t="str">
        <f t="shared" si="125"/>
        <v/>
      </c>
      <c r="EQ499" s="356" t="str">
        <f t="shared" si="126"/>
        <v/>
      </c>
      <c r="ER499" s="356" t="str">
        <f t="shared" si="127"/>
        <v/>
      </c>
      <c r="ES499" s="356" t="str">
        <f t="shared" si="128"/>
        <v/>
      </c>
      <c r="ET499" s="356" t="str">
        <f t="shared" si="129"/>
        <v/>
      </c>
      <c r="EU499" s="356" t="str">
        <f t="shared" si="130"/>
        <v/>
      </c>
      <c r="EV499" s="356" t="str">
        <f t="shared" si="131"/>
        <v/>
      </c>
      <c r="EW499" s="356" t="str">
        <f t="shared" si="132"/>
        <v/>
      </c>
      <c r="EX499" s="356" t="str">
        <f t="shared" si="133"/>
        <v/>
      </c>
      <c r="EY499" s="356" t="str">
        <f t="shared" si="134"/>
        <v/>
      </c>
      <c r="EZ499" s="356" t="str">
        <f t="shared" si="135"/>
        <v/>
      </c>
      <c r="FA499" s="356" t="str">
        <f t="shared" si="136"/>
        <v/>
      </c>
      <c r="FB499" s="356" t="str">
        <f t="shared" si="137"/>
        <v/>
      </c>
      <c r="FC499" s="356" t="str">
        <f t="shared" si="138"/>
        <v/>
      </c>
      <c r="FD499" s="356" t="str">
        <f t="shared" si="139"/>
        <v/>
      </c>
      <c r="FE499" s="356" t="str">
        <f t="shared" si="140"/>
        <v/>
      </c>
      <c r="FF499" s="356" t="str">
        <f t="shared" si="141"/>
        <v/>
      </c>
      <c r="FG499" s="356" t="str">
        <f t="shared" si="142"/>
        <v/>
      </c>
      <c r="FH499" s="356" t="str">
        <f t="shared" si="143"/>
        <v/>
      </c>
      <c r="FI499" s="356" t="str">
        <f t="shared" si="144"/>
        <v/>
      </c>
      <c r="FJ499" s="356" t="str">
        <f t="shared" si="145"/>
        <v/>
      </c>
      <c r="FK499" s="356" t="str">
        <f t="shared" si="146"/>
        <v/>
      </c>
      <c r="FL499" s="356" t="str">
        <f t="shared" si="147"/>
        <v/>
      </c>
      <c r="FM499" s="356" t="str">
        <f t="shared" si="148"/>
        <v/>
      </c>
      <c r="FN499" s="356" t="str">
        <f t="shared" si="149"/>
        <v/>
      </c>
      <c r="FO499" s="356" t="str">
        <f t="shared" si="150"/>
        <v/>
      </c>
      <c r="FP499" s="356" t="str">
        <f t="shared" si="151"/>
        <v/>
      </c>
      <c r="FQ499" s="356" t="str">
        <f t="shared" si="152"/>
        <v/>
      </c>
      <c r="FR499" s="356" t="str">
        <f t="shared" si="153"/>
        <v/>
      </c>
      <c r="FS499" s="356" t="str">
        <f t="shared" si="154"/>
        <v/>
      </c>
      <c r="FT499" s="356" t="str">
        <f t="shared" si="155"/>
        <v/>
      </c>
      <c r="FU499" s="356" t="str">
        <f t="shared" si="156"/>
        <v/>
      </c>
      <c r="FV499" s="356" t="str">
        <f t="shared" si="157"/>
        <v/>
      </c>
      <c r="FW499" s="356" t="str">
        <f t="shared" si="158"/>
        <v/>
      </c>
      <c r="FX499" s="356" t="str">
        <f t="shared" si="159"/>
        <v/>
      </c>
      <c r="FY499" s="356" t="str">
        <f t="shared" si="160"/>
        <v/>
      </c>
      <c r="FZ499" s="356" t="str">
        <f t="shared" si="161"/>
        <v/>
      </c>
      <c r="GA499" s="356" t="str">
        <f t="shared" si="162"/>
        <v/>
      </c>
      <c r="GB499" s="356" t="str">
        <f t="shared" si="163"/>
        <v/>
      </c>
      <c r="GC499" s="356" t="str">
        <f t="shared" si="164"/>
        <v/>
      </c>
      <c r="GD499" s="356" t="str">
        <f t="shared" si="165"/>
        <v/>
      </c>
      <c r="GE499" s="356" t="str">
        <f t="shared" si="166"/>
        <v/>
      </c>
      <c r="GF499" s="356" t="str">
        <f t="shared" si="167"/>
        <v/>
      </c>
      <c r="GG499" s="356" t="str">
        <f t="shared" si="168"/>
        <v/>
      </c>
      <c r="GH499" s="356" t="str">
        <f t="shared" si="169"/>
        <v/>
      </c>
      <c r="GI499" s="356" t="str">
        <f t="shared" si="170"/>
        <v/>
      </c>
      <c r="GJ499" s="356" t="str">
        <f t="shared" si="171"/>
        <v/>
      </c>
      <c r="GK499" s="356" t="str">
        <f t="shared" si="172"/>
        <v/>
      </c>
      <c r="GL499" s="356" t="str">
        <f t="shared" si="173"/>
        <v/>
      </c>
      <c r="GM499" s="356" t="str">
        <f t="shared" si="174"/>
        <v/>
      </c>
      <c r="GN499" s="356" t="str">
        <f t="shared" si="175"/>
        <v/>
      </c>
      <c r="GO499" s="356" t="str">
        <f t="shared" si="176"/>
        <v/>
      </c>
      <c r="GP499" s="356" t="str">
        <f t="shared" si="177"/>
        <v/>
      </c>
      <c r="GQ499" s="356" t="str">
        <f t="shared" si="178"/>
        <v/>
      </c>
      <c r="GR499" s="356" t="str">
        <f t="shared" si="179"/>
        <v/>
      </c>
      <c r="GS499" s="356" t="str">
        <f t="shared" si="180"/>
        <v/>
      </c>
      <c r="GT499" s="356" t="str">
        <f t="shared" si="181"/>
        <v/>
      </c>
      <c r="GU499" s="356" t="str">
        <f t="shared" si="182"/>
        <v/>
      </c>
      <c r="GV499" s="356" t="str">
        <f t="shared" si="183"/>
        <v/>
      </c>
      <c r="GW499" s="356" t="str">
        <f t="shared" si="184"/>
        <v/>
      </c>
      <c r="GX499" s="356" t="str">
        <f t="shared" si="185"/>
        <v/>
      </c>
      <c r="GY499" s="356" t="str">
        <f t="shared" si="186"/>
        <v/>
      </c>
      <c r="GZ499" s="356" t="str">
        <f t="shared" si="187"/>
        <v/>
      </c>
      <c r="HA499" s="356" t="str">
        <f t="shared" si="188"/>
        <v/>
      </c>
      <c r="HB499" s="356" t="str">
        <f t="shared" si="189"/>
        <v/>
      </c>
      <c r="HC499" s="356" t="str">
        <f t="shared" si="190"/>
        <v/>
      </c>
      <c r="HD499" s="356" t="str">
        <f t="shared" si="191"/>
        <v/>
      </c>
      <c r="HE499" s="356" t="str">
        <f t="shared" si="192"/>
        <v/>
      </c>
      <c r="HF499" s="356" t="str">
        <f t="shared" si="193"/>
        <v/>
      </c>
      <c r="HG499" s="356" t="str">
        <f t="shared" si="194"/>
        <v/>
      </c>
      <c r="HH499" s="356" t="str">
        <f t="shared" si="195"/>
        <v/>
      </c>
      <c r="HI499" s="356" t="str">
        <f t="shared" si="196"/>
        <v/>
      </c>
      <c r="HJ499" s="356" t="str">
        <f t="shared" si="197"/>
        <v/>
      </c>
      <c r="HK499" s="356" t="str">
        <f t="shared" si="198"/>
        <v/>
      </c>
      <c r="HL499" s="356" t="str">
        <f t="shared" si="199"/>
        <v/>
      </c>
      <c r="HM499" s="356" t="str">
        <f t="shared" si="200"/>
        <v/>
      </c>
      <c r="HN499" s="356" t="str">
        <f t="shared" si="201"/>
        <v/>
      </c>
      <c r="HO499" s="356" t="str">
        <f t="shared" si="202"/>
        <v/>
      </c>
      <c r="HP499" s="356" t="str">
        <f t="shared" si="203"/>
        <v/>
      </c>
      <c r="HQ499" s="356" t="str">
        <f t="shared" si="204"/>
        <v/>
      </c>
      <c r="HR499" s="356" t="str">
        <f t="shared" si="205"/>
        <v/>
      </c>
      <c r="HS499" s="356" t="str">
        <f t="shared" si="206"/>
        <v/>
      </c>
      <c r="HT499" s="356" t="str">
        <f t="shared" si="207"/>
        <v/>
      </c>
      <c r="HU499" s="356" t="str">
        <f t="shared" si="208"/>
        <v/>
      </c>
      <c r="HV499" s="356" t="str">
        <f t="shared" si="209"/>
        <v/>
      </c>
      <c r="HW499" s="356" t="str">
        <f t="shared" si="210"/>
        <v/>
      </c>
      <c r="HX499" s="356" t="str">
        <f t="shared" si="211"/>
        <v/>
      </c>
      <c r="HY499" s="356" t="str">
        <f t="shared" si="212"/>
        <v/>
      </c>
      <c r="HZ499" s="356" t="str">
        <f t="shared" si="213"/>
        <v/>
      </c>
      <c r="IA499" s="356" t="str">
        <f t="shared" si="214"/>
        <v/>
      </c>
      <c r="IB499" s="356" t="str">
        <f t="shared" si="215"/>
        <v/>
      </c>
      <c r="IC499" s="356" t="str">
        <f t="shared" si="216"/>
        <v/>
      </c>
      <c r="ID499" s="356" t="str">
        <f t="shared" si="217"/>
        <v/>
      </c>
      <c r="IE499" s="356" t="str">
        <f t="shared" si="218"/>
        <v/>
      </c>
      <c r="IF499" s="356" t="str">
        <f t="shared" si="219"/>
        <v/>
      </c>
      <c r="IG499" s="356" t="str">
        <f t="shared" si="220"/>
        <v/>
      </c>
      <c r="IH499" s="356" t="str">
        <f t="shared" si="221"/>
        <v/>
      </c>
      <c r="II499" s="356" t="str">
        <f t="shared" si="222"/>
        <v/>
      </c>
      <c r="IJ499" s="356" t="str">
        <f t="shared" si="223"/>
        <v/>
      </c>
      <c r="IK499" s="356" t="str">
        <f t="shared" si="224"/>
        <v/>
      </c>
      <c r="IL499" s="356" t="str">
        <f t="shared" si="225"/>
        <v/>
      </c>
      <c r="IM499" s="356" t="str">
        <f t="shared" si="226"/>
        <v/>
      </c>
      <c r="IN499" s="356" t="str">
        <f t="shared" si="227"/>
        <v/>
      </c>
      <c r="IO499" s="356" t="str">
        <f t="shared" si="228"/>
        <v/>
      </c>
      <c r="IP499" s="356" t="str">
        <f t="shared" si="229"/>
        <v/>
      </c>
      <c r="IQ499" s="356" t="str">
        <f t="shared" si="230"/>
        <v/>
      </c>
      <c r="IR499" s="356" t="str">
        <f t="shared" si="231"/>
        <v/>
      </c>
      <c r="IS499" s="356" t="str">
        <f t="shared" si="232"/>
        <v/>
      </c>
      <c r="IT499" s="356" t="str">
        <f t="shared" si="233"/>
        <v/>
      </c>
      <c r="IU499" s="356" t="str">
        <f t="shared" si="234"/>
        <v/>
      </c>
      <c r="IV499" s="356" t="str">
        <f t="shared" si="235"/>
        <v/>
      </c>
      <c r="IW499" s="356" t="str">
        <f t="shared" si="236"/>
        <v/>
      </c>
      <c r="IX499" s="356" t="str">
        <f t="shared" si="237"/>
        <v/>
      </c>
      <c r="IY499" s="356" t="str">
        <f t="shared" si="238"/>
        <v/>
      </c>
      <c r="IZ499" s="356" t="str">
        <f t="shared" si="239"/>
        <v/>
      </c>
      <c r="JA499" s="356" t="str">
        <f t="shared" si="240"/>
        <v/>
      </c>
      <c r="JB499" s="356" t="str">
        <f t="shared" si="241"/>
        <v/>
      </c>
      <c r="JC499" s="356" t="str">
        <f t="shared" si="242"/>
        <v/>
      </c>
      <c r="JD499" s="356" t="str">
        <f t="shared" si="243"/>
        <v/>
      </c>
      <c r="JE499" s="356" t="str">
        <f t="shared" si="244"/>
        <v/>
      </c>
      <c r="JF499" s="356" t="str">
        <f t="shared" si="245"/>
        <v/>
      </c>
      <c r="JG499" s="356" t="str">
        <f t="shared" si="246"/>
        <v/>
      </c>
      <c r="JH499" s="356" t="str">
        <f t="shared" si="247"/>
        <v/>
      </c>
      <c r="JI499" s="1785" t="str">
        <f t="shared" si="248"/>
        <v/>
      </c>
      <c r="JJ499" s="1785" t="str">
        <f t="shared" si="249"/>
        <v/>
      </c>
      <c r="JK499" s="1785" t="str">
        <f t="shared" si="250"/>
        <v/>
      </c>
      <c r="JL499" s="1785" t="str">
        <f t="shared" si="251"/>
        <v/>
      </c>
      <c r="JM499" s="1785" t="str">
        <f t="shared" si="252"/>
        <v/>
      </c>
      <c r="JN499" s="1785" t="str">
        <f t="shared" si="253"/>
        <v/>
      </c>
      <c r="JO499" s="1785" t="str">
        <f t="shared" si="254"/>
        <v/>
      </c>
      <c r="JP499" s="1785" t="str">
        <f t="shared" si="255"/>
        <v/>
      </c>
      <c r="JQ499" s="1785" t="str">
        <f t="shared" si="256"/>
        <v/>
      </c>
      <c r="JR499" s="1785" t="str">
        <f t="shared" si="257"/>
        <v/>
      </c>
      <c r="JS499" s="1785" t="str">
        <f t="shared" si="258"/>
        <v/>
      </c>
      <c r="JT499" s="1785" t="str">
        <f t="shared" si="259"/>
        <v/>
      </c>
      <c r="JU499" s="1785" t="str">
        <f t="shared" si="260"/>
        <v/>
      </c>
      <c r="JV499" s="1785" t="str">
        <f t="shared" si="261"/>
        <v/>
      </c>
      <c r="JW499" s="1785" t="str">
        <f t="shared" si="262"/>
        <v/>
      </c>
      <c r="JX499" s="1785" t="str">
        <f t="shared" si="263"/>
        <v/>
      </c>
      <c r="JY499" s="1785" t="str">
        <f t="shared" si="264"/>
        <v/>
      </c>
      <c r="JZ499" s="1785" t="str">
        <f t="shared" si="265"/>
        <v/>
      </c>
      <c r="KA499" s="1785" t="str">
        <f t="shared" si="266"/>
        <v/>
      </c>
      <c r="KB499" s="1785" t="str">
        <f t="shared" si="267"/>
        <v/>
      </c>
      <c r="KC499" s="1785" t="str">
        <f t="shared" si="268"/>
        <v/>
      </c>
      <c r="KD499" s="1785" t="str">
        <f t="shared" si="269"/>
        <v/>
      </c>
      <c r="KE499" s="1785" t="str">
        <f t="shared" si="270"/>
        <v/>
      </c>
      <c r="KF499" s="1785" t="str">
        <f t="shared" si="271"/>
        <v/>
      </c>
      <c r="KG499" s="1785" t="str">
        <f t="shared" si="272"/>
        <v/>
      </c>
      <c r="KH499" s="1785" t="str">
        <f t="shared" si="273"/>
        <v/>
      </c>
      <c r="KI499" s="1785" t="str">
        <f t="shared" si="274"/>
        <v/>
      </c>
      <c r="KJ499" s="1785" t="str">
        <f t="shared" si="275"/>
        <v/>
      </c>
      <c r="KK499" s="1785" t="str">
        <f t="shared" si="276"/>
        <v/>
      </c>
      <c r="KL499" s="1785" t="str">
        <f t="shared" si="277"/>
        <v/>
      </c>
      <c r="KM499" s="1785" t="str">
        <f t="shared" si="278"/>
        <v/>
      </c>
      <c r="KN499" s="1785" t="str">
        <f t="shared" si="279"/>
        <v/>
      </c>
      <c r="KO499" s="1785" t="str">
        <f t="shared" si="280"/>
        <v/>
      </c>
      <c r="KP499" s="1785" t="str">
        <f t="shared" si="281"/>
        <v/>
      </c>
      <c r="KQ499" s="1785" t="str">
        <f t="shared" si="282"/>
        <v/>
      </c>
      <c r="KR499" s="1785" t="str">
        <f t="shared" si="283"/>
        <v/>
      </c>
      <c r="KS499" s="1785" t="str">
        <f t="shared" si="284"/>
        <v/>
      </c>
      <c r="KT499" s="1785" t="str">
        <f t="shared" si="285"/>
        <v/>
      </c>
      <c r="KU499" s="1785" t="str">
        <f t="shared" si="286"/>
        <v/>
      </c>
      <c r="KV499" s="1785" t="str">
        <f t="shared" si="287"/>
        <v/>
      </c>
      <c r="KW499" s="1785" t="str">
        <f t="shared" si="288"/>
        <v/>
      </c>
      <c r="KX499" s="1785" t="str">
        <f t="shared" si="289"/>
        <v/>
      </c>
      <c r="KY499" s="1785" t="str">
        <f t="shared" si="290"/>
        <v/>
      </c>
      <c r="KZ499" s="1785" t="str">
        <f t="shared" si="291"/>
        <v/>
      </c>
      <c r="LA499" s="1785" t="str">
        <f t="shared" si="292"/>
        <v/>
      </c>
      <c r="LB499" s="1785" t="str">
        <f t="shared" si="293"/>
        <v/>
      </c>
      <c r="LC499" s="1785" t="str">
        <f t="shared" si="294"/>
        <v/>
      </c>
      <c r="LD499" s="1785" t="str">
        <f t="shared" si="295"/>
        <v/>
      </c>
      <c r="LE499" s="1785" t="str">
        <f t="shared" si="296"/>
        <v/>
      </c>
      <c r="LF499" s="1785" t="str">
        <f t="shared" si="297"/>
        <v/>
      </c>
      <c r="LG499" s="1785" t="str">
        <f t="shared" si="298"/>
        <v/>
      </c>
      <c r="LH499" s="1785" t="str">
        <f t="shared" si="299"/>
        <v/>
      </c>
      <c r="LI499" s="1785" t="str">
        <f t="shared" si="300"/>
        <v/>
      </c>
      <c r="LJ499" s="1785" t="str">
        <f t="shared" si="301"/>
        <v/>
      </c>
      <c r="LK499" s="1785" t="str">
        <f t="shared" si="302"/>
        <v/>
      </c>
      <c r="LL499" s="1785" t="str">
        <f t="shared" si="303"/>
        <v/>
      </c>
      <c r="LM499" s="1785" t="str">
        <f t="shared" si="304"/>
        <v/>
      </c>
      <c r="LN499" s="1785" t="str">
        <f t="shared" si="305"/>
        <v/>
      </c>
      <c r="LO499" s="1785" t="str">
        <f t="shared" si="306"/>
        <v/>
      </c>
      <c r="LP499" s="1785" t="str">
        <f t="shared" si="307"/>
        <v/>
      </c>
      <c r="LQ499" s="1785" t="str">
        <f t="shared" si="308"/>
        <v/>
      </c>
      <c r="LR499" s="1785" t="str">
        <f t="shared" si="309"/>
        <v/>
      </c>
      <c r="LS499" s="1785" t="str">
        <f t="shared" si="310"/>
        <v/>
      </c>
      <c r="LT499" s="1785" t="str">
        <f t="shared" si="311"/>
        <v/>
      </c>
      <c r="LU499" s="1785" t="str">
        <f t="shared" si="312"/>
        <v/>
      </c>
      <c r="LV499" s="1785" t="str">
        <f t="shared" si="313"/>
        <v/>
      </c>
      <c r="LW499" s="1785" t="str">
        <f t="shared" si="314"/>
        <v/>
      </c>
      <c r="LX499" s="1785" t="str">
        <f t="shared" si="315"/>
        <v/>
      </c>
      <c r="LY499" s="1785" t="str">
        <f t="shared" si="316"/>
        <v/>
      </c>
      <c r="LZ499" s="1785" t="str">
        <f t="shared" si="317"/>
        <v/>
      </c>
      <c r="MA499" s="1785" t="str">
        <f t="shared" si="318"/>
        <v/>
      </c>
      <c r="MB499" s="1785" t="str">
        <f t="shared" si="319"/>
        <v/>
      </c>
      <c r="MC499" s="1785" t="str">
        <f t="shared" si="320"/>
        <v/>
      </c>
      <c r="MD499" s="1785" t="str">
        <f t="shared" si="321"/>
        <v/>
      </c>
      <c r="ME499" s="1785" t="str">
        <f t="shared" si="322"/>
        <v/>
      </c>
      <c r="MF499" s="1785" t="str">
        <f t="shared" si="323"/>
        <v/>
      </c>
      <c r="MG499" s="1785" t="str">
        <f t="shared" si="324"/>
        <v/>
      </c>
      <c r="MH499" s="1785" t="str">
        <f t="shared" si="325"/>
        <v/>
      </c>
      <c r="MI499" s="1785" t="str">
        <f t="shared" si="326"/>
        <v/>
      </c>
      <c r="MJ499" s="1785" t="str">
        <f t="shared" si="327"/>
        <v/>
      </c>
      <c r="MK499" s="1785" t="str">
        <f t="shared" si="328"/>
        <v/>
      </c>
      <c r="ML499" s="1785" t="str">
        <f t="shared" si="329"/>
        <v/>
      </c>
      <c r="MM499" s="1785" t="str">
        <f t="shared" si="330"/>
        <v/>
      </c>
      <c r="MN499" s="1785" t="str">
        <f t="shared" si="331"/>
        <v/>
      </c>
      <c r="MO499" s="1785" t="str">
        <f t="shared" si="332"/>
        <v/>
      </c>
      <c r="MP499" s="2470" t="str">
        <f t="shared" si="333"/>
        <v/>
      </c>
      <c r="MQ499" s="2470" t="str">
        <f t="shared" si="334"/>
        <v/>
      </c>
      <c r="MR499" s="2470" t="str">
        <f t="shared" si="335"/>
        <v/>
      </c>
      <c r="MS499" s="2470" t="str">
        <f t="shared" si="336"/>
        <v/>
      </c>
      <c r="MT499" s="2470" t="str">
        <f t="shared" si="337"/>
        <v/>
      </c>
      <c r="MU499" s="356" t="str">
        <f t="shared" si="338"/>
        <v/>
      </c>
      <c r="MV499" s="356" t="str">
        <f t="shared" si="339"/>
        <v/>
      </c>
      <c r="MW499" s="356" t="str">
        <f t="shared" si="340"/>
        <v/>
      </c>
      <c r="MX499" s="356" t="str">
        <f t="shared" si="341"/>
        <v/>
      </c>
      <c r="MY499" s="356" t="str">
        <f t="shared" si="342"/>
        <v/>
      </c>
      <c r="MZ499" s="356" t="str">
        <f t="shared" si="343"/>
        <v/>
      </c>
      <c r="NA499" s="356" t="str">
        <f t="shared" si="344"/>
        <v/>
      </c>
      <c r="NB499" s="356" t="str">
        <f t="shared" si="345"/>
        <v/>
      </c>
      <c r="NC499" s="356" t="str">
        <f t="shared" si="346"/>
        <v/>
      </c>
      <c r="ND499" s="356" t="str">
        <f t="shared" si="347"/>
        <v/>
      </c>
      <c r="NE499" s="356" t="str">
        <f t="shared" si="348"/>
        <v/>
      </c>
      <c r="NF499" s="356" t="str">
        <f t="shared" si="349"/>
        <v/>
      </c>
      <c r="NG499" s="356" t="str">
        <f t="shared" si="350"/>
        <v/>
      </c>
      <c r="NH499" s="356" t="str">
        <f t="shared" si="351"/>
        <v/>
      </c>
      <c r="NI499" s="356" t="str">
        <f t="shared" si="352"/>
        <v/>
      </c>
      <c r="NJ499" s="356" t="str">
        <f t="shared" si="353"/>
        <v/>
      </c>
      <c r="NK499" s="356" t="str">
        <f t="shared" si="354"/>
        <v/>
      </c>
      <c r="NL499" s="356" t="str">
        <f t="shared" si="355"/>
        <v/>
      </c>
      <c r="NM499" s="356" t="str">
        <f t="shared" si="356"/>
        <v/>
      </c>
      <c r="NN499" s="356" t="str">
        <f t="shared" si="357"/>
        <v/>
      </c>
      <c r="NO499" s="1640">
        <f t="shared" si="358"/>
        <v>0</v>
      </c>
      <c r="NP499" s="1640">
        <f t="shared" si="359"/>
        <v>0</v>
      </c>
      <c r="NQ499" s="1640">
        <f t="shared" si="360"/>
        <v>0</v>
      </c>
      <c r="NR499" s="1640">
        <f t="shared" si="361"/>
        <v>0</v>
      </c>
      <c r="NS499" s="1640">
        <f t="shared" si="362"/>
        <v>0</v>
      </c>
      <c r="NT499" s="1640">
        <f t="shared" si="368"/>
        <v>0</v>
      </c>
      <c r="NU499" s="1640">
        <f t="shared" si="369"/>
        <v>0</v>
      </c>
      <c r="NV499" s="1640">
        <f t="shared" si="370"/>
        <v>0</v>
      </c>
      <c r="NW499" s="1640">
        <f t="shared" si="371"/>
        <v>0</v>
      </c>
      <c r="NX499" s="1640">
        <f t="shared" si="372"/>
        <v>0</v>
      </c>
      <c r="NY499" s="1640">
        <f t="shared" si="363"/>
        <v>0</v>
      </c>
      <c r="NZ499" s="1640">
        <f t="shared" si="364"/>
        <v>0</v>
      </c>
      <c r="OA499" s="1640">
        <f t="shared" si="365"/>
        <v>0</v>
      </c>
      <c r="OB499" s="1640">
        <f t="shared" si="366"/>
        <v>0</v>
      </c>
      <c r="OC499" s="1640">
        <f t="shared" si="367"/>
        <v>0</v>
      </c>
      <c r="OY499" s="356" t="s">
        <v>4332</v>
      </c>
      <c r="OZ499" s="1784">
        <v>46</v>
      </c>
    </row>
    <row r="500" spans="1:416" ht="12" customHeight="1">
      <c r="A500" s="2706" t="str">
        <f t="shared" si="0"/>
        <v/>
      </c>
      <c r="B500" s="2725">
        <f>'Part V-Revenues &amp; Expenses'!B47</f>
        <v>0</v>
      </c>
      <c r="C500" s="2726">
        <f>'Part V-Revenues &amp; Expenses'!C47</f>
        <v>0</v>
      </c>
      <c r="D500" s="2727">
        <f>'Part V-Revenues &amp; Expenses'!D47</f>
        <v>0</v>
      </c>
      <c r="E500" s="2728">
        <f>'Part V-Revenues &amp; Expenses'!E47</f>
        <v>0</v>
      </c>
      <c r="F500" s="2728">
        <f>'Part V-Revenues &amp; Expenses'!F47</f>
        <v>0</v>
      </c>
      <c r="G500" s="2728">
        <f>'Part V-Revenues &amp; Expenses'!G47</f>
        <v>0</v>
      </c>
      <c r="H500" s="2728">
        <f>'Part V-Revenues &amp; Expenses'!H47</f>
        <v>0</v>
      </c>
      <c r="I500" s="2728">
        <f>'Part V-Revenues &amp; Expenses'!I47</f>
        <v>0</v>
      </c>
      <c r="J500" s="2728">
        <f>'Part V-Revenues &amp; Expenses'!J47</f>
        <v>0</v>
      </c>
      <c r="K500" s="2729">
        <f>'Part V-Revenues &amp; Expenses'!K47</f>
        <v>0</v>
      </c>
      <c r="L500" s="2730">
        <f t="shared" si="1"/>
        <v>0</v>
      </c>
      <c r="M500" s="2730">
        <f t="shared" si="2"/>
        <v>0</v>
      </c>
      <c r="N500" s="2580">
        <f>'Part V-Revenues &amp; Expenses'!N47</f>
        <v>0</v>
      </c>
      <c r="O500" s="1248">
        <f>'Part V-Revenues &amp; Expenses'!O47</f>
        <v>0</v>
      </c>
      <c r="P500" s="2580">
        <f>'Part V-Revenues &amp; Expenses'!P47</f>
        <v>0</v>
      </c>
      <c r="Q500" s="2469">
        <f>'Part V-Revenues &amp; Expenses'!Q47</f>
        <v>0</v>
      </c>
      <c r="R500" s="2731"/>
      <c r="S500" s="2732"/>
      <c r="T500" s="2647"/>
      <c r="U500" s="2647"/>
      <c r="V500" s="2647"/>
      <c r="W500" s="2647"/>
      <c r="X500" s="356" t="str">
        <f t="shared" si="3"/>
        <v/>
      </c>
      <c r="Y500" s="356" t="str">
        <f t="shared" si="4"/>
        <v/>
      </c>
      <c r="Z500" s="356" t="str">
        <f t="shared" si="5"/>
        <v/>
      </c>
      <c r="AA500" s="356" t="str">
        <f t="shared" si="6"/>
        <v/>
      </c>
      <c r="AB500" s="356" t="str">
        <f t="shared" si="7"/>
        <v/>
      </c>
      <c r="AC500" s="356" t="str">
        <f t="shared" si="8"/>
        <v/>
      </c>
      <c r="AD500" s="356" t="str">
        <f t="shared" si="9"/>
        <v/>
      </c>
      <c r="AE500" s="356" t="str">
        <f t="shared" si="10"/>
        <v/>
      </c>
      <c r="AF500" s="356" t="str">
        <f t="shared" si="11"/>
        <v/>
      </c>
      <c r="AG500" s="356" t="str">
        <f t="shared" si="12"/>
        <v/>
      </c>
      <c r="AH500" s="356" t="str">
        <f t="shared" si="13"/>
        <v/>
      </c>
      <c r="AI500" s="356" t="str">
        <f t="shared" si="14"/>
        <v/>
      </c>
      <c r="AJ500" s="356" t="str">
        <f t="shared" si="15"/>
        <v/>
      </c>
      <c r="AK500" s="356" t="str">
        <f t="shared" si="16"/>
        <v/>
      </c>
      <c r="AL500" s="356" t="str">
        <f t="shared" si="17"/>
        <v/>
      </c>
      <c r="AM500" s="356" t="str">
        <f t="shared" si="18"/>
        <v/>
      </c>
      <c r="AN500" s="356" t="str">
        <f t="shared" si="19"/>
        <v/>
      </c>
      <c r="AO500" s="356" t="str">
        <f t="shared" si="20"/>
        <v/>
      </c>
      <c r="AP500" s="356" t="str">
        <f t="shared" si="21"/>
        <v/>
      </c>
      <c r="AQ500" s="356" t="str">
        <f t="shared" si="22"/>
        <v/>
      </c>
      <c r="AR500" s="356" t="str">
        <f t="shared" si="23"/>
        <v/>
      </c>
      <c r="AS500" s="356" t="str">
        <f t="shared" si="24"/>
        <v/>
      </c>
      <c r="AT500" s="356" t="str">
        <f t="shared" si="25"/>
        <v/>
      </c>
      <c r="AU500" s="356" t="str">
        <f t="shared" si="26"/>
        <v/>
      </c>
      <c r="AV500" s="356" t="str">
        <f t="shared" si="27"/>
        <v/>
      </c>
      <c r="AW500" s="356" t="str">
        <f t="shared" si="28"/>
        <v/>
      </c>
      <c r="AX500" s="356" t="str">
        <f t="shared" si="29"/>
        <v/>
      </c>
      <c r="AY500" s="356" t="str">
        <f t="shared" si="30"/>
        <v/>
      </c>
      <c r="AZ500" s="356" t="str">
        <f t="shared" si="31"/>
        <v/>
      </c>
      <c r="BA500" s="356" t="str">
        <f t="shared" si="32"/>
        <v/>
      </c>
      <c r="BB500" s="356" t="str">
        <f t="shared" si="33"/>
        <v/>
      </c>
      <c r="BC500" s="356" t="str">
        <f t="shared" si="34"/>
        <v/>
      </c>
      <c r="BD500" s="356" t="str">
        <f t="shared" si="35"/>
        <v/>
      </c>
      <c r="BE500" s="356" t="str">
        <f t="shared" si="36"/>
        <v/>
      </c>
      <c r="BF500" s="356" t="str">
        <f t="shared" si="37"/>
        <v/>
      </c>
      <c r="BG500" s="356" t="str">
        <f t="shared" si="38"/>
        <v/>
      </c>
      <c r="BH500" s="356" t="str">
        <f t="shared" si="39"/>
        <v/>
      </c>
      <c r="BI500" s="356" t="str">
        <f t="shared" si="40"/>
        <v/>
      </c>
      <c r="BJ500" s="356" t="str">
        <f t="shared" si="41"/>
        <v/>
      </c>
      <c r="BK500" s="356" t="str">
        <f t="shared" si="42"/>
        <v/>
      </c>
      <c r="BL500" s="356" t="str">
        <f t="shared" si="43"/>
        <v/>
      </c>
      <c r="BM500" s="356" t="str">
        <f t="shared" si="44"/>
        <v/>
      </c>
      <c r="BN500" s="356" t="str">
        <f t="shared" si="45"/>
        <v/>
      </c>
      <c r="BO500" s="356" t="str">
        <f t="shared" si="46"/>
        <v/>
      </c>
      <c r="BP500" s="356" t="str">
        <f t="shared" si="47"/>
        <v/>
      </c>
      <c r="BQ500" s="356" t="str">
        <f t="shared" si="48"/>
        <v/>
      </c>
      <c r="BR500" s="356" t="str">
        <f t="shared" si="49"/>
        <v/>
      </c>
      <c r="BS500" s="356" t="str">
        <f t="shared" si="50"/>
        <v/>
      </c>
      <c r="BT500" s="356" t="str">
        <f t="shared" si="51"/>
        <v/>
      </c>
      <c r="BU500" s="356" t="str">
        <f t="shared" si="52"/>
        <v/>
      </c>
      <c r="BV500" s="356" t="str">
        <f t="shared" si="53"/>
        <v/>
      </c>
      <c r="BW500" s="356" t="str">
        <f t="shared" si="54"/>
        <v/>
      </c>
      <c r="BX500" s="356" t="str">
        <f t="shared" si="55"/>
        <v/>
      </c>
      <c r="BY500" s="356" t="str">
        <f t="shared" si="56"/>
        <v/>
      </c>
      <c r="BZ500" s="356" t="str">
        <f t="shared" si="57"/>
        <v/>
      </c>
      <c r="CA500" s="356" t="str">
        <f t="shared" si="58"/>
        <v/>
      </c>
      <c r="CB500" s="356" t="str">
        <f t="shared" si="59"/>
        <v/>
      </c>
      <c r="CC500" s="356" t="str">
        <f t="shared" si="60"/>
        <v/>
      </c>
      <c r="CD500" s="356" t="str">
        <f t="shared" si="61"/>
        <v/>
      </c>
      <c r="CE500" s="356" t="str">
        <f t="shared" si="62"/>
        <v/>
      </c>
      <c r="CF500" s="356" t="str">
        <f t="shared" si="63"/>
        <v/>
      </c>
      <c r="CG500" s="356" t="str">
        <f t="shared" si="64"/>
        <v/>
      </c>
      <c r="CH500" s="356" t="str">
        <f t="shared" si="65"/>
        <v/>
      </c>
      <c r="CI500" s="356" t="str">
        <f t="shared" si="66"/>
        <v/>
      </c>
      <c r="CJ500" s="356" t="str">
        <f t="shared" si="67"/>
        <v/>
      </c>
      <c r="CK500" s="356" t="str">
        <f t="shared" si="68"/>
        <v/>
      </c>
      <c r="CL500" s="356" t="str">
        <f t="shared" si="69"/>
        <v/>
      </c>
      <c r="CM500" s="356" t="str">
        <f t="shared" si="70"/>
        <v/>
      </c>
      <c r="CN500" s="356" t="str">
        <f t="shared" si="71"/>
        <v/>
      </c>
      <c r="CO500" s="356" t="str">
        <f t="shared" si="72"/>
        <v/>
      </c>
      <c r="CP500" s="356" t="str">
        <f t="shared" si="73"/>
        <v/>
      </c>
      <c r="CQ500" s="356" t="str">
        <f t="shared" si="74"/>
        <v/>
      </c>
      <c r="CR500" s="356" t="str">
        <f t="shared" si="75"/>
        <v/>
      </c>
      <c r="CS500" s="356" t="str">
        <f t="shared" si="76"/>
        <v/>
      </c>
      <c r="CT500" s="356" t="str">
        <f t="shared" si="77"/>
        <v/>
      </c>
      <c r="CU500" s="356" t="str">
        <f t="shared" si="78"/>
        <v/>
      </c>
      <c r="CV500" s="356" t="str">
        <f t="shared" si="79"/>
        <v/>
      </c>
      <c r="CW500" s="356" t="str">
        <f t="shared" si="80"/>
        <v/>
      </c>
      <c r="CX500" s="356" t="str">
        <f t="shared" si="81"/>
        <v/>
      </c>
      <c r="CY500" s="356" t="str">
        <f t="shared" si="82"/>
        <v/>
      </c>
      <c r="CZ500" s="356" t="str">
        <f t="shared" si="83"/>
        <v/>
      </c>
      <c r="DA500" s="356" t="str">
        <f t="shared" si="84"/>
        <v/>
      </c>
      <c r="DB500" s="356" t="str">
        <f t="shared" si="85"/>
        <v/>
      </c>
      <c r="DC500" s="356" t="str">
        <f t="shared" si="86"/>
        <v/>
      </c>
      <c r="DD500" s="356" t="str">
        <f t="shared" si="87"/>
        <v/>
      </c>
      <c r="DE500" s="356" t="str">
        <f t="shared" si="88"/>
        <v/>
      </c>
      <c r="DF500" s="356" t="str">
        <f t="shared" si="89"/>
        <v/>
      </c>
      <c r="DG500" s="356" t="str">
        <f t="shared" si="90"/>
        <v/>
      </c>
      <c r="DH500" s="356" t="str">
        <f t="shared" si="91"/>
        <v/>
      </c>
      <c r="DI500" s="356" t="str">
        <f t="shared" si="92"/>
        <v/>
      </c>
      <c r="DJ500" s="356" t="str">
        <f t="shared" si="93"/>
        <v/>
      </c>
      <c r="DK500" s="356" t="str">
        <f t="shared" si="94"/>
        <v/>
      </c>
      <c r="DL500" s="356" t="str">
        <f t="shared" si="95"/>
        <v/>
      </c>
      <c r="DM500" s="356" t="str">
        <f t="shared" si="96"/>
        <v/>
      </c>
      <c r="DN500" s="356" t="str">
        <f t="shared" si="97"/>
        <v/>
      </c>
      <c r="DO500" s="356" t="str">
        <f t="shared" si="98"/>
        <v/>
      </c>
      <c r="DP500" s="356" t="str">
        <f t="shared" si="99"/>
        <v/>
      </c>
      <c r="DQ500" s="356" t="str">
        <f t="shared" si="100"/>
        <v/>
      </c>
      <c r="DR500" s="356" t="str">
        <f t="shared" si="101"/>
        <v/>
      </c>
      <c r="DS500" s="356" t="str">
        <f t="shared" si="102"/>
        <v/>
      </c>
      <c r="DT500" s="356" t="str">
        <f t="shared" si="103"/>
        <v/>
      </c>
      <c r="DU500" s="356" t="str">
        <f t="shared" si="104"/>
        <v/>
      </c>
      <c r="DV500" s="356" t="str">
        <f t="shared" si="105"/>
        <v/>
      </c>
      <c r="DW500" s="356" t="str">
        <f t="shared" si="106"/>
        <v/>
      </c>
      <c r="DX500" s="356" t="str">
        <f t="shared" si="107"/>
        <v/>
      </c>
      <c r="DY500" s="356" t="str">
        <f t="shared" si="108"/>
        <v/>
      </c>
      <c r="DZ500" s="356" t="str">
        <f t="shared" si="109"/>
        <v/>
      </c>
      <c r="EA500" s="356" t="str">
        <f t="shared" si="110"/>
        <v/>
      </c>
      <c r="EB500" s="356" t="str">
        <f t="shared" si="111"/>
        <v/>
      </c>
      <c r="EC500" s="356" t="str">
        <f t="shared" si="112"/>
        <v/>
      </c>
      <c r="ED500" s="356" t="str">
        <f t="shared" si="113"/>
        <v/>
      </c>
      <c r="EE500" s="356" t="str">
        <f t="shared" si="114"/>
        <v/>
      </c>
      <c r="EF500" s="356" t="str">
        <f t="shared" si="115"/>
        <v/>
      </c>
      <c r="EG500" s="356" t="str">
        <f t="shared" si="116"/>
        <v/>
      </c>
      <c r="EH500" s="356" t="str">
        <f t="shared" si="117"/>
        <v/>
      </c>
      <c r="EI500" s="356" t="str">
        <f t="shared" si="118"/>
        <v/>
      </c>
      <c r="EJ500" s="356" t="str">
        <f t="shared" si="119"/>
        <v/>
      </c>
      <c r="EK500" s="356" t="str">
        <f t="shared" si="120"/>
        <v/>
      </c>
      <c r="EL500" s="356" t="str">
        <f t="shared" si="121"/>
        <v/>
      </c>
      <c r="EM500" s="356" t="str">
        <f t="shared" si="122"/>
        <v/>
      </c>
      <c r="EN500" s="356" t="str">
        <f t="shared" si="123"/>
        <v/>
      </c>
      <c r="EO500" s="356" t="str">
        <f t="shared" si="124"/>
        <v/>
      </c>
      <c r="EP500" s="356" t="str">
        <f t="shared" si="125"/>
        <v/>
      </c>
      <c r="EQ500" s="356" t="str">
        <f t="shared" si="126"/>
        <v/>
      </c>
      <c r="ER500" s="356" t="str">
        <f t="shared" si="127"/>
        <v/>
      </c>
      <c r="ES500" s="356" t="str">
        <f t="shared" si="128"/>
        <v/>
      </c>
      <c r="ET500" s="356" t="str">
        <f t="shared" si="129"/>
        <v/>
      </c>
      <c r="EU500" s="356" t="str">
        <f t="shared" si="130"/>
        <v/>
      </c>
      <c r="EV500" s="356" t="str">
        <f t="shared" si="131"/>
        <v/>
      </c>
      <c r="EW500" s="356" t="str">
        <f t="shared" si="132"/>
        <v/>
      </c>
      <c r="EX500" s="356" t="str">
        <f t="shared" si="133"/>
        <v/>
      </c>
      <c r="EY500" s="356" t="str">
        <f t="shared" si="134"/>
        <v/>
      </c>
      <c r="EZ500" s="356" t="str">
        <f t="shared" si="135"/>
        <v/>
      </c>
      <c r="FA500" s="356" t="str">
        <f t="shared" si="136"/>
        <v/>
      </c>
      <c r="FB500" s="356" t="str">
        <f t="shared" si="137"/>
        <v/>
      </c>
      <c r="FC500" s="356" t="str">
        <f t="shared" si="138"/>
        <v/>
      </c>
      <c r="FD500" s="356" t="str">
        <f t="shared" si="139"/>
        <v/>
      </c>
      <c r="FE500" s="356" t="str">
        <f t="shared" si="140"/>
        <v/>
      </c>
      <c r="FF500" s="356" t="str">
        <f t="shared" si="141"/>
        <v/>
      </c>
      <c r="FG500" s="356" t="str">
        <f t="shared" si="142"/>
        <v/>
      </c>
      <c r="FH500" s="356" t="str">
        <f t="shared" si="143"/>
        <v/>
      </c>
      <c r="FI500" s="356" t="str">
        <f t="shared" si="144"/>
        <v/>
      </c>
      <c r="FJ500" s="356" t="str">
        <f t="shared" si="145"/>
        <v/>
      </c>
      <c r="FK500" s="356" t="str">
        <f t="shared" si="146"/>
        <v/>
      </c>
      <c r="FL500" s="356" t="str">
        <f t="shared" si="147"/>
        <v/>
      </c>
      <c r="FM500" s="356" t="str">
        <f t="shared" si="148"/>
        <v/>
      </c>
      <c r="FN500" s="356" t="str">
        <f t="shared" si="149"/>
        <v/>
      </c>
      <c r="FO500" s="356" t="str">
        <f t="shared" si="150"/>
        <v/>
      </c>
      <c r="FP500" s="356" t="str">
        <f t="shared" si="151"/>
        <v/>
      </c>
      <c r="FQ500" s="356" t="str">
        <f t="shared" si="152"/>
        <v/>
      </c>
      <c r="FR500" s="356" t="str">
        <f t="shared" si="153"/>
        <v/>
      </c>
      <c r="FS500" s="356" t="str">
        <f t="shared" si="154"/>
        <v/>
      </c>
      <c r="FT500" s="356" t="str">
        <f t="shared" si="155"/>
        <v/>
      </c>
      <c r="FU500" s="356" t="str">
        <f t="shared" si="156"/>
        <v/>
      </c>
      <c r="FV500" s="356" t="str">
        <f t="shared" si="157"/>
        <v/>
      </c>
      <c r="FW500" s="356" t="str">
        <f t="shared" si="158"/>
        <v/>
      </c>
      <c r="FX500" s="356" t="str">
        <f t="shared" si="159"/>
        <v/>
      </c>
      <c r="FY500" s="356" t="str">
        <f t="shared" si="160"/>
        <v/>
      </c>
      <c r="FZ500" s="356" t="str">
        <f t="shared" si="161"/>
        <v/>
      </c>
      <c r="GA500" s="356" t="str">
        <f t="shared" si="162"/>
        <v/>
      </c>
      <c r="GB500" s="356" t="str">
        <f t="shared" si="163"/>
        <v/>
      </c>
      <c r="GC500" s="356" t="str">
        <f t="shared" si="164"/>
        <v/>
      </c>
      <c r="GD500" s="356" t="str">
        <f t="shared" si="165"/>
        <v/>
      </c>
      <c r="GE500" s="356" t="str">
        <f t="shared" si="166"/>
        <v/>
      </c>
      <c r="GF500" s="356" t="str">
        <f t="shared" si="167"/>
        <v/>
      </c>
      <c r="GG500" s="356" t="str">
        <f t="shared" si="168"/>
        <v/>
      </c>
      <c r="GH500" s="356" t="str">
        <f t="shared" si="169"/>
        <v/>
      </c>
      <c r="GI500" s="356" t="str">
        <f t="shared" si="170"/>
        <v/>
      </c>
      <c r="GJ500" s="356" t="str">
        <f t="shared" si="171"/>
        <v/>
      </c>
      <c r="GK500" s="356" t="str">
        <f t="shared" si="172"/>
        <v/>
      </c>
      <c r="GL500" s="356" t="str">
        <f t="shared" si="173"/>
        <v/>
      </c>
      <c r="GM500" s="356" t="str">
        <f t="shared" si="174"/>
        <v/>
      </c>
      <c r="GN500" s="356" t="str">
        <f t="shared" si="175"/>
        <v/>
      </c>
      <c r="GO500" s="356" t="str">
        <f t="shared" si="176"/>
        <v/>
      </c>
      <c r="GP500" s="356" t="str">
        <f t="shared" si="177"/>
        <v/>
      </c>
      <c r="GQ500" s="356" t="str">
        <f t="shared" si="178"/>
        <v/>
      </c>
      <c r="GR500" s="356" t="str">
        <f t="shared" si="179"/>
        <v/>
      </c>
      <c r="GS500" s="356" t="str">
        <f t="shared" si="180"/>
        <v/>
      </c>
      <c r="GT500" s="356" t="str">
        <f t="shared" si="181"/>
        <v/>
      </c>
      <c r="GU500" s="356" t="str">
        <f t="shared" si="182"/>
        <v/>
      </c>
      <c r="GV500" s="356" t="str">
        <f t="shared" si="183"/>
        <v/>
      </c>
      <c r="GW500" s="356" t="str">
        <f t="shared" si="184"/>
        <v/>
      </c>
      <c r="GX500" s="356" t="str">
        <f t="shared" si="185"/>
        <v/>
      </c>
      <c r="GY500" s="356" t="str">
        <f t="shared" si="186"/>
        <v/>
      </c>
      <c r="GZ500" s="356" t="str">
        <f t="shared" si="187"/>
        <v/>
      </c>
      <c r="HA500" s="356" t="str">
        <f t="shared" si="188"/>
        <v/>
      </c>
      <c r="HB500" s="356" t="str">
        <f t="shared" si="189"/>
        <v/>
      </c>
      <c r="HC500" s="356" t="str">
        <f t="shared" si="190"/>
        <v/>
      </c>
      <c r="HD500" s="356" t="str">
        <f t="shared" si="191"/>
        <v/>
      </c>
      <c r="HE500" s="356" t="str">
        <f t="shared" si="192"/>
        <v/>
      </c>
      <c r="HF500" s="356" t="str">
        <f t="shared" si="193"/>
        <v/>
      </c>
      <c r="HG500" s="356" t="str">
        <f t="shared" si="194"/>
        <v/>
      </c>
      <c r="HH500" s="356" t="str">
        <f t="shared" si="195"/>
        <v/>
      </c>
      <c r="HI500" s="356" t="str">
        <f t="shared" si="196"/>
        <v/>
      </c>
      <c r="HJ500" s="356" t="str">
        <f t="shared" si="197"/>
        <v/>
      </c>
      <c r="HK500" s="356" t="str">
        <f t="shared" si="198"/>
        <v/>
      </c>
      <c r="HL500" s="356" t="str">
        <f t="shared" si="199"/>
        <v/>
      </c>
      <c r="HM500" s="356" t="str">
        <f t="shared" si="200"/>
        <v/>
      </c>
      <c r="HN500" s="356" t="str">
        <f t="shared" si="201"/>
        <v/>
      </c>
      <c r="HO500" s="356" t="str">
        <f t="shared" si="202"/>
        <v/>
      </c>
      <c r="HP500" s="356" t="str">
        <f t="shared" si="203"/>
        <v/>
      </c>
      <c r="HQ500" s="356" t="str">
        <f t="shared" si="204"/>
        <v/>
      </c>
      <c r="HR500" s="356" t="str">
        <f t="shared" si="205"/>
        <v/>
      </c>
      <c r="HS500" s="356" t="str">
        <f t="shared" si="206"/>
        <v/>
      </c>
      <c r="HT500" s="356" t="str">
        <f t="shared" si="207"/>
        <v/>
      </c>
      <c r="HU500" s="356" t="str">
        <f t="shared" si="208"/>
        <v/>
      </c>
      <c r="HV500" s="356" t="str">
        <f t="shared" si="209"/>
        <v/>
      </c>
      <c r="HW500" s="356" t="str">
        <f t="shared" si="210"/>
        <v/>
      </c>
      <c r="HX500" s="356" t="str">
        <f t="shared" si="211"/>
        <v/>
      </c>
      <c r="HY500" s="356" t="str">
        <f t="shared" si="212"/>
        <v/>
      </c>
      <c r="HZ500" s="356" t="str">
        <f t="shared" si="213"/>
        <v/>
      </c>
      <c r="IA500" s="356" t="str">
        <f t="shared" si="214"/>
        <v/>
      </c>
      <c r="IB500" s="356" t="str">
        <f t="shared" si="215"/>
        <v/>
      </c>
      <c r="IC500" s="356" t="str">
        <f t="shared" si="216"/>
        <v/>
      </c>
      <c r="ID500" s="356" t="str">
        <f t="shared" si="217"/>
        <v/>
      </c>
      <c r="IE500" s="356" t="str">
        <f t="shared" si="218"/>
        <v/>
      </c>
      <c r="IF500" s="356" t="str">
        <f t="shared" si="219"/>
        <v/>
      </c>
      <c r="IG500" s="356" t="str">
        <f t="shared" si="220"/>
        <v/>
      </c>
      <c r="IH500" s="356" t="str">
        <f t="shared" si="221"/>
        <v/>
      </c>
      <c r="II500" s="356" t="str">
        <f t="shared" si="222"/>
        <v/>
      </c>
      <c r="IJ500" s="356" t="str">
        <f t="shared" si="223"/>
        <v/>
      </c>
      <c r="IK500" s="356" t="str">
        <f t="shared" si="224"/>
        <v/>
      </c>
      <c r="IL500" s="356" t="str">
        <f t="shared" si="225"/>
        <v/>
      </c>
      <c r="IM500" s="356" t="str">
        <f t="shared" si="226"/>
        <v/>
      </c>
      <c r="IN500" s="356" t="str">
        <f t="shared" si="227"/>
        <v/>
      </c>
      <c r="IO500" s="356" t="str">
        <f t="shared" si="228"/>
        <v/>
      </c>
      <c r="IP500" s="356" t="str">
        <f t="shared" si="229"/>
        <v/>
      </c>
      <c r="IQ500" s="356" t="str">
        <f t="shared" si="230"/>
        <v/>
      </c>
      <c r="IR500" s="356" t="str">
        <f t="shared" si="231"/>
        <v/>
      </c>
      <c r="IS500" s="356" t="str">
        <f t="shared" si="232"/>
        <v/>
      </c>
      <c r="IT500" s="356" t="str">
        <f t="shared" si="233"/>
        <v/>
      </c>
      <c r="IU500" s="356" t="str">
        <f t="shared" si="234"/>
        <v/>
      </c>
      <c r="IV500" s="356" t="str">
        <f t="shared" si="235"/>
        <v/>
      </c>
      <c r="IW500" s="356" t="str">
        <f t="shared" si="236"/>
        <v/>
      </c>
      <c r="IX500" s="356" t="str">
        <f t="shared" si="237"/>
        <v/>
      </c>
      <c r="IY500" s="356" t="str">
        <f t="shared" si="238"/>
        <v/>
      </c>
      <c r="IZ500" s="356" t="str">
        <f t="shared" si="239"/>
        <v/>
      </c>
      <c r="JA500" s="356" t="str">
        <f t="shared" si="240"/>
        <v/>
      </c>
      <c r="JB500" s="356" t="str">
        <f t="shared" si="241"/>
        <v/>
      </c>
      <c r="JC500" s="356" t="str">
        <f t="shared" si="242"/>
        <v/>
      </c>
      <c r="JD500" s="356" t="str">
        <f t="shared" si="243"/>
        <v/>
      </c>
      <c r="JE500" s="356" t="str">
        <f t="shared" si="244"/>
        <v/>
      </c>
      <c r="JF500" s="356" t="str">
        <f t="shared" si="245"/>
        <v/>
      </c>
      <c r="JG500" s="356" t="str">
        <f t="shared" si="246"/>
        <v/>
      </c>
      <c r="JH500" s="356" t="str">
        <f t="shared" si="247"/>
        <v/>
      </c>
      <c r="JI500" s="1785" t="str">
        <f t="shared" si="248"/>
        <v/>
      </c>
      <c r="JJ500" s="1785" t="str">
        <f t="shared" si="249"/>
        <v/>
      </c>
      <c r="JK500" s="1785" t="str">
        <f t="shared" si="250"/>
        <v/>
      </c>
      <c r="JL500" s="1785" t="str">
        <f t="shared" si="251"/>
        <v/>
      </c>
      <c r="JM500" s="1785" t="str">
        <f t="shared" si="252"/>
        <v/>
      </c>
      <c r="JN500" s="1785" t="str">
        <f t="shared" si="253"/>
        <v/>
      </c>
      <c r="JO500" s="1785" t="str">
        <f t="shared" si="254"/>
        <v/>
      </c>
      <c r="JP500" s="1785" t="str">
        <f t="shared" si="255"/>
        <v/>
      </c>
      <c r="JQ500" s="1785" t="str">
        <f t="shared" si="256"/>
        <v/>
      </c>
      <c r="JR500" s="1785" t="str">
        <f t="shared" si="257"/>
        <v/>
      </c>
      <c r="JS500" s="1785" t="str">
        <f t="shared" si="258"/>
        <v/>
      </c>
      <c r="JT500" s="1785" t="str">
        <f t="shared" si="259"/>
        <v/>
      </c>
      <c r="JU500" s="1785" t="str">
        <f t="shared" si="260"/>
        <v/>
      </c>
      <c r="JV500" s="1785" t="str">
        <f t="shared" si="261"/>
        <v/>
      </c>
      <c r="JW500" s="1785" t="str">
        <f t="shared" si="262"/>
        <v/>
      </c>
      <c r="JX500" s="1785" t="str">
        <f t="shared" si="263"/>
        <v/>
      </c>
      <c r="JY500" s="1785" t="str">
        <f t="shared" si="264"/>
        <v/>
      </c>
      <c r="JZ500" s="1785" t="str">
        <f t="shared" si="265"/>
        <v/>
      </c>
      <c r="KA500" s="1785" t="str">
        <f t="shared" si="266"/>
        <v/>
      </c>
      <c r="KB500" s="1785" t="str">
        <f t="shared" si="267"/>
        <v/>
      </c>
      <c r="KC500" s="1785" t="str">
        <f t="shared" si="268"/>
        <v/>
      </c>
      <c r="KD500" s="1785" t="str">
        <f t="shared" si="269"/>
        <v/>
      </c>
      <c r="KE500" s="1785" t="str">
        <f t="shared" si="270"/>
        <v/>
      </c>
      <c r="KF500" s="1785" t="str">
        <f t="shared" si="271"/>
        <v/>
      </c>
      <c r="KG500" s="1785" t="str">
        <f t="shared" si="272"/>
        <v/>
      </c>
      <c r="KH500" s="1785" t="str">
        <f t="shared" si="273"/>
        <v/>
      </c>
      <c r="KI500" s="1785" t="str">
        <f t="shared" si="274"/>
        <v/>
      </c>
      <c r="KJ500" s="1785" t="str">
        <f t="shared" si="275"/>
        <v/>
      </c>
      <c r="KK500" s="1785" t="str">
        <f t="shared" si="276"/>
        <v/>
      </c>
      <c r="KL500" s="1785" t="str">
        <f t="shared" si="277"/>
        <v/>
      </c>
      <c r="KM500" s="1785" t="str">
        <f t="shared" si="278"/>
        <v/>
      </c>
      <c r="KN500" s="1785" t="str">
        <f t="shared" si="279"/>
        <v/>
      </c>
      <c r="KO500" s="1785" t="str">
        <f t="shared" si="280"/>
        <v/>
      </c>
      <c r="KP500" s="1785" t="str">
        <f t="shared" si="281"/>
        <v/>
      </c>
      <c r="KQ500" s="1785" t="str">
        <f t="shared" si="282"/>
        <v/>
      </c>
      <c r="KR500" s="1785" t="str">
        <f t="shared" si="283"/>
        <v/>
      </c>
      <c r="KS500" s="1785" t="str">
        <f t="shared" si="284"/>
        <v/>
      </c>
      <c r="KT500" s="1785" t="str">
        <f t="shared" si="285"/>
        <v/>
      </c>
      <c r="KU500" s="1785" t="str">
        <f t="shared" si="286"/>
        <v/>
      </c>
      <c r="KV500" s="1785" t="str">
        <f t="shared" si="287"/>
        <v/>
      </c>
      <c r="KW500" s="1785" t="str">
        <f t="shared" si="288"/>
        <v/>
      </c>
      <c r="KX500" s="1785" t="str">
        <f t="shared" si="289"/>
        <v/>
      </c>
      <c r="KY500" s="1785" t="str">
        <f t="shared" si="290"/>
        <v/>
      </c>
      <c r="KZ500" s="1785" t="str">
        <f t="shared" si="291"/>
        <v/>
      </c>
      <c r="LA500" s="1785" t="str">
        <f t="shared" si="292"/>
        <v/>
      </c>
      <c r="LB500" s="1785" t="str">
        <f t="shared" si="293"/>
        <v/>
      </c>
      <c r="LC500" s="1785" t="str">
        <f t="shared" si="294"/>
        <v/>
      </c>
      <c r="LD500" s="1785" t="str">
        <f t="shared" si="295"/>
        <v/>
      </c>
      <c r="LE500" s="1785" t="str">
        <f t="shared" si="296"/>
        <v/>
      </c>
      <c r="LF500" s="1785" t="str">
        <f t="shared" si="297"/>
        <v/>
      </c>
      <c r="LG500" s="1785" t="str">
        <f t="shared" si="298"/>
        <v/>
      </c>
      <c r="LH500" s="1785" t="str">
        <f t="shared" si="299"/>
        <v/>
      </c>
      <c r="LI500" s="1785" t="str">
        <f t="shared" si="300"/>
        <v/>
      </c>
      <c r="LJ500" s="1785" t="str">
        <f t="shared" si="301"/>
        <v/>
      </c>
      <c r="LK500" s="1785" t="str">
        <f t="shared" si="302"/>
        <v/>
      </c>
      <c r="LL500" s="1785" t="str">
        <f t="shared" si="303"/>
        <v/>
      </c>
      <c r="LM500" s="1785" t="str">
        <f t="shared" si="304"/>
        <v/>
      </c>
      <c r="LN500" s="1785" t="str">
        <f t="shared" si="305"/>
        <v/>
      </c>
      <c r="LO500" s="1785" t="str">
        <f t="shared" si="306"/>
        <v/>
      </c>
      <c r="LP500" s="1785" t="str">
        <f t="shared" si="307"/>
        <v/>
      </c>
      <c r="LQ500" s="1785" t="str">
        <f t="shared" si="308"/>
        <v/>
      </c>
      <c r="LR500" s="1785" t="str">
        <f t="shared" si="309"/>
        <v/>
      </c>
      <c r="LS500" s="1785" t="str">
        <f t="shared" si="310"/>
        <v/>
      </c>
      <c r="LT500" s="1785" t="str">
        <f t="shared" si="311"/>
        <v/>
      </c>
      <c r="LU500" s="1785" t="str">
        <f t="shared" si="312"/>
        <v/>
      </c>
      <c r="LV500" s="1785" t="str">
        <f t="shared" si="313"/>
        <v/>
      </c>
      <c r="LW500" s="1785" t="str">
        <f t="shared" si="314"/>
        <v/>
      </c>
      <c r="LX500" s="1785" t="str">
        <f t="shared" si="315"/>
        <v/>
      </c>
      <c r="LY500" s="1785" t="str">
        <f t="shared" si="316"/>
        <v/>
      </c>
      <c r="LZ500" s="1785" t="str">
        <f t="shared" si="317"/>
        <v/>
      </c>
      <c r="MA500" s="1785" t="str">
        <f t="shared" si="318"/>
        <v/>
      </c>
      <c r="MB500" s="1785" t="str">
        <f t="shared" si="319"/>
        <v/>
      </c>
      <c r="MC500" s="1785" t="str">
        <f t="shared" si="320"/>
        <v/>
      </c>
      <c r="MD500" s="1785" t="str">
        <f t="shared" si="321"/>
        <v/>
      </c>
      <c r="ME500" s="1785" t="str">
        <f t="shared" si="322"/>
        <v/>
      </c>
      <c r="MF500" s="1785" t="str">
        <f t="shared" si="323"/>
        <v/>
      </c>
      <c r="MG500" s="1785" t="str">
        <f t="shared" si="324"/>
        <v/>
      </c>
      <c r="MH500" s="1785" t="str">
        <f t="shared" si="325"/>
        <v/>
      </c>
      <c r="MI500" s="1785" t="str">
        <f t="shared" si="326"/>
        <v/>
      </c>
      <c r="MJ500" s="1785" t="str">
        <f t="shared" si="327"/>
        <v/>
      </c>
      <c r="MK500" s="1785" t="str">
        <f t="shared" si="328"/>
        <v/>
      </c>
      <c r="ML500" s="1785" t="str">
        <f t="shared" si="329"/>
        <v/>
      </c>
      <c r="MM500" s="1785" t="str">
        <f t="shared" si="330"/>
        <v/>
      </c>
      <c r="MN500" s="1785" t="str">
        <f t="shared" si="331"/>
        <v/>
      </c>
      <c r="MO500" s="1785" t="str">
        <f t="shared" si="332"/>
        <v/>
      </c>
      <c r="MP500" s="2470" t="str">
        <f t="shared" si="333"/>
        <v/>
      </c>
      <c r="MQ500" s="2470" t="str">
        <f t="shared" si="334"/>
        <v/>
      </c>
      <c r="MR500" s="2470" t="str">
        <f t="shared" si="335"/>
        <v/>
      </c>
      <c r="MS500" s="2470" t="str">
        <f t="shared" si="336"/>
        <v/>
      </c>
      <c r="MT500" s="2470" t="str">
        <f t="shared" si="337"/>
        <v/>
      </c>
      <c r="MU500" s="356" t="str">
        <f t="shared" si="338"/>
        <v/>
      </c>
      <c r="MV500" s="356" t="str">
        <f t="shared" si="339"/>
        <v/>
      </c>
      <c r="MW500" s="356" t="str">
        <f t="shared" si="340"/>
        <v/>
      </c>
      <c r="MX500" s="356" t="str">
        <f t="shared" si="341"/>
        <v/>
      </c>
      <c r="MY500" s="356" t="str">
        <f t="shared" si="342"/>
        <v/>
      </c>
      <c r="MZ500" s="356" t="str">
        <f t="shared" si="343"/>
        <v/>
      </c>
      <c r="NA500" s="356" t="str">
        <f t="shared" si="344"/>
        <v/>
      </c>
      <c r="NB500" s="356" t="str">
        <f t="shared" si="345"/>
        <v/>
      </c>
      <c r="NC500" s="356" t="str">
        <f t="shared" si="346"/>
        <v/>
      </c>
      <c r="ND500" s="356" t="str">
        <f t="shared" si="347"/>
        <v/>
      </c>
      <c r="NE500" s="356" t="str">
        <f t="shared" si="348"/>
        <v/>
      </c>
      <c r="NF500" s="356" t="str">
        <f t="shared" si="349"/>
        <v/>
      </c>
      <c r="NG500" s="356" t="str">
        <f t="shared" si="350"/>
        <v/>
      </c>
      <c r="NH500" s="356" t="str">
        <f t="shared" si="351"/>
        <v/>
      </c>
      <c r="NI500" s="356" t="str">
        <f t="shared" si="352"/>
        <v/>
      </c>
      <c r="NJ500" s="356" t="str">
        <f t="shared" si="353"/>
        <v/>
      </c>
      <c r="NK500" s="356" t="str">
        <f t="shared" si="354"/>
        <v/>
      </c>
      <c r="NL500" s="356" t="str">
        <f t="shared" si="355"/>
        <v/>
      </c>
      <c r="NM500" s="356" t="str">
        <f t="shared" si="356"/>
        <v/>
      </c>
      <c r="NN500" s="356" t="str">
        <f t="shared" si="357"/>
        <v/>
      </c>
      <c r="NO500" s="1640">
        <f t="shared" si="358"/>
        <v>0</v>
      </c>
      <c r="NP500" s="1640">
        <f t="shared" si="359"/>
        <v>0</v>
      </c>
      <c r="NQ500" s="1640">
        <f t="shared" si="360"/>
        <v>0</v>
      </c>
      <c r="NR500" s="1640">
        <f t="shared" si="361"/>
        <v>0</v>
      </c>
      <c r="NS500" s="1640">
        <f t="shared" si="362"/>
        <v>0</v>
      </c>
      <c r="NT500" s="1640">
        <f t="shared" si="368"/>
        <v>0</v>
      </c>
      <c r="NU500" s="1640">
        <f t="shared" si="369"/>
        <v>0</v>
      </c>
      <c r="NV500" s="1640">
        <f t="shared" si="370"/>
        <v>0</v>
      </c>
      <c r="NW500" s="1640">
        <f t="shared" si="371"/>
        <v>0</v>
      </c>
      <c r="NX500" s="1640">
        <f t="shared" si="372"/>
        <v>0</v>
      </c>
      <c r="NY500" s="1640">
        <f t="shared" si="363"/>
        <v>0</v>
      </c>
      <c r="NZ500" s="1640">
        <f t="shared" si="364"/>
        <v>0</v>
      </c>
      <c r="OA500" s="1640">
        <f t="shared" si="365"/>
        <v>0</v>
      </c>
      <c r="OB500" s="1640">
        <f t="shared" si="366"/>
        <v>0</v>
      </c>
      <c r="OC500" s="1640">
        <f t="shared" si="367"/>
        <v>0</v>
      </c>
      <c r="OY500" s="356" t="s">
        <v>4333</v>
      </c>
      <c r="OZ500" s="1640">
        <v>47</v>
      </c>
    </row>
    <row r="501" spans="1:416" ht="12" customHeight="1">
      <c r="A501" s="2706" t="str">
        <f t="shared" si="0"/>
        <v/>
      </c>
      <c r="B501" s="2725">
        <f>'Part V-Revenues &amp; Expenses'!B48</f>
        <v>0</v>
      </c>
      <c r="C501" s="2726">
        <f>'Part V-Revenues &amp; Expenses'!C48</f>
        <v>0</v>
      </c>
      <c r="D501" s="2727">
        <f>'Part V-Revenues &amp; Expenses'!D48</f>
        <v>0</v>
      </c>
      <c r="E501" s="2728">
        <f>'Part V-Revenues &amp; Expenses'!E48</f>
        <v>0</v>
      </c>
      <c r="F501" s="2728">
        <f>'Part V-Revenues &amp; Expenses'!F48</f>
        <v>0</v>
      </c>
      <c r="G501" s="2728">
        <f>'Part V-Revenues &amp; Expenses'!G48</f>
        <v>0</v>
      </c>
      <c r="H501" s="2728">
        <f>'Part V-Revenues &amp; Expenses'!H48</f>
        <v>0</v>
      </c>
      <c r="I501" s="2728">
        <f>'Part V-Revenues &amp; Expenses'!I48</f>
        <v>0</v>
      </c>
      <c r="J501" s="2728">
        <f>'Part V-Revenues &amp; Expenses'!J48</f>
        <v>0</v>
      </c>
      <c r="K501" s="2729">
        <f>'Part V-Revenues &amp; Expenses'!K48</f>
        <v>0</v>
      </c>
      <c r="L501" s="2730">
        <f t="shared" si="1"/>
        <v>0</v>
      </c>
      <c r="M501" s="2730">
        <f t="shared" si="2"/>
        <v>0</v>
      </c>
      <c r="N501" s="2580">
        <f>'Part V-Revenues &amp; Expenses'!N48</f>
        <v>0</v>
      </c>
      <c r="O501" s="1248">
        <f>'Part V-Revenues &amp; Expenses'!O48</f>
        <v>0</v>
      </c>
      <c r="P501" s="2580">
        <f>'Part V-Revenues &amp; Expenses'!P48</f>
        <v>0</v>
      </c>
      <c r="Q501" s="2469">
        <f>'Part V-Revenues &amp; Expenses'!Q48</f>
        <v>0</v>
      </c>
      <c r="R501" s="2731"/>
      <c r="S501" s="2732"/>
      <c r="T501" s="2647"/>
      <c r="U501" s="2647"/>
      <c r="V501" s="2647"/>
      <c r="W501" s="2647"/>
      <c r="X501" s="356" t="str">
        <f t="shared" si="3"/>
        <v/>
      </c>
      <c r="Y501" s="356" t="str">
        <f t="shared" si="4"/>
        <v/>
      </c>
      <c r="Z501" s="356" t="str">
        <f t="shared" si="5"/>
        <v/>
      </c>
      <c r="AA501" s="356" t="str">
        <f t="shared" si="6"/>
        <v/>
      </c>
      <c r="AB501" s="356" t="str">
        <f t="shared" si="7"/>
        <v/>
      </c>
      <c r="AC501" s="356" t="str">
        <f t="shared" si="8"/>
        <v/>
      </c>
      <c r="AD501" s="356" t="str">
        <f t="shared" si="9"/>
        <v/>
      </c>
      <c r="AE501" s="356" t="str">
        <f t="shared" si="10"/>
        <v/>
      </c>
      <c r="AF501" s="356" t="str">
        <f t="shared" si="11"/>
        <v/>
      </c>
      <c r="AG501" s="356" t="str">
        <f t="shared" si="12"/>
        <v/>
      </c>
      <c r="AH501" s="356" t="str">
        <f t="shared" si="13"/>
        <v/>
      </c>
      <c r="AI501" s="356" t="str">
        <f t="shared" si="14"/>
        <v/>
      </c>
      <c r="AJ501" s="356" t="str">
        <f t="shared" si="15"/>
        <v/>
      </c>
      <c r="AK501" s="356" t="str">
        <f t="shared" si="16"/>
        <v/>
      </c>
      <c r="AL501" s="356" t="str">
        <f t="shared" si="17"/>
        <v/>
      </c>
      <c r="AM501" s="356" t="str">
        <f t="shared" si="18"/>
        <v/>
      </c>
      <c r="AN501" s="356" t="str">
        <f t="shared" si="19"/>
        <v/>
      </c>
      <c r="AO501" s="356" t="str">
        <f t="shared" si="20"/>
        <v/>
      </c>
      <c r="AP501" s="356" t="str">
        <f t="shared" si="21"/>
        <v/>
      </c>
      <c r="AQ501" s="356" t="str">
        <f t="shared" si="22"/>
        <v/>
      </c>
      <c r="AR501" s="356" t="str">
        <f t="shared" si="23"/>
        <v/>
      </c>
      <c r="AS501" s="356" t="str">
        <f t="shared" si="24"/>
        <v/>
      </c>
      <c r="AT501" s="356" t="str">
        <f t="shared" si="25"/>
        <v/>
      </c>
      <c r="AU501" s="356" t="str">
        <f t="shared" si="26"/>
        <v/>
      </c>
      <c r="AV501" s="356" t="str">
        <f t="shared" si="27"/>
        <v/>
      </c>
      <c r="AW501" s="356" t="str">
        <f t="shared" si="28"/>
        <v/>
      </c>
      <c r="AX501" s="356" t="str">
        <f t="shared" si="29"/>
        <v/>
      </c>
      <c r="AY501" s="356" t="str">
        <f t="shared" si="30"/>
        <v/>
      </c>
      <c r="AZ501" s="356" t="str">
        <f t="shared" si="31"/>
        <v/>
      </c>
      <c r="BA501" s="356" t="str">
        <f t="shared" si="32"/>
        <v/>
      </c>
      <c r="BB501" s="356" t="str">
        <f t="shared" si="33"/>
        <v/>
      </c>
      <c r="BC501" s="356" t="str">
        <f t="shared" si="34"/>
        <v/>
      </c>
      <c r="BD501" s="356" t="str">
        <f t="shared" si="35"/>
        <v/>
      </c>
      <c r="BE501" s="356" t="str">
        <f t="shared" si="36"/>
        <v/>
      </c>
      <c r="BF501" s="356" t="str">
        <f t="shared" si="37"/>
        <v/>
      </c>
      <c r="BG501" s="356" t="str">
        <f t="shared" si="38"/>
        <v/>
      </c>
      <c r="BH501" s="356" t="str">
        <f t="shared" si="39"/>
        <v/>
      </c>
      <c r="BI501" s="356" t="str">
        <f t="shared" si="40"/>
        <v/>
      </c>
      <c r="BJ501" s="356" t="str">
        <f t="shared" si="41"/>
        <v/>
      </c>
      <c r="BK501" s="356" t="str">
        <f t="shared" si="42"/>
        <v/>
      </c>
      <c r="BL501" s="356" t="str">
        <f t="shared" si="43"/>
        <v/>
      </c>
      <c r="BM501" s="356" t="str">
        <f t="shared" si="44"/>
        <v/>
      </c>
      <c r="BN501" s="356" t="str">
        <f t="shared" si="45"/>
        <v/>
      </c>
      <c r="BO501" s="356" t="str">
        <f t="shared" si="46"/>
        <v/>
      </c>
      <c r="BP501" s="356" t="str">
        <f t="shared" si="47"/>
        <v/>
      </c>
      <c r="BQ501" s="356" t="str">
        <f t="shared" si="48"/>
        <v/>
      </c>
      <c r="BR501" s="356" t="str">
        <f t="shared" si="49"/>
        <v/>
      </c>
      <c r="BS501" s="356" t="str">
        <f t="shared" si="50"/>
        <v/>
      </c>
      <c r="BT501" s="356" t="str">
        <f t="shared" si="51"/>
        <v/>
      </c>
      <c r="BU501" s="356" t="str">
        <f t="shared" si="52"/>
        <v/>
      </c>
      <c r="BV501" s="356" t="str">
        <f t="shared" si="53"/>
        <v/>
      </c>
      <c r="BW501" s="356" t="str">
        <f t="shared" si="54"/>
        <v/>
      </c>
      <c r="BX501" s="356" t="str">
        <f t="shared" si="55"/>
        <v/>
      </c>
      <c r="BY501" s="356" t="str">
        <f t="shared" si="56"/>
        <v/>
      </c>
      <c r="BZ501" s="356" t="str">
        <f t="shared" si="57"/>
        <v/>
      </c>
      <c r="CA501" s="356" t="str">
        <f t="shared" si="58"/>
        <v/>
      </c>
      <c r="CB501" s="356" t="str">
        <f t="shared" si="59"/>
        <v/>
      </c>
      <c r="CC501" s="356" t="str">
        <f t="shared" si="60"/>
        <v/>
      </c>
      <c r="CD501" s="356" t="str">
        <f t="shared" si="61"/>
        <v/>
      </c>
      <c r="CE501" s="356" t="str">
        <f t="shared" si="62"/>
        <v/>
      </c>
      <c r="CF501" s="356" t="str">
        <f t="shared" si="63"/>
        <v/>
      </c>
      <c r="CG501" s="356" t="str">
        <f t="shared" si="64"/>
        <v/>
      </c>
      <c r="CH501" s="356" t="str">
        <f t="shared" si="65"/>
        <v/>
      </c>
      <c r="CI501" s="356" t="str">
        <f t="shared" si="66"/>
        <v/>
      </c>
      <c r="CJ501" s="356" t="str">
        <f t="shared" si="67"/>
        <v/>
      </c>
      <c r="CK501" s="356" t="str">
        <f t="shared" si="68"/>
        <v/>
      </c>
      <c r="CL501" s="356" t="str">
        <f t="shared" si="69"/>
        <v/>
      </c>
      <c r="CM501" s="356" t="str">
        <f t="shared" si="70"/>
        <v/>
      </c>
      <c r="CN501" s="356" t="str">
        <f t="shared" si="71"/>
        <v/>
      </c>
      <c r="CO501" s="356" t="str">
        <f t="shared" si="72"/>
        <v/>
      </c>
      <c r="CP501" s="356" t="str">
        <f t="shared" si="73"/>
        <v/>
      </c>
      <c r="CQ501" s="356" t="str">
        <f t="shared" si="74"/>
        <v/>
      </c>
      <c r="CR501" s="356" t="str">
        <f t="shared" si="75"/>
        <v/>
      </c>
      <c r="CS501" s="356" t="str">
        <f t="shared" si="76"/>
        <v/>
      </c>
      <c r="CT501" s="356" t="str">
        <f t="shared" si="77"/>
        <v/>
      </c>
      <c r="CU501" s="356" t="str">
        <f t="shared" si="78"/>
        <v/>
      </c>
      <c r="CV501" s="356" t="str">
        <f t="shared" si="79"/>
        <v/>
      </c>
      <c r="CW501" s="356" t="str">
        <f t="shared" si="80"/>
        <v/>
      </c>
      <c r="CX501" s="356" t="str">
        <f t="shared" si="81"/>
        <v/>
      </c>
      <c r="CY501" s="356" t="str">
        <f t="shared" si="82"/>
        <v/>
      </c>
      <c r="CZ501" s="356" t="str">
        <f t="shared" si="83"/>
        <v/>
      </c>
      <c r="DA501" s="356" t="str">
        <f t="shared" si="84"/>
        <v/>
      </c>
      <c r="DB501" s="356" t="str">
        <f t="shared" si="85"/>
        <v/>
      </c>
      <c r="DC501" s="356" t="str">
        <f t="shared" si="86"/>
        <v/>
      </c>
      <c r="DD501" s="356" t="str">
        <f t="shared" si="87"/>
        <v/>
      </c>
      <c r="DE501" s="356" t="str">
        <f t="shared" si="88"/>
        <v/>
      </c>
      <c r="DF501" s="356" t="str">
        <f t="shared" si="89"/>
        <v/>
      </c>
      <c r="DG501" s="356" t="str">
        <f t="shared" si="90"/>
        <v/>
      </c>
      <c r="DH501" s="356" t="str">
        <f t="shared" si="91"/>
        <v/>
      </c>
      <c r="DI501" s="356" t="str">
        <f t="shared" si="92"/>
        <v/>
      </c>
      <c r="DJ501" s="356" t="str">
        <f t="shared" si="93"/>
        <v/>
      </c>
      <c r="DK501" s="356" t="str">
        <f t="shared" si="94"/>
        <v/>
      </c>
      <c r="DL501" s="356" t="str">
        <f t="shared" si="95"/>
        <v/>
      </c>
      <c r="DM501" s="356" t="str">
        <f t="shared" si="96"/>
        <v/>
      </c>
      <c r="DN501" s="356" t="str">
        <f t="shared" si="97"/>
        <v/>
      </c>
      <c r="DO501" s="356" t="str">
        <f t="shared" si="98"/>
        <v/>
      </c>
      <c r="DP501" s="356" t="str">
        <f t="shared" si="99"/>
        <v/>
      </c>
      <c r="DQ501" s="356" t="str">
        <f t="shared" si="100"/>
        <v/>
      </c>
      <c r="DR501" s="356" t="str">
        <f t="shared" si="101"/>
        <v/>
      </c>
      <c r="DS501" s="356" t="str">
        <f t="shared" si="102"/>
        <v/>
      </c>
      <c r="DT501" s="356" t="str">
        <f t="shared" si="103"/>
        <v/>
      </c>
      <c r="DU501" s="356" t="str">
        <f t="shared" si="104"/>
        <v/>
      </c>
      <c r="DV501" s="356" t="str">
        <f t="shared" si="105"/>
        <v/>
      </c>
      <c r="DW501" s="356" t="str">
        <f t="shared" si="106"/>
        <v/>
      </c>
      <c r="DX501" s="356" t="str">
        <f t="shared" si="107"/>
        <v/>
      </c>
      <c r="DY501" s="356" t="str">
        <f t="shared" si="108"/>
        <v/>
      </c>
      <c r="DZ501" s="356" t="str">
        <f t="shared" si="109"/>
        <v/>
      </c>
      <c r="EA501" s="356" t="str">
        <f t="shared" si="110"/>
        <v/>
      </c>
      <c r="EB501" s="356" t="str">
        <f t="shared" si="111"/>
        <v/>
      </c>
      <c r="EC501" s="356" t="str">
        <f t="shared" si="112"/>
        <v/>
      </c>
      <c r="ED501" s="356" t="str">
        <f t="shared" si="113"/>
        <v/>
      </c>
      <c r="EE501" s="356" t="str">
        <f t="shared" si="114"/>
        <v/>
      </c>
      <c r="EF501" s="356" t="str">
        <f t="shared" si="115"/>
        <v/>
      </c>
      <c r="EG501" s="356" t="str">
        <f t="shared" si="116"/>
        <v/>
      </c>
      <c r="EH501" s="356" t="str">
        <f t="shared" si="117"/>
        <v/>
      </c>
      <c r="EI501" s="356" t="str">
        <f t="shared" si="118"/>
        <v/>
      </c>
      <c r="EJ501" s="356" t="str">
        <f t="shared" si="119"/>
        <v/>
      </c>
      <c r="EK501" s="356" t="str">
        <f t="shared" si="120"/>
        <v/>
      </c>
      <c r="EL501" s="356" t="str">
        <f t="shared" si="121"/>
        <v/>
      </c>
      <c r="EM501" s="356" t="str">
        <f t="shared" si="122"/>
        <v/>
      </c>
      <c r="EN501" s="356" t="str">
        <f t="shared" si="123"/>
        <v/>
      </c>
      <c r="EO501" s="356" t="str">
        <f t="shared" si="124"/>
        <v/>
      </c>
      <c r="EP501" s="356" t="str">
        <f t="shared" si="125"/>
        <v/>
      </c>
      <c r="EQ501" s="356" t="str">
        <f t="shared" si="126"/>
        <v/>
      </c>
      <c r="ER501" s="356" t="str">
        <f t="shared" si="127"/>
        <v/>
      </c>
      <c r="ES501" s="356" t="str">
        <f t="shared" si="128"/>
        <v/>
      </c>
      <c r="ET501" s="356" t="str">
        <f t="shared" si="129"/>
        <v/>
      </c>
      <c r="EU501" s="356" t="str">
        <f t="shared" si="130"/>
        <v/>
      </c>
      <c r="EV501" s="356" t="str">
        <f t="shared" si="131"/>
        <v/>
      </c>
      <c r="EW501" s="356" t="str">
        <f t="shared" si="132"/>
        <v/>
      </c>
      <c r="EX501" s="356" t="str">
        <f t="shared" si="133"/>
        <v/>
      </c>
      <c r="EY501" s="356" t="str">
        <f t="shared" si="134"/>
        <v/>
      </c>
      <c r="EZ501" s="356" t="str">
        <f t="shared" si="135"/>
        <v/>
      </c>
      <c r="FA501" s="356" t="str">
        <f t="shared" si="136"/>
        <v/>
      </c>
      <c r="FB501" s="356" t="str">
        <f t="shared" si="137"/>
        <v/>
      </c>
      <c r="FC501" s="356" t="str">
        <f t="shared" si="138"/>
        <v/>
      </c>
      <c r="FD501" s="356" t="str">
        <f t="shared" si="139"/>
        <v/>
      </c>
      <c r="FE501" s="356" t="str">
        <f t="shared" si="140"/>
        <v/>
      </c>
      <c r="FF501" s="356" t="str">
        <f t="shared" si="141"/>
        <v/>
      </c>
      <c r="FG501" s="356" t="str">
        <f t="shared" si="142"/>
        <v/>
      </c>
      <c r="FH501" s="356" t="str">
        <f t="shared" si="143"/>
        <v/>
      </c>
      <c r="FI501" s="356" t="str">
        <f t="shared" si="144"/>
        <v/>
      </c>
      <c r="FJ501" s="356" t="str">
        <f t="shared" si="145"/>
        <v/>
      </c>
      <c r="FK501" s="356" t="str">
        <f t="shared" si="146"/>
        <v/>
      </c>
      <c r="FL501" s="356" t="str">
        <f t="shared" si="147"/>
        <v/>
      </c>
      <c r="FM501" s="356" t="str">
        <f t="shared" si="148"/>
        <v/>
      </c>
      <c r="FN501" s="356" t="str">
        <f t="shared" si="149"/>
        <v/>
      </c>
      <c r="FO501" s="356" t="str">
        <f t="shared" si="150"/>
        <v/>
      </c>
      <c r="FP501" s="356" t="str">
        <f t="shared" si="151"/>
        <v/>
      </c>
      <c r="FQ501" s="356" t="str">
        <f t="shared" si="152"/>
        <v/>
      </c>
      <c r="FR501" s="356" t="str">
        <f t="shared" si="153"/>
        <v/>
      </c>
      <c r="FS501" s="356" t="str">
        <f t="shared" si="154"/>
        <v/>
      </c>
      <c r="FT501" s="356" t="str">
        <f t="shared" si="155"/>
        <v/>
      </c>
      <c r="FU501" s="356" t="str">
        <f t="shared" si="156"/>
        <v/>
      </c>
      <c r="FV501" s="356" t="str">
        <f t="shared" si="157"/>
        <v/>
      </c>
      <c r="FW501" s="356" t="str">
        <f t="shared" si="158"/>
        <v/>
      </c>
      <c r="FX501" s="356" t="str">
        <f t="shared" si="159"/>
        <v/>
      </c>
      <c r="FY501" s="356" t="str">
        <f t="shared" si="160"/>
        <v/>
      </c>
      <c r="FZ501" s="356" t="str">
        <f t="shared" si="161"/>
        <v/>
      </c>
      <c r="GA501" s="356" t="str">
        <f t="shared" si="162"/>
        <v/>
      </c>
      <c r="GB501" s="356" t="str">
        <f t="shared" si="163"/>
        <v/>
      </c>
      <c r="GC501" s="356" t="str">
        <f t="shared" si="164"/>
        <v/>
      </c>
      <c r="GD501" s="356" t="str">
        <f t="shared" si="165"/>
        <v/>
      </c>
      <c r="GE501" s="356" t="str">
        <f t="shared" si="166"/>
        <v/>
      </c>
      <c r="GF501" s="356" t="str">
        <f t="shared" si="167"/>
        <v/>
      </c>
      <c r="GG501" s="356" t="str">
        <f t="shared" si="168"/>
        <v/>
      </c>
      <c r="GH501" s="356" t="str">
        <f t="shared" si="169"/>
        <v/>
      </c>
      <c r="GI501" s="356" t="str">
        <f t="shared" si="170"/>
        <v/>
      </c>
      <c r="GJ501" s="356" t="str">
        <f t="shared" si="171"/>
        <v/>
      </c>
      <c r="GK501" s="356" t="str">
        <f t="shared" si="172"/>
        <v/>
      </c>
      <c r="GL501" s="356" t="str">
        <f t="shared" si="173"/>
        <v/>
      </c>
      <c r="GM501" s="356" t="str">
        <f t="shared" si="174"/>
        <v/>
      </c>
      <c r="GN501" s="356" t="str">
        <f t="shared" si="175"/>
        <v/>
      </c>
      <c r="GO501" s="356" t="str">
        <f t="shared" si="176"/>
        <v/>
      </c>
      <c r="GP501" s="356" t="str">
        <f t="shared" si="177"/>
        <v/>
      </c>
      <c r="GQ501" s="356" t="str">
        <f t="shared" si="178"/>
        <v/>
      </c>
      <c r="GR501" s="356" t="str">
        <f t="shared" si="179"/>
        <v/>
      </c>
      <c r="GS501" s="356" t="str">
        <f t="shared" si="180"/>
        <v/>
      </c>
      <c r="GT501" s="356" t="str">
        <f t="shared" si="181"/>
        <v/>
      </c>
      <c r="GU501" s="356" t="str">
        <f t="shared" si="182"/>
        <v/>
      </c>
      <c r="GV501" s="356" t="str">
        <f t="shared" si="183"/>
        <v/>
      </c>
      <c r="GW501" s="356" t="str">
        <f t="shared" si="184"/>
        <v/>
      </c>
      <c r="GX501" s="356" t="str">
        <f t="shared" si="185"/>
        <v/>
      </c>
      <c r="GY501" s="356" t="str">
        <f t="shared" si="186"/>
        <v/>
      </c>
      <c r="GZ501" s="356" t="str">
        <f t="shared" si="187"/>
        <v/>
      </c>
      <c r="HA501" s="356" t="str">
        <f t="shared" si="188"/>
        <v/>
      </c>
      <c r="HB501" s="356" t="str">
        <f t="shared" si="189"/>
        <v/>
      </c>
      <c r="HC501" s="356" t="str">
        <f t="shared" si="190"/>
        <v/>
      </c>
      <c r="HD501" s="356" t="str">
        <f t="shared" si="191"/>
        <v/>
      </c>
      <c r="HE501" s="356" t="str">
        <f t="shared" si="192"/>
        <v/>
      </c>
      <c r="HF501" s="356" t="str">
        <f t="shared" si="193"/>
        <v/>
      </c>
      <c r="HG501" s="356" t="str">
        <f t="shared" si="194"/>
        <v/>
      </c>
      <c r="HH501" s="356" t="str">
        <f t="shared" si="195"/>
        <v/>
      </c>
      <c r="HI501" s="356" t="str">
        <f t="shared" si="196"/>
        <v/>
      </c>
      <c r="HJ501" s="356" t="str">
        <f t="shared" si="197"/>
        <v/>
      </c>
      <c r="HK501" s="356" t="str">
        <f t="shared" si="198"/>
        <v/>
      </c>
      <c r="HL501" s="356" t="str">
        <f t="shared" si="199"/>
        <v/>
      </c>
      <c r="HM501" s="356" t="str">
        <f t="shared" si="200"/>
        <v/>
      </c>
      <c r="HN501" s="356" t="str">
        <f t="shared" si="201"/>
        <v/>
      </c>
      <c r="HO501" s="356" t="str">
        <f t="shared" si="202"/>
        <v/>
      </c>
      <c r="HP501" s="356" t="str">
        <f t="shared" si="203"/>
        <v/>
      </c>
      <c r="HQ501" s="356" t="str">
        <f t="shared" si="204"/>
        <v/>
      </c>
      <c r="HR501" s="356" t="str">
        <f t="shared" si="205"/>
        <v/>
      </c>
      <c r="HS501" s="356" t="str">
        <f t="shared" si="206"/>
        <v/>
      </c>
      <c r="HT501" s="356" t="str">
        <f t="shared" si="207"/>
        <v/>
      </c>
      <c r="HU501" s="356" t="str">
        <f t="shared" si="208"/>
        <v/>
      </c>
      <c r="HV501" s="356" t="str">
        <f t="shared" si="209"/>
        <v/>
      </c>
      <c r="HW501" s="356" t="str">
        <f t="shared" si="210"/>
        <v/>
      </c>
      <c r="HX501" s="356" t="str">
        <f t="shared" si="211"/>
        <v/>
      </c>
      <c r="HY501" s="356" t="str">
        <f t="shared" si="212"/>
        <v/>
      </c>
      <c r="HZ501" s="356" t="str">
        <f t="shared" si="213"/>
        <v/>
      </c>
      <c r="IA501" s="356" t="str">
        <f t="shared" si="214"/>
        <v/>
      </c>
      <c r="IB501" s="356" t="str">
        <f t="shared" si="215"/>
        <v/>
      </c>
      <c r="IC501" s="356" t="str">
        <f t="shared" si="216"/>
        <v/>
      </c>
      <c r="ID501" s="356" t="str">
        <f t="shared" si="217"/>
        <v/>
      </c>
      <c r="IE501" s="356" t="str">
        <f t="shared" si="218"/>
        <v/>
      </c>
      <c r="IF501" s="356" t="str">
        <f t="shared" si="219"/>
        <v/>
      </c>
      <c r="IG501" s="356" t="str">
        <f t="shared" si="220"/>
        <v/>
      </c>
      <c r="IH501" s="356" t="str">
        <f t="shared" si="221"/>
        <v/>
      </c>
      <c r="II501" s="356" t="str">
        <f t="shared" si="222"/>
        <v/>
      </c>
      <c r="IJ501" s="356" t="str">
        <f t="shared" si="223"/>
        <v/>
      </c>
      <c r="IK501" s="356" t="str">
        <f t="shared" si="224"/>
        <v/>
      </c>
      <c r="IL501" s="356" t="str">
        <f t="shared" si="225"/>
        <v/>
      </c>
      <c r="IM501" s="356" t="str">
        <f t="shared" si="226"/>
        <v/>
      </c>
      <c r="IN501" s="356" t="str">
        <f t="shared" si="227"/>
        <v/>
      </c>
      <c r="IO501" s="356" t="str">
        <f t="shared" si="228"/>
        <v/>
      </c>
      <c r="IP501" s="356" t="str">
        <f t="shared" si="229"/>
        <v/>
      </c>
      <c r="IQ501" s="356" t="str">
        <f t="shared" si="230"/>
        <v/>
      </c>
      <c r="IR501" s="356" t="str">
        <f t="shared" si="231"/>
        <v/>
      </c>
      <c r="IS501" s="356" t="str">
        <f t="shared" si="232"/>
        <v/>
      </c>
      <c r="IT501" s="356" t="str">
        <f t="shared" si="233"/>
        <v/>
      </c>
      <c r="IU501" s="356" t="str">
        <f t="shared" si="234"/>
        <v/>
      </c>
      <c r="IV501" s="356" t="str">
        <f t="shared" si="235"/>
        <v/>
      </c>
      <c r="IW501" s="356" t="str">
        <f t="shared" si="236"/>
        <v/>
      </c>
      <c r="IX501" s="356" t="str">
        <f t="shared" si="237"/>
        <v/>
      </c>
      <c r="IY501" s="356" t="str">
        <f t="shared" si="238"/>
        <v/>
      </c>
      <c r="IZ501" s="356" t="str">
        <f t="shared" si="239"/>
        <v/>
      </c>
      <c r="JA501" s="356" t="str">
        <f t="shared" si="240"/>
        <v/>
      </c>
      <c r="JB501" s="356" t="str">
        <f t="shared" si="241"/>
        <v/>
      </c>
      <c r="JC501" s="356" t="str">
        <f t="shared" si="242"/>
        <v/>
      </c>
      <c r="JD501" s="356" t="str">
        <f t="shared" si="243"/>
        <v/>
      </c>
      <c r="JE501" s="356" t="str">
        <f t="shared" si="244"/>
        <v/>
      </c>
      <c r="JF501" s="356" t="str">
        <f t="shared" si="245"/>
        <v/>
      </c>
      <c r="JG501" s="356" t="str">
        <f t="shared" si="246"/>
        <v/>
      </c>
      <c r="JH501" s="356" t="str">
        <f t="shared" si="247"/>
        <v/>
      </c>
      <c r="JI501" s="1785" t="str">
        <f t="shared" si="248"/>
        <v/>
      </c>
      <c r="JJ501" s="1785" t="str">
        <f t="shared" si="249"/>
        <v/>
      </c>
      <c r="JK501" s="1785" t="str">
        <f t="shared" si="250"/>
        <v/>
      </c>
      <c r="JL501" s="1785" t="str">
        <f t="shared" si="251"/>
        <v/>
      </c>
      <c r="JM501" s="1785" t="str">
        <f t="shared" si="252"/>
        <v/>
      </c>
      <c r="JN501" s="1785" t="str">
        <f t="shared" si="253"/>
        <v/>
      </c>
      <c r="JO501" s="1785" t="str">
        <f t="shared" si="254"/>
        <v/>
      </c>
      <c r="JP501" s="1785" t="str">
        <f t="shared" si="255"/>
        <v/>
      </c>
      <c r="JQ501" s="1785" t="str">
        <f t="shared" si="256"/>
        <v/>
      </c>
      <c r="JR501" s="1785" t="str">
        <f t="shared" si="257"/>
        <v/>
      </c>
      <c r="JS501" s="1785" t="str">
        <f t="shared" si="258"/>
        <v/>
      </c>
      <c r="JT501" s="1785" t="str">
        <f t="shared" si="259"/>
        <v/>
      </c>
      <c r="JU501" s="1785" t="str">
        <f t="shared" si="260"/>
        <v/>
      </c>
      <c r="JV501" s="1785" t="str">
        <f t="shared" si="261"/>
        <v/>
      </c>
      <c r="JW501" s="1785" t="str">
        <f t="shared" si="262"/>
        <v/>
      </c>
      <c r="JX501" s="1785" t="str">
        <f t="shared" si="263"/>
        <v/>
      </c>
      <c r="JY501" s="1785" t="str">
        <f t="shared" si="264"/>
        <v/>
      </c>
      <c r="JZ501" s="1785" t="str">
        <f t="shared" si="265"/>
        <v/>
      </c>
      <c r="KA501" s="1785" t="str">
        <f t="shared" si="266"/>
        <v/>
      </c>
      <c r="KB501" s="1785" t="str">
        <f t="shared" si="267"/>
        <v/>
      </c>
      <c r="KC501" s="1785" t="str">
        <f t="shared" si="268"/>
        <v/>
      </c>
      <c r="KD501" s="1785" t="str">
        <f t="shared" si="269"/>
        <v/>
      </c>
      <c r="KE501" s="1785" t="str">
        <f t="shared" si="270"/>
        <v/>
      </c>
      <c r="KF501" s="1785" t="str">
        <f t="shared" si="271"/>
        <v/>
      </c>
      <c r="KG501" s="1785" t="str">
        <f t="shared" si="272"/>
        <v/>
      </c>
      <c r="KH501" s="1785" t="str">
        <f t="shared" si="273"/>
        <v/>
      </c>
      <c r="KI501" s="1785" t="str">
        <f t="shared" si="274"/>
        <v/>
      </c>
      <c r="KJ501" s="1785" t="str">
        <f t="shared" si="275"/>
        <v/>
      </c>
      <c r="KK501" s="1785" t="str">
        <f t="shared" si="276"/>
        <v/>
      </c>
      <c r="KL501" s="1785" t="str">
        <f t="shared" si="277"/>
        <v/>
      </c>
      <c r="KM501" s="1785" t="str">
        <f t="shared" si="278"/>
        <v/>
      </c>
      <c r="KN501" s="1785" t="str">
        <f t="shared" si="279"/>
        <v/>
      </c>
      <c r="KO501" s="1785" t="str">
        <f t="shared" si="280"/>
        <v/>
      </c>
      <c r="KP501" s="1785" t="str">
        <f t="shared" si="281"/>
        <v/>
      </c>
      <c r="KQ501" s="1785" t="str">
        <f t="shared" si="282"/>
        <v/>
      </c>
      <c r="KR501" s="1785" t="str">
        <f t="shared" si="283"/>
        <v/>
      </c>
      <c r="KS501" s="1785" t="str">
        <f t="shared" si="284"/>
        <v/>
      </c>
      <c r="KT501" s="1785" t="str">
        <f t="shared" si="285"/>
        <v/>
      </c>
      <c r="KU501" s="1785" t="str">
        <f t="shared" si="286"/>
        <v/>
      </c>
      <c r="KV501" s="1785" t="str">
        <f t="shared" si="287"/>
        <v/>
      </c>
      <c r="KW501" s="1785" t="str">
        <f t="shared" si="288"/>
        <v/>
      </c>
      <c r="KX501" s="1785" t="str">
        <f t="shared" si="289"/>
        <v/>
      </c>
      <c r="KY501" s="1785" t="str">
        <f t="shared" si="290"/>
        <v/>
      </c>
      <c r="KZ501" s="1785" t="str">
        <f t="shared" si="291"/>
        <v/>
      </c>
      <c r="LA501" s="1785" t="str">
        <f t="shared" si="292"/>
        <v/>
      </c>
      <c r="LB501" s="1785" t="str">
        <f t="shared" si="293"/>
        <v/>
      </c>
      <c r="LC501" s="1785" t="str">
        <f t="shared" si="294"/>
        <v/>
      </c>
      <c r="LD501" s="1785" t="str">
        <f t="shared" si="295"/>
        <v/>
      </c>
      <c r="LE501" s="1785" t="str">
        <f t="shared" si="296"/>
        <v/>
      </c>
      <c r="LF501" s="1785" t="str">
        <f t="shared" si="297"/>
        <v/>
      </c>
      <c r="LG501" s="1785" t="str">
        <f t="shared" si="298"/>
        <v/>
      </c>
      <c r="LH501" s="1785" t="str">
        <f t="shared" si="299"/>
        <v/>
      </c>
      <c r="LI501" s="1785" t="str">
        <f t="shared" si="300"/>
        <v/>
      </c>
      <c r="LJ501" s="1785" t="str">
        <f t="shared" si="301"/>
        <v/>
      </c>
      <c r="LK501" s="1785" t="str">
        <f t="shared" si="302"/>
        <v/>
      </c>
      <c r="LL501" s="1785" t="str">
        <f t="shared" si="303"/>
        <v/>
      </c>
      <c r="LM501" s="1785" t="str">
        <f t="shared" si="304"/>
        <v/>
      </c>
      <c r="LN501" s="1785" t="str">
        <f t="shared" si="305"/>
        <v/>
      </c>
      <c r="LO501" s="1785" t="str">
        <f t="shared" si="306"/>
        <v/>
      </c>
      <c r="LP501" s="1785" t="str">
        <f t="shared" si="307"/>
        <v/>
      </c>
      <c r="LQ501" s="1785" t="str">
        <f t="shared" si="308"/>
        <v/>
      </c>
      <c r="LR501" s="1785" t="str">
        <f t="shared" si="309"/>
        <v/>
      </c>
      <c r="LS501" s="1785" t="str">
        <f t="shared" si="310"/>
        <v/>
      </c>
      <c r="LT501" s="1785" t="str">
        <f t="shared" si="311"/>
        <v/>
      </c>
      <c r="LU501" s="1785" t="str">
        <f t="shared" si="312"/>
        <v/>
      </c>
      <c r="LV501" s="1785" t="str">
        <f t="shared" si="313"/>
        <v/>
      </c>
      <c r="LW501" s="1785" t="str">
        <f t="shared" si="314"/>
        <v/>
      </c>
      <c r="LX501" s="1785" t="str">
        <f t="shared" si="315"/>
        <v/>
      </c>
      <c r="LY501" s="1785" t="str">
        <f t="shared" si="316"/>
        <v/>
      </c>
      <c r="LZ501" s="1785" t="str">
        <f t="shared" si="317"/>
        <v/>
      </c>
      <c r="MA501" s="1785" t="str">
        <f t="shared" si="318"/>
        <v/>
      </c>
      <c r="MB501" s="1785" t="str">
        <f t="shared" si="319"/>
        <v/>
      </c>
      <c r="MC501" s="1785" t="str">
        <f t="shared" si="320"/>
        <v/>
      </c>
      <c r="MD501" s="1785" t="str">
        <f t="shared" si="321"/>
        <v/>
      </c>
      <c r="ME501" s="1785" t="str">
        <f t="shared" si="322"/>
        <v/>
      </c>
      <c r="MF501" s="1785" t="str">
        <f t="shared" si="323"/>
        <v/>
      </c>
      <c r="MG501" s="1785" t="str">
        <f t="shared" si="324"/>
        <v/>
      </c>
      <c r="MH501" s="1785" t="str">
        <f t="shared" si="325"/>
        <v/>
      </c>
      <c r="MI501" s="1785" t="str">
        <f t="shared" si="326"/>
        <v/>
      </c>
      <c r="MJ501" s="1785" t="str">
        <f t="shared" si="327"/>
        <v/>
      </c>
      <c r="MK501" s="1785" t="str">
        <f t="shared" si="328"/>
        <v/>
      </c>
      <c r="ML501" s="1785" t="str">
        <f t="shared" si="329"/>
        <v/>
      </c>
      <c r="MM501" s="1785" t="str">
        <f t="shared" si="330"/>
        <v/>
      </c>
      <c r="MN501" s="1785" t="str">
        <f t="shared" si="331"/>
        <v/>
      </c>
      <c r="MO501" s="1785" t="str">
        <f t="shared" si="332"/>
        <v/>
      </c>
      <c r="MP501" s="2470" t="str">
        <f t="shared" si="333"/>
        <v/>
      </c>
      <c r="MQ501" s="2470" t="str">
        <f t="shared" si="334"/>
        <v/>
      </c>
      <c r="MR501" s="2470" t="str">
        <f t="shared" si="335"/>
        <v/>
      </c>
      <c r="MS501" s="2470" t="str">
        <f t="shared" si="336"/>
        <v/>
      </c>
      <c r="MT501" s="2470" t="str">
        <f t="shared" si="337"/>
        <v/>
      </c>
      <c r="MU501" s="356" t="str">
        <f t="shared" si="338"/>
        <v/>
      </c>
      <c r="MV501" s="356" t="str">
        <f t="shared" si="339"/>
        <v/>
      </c>
      <c r="MW501" s="356" t="str">
        <f t="shared" si="340"/>
        <v/>
      </c>
      <c r="MX501" s="356" t="str">
        <f t="shared" si="341"/>
        <v/>
      </c>
      <c r="MY501" s="356" t="str">
        <f t="shared" si="342"/>
        <v/>
      </c>
      <c r="MZ501" s="356" t="str">
        <f t="shared" si="343"/>
        <v/>
      </c>
      <c r="NA501" s="356" t="str">
        <f t="shared" si="344"/>
        <v/>
      </c>
      <c r="NB501" s="356" t="str">
        <f t="shared" si="345"/>
        <v/>
      </c>
      <c r="NC501" s="356" t="str">
        <f t="shared" si="346"/>
        <v/>
      </c>
      <c r="ND501" s="356" t="str">
        <f t="shared" si="347"/>
        <v/>
      </c>
      <c r="NE501" s="356" t="str">
        <f t="shared" si="348"/>
        <v/>
      </c>
      <c r="NF501" s="356" t="str">
        <f t="shared" si="349"/>
        <v/>
      </c>
      <c r="NG501" s="356" t="str">
        <f t="shared" si="350"/>
        <v/>
      </c>
      <c r="NH501" s="356" t="str">
        <f t="shared" si="351"/>
        <v/>
      </c>
      <c r="NI501" s="356" t="str">
        <f t="shared" si="352"/>
        <v/>
      </c>
      <c r="NJ501" s="356" t="str">
        <f t="shared" si="353"/>
        <v/>
      </c>
      <c r="NK501" s="356" t="str">
        <f t="shared" si="354"/>
        <v/>
      </c>
      <c r="NL501" s="356" t="str">
        <f t="shared" si="355"/>
        <v/>
      </c>
      <c r="NM501" s="356" t="str">
        <f t="shared" si="356"/>
        <v/>
      </c>
      <c r="NN501" s="356" t="str">
        <f t="shared" si="357"/>
        <v/>
      </c>
      <c r="NO501" s="1640">
        <f t="shared" si="358"/>
        <v>0</v>
      </c>
      <c r="NP501" s="1640">
        <f t="shared" si="359"/>
        <v>0</v>
      </c>
      <c r="NQ501" s="1640">
        <f t="shared" si="360"/>
        <v>0</v>
      </c>
      <c r="NR501" s="1640">
        <f t="shared" si="361"/>
        <v>0</v>
      </c>
      <c r="NS501" s="1640">
        <f t="shared" si="362"/>
        <v>0</v>
      </c>
      <c r="NT501" s="1640">
        <f t="shared" si="368"/>
        <v>0</v>
      </c>
      <c r="NU501" s="1640">
        <f t="shared" si="369"/>
        <v>0</v>
      </c>
      <c r="NV501" s="1640">
        <f t="shared" si="370"/>
        <v>0</v>
      </c>
      <c r="NW501" s="1640">
        <f t="shared" si="371"/>
        <v>0</v>
      </c>
      <c r="NX501" s="1640">
        <f t="shared" si="372"/>
        <v>0</v>
      </c>
      <c r="NY501" s="1640">
        <f t="shared" si="363"/>
        <v>0</v>
      </c>
      <c r="NZ501" s="1640">
        <f t="shared" si="364"/>
        <v>0</v>
      </c>
      <c r="OA501" s="1640">
        <f t="shared" si="365"/>
        <v>0</v>
      </c>
      <c r="OB501" s="1640">
        <f t="shared" si="366"/>
        <v>0</v>
      </c>
      <c r="OC501" s="1640">
        <f t="shared" si="367"/>
        <v>0</v>
      </c>
      <c r="OY501" s="356" t="s">
        <v>4333</v>
      </c>
      <c r="OZ501" s="1640">
        <v>48</v>
      </c>
    </row>
    <row r="502" spans="1:416" ht="12" customHeight="1">
      <c r="A502" s="2706" t="str">
        <f t="shared" si="0"/>
        <v/>
      </c>
      <c r="B502" s="2725">
        <f>'Part V-Revenues &amp; Expenses'!B49</f>
        <v>0</v>
      </c>
      <c r="C502" s="2726">
        <f>'Part V-Revenues &amp; Expenses'!C49</f>
        <v>0</v>
      </c>
      <c r="D502" s="2727">
        <f>'Part V-Revenues &amp; Expenses'!D49</f>
        <v>0</v>
      </c>
      <c r="E502" s="2728">
        <f>'Part V-Revenues &amp; Expenses'!E49</f>
        <v>0</v>
      </c>
      <c r="F502" s="2728">
        <f>'Part V-Revenues &amp; Expenses'!F49</f>
        <v>0</v>
      </c>
      <c r="G502" s="2728">
        <f>'Part V-Revenues &amp; Expenses'!G49</f>
        <v>0</v>
      </c>
      <c r="H502" s="2728">
        <f>'Part V-Revenues &amp; Expenses'!H49</f>
        <v>0</v>
      </c>
      <c r="I502" s="2728">
        <f>'Part V-Revenues &amp; Expenses'!I49</f>
        <v>0</v>
      </c>
      <c r="J502" s="2728">
        <f>'Part V-Revenues &amp; Expenses'!J49</f>
        <v>0</v>
      </c>
      <c r="K502" s="2729">
        <f>'Part V-Revenues &amp; Expenses'!K49</f>
        <v>0</v>
      </c>
      <c r="L502" s="2730">
        <f t="shared" si="1"/>
        <v>0</v>
      </c>
      <c r="M502" s="2730">
        <f t="shared" si="2"/>
        <v>0</v>
      </c>
      <c r="N502" s="2580">
        <f>'Part V-Revenues &amp; Expenses'!N49</f>
        <v>0</v>
      </c>
      <c r="O502" s="1248">
        <f>'Part V-Revenues &amp; Expenses'!O49</f>
        <v>0</v>
      </c>
      <c r="P502" s="2580">
        <f>'Part V-Revenues &amp; Expenses'!P49</f>
        <v>0</v>
      </c>
      <c r="Q502" s="2469">
        <f>'Part V-Revenues &amp; Expenses'!Q49</f>
        <v>0</v>
      </c>
      <c r="R502" s="2731"/>
      <c r="S502" s="2732"/>
      <c r="T502" s="2647"/>
      <c r="U502" s="2647"/>
      <c r="V502" s="2647"/>
      <c r="W502" s="2647"/>
      <c r="X502" s="356" t="str">
        <f t="shared" si="3"/>
        <v/>
      </c>
      <c r="Y502" s="356" t="str">
        <f t="shared" si="4"/>
        <v/>
      </c>
      <c r="Z502" s="356" t="str">
        <f t="shared" si="5"/>
        <v/>
      </c>
      <c r="AA502" s="356" t="str">
        <f t="shared" si="6"/>
        <v/>
      </c>
      <c r="AB502" s="356" t="str">
        <f t="shared" si="7"/>
        <v/>
      </c>
      <c r="AC502" s="356" t="str">
        <f t="shared" si="8"/>
        <v/>
      </c>
      <c r="AD502" s="356" t="str">
        <f t="shared" si="9"/>
        <v/>
      </c>
      <c r="AE502" s="356" t="str">
        <f t="shared" si="10"/>
        <v/>
      </c>
      <c r="AF502" s="356" t="str">
        <f t="shared" si="11"/>
        <v/>
      </c>
      <c r="AG502" s="356" t="str">
        <f t="shared" si="12"/>
        <v/>
      </c>
      <c r="AH502" s="356" t="str">
        <f t="shared" si="13"/>
        <v/>
      </c>
      <c r="AI502" s="356" t="str">
        <f t="shared" si="14"/>
        <v/>
      </c>
      <c r="AJ502" s="356" t="str">
        <f t="shared" si="15"/>
        <v/>
      </c>
      <c r="AK502" s="356" t="str">
        <f t="shared" si="16"/>
        <v/>
      </c>
      <c r="AL502" s="356" t="str">
        <f t="shared" si="17"/>
        <v/>
      </c>
      <c r="AM502" s="356" t="str">
        <f t="shared" si="18"/>
        <v/>
      </c>
      <c r="AN502" s="356" t="str">
        <f t="shared" si="19"/>
        <v/>
      </c>
      <c r="AO502" s="356" t="str">
        <f t="shared" si="20"/>
        <v/>
      </c>
      <c r="AP502" s="356" t="str">
        <f t="shared" si="21"/>
        <v/>
      </c>
      <c r="AQ502" s="356" t="str">
        <f t="shared" si="22"/>
        <v/>
      </c>
      <c r="AR502" s="356" t="str">
        <f t="shared" si="23"/>
        <v/>
      </c>
      <c r="AS502" s="356" t="str">
        <f t="shared" si="24"/>
        <v/>
      </c>
      <c r="AT502" s="356" t="str">
        <f t="shared" si="25"/>
        <v/>
      </c>
      <c r="AU502" s="356" t="str">
        <f t="shared" si="26"/>
        <v/>
      </c>
      <c r="AV502" s="356" t="str">
        <f t="shared" si="27"/>
        <v/>
      </c>
      <c r="AW502" s="356" t="str">
        <f t="shared" si="28"/>
        <v/>
      </c>
      <c r="AX502" s="356" t="str">
        <f t="shared" si="29"/>
        <v/>
      </c>
      <c r="AY502" s="356" t="str">
        <f t="shared" si="30"/>
        <v/>
      </c>
      <c r="AZ502" s="356" t="str">
        <f t="shared" si="31"/>
        <v/>
      </c>
      <c r="BA502" s="356" t="str">
        <f t="shared" si="32"/>
        <v/>
      </c>
      <c r="BB502" s="356" t="str">
        <f t="shared" si="33"/>
        <v/>
      </c>
      <c r="BC502" s="356" t="str">
        <f t="shared" si="34"/>
        <v/>
      </c>
      <c r="BD502" s="356" t="str">
        <f t="shared" si="35"/>
        <v/>
      </c>
      <c r="BE502" s="356" t="str">
        <f t="shared" si="36"/>
        <v/>
      </c>
      <c r="BF502" s="356" t="str">
        <f t="shared" si="37"/>
        <v/>
      </c>
      <c r="BG502" s="356" t="str">
        <f t="shared" si="38"/>
        <v/>
      </c>
      <c r="BH502" s="356" t="str">
        <f t="shared" si="39"/>
        <v/>
      </c>
      <c r="BI502" s="356" t="str">
        <f t="shared" si="40"/>
        <v/>
      </c>
      <c r="BJ502" s="356" t="str">
        <f t="shared" si="41"/>
        <v/>
      </c>
      <c r="BK502" s="356" t="str">
        <f t="shared" si="42"/>
        <v/>
      </c>
      <c r="BL502" s="356" t="str">
        <f t="shared" si="43"/>
        <v/>
      </c>
      <c r="BM502" s="356" t="str">
        <f t="shared" si="44"/>
        <v/>
      </c>
      <c r="BN502" s="356" t="str">
        <f t="shared" si="45"/>
        <v/>
      </c>
      <c r="BO502" s="356" t="str">
        <f t="shared" si="46"/>
        <v/>
      </c>
      <c r="BP502" s="356" t="str">
        <f t="shared" si="47"/>
        <v/>
      </c>
      <c r="BQ502" s="356" t="str">
        <f t="shared" si="48"/>
        <v/>
      </c>
      <c r="BR502" s="356" t="str">
        <f t="shared" si="49"/>
        <v/>
      </c>
      <c r="BS502" s="356" t="str">
        <f t="shared" si="50"/>
        <v/>
      </c>
      <c r="BT502" s="356" t="str">
        <f t="shared" si="51"/>
        <v/>
      </c>
      <c r="BU502" s="356" t="str">
        <f t="shared" si="52"/>
        <v/>
      </c>
      <c r="BV502" s="356" t="str">
        <f t="shared" si="53"/>
        <v/>
      </c>
      <c r="BW502" s="356" t="str">
        <f t="shared" si="54"/>
        <v/>
      </c>
      <c r="BX502" s="356" t="str">
        <f t="shared" si="55"/>
        <v/>
      </c>
      <c r="BY502" s="356" t="str">
        <f t="shared" si="56"/>
        <v/>
      </c>
      <c r="BZ502" s="356" t="str">
        <f t="shared" si="57"/>
        <v/>
      </c>
      <c r="CA502" s="356" t="str">
        <f t="shared" si="58"/>
        <v/>
      </c>
      <c r="CB502" s="356" t="str">
        <f t="shared" si="59"/>
        <v/>
      </c>
      <c r="CC502" s="356" t="str">
        <f t="shared" si="60"/>
        <v/>
      </c>
      <c r="CD502" s="356" t="str">
        <f t="shared" si="61"/>
        <v/>
      </c>
      <c r="CE502" s="356" t="str">
        <f t="shared" si="62"/>
        <v/>
      </c>
      <c r="CF502" s="356" t="str">
        <f t="shared" si="63"/>
        <v/>
      </c>
      <c r="CG502" s="356" t="str">
        <f t="shared" si="64"/>
        <v/>
      </c>
      <c r="CH502" s="356" t="str">
        <f t="shared" si="65"/>
        <v/>
      </c>
      <c r="CI502" s="356" t="str">
        <f t="shared" si="66"/>
        <v/>
      </c>
      <c r="CJ502" s="356" t="str">
        <f t="shared" si="67"/>
        <v/>
      </c>
      <c r="CK502" s="356" t="str">
        <f t="shared" si="68"/>
        <v/>
      </c>
      <c r="CL502" s="356" t="str">
        <f t="shared" si="69"/>
        <v/>
      </c>
      <c r="CM502" s="356" t="str">
        <f t="shared" si="70"/>
        <v/>
      </c>
      <c r="CN502" s="356" t="str">
        <f t="shared" si="71"/>
        <v/>
      </c>
      <c r="CO502" s="356" t="str">
        <f t="shared" si="72"/>
        <v/>
      </c>
      <c r="CP502" s="356" t="str">
        <f t="shared" si="73"/>
        <v/>
      </c>
      <c r="CQ502" s="356" t="str">
        <f t="shared" si="74"/>
        <v/>
      </c>
      <c r="CR502" s="356" t="str">
        <f t="shared" si="75"/>
        <v/>
      </c>
      <c r="CS502" s="356" t="str">
        <f t="shared" si="76"/>
        <v/>
      </c>
      <c r="CT502" s="356" t="str">
        <f t="shared" si="77"/>
        <v/>
      </c>
      <c r="CU502" s="356" t="str">
        <f t="shared" si="78"/>
        <v/>
      </c>
      <c r="CV502" s="356" t="str">
        <f t="shared" si="79"/>
        <v/>
      </c>
      <c r="CW502" s="356" t="str">
        <f t="shared" si="80"/>
        <v/>
      </c>
      <c r="CX502" s="356" t="str">
        <f t="shared" si="81"/>
        <v/>
      </c>
      <c r="CY502" s="356" t="str">
        <f t="shared" si="82"/>
        <v/>
      </c>
      <c r="CZ502" s="356" t="str">
        <f t="shared" si="83"/>
        <v/>
      </c>
      <c r="DA502" s="356" t="str">
        <f t="shared" si="84"/>
        <v/>
      </c>
      <c r="DB502" s="356" t="str">
        <f t="shared" si="85"/>
        <v/>
      </c>
      <c r="DC502" s="356" t="str">
        <f t="shared" si="86"/>
        <v/>
      </c>
      <c r="DD502" s="356" t="str">
        <f t="shared" si="87"/>
        <v/>
      </c>
      <c r="DE502" s="356" t="str">
        <f t="shared" si="88"/>
        <v/>
      </c>
      <c r="DF502" s="356" t="str">
        <f t="shared" si="89"/>
        <v/>
      </c>
      <c r="DG502" s="356" t="str">
        <f t="shared" si="90"/>
        <v/>
      </c>
      <c r="DH502" s="356" t="str">
        <f t="shared" si="91"/>
        <v/>
      </c>
      <c r="DI502" s="356" t="str">
        <f t="shared" si="92"/>
        <v/>
      </c>
      <c r="DJ502" s="356" t="str">
        <f t="shared" si="93"/>
        <v/>
      </c>
      <c r="DK502" s="356" t="str">
        <f t="shared" si="94"/>
        <v/>
      </c>
      <c r="DL502" s="356" t="str">
        <f t="shared" si="95"/>
        <v/>
      </c>
      <c r="DM502" s="356" t="str">
        <f t="shared" si="96"/>
        <v/>
      </c>
      <c r="DN502" s="356" t="str">
        <f t="shared" si="97"/>
        <v/>
      </c>
      <c r="DO502" s="356" t="str">
        <f t="shared" si="98"/>
        <v/>
      </c>
      <c r="DP502" s="356" t="str">
        <f t="shared" si="99"/>
        <v/>
      </c>
      <c r="DQ502" s="356" t="str">
        <f t="shared" si="100"/>
        <v/>
      </c>
      <c r="DR502" s="356" t="str">
        <f t="shared" si="101"/>
        <v/>
      </c>
      <c r="DS502" s="356" t="str">
        <f t="shared" si="102"/>
        <v/>
      </c>
      <c r="DT502" s="356" t="str">
        <f t="shared" si="103"/>
        <v/>
      </c>
      <c r="DU502" s="356" t="str">
        <f t="shared" si="104"/>
        <v/>
      </c>
      <c r="DV502" s="356" t="str">
        <f t="shared" si="105"/>
        <v/>
      </c>
      <c r="DW502" s="356" t="str">
        <f t="shared" si="106"/>
        <v/>
      </c>
      <c r="DX502" s="356" t="str">
        <f t="shared" si="107"/>
        <v/>
      </c>
      <c r="DY502" s="356" t="str">
        <f t="shared" si="108"/>
        <v/>
      </c>
      <c r="DZ502" s="356" t="str">
        <f t="shared" si="109"/>
        <v/>
      </c>
      <c r="EA502" s="356" t="str">
        <f t="shared" si="110"/>
        <v/>
      </c>
      <c r="EB502" s="356" t="str">
        <f t="shared" si="111"/>
        <v/>
      </c>
      <c r="EC502" s="356" t="str">
        <f t="shared" si="112"/>
        <v/>
      </c>
      <c r="ED502" s="356" t="str">
        <f t="shared" si="113"/>
        <v/>
      </c>
      <c r="EE502" s="356" t="str">
        <f t="shared" si="114"/>
        <v/>
      </c>
      <c r="EF502" s="356" t="str">
        <f t="shared" si="115"/>
        <v/>
      </c>
      <c r="EG502" s="356" t="str">
        <f t="shared" si="116"/>
        <v/>
      </c>
      <c r="EH502" s="356" t="str">
        <f t="shared" si="117"/>
        <v/>
      </c>
      <c r="EI502" s="356" t="str">
        <f t="shared" si="118"/>
        <v/>
      </c>
      <c r="EJ502" s="356" t="str">
        <f t="shared" si="119"/>
        <v/>
      </c>
      <c r="EK502" s="356" t="str">
        <f t="shared" si="120"/>
        <v/>
      </c>
      <c r="EL502" s="356" t="str">
        <f t="shared" si="121"/>
        <v/>
      </c>
      <c r="EM502" s="356" t="str">
        <f t="shared" si="122"/>
        <v/>
      </c>
      <c r="EN502" s="356" t="str">
        <f t="shared" si="123"/>
        <v/>
      </c>
      <c r="EO502" s="356" t="str">
        <f t="shared" si="124"/>
        <v/>
      </c>
      <c r="EP502" s="356" t="str">
        <f t="shared" si="125"/>
        <v/>
      </c>
      <c r="EQ502" s="356" t="str">
        <f t="shared" si="126"/>
        <v/>
      </c>
      <c r="ER502" s="356" t="str">
        <f t="shared" si="127"/>
        <v/>
      </c>
      <c r="ES502" s="356" t="str">
        <f t="shared" si="128"/>
        <v/>
      </c>
      <c r="ET502" s="356" t="str">
        <f t="shared" si="129"/>
        <v/>
      </c>
      <c r="EU502" s="356" t="str">
        <f t="shared" si="130"/>
        <v/>
      </c>
      <c r="EV502" s="356" t="str">
        <f t="shared" si="131"/>
        <v/>
      </c>
      <c r="EW502" s="356" t="str">
        <f t="shared" si="132"/>
        <v/>
      </c>
      <c r="EX502" s="356" t="str">
        <f t="shared" si="133"/>
        <v/>
      </c>
      <c r="EY502" s="356" t="str">
        <f t="shared" si="134"/>
        <v/>
      </c>
      <c r="EZ502" s="356" t="str">
        <f t="shared" si="135"/>
        <v/>
      </c>
      <c r="FA502" s="356" t="str">
        <f t="shared" si="136"/>
        <v/>
      </c>
      <c r="FB502" s="356" t="str">
        <f t="shared" si="137"/>
        <v/>
      </c>
      <c r="FC502" s="356" t="str">
        <f t="shared" si="138"/>
        <v/>
      </c>
      <c r="FD502" s="356" t="str">
        <f t="shared" si="139"/>
        <v/>
      </c>
      <c r="FE502" s="356" t="str">
        <f t="shared" si="140"/>
        <v/>
      </c>
      <c r="FF502" s="356" t="str">
        <f t="shared" si="141"/>
        <v/>
      </c>
      <c r="FG502" s="356" t="str">
        <f t="shared" si="142"/>
        <v/>
      </c>
      <c r="FH502" s="356" t="str">
        <f t="shared" si="143"/>
        <v/>
      </c>
      <c r="FI502" s="356" t="str">
        <f t="shared" si="144"/>
        <v/>
      </c>
      <c r="FJ502" s="356" t="str">
        <f t="shared" si="145"/>
        <v/>
      </c>
      <c r="FK502" s="356" t="str">
        <f t="shared" si="146"/>
        <v/>
      </c>
      <c r="FL502" s="356" t="str">
        <f t="shared" si="147"/>
        <v/>
      </c>
      <c r="FM502" s="356" t="str">
        <f t="shared" si="148"/>
        <v/>
      </c>
      <c r="FN502" s="356" t="str">
        <f t="shared" si="149"/>
        <v/>
      </c>
      <c r="FO502" s="356" t="str">
        <f t="shared" si="150"/>
        <v/>
      </c>
      <c r="FP502" s="356" t="str">
        <f t="shared" si="151"/>
        <v/>
      </c>
      <c r="FQ502" s="356" t="str">
        <f t="shared" si="152"/>
        <v/>
      </c>
      <c r="FR502" s="356" t="str">
        <f t="shared" si="153"/>
        <v/>
      </c>
      <c r="FS502" s="356" t="str">
        <f t="shared" si="154"/>
        <v/>
      </c>
      <c r="FT502" s="356" t="str">
        <f t="shared" si="155"/>
        <v/>
      </c>
      <c r="FU502" s="356" t="str">
        <f t="shared" si="156"/>
        <v/>
      </c>
      <c r="FV502" s="356" t="str">
        <f t="shared" si="157"/>
        <v/>
      </c>
      <c r="FW502" s="356" t="str">
        <f t="shared" si="158"/>
        <v/>
      </c>
      <c r="FX502" s="356" t="str">
        <f t="shared" si="159"/>
        <v/>
      </c>
      <c r="FY502" s="356" t="str">
        <f t="shared" si="160"/>
        <v/>
      </c>
      <c r="FZ502" s="356" t="str">
        <f t="shared" si="161"/>
        <v/>
      </c>
      <c r="GA502" s="356" t="str">
        <f t="shared" si="162"/>
        <v/>
      </c>
      <c r="GB502" s="356" t="str">
        <f t="shared" si="163"/>
        <v/>
      </c>
      <c r="GC502" s="356" t="str">
        <f t="shared" si="164"/>
        <v/>
      </c>
      <c r="GD502" s="356" t="str">
        <f t="shared" si="165"/>
        <v/>
      </c>
      <c r="GE502" s="356" t="str">
        <f t="shared" si="166"/>
        <v/>
      </c>
      <c r="GF502" s="356" t="str">
        <f t="shared" si="167"/>
        <v/>
      </c>
      <c r="GG502" s="356" t="str">
        <f t="shared" si="168"/>
        <v/>
      </c>
      <c r="GH502" s="356" t="str">
        <f t="shared" si="169"/>
        <v/>
      </c>
      <c r="GI502" s="356" t="str">
        <f t="shared" si="170"/>
        <v/>
      </c>
      <c r="GJ502" s="356" t="str">
        <f t="shared" si="171"/>
        <v/>
      </c>
      <c r="GK502" s="356" t="str">
        <f t="shared" si="172"/>
        <v/>
      </c>
      <c r="GL502" s="356" t="str">
        <f t="shared" si="173"/>
        <v/>
      </c>
      <c r="GM502" s="356" t="str">
        <f t="shared" si="174"/>
        <v/>
      </c>
      <c r="GN502" s="356" t="str">
        <f t="shared" si="175"/>
        <v/>
      </c>
      <c r="GO502" s="356" t="str">
        <f t="shared" si="176"/>
        <v/>
      </c>
      <c r="GP502" s="356" t="str">
        <f t="shared" si="177"/>
        <v/>
      </c>
      <c r="GQ502" s="356" t="str">
        <f t="shared" si="178"/>
        <v/>
      </c>
      <c r="GR502" s="356" t="str">
        <f t="shared" si="179"/>
        <v/>
      </c>
      <c r="GS502" s="356" t="str">
        <f t="shared" si="180"/>
        <v/>
      </c>
      <c r="GT502" s="356" t="str">
        <f t="shared" si="181"/>
        <v/>
      </c>
      <c r="GU502" s="356" t="str">
        <f t="shared" si="182"/>
        <v/>
      </c>
      <c r="GV502" s="356" t="str">
        <f t="shared" si="183"/>
        <v/>
      </c>
      <c r="GW502" s="356" t="str">
        <f t="shared" si="184"/>
        <v/>
      </c>
      <c r="GX502" s="356" t="str">
        <f t="shared" si="185"/>
        <v/>
      </c>
      <c r="GY502" s="356" t="str">
        <f t="shared" si="186"/>
        <v/>
      </c>
      <c r="GZ502" s="356" t="str">
        <f t="shared" si="187"/>
        <v/>
      </c>
      <c r="HA502" s="356" t="str">
        <f t="shared" si="188"/>
        <v/>
      </c>
      <c r="HB502" s="356" t="str">
        <f t="shared" si="189"/>
        <v/>
      </c>
      <c r="HC502" s="356" t="str">
        <f t="shared" si="190"/>
        <v/>
      </c>
      <c r="HD502" s="356" t="str">
        <f t="shared" si="191"/>
        <v/>
      </c>
      <c r="HE502" s="356" t="str">
        <f t="shared" si="192"/>
        <v/>
      </c>
      <c r="HF502" s="356" t="str">
        <f t="shared" si="193"/>
        <v/>
      </c>
      <c r="HG502" s="356" t="str">
        <f t="shared" si="194"/>
        <v/>
      </c>
      <c r="HH502" s="356" t="str">
        <f t="shared" si="195"/>
        <v/>
      </c>
      <c r="HI502" s="356" t="str">
        <f t="shared" si="196"/>
        <v/>
      </c>
      <c r="HJ502" s="356" t="str">
        <f t="shared" si="197"/>
        <v/>
      </c>
      <c r="HK502" s="356" t="str">
        <f t="shared" si="198"/>
        <v/>
      </c>
      <c r="HL502" s="356" t="str">
        <f t="shared" si="199"/>
        <v/>
      </c>
      <c r="HM502" s="356" t="str">
        <f t="shared" si="200"/>
        <v/>
      </c>
      <c r="HN502" s="356" t="str">
        <f t="shared" si="201"/>
        <v/>
      </c>
      <c r="HO502" s="356" t="str">
        <f t="shared" si="202"/>
        <v/>
      </c>
      <c r="HP502" s="356" t="str">
        <f t="shared" si="203"/>
        <v/>
      </c>
      <c r="HQ502" s="356" t="str">
        <f t="shared" si="204"/>
        <v/>
      </c>
      <c r="HR502" s="356" t="str">
        <f t="shared" si="205"/>
        <v/>
      </c>
      <c r="HS502" s="356" t="str">
        <f t="shared" si="206"/>
        <v/>
      </c>
      <c r="HT502" s="356" t="str">
        <f t="shared" si="207"/>
        <v/>
      </c>
      <c r="HU502" s="356" t="str">
        <f t="shared" si="208"/>
        <v/>
      </c>
      <c r="HV502" s="356" t="str">
        <f t="shared" si="209"/>
        <v/>
      </c>
      <c r="HW502" s="356" t="str">
        <f t="shared" si="210"/>
        <v/>
      </c>
      <c r="HX502" s="356" t="str">
        <f t="shared" si="211"/>
        <v/>
      </c>
      <c r="HY502" s="356" t="str">
        <f t="shared" si="212"/>
        <v/>
      </c>
      <c r="HZ502" s="356" t="str">
        <f t="shared" si="213"/>
        <v/>
      </c>
      <c r="IA502" s="356" t="str">
        <f t="shared" si="214"/>
        <v/>
      </c>
      <c r="IB502" s="356" t="str">
        <f t="shared" si="215"/>
        <v/>
      </c>
      <c r="IC502" s="356" t="str">
        <f t="shared" si="216"/>
        <v/>
      </c>
      <c r="ID502" s="356" t="str">
        <f t="shared" si="217"/>
        <v/>
      </c>
      <c r="IE502" s="356" t="str">
        <f t="shared" si="218"/>
        <v/>
      </c>
      <c r="IF502" s="356" t="str">
        <f t="shared" si="219"/>
        <v/>
      </c>
      <c r="IG502" s="356" t="str">
        <f t="shared" si="220"/>
        <v/>
      </c>
      <c r="IH502" s="356" t="str">
        <f t="shared" si="221"/>
        <v/>
      </c>
      <c r="II502" s="356" t="str">
        <f t="shared" si="222"/>
        <v/>
      </c>
      <c r="IJ502" s="356" t="str">
        <f t="shared" si="223"/>
        <v/>
      </c>
      <c r="IK502" s="356" t="str">
        <f t="shared" si="224"/>
        <v/>
      </c>
      <c r="IL502" s="356" t="str">
        <f t="shared" si="225"/>
        <v/>
      </c>
      <c r="IM502" s="356" t="str">
        <f t="shared" si="226"/>
        <v/>
      </c>
      <c r="IN502" s="356" t="str">
        <f t="shared" si="227"/>
        <v/>
      </c>
      <c r="IO502" s="356" t="str">
        <f t="shared" si="228"/>
        <v/>
      </c>
      <c r="IP502" s="356" t="str">
        <f t="shared" si="229"/>
        <v/>
      </c>
      <c r="IQ502" s="356" t="str">
        <f t="shared" si="230"/>
        <v/>
      </c>
      <c r="IR502" s="356" t="str">
        <f t="shared" si="231"/>
        <v/>
      </c>
      <c r="IS502" s="356" t="str">
        <f t="shared" si="232"/>
        <v/>
      </c>
      <c r="IT502" s="356" t="str">
        <f t="shared" si="233"/>
        <v/>
      </c>
      <c r="IU502" s="356" t="str">
        <f t="shared" si="234"/>
        <v/>
      </c>
      <c r="IV502" s="356" t="str">
        <f t="shared" si="235"/>
        <v/>
      </c>
      <c r="IW502" s="356" t="str">
        <f t="shared" si="236"/>
        <v/>
      </c>
      <c r="IX502" s="356" t="str">
        <f t="shared" si="237"/>
        <v/>
      </c>
      <c r="IY502" s="356" t="str">
        <f t="shared" si="238"/>
        <v/>
      </c>
      <c r="IZ502" s="356" t="str">
        <f t="shared" si="239"/>
        <v/>
      </c>
      <c r="JA502" s="356" t="str">
        <f t="shared" si="240"/>
        <v/>
      </c>
      <c r="JB502" s="356" t="str">
        <f t="shared" si="241"/>
        <v/>
      </c>
      <c r="JC502" s="356" t="str">
        <f t="shared" si="242"/>
        <v/>
      </c>
      <c r="JD502" s="356" t="str">
        <f t="shared" si="243"/>
        <v/>
      </c>
      <c r="JE502" s="356" t="str">
        <f t="shared" si="244"/>
        <v/>
      </c>
      <c r="JF502" s="356" t="str">
        <f t="shared" si="245"/>
        <v/>
      </c>
      <c r="JG502" s="356" t="str">
        <f t="shared" si="246"/>
        <v/>
      </c>
      <c r="JH502" s="356" t="str">
        <f t="shared" si="247"/>
        <v/>
      </c>
      <c r="JI502" s="1785" t="str">
        <f t="shared" si="248"/>
        <v/>
      </c>
      <c r="JJ502" s="1785" t="str">
        <f t="shared" si="249"/>
        <v/>
      </c>
      <c r="JK502" s="1785" t="str">
        <f t="shared" si="250"/>
        <v/>
      </c>
      <c r="JL502" s="1785" t="str">
        <f t="shared" si="251"/>
        <v/>
      </c>
      <c r="JM502" s="1785" t="str">
        <f t="shared" si="252"/>
        <v/>
      </c>
      <c r="JN502" s="1785" t="str">
        <f t="shared" si="253"/>
        <v/>
      </c>
      <c r="JO502" s="1785" t="str">
        <f t="shared" si="254"/>
        <v/>
      </c>
      <c r="JP502" s="1785" t="str">
        <f t="shared" si="255"/>
        <v/>
      </c>
      <c r="JQ502" s="1785" t="str">
        <f t="shared" si="256"/>
        <v/>
      </c>
      <c r="JR502" s="1785" t="str">
        <f t="shared" si="257"/>
        <v/>
      </c>
      <c r="JS502" s="1785" t="str">
        <f t="shared" si="258"/>
        <v/>
      </c>
      <c r="JT502" s="1785" t="str">
        <f t="shared" si="259"/>
        <v/>
      </c>
      <c r="JU502" s="1785" t="str">
        <f t="shared" si="260"/>
        <v/>
      </c>
      <c r="JV502" s="1785" t="str">
        <f t="shared" si="261"/>
        <v/>
      </c>
      <c r="JW502" s="1785" t="str">
        <f t="shared" si="262"/>
        <v/>
      </c>
      <c r="JX502" s="1785" t="str">
        <f t="shared" si="263"/>
        <v/>
      </c>
      <c r="JY502" s="1785" t="str">
        <f t="shared" si="264"/>
        <v/>
      </c>
      <c r="JZ502" s="1785" t="str">
        <f t="shared" si="265"/>
        <v/>
      </c>
      <c r="KA502" s="1785" t="str">
        <f t="shared" si="266"/>
        <v/>
      </c>
      <c r="KB502" s="1785" t="str">
        <f t="shared" si="267"/>
        <v/>
      </c>
      <c r="KC502" s="1785" t="str">
        <f t="shared" si="268"/>
        <v/>
      </c>
      <c r="KD502" s="1785" t="str">
        <f t="shared" si="269"/>
        <v/>
      </c>
      <c r="KE502" s="1785" t="str">
        <f t="shared" si="270"/>
        <v/>
      </c>
      <c r="KF502" s="1785" t="str">
        <f t="shared" si="271"/>
        <v/>
      </c>
      <c r="KG502" s="1785" t="str">
        <f t="shared" si="272"/>
        <v/>
      </c>
      <c r="KH502" s="1785" t="str">
        <f t="shared" si="273"/>
        <v/>
      </c>
      <c r="KI502" s="1785" t="str">
        <f t="shared" si="274"/>
        <v/>
      </c>
      <c r="KJ502" s="1785" t="str">
        <f t="shared" si="275"/>
        <v/>
      </c>
      <c r="KK502" s="1785" t="str">
        <f t="shared" si="276"/>
        <v/>
      </c>
      <c r="KL502" s="1785" t="str">
        <f t="shared" si="277"/>
        <v/>
      </c>
      <c r="KM502" s="1785" t="str">
        <f t="shared" si="278"/>
        <v/>
      </c>
      <c r="KN502" s="1785" t="str">
        <f t="shared" si="279"/>
        <v/>
      </c>
      <c r="KO502" s="1785" t="str">
        <f t="shared" si="280"/>
        <v/>
      </c>
      <c r="KP502" s="1785" t="str">
        <f t="shared" si="281"/>
        <v/>
      </c>
      <c r="KQ502" s="1785" t="str">
        <f t="shared" si="282"/>
        <v/>
      </c>
      <c r="KR502" s="1785" t="str">
        <f t="shared" si="283"/>
        <v/>
      </c>
      <c r="KS502" s="1785" t="str">
        <f t="shared" si="284"/>
        <v/>
      </c>
      <c r="KT502" s="1785" t="str">
        <f t="shared" si="285"/>
        <v/>
      </c>
      <c r="KU502" s="1785" t="str">
        <f t="shared" si="286"/>
        <v/>
      </c>
      <c r="KV502" s="1785" t="str">
        <f t="shared" si="287"/>
        <v/>
      </c>
      <c r="KW502" s="1785" t="str">
        <f t="shared" si="288"/>
        <v/>
      </c>
      <c r="KX502" s="1785" t="str">
        <f t="shared" si="289"/>
        <v/>
      </c>
      <c r="KY502" s="1785" t="str">
        <f t="shared" si="290"/>
        <v/>
      </c>
      <c r="KZ502" s="1785" t="str">
        <f t="shared" si="291"/>
        <v/>
      </c>
      <c r="LA502" s="1785" t="str">
        <f t="shared" si="292"/>
        <v/>
      </c>
      <c r="LB502" s="1785" t="str">
        <f t="shared" si="293"/>
        <v/>
      </c>
      <c r="LC502" s="1785" t="str">
        <f t="shared" si="294"/>
        <v/>
      </c>
      <c r="LD502" s="1785" t="str">
        <f t="shared" si="295"/>
        <v/>
      </c>
      <c r="LE502" s="1785" t="str">
        <f t="shared" si="296"/>
        <v/>
      </c>
      <c r="LF502" s="1785" t="str">
        <f t="shared" si="297"/>
        <v/>
      </c>
      <c r="LG502" s="1785" t="str">
        <f t="shared" si="298"/>
        <v/>
      </c>
      <c r="LH502" s="1785" t="str">
        <f t="shared" si="299"/>
        <v/>
      </c>
      <c r="LI502" s="1785" t="str">
        <f t="shared" si="300"/>
        <v/>
      </c>
      <c r="LJ502" s="1785" t="str">
        <f t="shared" si="301"/>
        <v/>
      </c>
      <c r="LK502" s="1785" t="str">
        <f t="shared" si="302"/>
        <v/>
      </c>
      <c r="LL502" s="1785" t="str">
        <f t="shared" si="303"/>
        <v/>
      </c>
      <c r="LM502" s="1785" t="str">
        <f t="shared" si="304"/>
        <v/>
      </c>
      <c r="LN502" s="1785" t="str">
        <f t="shared" si="305"/>
        <v/>
      </c>
      <c r="LO502" s="1785" t="str">
        <f t="shared" si="306"/>
        <v/>
      </c>
      <c r="LP502" s="1785" t="str">
        <f t="shared" si="307"/>
        <v/>
      </c>
      <c r="LQ502" s="1785" t="str">
        <f t="shared" si="308"/>
        <v/>
      </c>
      <c r="LR502" s="1785" t="str">
        <f t="shared" si="309"/>
        <v/>
      </c>
      <c r="LS502" s="1785" t="str">
        <f t="shared" si="310"/>
        <v/>
      </c>
      <c r="LT502" s="1785" t="str">
        <f t="shared" si="311"/>
        <v/>
      </c>
      <c r="LU502" s="1785" t="str">
        <f t="shared" si="312"/>
        <v/>
      </c>
      <c r="LV502" s="1785" t="str">
        <f t="shared" si="313"/>
        <v/>
      </c>
      <c r="LW502" s="1785" t="str">
        <f t="shared" si="314"/>
        <v/>
      </c>
      <c r="LX502" s="1785" t="str">
        <f t="shared" si="315"/>
        <v/>
      </c>
      <c r="LY502" s="1785" t="str">
        <f t="shared" si="316"/>
        <v/>
      </c>
      <c r="LZ502" s="1785" t="str">
        <f t="shared" si="317"/>
        <v/>
      </c>
      <c r="MA502" s="1785" t="str">
        <f t="shared" si="318"/>
        <v/>
      </c>
      <c r="MB502" s="1785" t="str">
        <f t="shared" si="319"/>
        <v/>
      </c>
      <c r="MC502" s="1785" t="str">
        <f t="shared" si="320"/>
        <v/>
      </c>
      <c r="MD502" s="1785" t="str">
        <f t="shared" si="321"/>
        <v/>
      </c>
      <c r="ME502" s="1785" t="str">
        <f t="shared" si="322"/>
        <v/>
      </c>
      <c r="MF502" s="1785" t="str">
        <f t="shared" si="323"/>
        <v/>
      </c>
      <c r="MG502" s="1785" t="str">
        <f t="shared" si="324"/>
        <v/>
      </c>
      <c r="MH502" s="1785" t="str">
        <f t="shared" si="325"/>
        <v/>
      </c>
      <c r="MI502" s="1785" t="str">
        <f t="shared" si="326"/>
        <v/>
      </c>
      <c r="MJ502" s="1785" t="str">
        <f t="shared" si="327"/>
        <v/>
      </c>
      <c r="MK502" s="1785" t="str">
        <f t="shared" si="328"/>
        <v/>
      </c>
      <c r="ML502" s="1785" t="str">
        <f t="shared" si="329"/>
        <v/>
      </c>
      <c r="MM502" s="1785" t="str">
        <f t="shared" si="330"/>
        <v/>
      </c>
      <c r="MN502" s="1785" t="str">
        <f t="shared" si="331"/>
        <v/>
      </c>
      <c r="MO502" s="1785" t="str">
        <f t="shared" si="332"/>
        <v/>
      </c>
      <c r="MP502" s="2470" t="str">
        <f t="shared" si="333"/>
        <v/>
      </c>
      <c r="MQ502" s="2470" t="str">
        <f t="shared" si="334"/>
        <v/>
      </c>
      <c r="MR502" s="2470" t="str">
        <f t="shared" si="335"/>
        <v/>
      </c>
      <c r="MS502" s="2470" t="str">
        <f t="shared" si="336"/>
        <v/>
      </c>
      <c r="MT502" s="2470" t="str">
        <f t="shared" si="337"/>
        <v/>
      </c>
      <c r="MU502" s="356" t="str">
        <f t="shared" si="338"/>
        <v/>
      </c>
      <c r="MV502" s="356" t="str">
        <f t="shared" si="339"/>
        <v/>
      </c>
      <c r="MW502" s="356" t="str">
        <f t="shared" si="340"/>
        <v/>
      </c>
      <c r="MX502" s="356" t="str">
        <f t="shared" si="341"/>
        <v/>
      </c>
      <c r="MY502" s="356" t="str">
        <f t="shared" si="342"/>
        <v/>
      </c>
      <c r="MZ502" s="356" t="str">
        <f t="shared" si="343"/>
        <v/>
      </c>
      <c r="NA502" s="356" t="str">
        <f t="shared" si="344"/>
        <v/>
      </c>
      <c r="NB502" s="356" t="str">
        <f t="shared" si="345"/>
        <v/>
      </c>
      <c r="NC502" s="356" t="str">
        <f t="shared" si="346"/>
        <v/>
      </c>
      <c r="ND502" s="356" t="str">
        <f t="shared" si="347"/>
        <v/>
      </c>
      <c r="NE502" s="356" t="str">
        <f t="shared" si="348"/>
        <v/>
      </c>
      <c r="NF502" s="356" t="str">
        <f t="shared" si="349"/>
        <v/>
      </c>
      <c r="NG502" s="356" t="str">
        <f t="shared" si="350"/>
        <v/>
      </c>
      <c r="NH502" s="356" t="str">
        <f t="shared" si="351"/>
        <v/>
      </c>
      <c r="NI502" s="356" t="str">
        <f t="shared" si="352"/>
        <v/>
      </c>
      <c r="NJ502" s="356" t="str">
        <f t="shared" si="353"/>
        <v/>
      </c>
      <c r="NK502" s="356" t="str">
        <f t="shared" si="354"/>
        <v/>
      </c>
      <c r="NL502" s="356" t="str">
        <f t="shared" si="355"/>
        <v/>
      </c>
      <c r="NM502" s="356" t="str">
        <f t="shared" si="356"/>
        <v/>
      </c>
      <c r="NN502" s="356" t="str">
        <f t="shared" si="357"/>
        <v/>
      </c>
      <c r="NO502" s="1640">
        <f t="shared" si="358"/>
        <v>0</v>
      </c>
      <c r="NP502" s="1640">
        <f t="shared" si="359"/>
        <v>0</v>
      </c>
      <c r="NQ502" s="1640">
        <f t="shared" si="360"/>
        <v>0</v>
      </c>
      <c r="NR502" s="1640">
        <f t="shared" si="361"/>
        <v>0</v>
      </c>
      <c r="NS502" s="1640">
        <f t="shared" si="362"/>
        <v>0</v>
      </c>
      <c r="NT502" s="1640">
        <f t="shared" si="368"/>
        <v>0</v>
      </c>
      <c r="NU502" s="1640">
        <f t="shared" si="369"/>
        <v>0</v>
      </c>
      <c r="NV502" s="1640">
        <f t="shared" si="370"/>
        <v>0</v>
      </c>
      <c r="NW502" s="1640">
        <f t="shared" si="371"/>
        <v>0</v>
      </c>
      <c r="NX502" s="1640">
        <f t="shared" si="372"/>
        <v>0</v>
      </c>
      <c r="NY502" s="1640">
        <f t="shared" si="363"/>
        <v>0</v>
      </c>
      <c r="NZ502" s="1640">
        <f t="shared" si="364"/>
        <v>0</v>
      </c>
      <c r="OA502" s="1640">
        <f t="shared" si="365"/>
        <v>0</v>
      </c>
      <c r="OB502" s="1640">
        <f t="shared" si="366"/>
        <v>0</v>
      </c>
      <c r="OC502" s="1640">
        <f t="shared" si="367"/>
        <v>0</v>
      </c>
      <c r="OY502" s="356" t="s">
        <v>4331</v>
      </c>
      <c r="OZ502" s="1784">
        <v>49</v>
      </c>
    </row>
    <row r="503" spans="1:416" ht="12" customHeight="1">
      <c r="A503" s="2706" t="str">
        <f t="shared" si="0"/>
        <v/>
      </c>
      <c r="B503" s="2725">
        <f>'Part V-Revenues &amp; Expenses'!B50</f>
        <v>0</v>
      </c>
      <c r="C503" s="2726">
        <f>'Part V-Revenues &amp; Expenses'!C50</f>
        <v>0</v>
      </c>
      <c r="D503" s="2727">
        <f>'Part V-Revenues &amp; Expenses'!D50</f>
        <v>0</v>
      </c>
      <c r="E503" s="2728">
        <f>'Part V-Revenues &amp; Expenses'!E50</f>
        <v>0</v>
      </c>
      <c r="F503" s="2728">
        <f>'Part V-Revenues &amp; Expenses'!F50</f>
        <v>0</v>
      </c>
      <c r="G503" s="2728">
        <f>'Part V-Revenues &amp; Expenses'!G50</f>
        <v>0</v>
      </c>
      <c r="H503" s="2728">
        <f>'Part V-Revenues &amp; Expenses'!H50</f>
        <v>0</v>
      </c>
      <c r="I503" s="2728">
        <f>'Part V-Revenues &amp; Expenses'!I50</f>
        <v>0</v>
      </c>
      <c r="J503" s="2728">
        <f>'Part V-Revenues &amp; Expenses'!J50</f>
        <v>0</v>
      </c>
      <c r="K503" s="2729">
        <f>'Part V-Revenues &amp; Expenses'!K50</f>
        <v>0</v>
      </c>
      <c r="L503" s="2730">
        <f t="shared" si="1"/>
        <v>0</v>
      </c>
      <c r="M503" s="2730">
        <f t="shared" si="2"/>
        <v>0</v>
      </c>
      <c r="N503" s="2580">
        <f>'Part V-Revenues &amp; Expenses'!N50</f>
        <v>0</v>
      </c>
      <c r="O503" s="1248">
        <f>'Part V-Revenues &amp; Expenses'!O50</f>
        <v>0</v>
      </c>
      <c r="P503" s="2580">
        <f>'Part V-Revenues &amp; Expenses'!P50</f>
        <v>0</v>
      </c>
      <c r="Q503" s="2469">
        <f>'Part V-Revenues &amp; Expenses'!Q50</f>
        <v>0</v>
      </c>
      <c r="R503" s="2731"/>
      <c r="S503" s="2732"/>
      <c r="T503" s="2647"/>
      <c r="U503" s="2647"/>
      <c r="V503" s="2647"/>
      <c r="W503" s="2647"/>
      <c r="X503" s="356" t="str">
        <f t="shared" si="3"/>
        <v/>
      </c>
      <c r="Y503" s="356" t="str">
        <f t="shared" si="4"/>
        <v/>
      </c>
      <c r="Z503" s="356" t="str">
        <f t="shared" si="5"/>
        <v/>
      </c>
      <c r="AA503" s="356" t="str">
        <f t="shared" si="6"/>
        <v/>
      </c>
      <c r="AB503" s="356" t="str">
        <f t="shared" si="7"/>
        <v/>
      </c>
      <c r="AC503" s="356" t="str">
        <f t="shared" si="8"/>
        <v/>
      </c>
      <c r="AD503" s="356" t="str">
        <f t="shared" si="9"/>
        <v/>
      </c>
      <c r="AE503" s="356" t="str">
        <f t="shared" si="10"/>
        <v/>
      </c>
      <c r="AF503" s="356" t="str">
        <f t="shared" si="11"/>
        <v/>
      </c>
      <c r="AG503" s="356" t="str">
        <f t="shared" si="12"/>
        <v/>
      </c>
      <c r="AH503" s="356" t="str">
        <f t="shared" si="13"/>
        <v/>
      </c>
      <c r="AI503" s="356" t="str">
        <f t="shared" si="14"/>
        <v/>
      </c>
      <c r="AJ503" s="356" t="str">
        <f t="shared" si="15"/>
        <v/>
      </c>
      <c r="AK503" s="356" t="str">
        <f t="shared" si="16"/>
        <v/>
      </c>
      <c r="AL503" s="356" t="str">
        <f t="shared" si="17"/>
        <v/>
      </c>
      <c r="AM503" s="356" t="str">
        <f t="shared" si="18"/>
        <v/>
      </c>
      <c r="AN503" s="356" t="str">
        <f t="shared" si="19"/>
        <v/>
      </c>
      <c r="AO503" s="356" t="str">
        <f t="shared" si="20"/>
        <v/>
      </c>
      <c r="AP503" s="356" t="str">
        <f t="shared" si="21"/>
        <v/>
      </c>
      <c r="AQ503" s="356" t="str">
        <f t="shared" si="22"/>
        <v/>
      </c>
      <c r="AR503" s="356" t="str">
        <f t="shared" si="23"/>
        <v/>
      </c>
      <c r="AS503" s="356" t="str">
        <f t="shared" si="24"/>
        <v/>
      </c>
      <c r="AT503" s="356" t="str">
        <f t="shared" si="25"/>
        <v/>
      </c>
      <c r="AU503" s="356" t="str">
        <f t="shared" si="26"/>
        <v/>
      </c>
      <c r="AV503" s="356" t="str">
        <f t="shared" si="27"/>
        <v/>
      </c>
      <c r="AW503" s="356" t="str">
        <f t="shared" si="28"/>
        <v/>
      </c>
      <c r="AX503" s="356" t="str">
        <f t="shared" si="29"/>
        <v/>
      </c>
      <c r="AY503" s="356" t="str">
        <f t="shared" si="30"/>
        <v/>
      </c>
      <c r="AZ503" s="356" t="str">
        <f t="shared" si="31"/>
        <v/>
      </c>
      <c r="BA503" s="356" t="str">
        <f t="shared" si="32"/>
        <v/>
      </c>
      <c r="BB503" s="356" t="str">
        <f t="shared" si="33"/>
        <v/>
      </c>
      <c r="BC503" s="356" t="str">
        <f t="shared" si="34"/>
        <v/>
      </c>
      <c r="BD503" s="356" t="str">
        <f t="shared" si="35"/>
        <v/>
      </c>
      <c r="BE503" s="356" t="str">
        <f t="shared" si="36"/>
        <v/>
      </c>
      <c r="BF503" s="356" t="str">
        <f t="shared" si="37"/>
        <v/>
      </c>
      <c r="BG503" s="356" t="str">
        <f t="shared" si="38"/>
        <v/>
      </c>
      <c r="BH503" s="356" t="str">
        <f t="shared" si="39"/>
        <v/>
      </c>
      <c r="BI503" s="356" t="str">
        <f t="shared" si="40"/>
        <v/>
      </c>
      <c r="BJ503" s="356" t="str">
        <f t="shared" si="41"/>
        <v/>
      </c>
      <c r="BK503" s="356" t="str">
        <f t="shared" si="42"/>
        <v/>
      </c>
      <c r="BL503" s="356" t="str">
        <f t="shared" si="43"/>
        <v/>
      </c>
      <c r="BM503" s="356" t="str">
        <f t="shared" si="44"/>
        <v/>
      </c>
      <c r="BN503" s="356" t="str">
        <f t="shared" si="45"/>
        <v/>
      </c>
      <c r="BO503" s="356" t="str">
        <f t="shared" si="46"/>
        <v/>
      </c>
      <c r="BP503" s="356" t="str">
        <f t="shared" si="47"/>
        <v/>
      </c>
      <c r="BQ503" s="356" t="str">
        <f t="shared" si="48"/>
        <v/>
      </c>
      <c r="BR503" s="356" t="str">
        <f t="shared" si="49"/>
        <v/>
      </c>
      <c r="BS503" s="356" t="str">
        <f t="shared" si="50"/>
        <v/>
      </c>
      <c r="BT503" s="356" t="str">
        <f t="shared" si="51"/>
        <v/>
      </c>
      <c r="BU503" s="356" t="str">
        <f t="shared" si="52"/>
        <v/>
      </c>
      <c r="BV503" s="356" t="str">
        <f t="shared" si="53"/>
        <v/>
      </c>
      <c r="BW503" s="356" t="str">
        <f t="shared" si="54"/>
        <v/>
      </c>
      <c r="BX503" s="356" t="str">
        <f t="shared" si="55"/>
        <v/>
      </c>
      <c r="BY503" s="356" t="str">
        <f t="shared" si="56"/>
        <v/>
      </c>
      <c r="BZ503" s="356" t="str">
        <f t="shared" si="57"/>
        <v/>
      </c>
      <c r="CA503" s="356" t="str">
        <f t="shared" si="58"/>
        <v/>
      </c>
      <c r="CB503" s="356" t="str">
        <f t="shared" si="59"/>
        <v/>
      </c>
      <c r="CC503" s="356" t="str">
        <f t="shared" si="60"/>
        <v/>
      </c>
      <c r="CD503" s="356" t="str">
        <f t="shared" si="61"/>
        <v/>
      </c>
      <c r="CE503" s="356" t="str">
        <f t="shared" si="62"/>
        <v/>
      </c>
      <c r="CF503" s="356" t="str">
        <f t="shared" si="63"/>
        <v/>
      </c>
      <c r="CG503" s="356" t="str">
        <f t="shared" si="64"/>
        <v/>
      </c>
      <c r="CH503" s="356" t="str">
        <f t="shared" si="65"/>
        <v/>
      </c>
      <c r="CI503" s="356" t="str">
        <f t="shared" si="66"/>
        <v/>
      </c>
      <c r="CJ503" s="356" t="str">
        <f t="shared" si="67"/>
        <v/>
      </c>
      <c r="CK503" s="356" t="str">
        <f t="shared" si="68"/>
        <v/>
      </c>
      <c r="CL503" s="356" t="str">
        <f t="shared" si="69"/>
        <v/>
      </c>
      <c r="CM503" s="356" t="str">
        <f t="shared" si="70"/>
        <v/>
      </c>
      <c r="CN503" s="356" t="str">
        <f t="shared" si="71"/>
        <v/>
      </c>
      <c r="CO503" s="356" t="str">
        <f t="shared" si="72"/>
        <v/>
      </c>
      <c r="CP503" s="356" t="str">
        <f t="shared" si="73"/>
        <v/>
      </c>
      <c r="CQ503" s="356" t="str">
        <f t="shared" si="74"/>
        <v/>
      </c>
      <c r="CR503" s="356" t="str">
        <f t="shared" si="75"/>
        <v/>
      </c>
      <c r="CS503" s="356" t="str">
        <f t="shared" si="76"/>
        <v/>
      </c>
      <c r="CT503" s="356" t="str">
        <f t="shared" si="77"/>
        <v/>
      </c>
      <c r="CU503" s="356" t="str">
        <f t="shared" si="78"/>
        <v/>
      </c>
      <c r="CV503" s="356" t="str">
        <f t="shared" si="79"/>
        <v/>
      </c>
      <c r="CW503" s="356" t="str">
        <f t="shared" si="80"/>
        <v/>
      </c>
      <c r="CX503" s="356" t="str">
        <f t="shared" si="81"/>
        <v/>
      </c>
      <c r="CY503" s="356" t="str">
        <f t="shared" si="82"/>
        <v/>
      </c>
      <c r="CZ503" s="356" t="str">
        <f t="shared" si="83"/>
        <v/>
      </c>
      <c r="DA503" s="356" t="str">
        <f t="shared" si="84"/>
        <v/>
      </c>
      <c r="DB503" s="356" t="str">
        <f t="shared" si="85"/>
        <v/>
      </c>
      <c r="DC503" s="356" t="str">
        <f t="shared" si="86"/>
        <v/>
      </c>
      <c r="DD503" s="356" t="str">
        <f t="shared" si="87"/>
        <v/>
      </c>
      <c r="DE503" s="356" t="str">
        <f t="shared" si="88"/>
        <v/>
      </c>
      <c r="DF503" s="356" t="str">
        <f t="shared" si="89"/>
        <v/>
      </c>
      <c r="DG503" s="356" t="str">
        <f t="shared" si="90"/>
        <v/>
      </c>
      <c r="DH503" s="356" t="str">
        <f t="shared" si="91"/>
        <v/>
      </c>
      <c r="DI503" s="356" t="str">
        <f t="shared" si="92"/>
        <v/>
      </c>
      <c r="DJ503" s="356" t="str">
        <f t="shared" si="93"/>
        <v/>
      </c>
      <c r="DK503" s="356" t="str">
        <f t="shared" si="94"/>
        <v/>
      </c>
      <c r="DL503" s="356" t="str">
        <f t="shared" si="95"/>
        <v/>
      </c>
      <c r="DM503" s="356" t="str">
        <f t="shared" si="96"/>
        <v/>
      </c>
      <c r="DN503" s="356" t="str">
        <f t="shared" si="97"/>
        <v/>
      </c>
      <c r="DO503" s="356" t="str">
        <f t="shared" si="98"/>
        <v/>
      </c>
      <c r="DP503" s="356" t="str">
        <f t="shared" si="99"/>
        <v/>
      </c>
      <c r="DQ503" s="356" t="str">
        <f t="shared" si="100"/>
        <v/>
      </c>
      <c r="DR503" s="356" t="str">
        <f t="shared" si="101"/>
        <v/>
      </c>
      <c r="DS503" s="356" t="str">
        <f t="shared" si="102"/>
        <v/>
      </c>
      <c r="DT503" s="356" t="str">
        <f t="shared" si="103"/>
        <v/>
      </c>
      <c r="DU503" s="356" t="str">
        <f t="shared" si="104"/>
        <v/>
      </c>
      <c r="DV503" s="356" t="str">
        <f t="shared" si="105"/>
        <v/>
      </c>
      <c r="DW503" s="356" t="str">
        <f t="shared" si="106"/>
        <v/>
      </c>
      <c r="DX503" s="356" t="str">
        <f t="shared" si="107"/>
        <v/>
      </c>
      <c r="DY503" s="356" t="str">
        <f t="shared" si="108"/>
        <v/>
      </c>
      <c r="DZ503" s="356" t="str">
        <f t="shared" si="109"/>
        <v/>
      </c>
      <c r="EA503" s="356" t="str">
        <f t="shared" si="110"/>
        <v/>
      </c>
      <c r="EB503" s="356" t="str">
        <f t="shared" si="111"/>
        <v/>
      </c>
      <c r="EC503" s="356" t="str">
        <f t="shared" si="112"/>
        <v/>
      </c>
      <c r="ED503" s="356" t="str">
        <f t="shared" si="113"/>
        <v/>
      </c>
      <c r="EE503" s="356" t="str">
        <f t="shared" si="114"/>
        <v/>
      </c>
      <c r="EF503" s="356" t="str">
        <f t="shared" si="115"/>
        <v/>
      </c>
      <c r="EG503" s="356" t="str">
        <f t="shared" si="116"/>
        <v/>
      </c>
      <c r="EH503" s="356" t="str">
        <f t="shared" si="117"/>
        <v/>
      </c>
      <c r="EI503" s="356" t="str">
        <f t="shared" si="118"/>
        <v/>
      </c>
      <c r="EJ503" s="356" t="str">
        <f t="shared" si="119"/>
        <v/>
      </c>
      <c r="EK503" s="356" t="str">
        <f t="shared" si="120"/>
        <v/>
      </c>
      <c r="EL503" s="356" t="str">
        <f t="shared" si="121"/>
        <v/>
      </c>
      <c r="EM503" s="356" t="str">
        <f t="shared" si="122"/>
        <v/>
      </c>
      <c r="EN503" s="356" t="str">
        <f t="shared" si="123"/>
        <v/>
      </c>
      <c r="EO503" s="356" t="str">
        <f t="shared" si="124"/>
        <v/>
      </c>
      <c r="EP503" s="356" t="str">
        <f t="shared" si="125"/>
        <v/>
      </c>
      <c r="EQ503" s="356" t="str">
        <f t="shared" si="126"/>
        <v/>
      </c>
      <c r="ER503" s="356" t="str">
        <f t="shared" si="127"/>
        <v/>
      </c>
      <c r="ES503" s="356" t="str">
        <f t="shared" si="128"/>
        <v/>
      </c>
      <c r="ET503" s="356" t="str">
        <f t="shared" si="129"/>
        <v/>
      </c>
      <c r="EU503" s="356" t="str">
        <f t="shared" si="130"/>
        <v/>
      </c>
      <c r="EV503" s="356" t="str">
        <f t="shared" si="131"/>
        <v/>
      </c>
      <c r="EW503" s="356" t="str">
        <f t="shared" si="132"/>
        <v/>
      </c>
      <c r="EX503" s="356" t="str">
        <f t="shared" si="133"/>
        <v/>
      </c>
      <c r="EY503" s="356" t="str">
        <f t="shared" si="134"/>
        <v/>
      </c>
      <c r="EZ503" s="356" t="str">
        <f t="shared" si="135"/>
        <v/>
      </c>
      <c r="FA503" s="356" t="str">
        <f t="shared" si="136"/>
        <v/>
      </c>
      <c r="FB503" s="356" t="str">
        <f t="shared" si="137"/>
        <v/>
      </c>
      <c r="FC503" s="356" t="str">
        <f t="shared" si="138"/>
        <v/>
      </c>
      <c r="FD503" s="356" t="str">
        <f t="shared" si="139"/>
        <v/>
      </c>
      <c r="FE503" s="356" t="str">
        <f t="shared" si="140"/>
        <v/>
      </c>
      <c r="FF503" s="356" t="str">
        <f t="shared" si="141"/>
        <v/>
      </c>
      <c r="FG503" s="356" t="str">
        <f t="shared" si="142"/>
        <v/>
      </c>
      <c r="FH503" s="356" t="str">
        <f t="shared" si="143"/>
        <v/>
      </c>
      <c r="FI503" s="356" t="str">
        <f t="shared" si="144"/>
        <v/>
      </c>
      <c r="FJ503" s="356" t="str">
        <f t="shared" si="145"/>
        <v/>
      </c>
      <c r="FK503" s="356" t="str">
        <f t="shared" si="146"/>
        <v/>
      </c>
      <c r="FL503" s="356" t="str">
        <f t="shared" si="147"/>
        <v/>
      </c>
      <c r="FM503" s="356" t="str">
        <f t="shared" si="148"/>
        <v/>
      </c>
      <c r="FN503" s="356" t="str">
        <f t="shared" si="149"/>
        <v/>
      </c>
      <c r="FO503" s="356" t="str">
        <f t="shared" si="150"/>
        <v/>
      </c>
      <c r="FP503" s="356" t="str">
        <f t="shared" si="151"/>
        <v/>
      </c>
      <c r="FQ503" s="356" t="str">
        <f t="shared" si="152"/>
        <v/>
      </c>
      <c r="FR503" s="356" t="str">
        <f t="shared" si="153"/>
        <v/>
      </c>
      <c r="FS503" s="356" t="str">
        <f t="shared" si="154"/>
        <v/>
      </c>
      <c r="FT503" s="356" t="str">
        <f t="shared" si="155"/>
        <v/>
      </c>
      <c r="FU503" s="356" t="str">
        <f t="shared" si="156"/>
        <v/>
      </c>
      <c r="FV503" s="356" t="str">
        <f t="shared" si="157"/>
        <v/>
      </c>
      <c r="FW503" s="356" t="str">
        <f t="shared" si="158"/>
        <v/>
      </c>
      <c r="FX503" s="356" t="str">
        <f t="shared" si="159"/>
        <v/>
      </c>
      <c r="FY503" s="356" t="str">
        <f t="shared" si="160"/>
        <v/>
      </c>
      <c r="FZ503" s="356" t="str">
        <f t="shared" si="161"/>
        <v/>
      </c>
      <c r="GA503" s="356" t="str">
        <f t="shared" si="162"/>
        <v/>
      </c>
      <c r="GB503" s="356" t="str">
        <f t="shared" si="163"/>
        <v/>
      </c>
      <c r="GC503" s="356" t="str">
        <f t="shared" si="164"/>
        <v/>
      </c>
      <c r="GD503" s="356" t="str">
        <f t="shared" si="165"/>
        <v/>
      </c>
      <c r="GE503" s="356" t="str">
        <f t="shared" si="166"/>
        <v/>
      </c>
      <c r="GF503" s="356" t="str">
        <f t="shared" si="167"/>
        <v/>
      </c>
      <c r="GG503" s="356" t="str">
        <f t="shared" si="168"/>
        <v/>
      </c>
      <c r="GH503" s="356" t="str">
        <f t="shared" si="169"/>
        <v/>
      </c>
      <c r="GI503" s="356" t="str">
        <f t="shared" si="170"/>
        <v/>
      </c>
      <c r="GJ503" s="356" t="str">
        <f t="shared" si="171"/>
        <v/>
      </c>
      <c r="GK503" s="356" t="str">
        <f t="shared" si="172"/>
        <v/>
      </c>
      <c r="GL503" s="356" t="str">
        <f t="shared" si="173"/>
        <v/>
      </c>
      <c r="GM503" s="356" t="str">
        <f t="shared" si="174"/>
        <v/>
      </c>
      <c r="GN503" s="356" t="str">
        <f t="shared" si="175"/>
        <v/>
      </c>
      <c r="GO503" s="356" t="str">
        <f t="shared" si="176"/>
        <v/>
      </c>
      <c r="GP503" s="356" t="str">
        <f t="shared" si="177"/>
        <v/>
      </c>
      <c r="GQ503" s="356" t="str">
        <f t="shared" si="178"/>
        <v/>
      </c>
      <c r="GR503" s="356" t="str">
        <f t="shared" si="179"/>
        <v/>
      </c>
      <c r="GS503" s="356" t="str">
        <f t="shared" si="180"/>
        <v/>
      </c>
      <c r="GT503" s="356" t="str">
        <f t="shared" si="181"/>
        <v/>
      </c>
      <c r="GU503" s="356" t="str">
        <f t="shared" si="182"/>
        <v/>
      </c>
      <c r="GV503" s="356" t="str">
        <f t="shared" si="183"/>
        <v/>
      </c>
      <c r="GW503" s="356" t="str">
        <f t="shared" si="184"/>
        <v/>
      </c>
      <c r="GX503" s="356" t="str">
        <f t="shared" si="185"/>
        <v/>
      </c>
      <c r="GY503" s="356" t="str">
        <f t="shared" si="186"/>
        <v/>
      </c>
      <c r="GZ503" s="356" t="str">
        <f t="shared" si="187"/>
        <v/>
      </c>
      <c r="HA503" s="356" t="str">
        <f t="shared" si="188"/>
        <v/>
      </c>
      <c r="HB503" s="356" t="str">
        <f t="shared" si="189"/>
        <v/>
      </c>
      <c r="HC503" s="356" t="str">
        <f t="shared" si="190"/>
        <v/>
      </c>
      <c r="HD503" s="356" t="str">
        <f t="shared" si="191"/>
        <v/>
      </c>
      <c r="HE503" s="356" t="str">
        <f t="shared" si="192"/>
        <v/>
      </c>
      <c r="HF503" s="356" t="str">
        <f t="shared" si="193"/>
        <v/>
      </c>
      <c r="HG503" s="356" t="str">
        <f t="shared" si="194"/>
        <v/>
      </c>
      <c r="HH503" s="356" t="str">
        <f t="shared" si="195"/>
        <v/>
      </c>
      <c r="HI503" s="356" t="str">
        <f t="shared" si="196"/>
        <v/>
      </c>
      <c r="HJ503" s="356" t="str">
        <f t="shared" si="197"/>
        <v/>
      </c>
      <c r="HK503" s="356" t="str">
        <f t="shared" si="198"/>
        <v/>
      </c>
      <c r="HL503" s="356" t="str">
        <f t="shared" si="199"/>
        <v/>
      </c>
      <c r="HM503" s="356" t="str">
        <f t="shared" si="200"/>
        <v/>
      </c>
      <c r="HN503" s="356" t="str">
        <f t="shared" si="201"/>
        <v/>
      </c>
      <c r="HO503" s="356" t="str">
        <f t="shared" si="202"/>
        <v/>
      </c>
      <c r="HP503" s="356" t="str">
        <f t="shared" si="203"/>
        <v/>
      </c>
      <c r="HQ503" s="356" t="str">
        <f t="shared" si="204"/>
        <v/>
      </c>
      <c r="HR503" s="356" t="str">
        <f t="shared" si="205"/>
        <v/>
      </c>
      <c r="HS503" s="356" t="str">
        <f t="shared" si="206"/>
        <v/>
      </c>
      <c r="HT503" s="356" t="str">
        <f t="shared" si="207"/>
        <v/>
      </c>
      <c r="HU503" s="356" t="str">
        <f t="shared" si="208"/>
        <v/>
      </c>
      <c r="HV503" s="356" t="str">
        <f t="shared" si="209"/>
        <v/>
      </c>
      <c r="HW503" s="356" t="str">
        <f t="shared" si="210"/>
        <v/>
      </c>
      <c r="HX503" s="356" t="str">
        <f t="shared" si="211"/>
        <v/>
      </c>
      <c r="HY503" s="356" t="str">
        <f t="shared" si="212"/>
        <v/>
      </c>
      <c r="HZ503" s="356" t="str">
        <f t="shared" si="213"/>
        <v/>
      </c>
      <c r="IA503" s="356" t="str">
        <f t="shared" si="214"/>
        <v/>
      </c>
      <c r="IB503" s="356" t="str">
        <f t="shared" si="215"/>
        <v/>
      </c>
      <c r="IC503" s="356" t="str">
        <f t="shared" si="216"/>
        <v/>
      </c>
      <c r="ID503" s="356" t="str">
        <f t="shared" si="217"/>
        <v/>
      </c>
      <c r="IE503" s="356" t="str">
        <f t="shared" si="218"/>
        <v/>
      </c>
      <c r="IF503" s="356" t="str">
        <f t="shared" si="219"/>
        <v/>
      </c>
      <c r="IG503" s="356" t="str">
        <f t="shared" si="220"/>
        <v/>
      </c>
      <c r="IH503" s="356" t="str">
        <f t="shared" si="221"/>
        <v/>
      </c>
      <c r="II503" s="356" t="str">
        <f t="shared" si="222"/>
        <v/>
      </c>
      <c r="IJ503" s="356" t="str">
        <f t="shared" si="223"/>
        <v/>
      </c>
      <c r="IK503" s="356" t="str">
        <f t="shared" si="224"/>
        <v/>
      </c>
      <c r="IL503" s="356" t="str">
        <f t="shared" si="225"/>
        <v/>
      </c>
      <c r="IM503" s="356" t="str">
        <f t="shared" si="226"/>
        <v/>
      </c>
      <c r="IN503" s="356" t="str">
        <f t="shared" si="227"/>
        <v/>
      </c>
      <c r="IO503" s="356" t="str">
        <f t="shared" si="228"/>
        <v/>
      </c>
      <c r="IP503" s="356" t="str">
        <f t="shared" si="229"/>
        <v/>
      </c>
      <c r="IQ503" s="356" t="str">
        <f t="shared" si="230"/>
        <v/>
      </c>
      <c r="IR503" s="356" t="str">
        <f t="shared" si="231"/>
        <v/>
      </c>
      <c r="IS503" s="356" t="str">
        <f t="shared" si="232"/>
        <v/>
      </c>
      <c r="IT503" s="356" t="str">
        <f t="shared" si="233"/>
        <v/>
      </c>
      <c r="IU503" s="356" t="str">
        <f t="shared" si="234"/>
        <v/>
      </c>
      <c r="IV503" s="356" t="str">
        <f t="shared" si="235"/>
        <v/>
      </c>
      <c r="IW503" s="356" t="str">
        <f t="shared" si="236"/>
        <v/>
      </c>
      <c r="IX503" s="356" t="str">
        <f t="shared" si="237"/>
        <v/>
      </c>
      <c r="IY503" s="356" t="str">
        <f t="shared" si="238"/>
        <v/>
      </c>
      <c r="IZ503" s="356" t="str">
        <f t="shared" si="239"/>
        <v/>
      </c>
      <c r="JA503" s="356" t="str">
        <f t="shared" si="240"/>
        <v/>
      </c>
      <c r="JB503" s="356" t="str">
        <f t="shared" si="241"/>
        <v/>
      </c>
      <c r="JC503" s="356" t="str">
        <f t="shared" si="242"/>
        <v/>
      </c>
      <c r="JD503" s="356" t="str">
        <f t="shared" si="243"/>
        <v/>
      </c>
      <c r="JE503" s="356" t="str">
        <f t="shared" si="244"/>
        <v/>
      </c>
      <c r="JF503" s="356" t="str">
        <f t="shared" si="245"/>
        <v/>
      </c>
      <c r="JG503" s="356" t="str">
        <f t="shared" si="246"/>
        <v/>
      </c>
      <c r="JH503" s="356" t="str">
        <f t="shared" si="247"/>
        <v/>
      </c>
      <c r="JI503" s="1785" t="str">
        <f t="shared" si="248"/>
        <v/>
      </c>
      <c r="JJ503" s="1785" t="str">
        <f t="shared" si="249"/>
        <v/>
      </c>
      <c r="JK503" s="1785" t="str">
        <f t="shared" si="250"/>
        <v/>
      </c>
      <c r="JL503" s="1785" t="str">
        <f t="shared" si="251"/>
        <v/>
      </c>
      <c r="JM503" s="1785" t="str">
        <f t="shared" si="252"/>
        <v/>
      </c>
      <c r="JN503" s="1785" t="str">
        <f t="shared" si="253"/>
        <v/>
      </c>
      <c r="JO503" s="1785" t="str">
        <f t="shared" si="254"/>
        <v/>
      </c>
      <c r="JP503" s="1785" t="str">
        <f t="shared" si="255"/>
        <v/>
      </c>
      <c r="JQ503" s="1785" t="str">
        <f t="shared" si="256"/>
        <v/>
      </c>
      <c r="JR503" s="1785" t="str">
        <f t="shared" si="257"/>
        <v/>
      </c>
      <c r="JS503" s="1785" t="str">
        <f t="shared" si="258"/>
        <v/>
      </c>
      <c r="JT503" s="1785" t="str">
        <f t="shared" si="259"/>
        <v/>
      </c>
      <c r="JU503" s="1785" t="str">
        <f t="shared" si="260"/>
        <v/>
      </c>
      <c r="JV503" s="1785" t="str">
        <f t="shared" si="261"/>
        <v/>
      </c>
      <c r="JW503" s="1785" t="str">
        <f t="shared" si="262"/>
        <v/>
      </c>
      <c r="JX503" s="1785" t="str">
        <f t="shared" si="263"/>
        <v/>
      </c>
      <c r="JY503" s="1785" t="str">
        <f t="shared" si="264"/>
        <v/>
      </c>
      <c r="JZ503" s="1785" t="str">
        <f t="shared" si="265"/>
        <v/>
      </c>
      <c r="KA503" s="1785" t="str">
        <f t="shared" si="266"/>
        <v/>
      </c>
      <c r="KB503" s="1785" t="str">
        <f t="shared" si="267"/>
        <v/>
      </c>
      <c r="KC503" s="1785" t="str">
        <f t="shared" si="268"/>
        <v/>
      </c>
      <c r="KD503" s="1785" t="str">
        <f t="shared" si="269"/>
        <v/>
      </c>
      <c r="KE503" s="1785" t="str">
        <f t="shared" si="270"/>
        <v/>
      </c>
      <c r="KF503" s="1785" t="str">
        <f t="shared" si="271"/>
        <v/>
      </c>
      <c r="KG503" s="1785" t="str">
        <f t="shared" si="272"/>
        <v/>
      </c>
      <c r="KH503" s="1785" t="str">
        <f t="shared" si="273"/>
        <v/>
      </c>
      <c r="KI503" s="1785" t="str">
        <f t="shared" si="274"/>
        <v/>
      </c>
      <c r="KJ503" s="1785" t="str">
        <f t="shared" si="275"/>
        <v/>
      </c>
      <c r="KK503" s="1785" t="str">
        <f t="shared" si="276"/>
        <v/>
      </c>
      <c r="KL503" s="1785" t="str">
        <f t="shared" si="277"/>
        <v/>
      </c>
      <c r="KM503" s="1785" t="str">
        <f t="shared" si="278"/>
        <v/>
      </c>
      <c r="KN503" s="1785" t="str">
        <f t="shared" si="279"/>
        <v/>
      </c>
      <c r="KO503" s="1785" t="str">
        <f t="shared" si="280"/>
        <v/>
      </c>
      <c r="KP503" s="1785" t="str">
        <f t="shared" si="281"/>
        <v/>
      </c>
      <c r="KQ503" s="1785" t="str">
        <f t="shared" si="282"/>
        <v/>
      </c>
      <c r="KR503" s="1785" t="str">
        <f t="shared" si="283"/>
        <v/>
      </c>
      <c r="KS503" s="1785" t="str">
        <f t="shared" si="284"/>
        <v/>
      </c>
      <c r="KT503" s="1785" t="str">
        <f t="shared" si="285"/>
        <v/>
      </c>
      <c r="KU503" s="1785" t="str">
        <f t="shared" si="286"/>
        <v/>
      </c>
      <c r="KV503" s="1785" t="str">
        <f t="shared" si="287"/>
        <v/>
      </c>
      <c r="KW503" s="1785" t="str">
        <f t="shared" si="288"/>
        <v/>
      </c>
      <c r="KX503" s="1785" t="str">
        <f t="shared" si="289"/>
        <v/>
      </c>
      <c r="KY503" s="1785" t="str">
        <f t="shared" si="290"/>
        <v/>
      </c>
      <c r="KZ503" s="1785" t="str">
        <f t="shared" si="291"/>
        <v/>
      </c>
      <c r="LA503" s="1785" t="str">
        <f t="shared" si="292"/>
        <v/>
      </c>
      <c r="LB503" s="1785" t="str">
        <f t="shared" si="293"/>
        <v/>
      </c>
      <c r="LC503" s="1785" t="str">
        <f t="shared" si="294"/>
        <v/>
      </c>
      <c r="LD503" s="1785" t="str">
        <f t="shared" si="295"/>
        <v/>
      </c>
      <c r="LE503" s="1785" t="str">
        <f t="shared" si="296"/>
        <v/>
      </c>
      <c r="LF503" s="1785" t="str">
        <f t="shared" si="297"/>
        <v/>
      </c>
      <c r="LG503" s="1785" t="str">
        <f t="shared" si="298"/>
        <v/>
      </c>
      <c r="LH503" s="1785" t="str">
        <f t="shared" si="299"/>
        <v/>
      </c>
      <c r="LI503" s="1785" t="str">
        <f t="shared" si="300"/>
        <v/>
      </c>
      <c r="LJ503" s="1785" t="str">
        <f t="shared" si="301"/>
        <v/>
      </c>
      <c r="LK503" s="1785" t="str">
        <f t="shared" si="302"/>
        <v/>
      </c>
      <c r="LL503" s="1785" t="str">
        <f t="shared" si="303"/>
        <v/>
      </c>
      <c r="LM503" s="1785" t="str">
        <f t="shared" si="304"/>
        <v/>
      </c>
      <c r="LN503" s="1785" t="str">
        <f t="shared" si="305"/>
        <v/>
      </c>
      <c r="LO503" s="1785" t="str">
        <f t="shared" si="306"/>
        <v/>
      </c>
      <c r="LP503" s="1785" t="str">
        <f t="shared" si="307"/>
        <v/>
      </c>
      <c r="LQ503" s="1785" t="str">
        <f t="shared" si="308"/>
        <v/>
      </c>
      <c r="LR503" s="1785" t="str">
        <f t="shared" si="309"/>
        <v/>
      </c>
      <c r="LS503" s="1785" t="str">
        <f t="shared" si="310"/>
        <v/>
      </c>
      <c r="LT503" s="1785" t="str">
        <f t="shared" si="311"/>
        <v/>
      </c>
      <c r="LU503" s="1785" t="str">
        <f t="shared" si="312"/>
        <v/>
      </c>
      <c r="LV503" s="1785" t="str">
        <f t="shared" si="313"/>
        <v/>
      </c>
      <c r="LW503" s="1785" t="str">
        <f t="shared" si="314"/>
        <v/>
      </c>
      <c r="LX503" s="1785" t="str">
        <f t="shared" si="315"/>
        <v/>
      </c>
      <c r="LY503" s="1785" t="str">
        <f t="shared" si="316"/>
        <v/>
      </c>
      <c r="LZ503" s="1785" t="str">
        <f t="shared" si="317"/>
        <v/>
      </c>
      <c r="MA503" s="1785" t="str">
        <f t="shared" si="318"/>
        <v/>
      </c>
      <c r="MB503" s="1785" t="str">
        <f t="shared" si="319"/>
        <v/>
      </c>
      <c r="MC503" s="1785" t="str">
        <f t="shared" si="320"/>
        <v/>
      </c>
      <c r="MD503" s="1785" t="str">
        <f t="shared" si="321"/>
        <v/>
      </c>
      <c r="ME503" s="1785" t="str">
        <f t="shared" si="322"/>
        <v/>
      </c>
      <c r="MF503" s="1785" t="str">
        <f t="shared" si="323"/>
        <v/>
      </c>
      <c r="MG503" s="1785" t="str">
        <f t="shared" si="324"/>
        <v/>
      </c>
      <c r="MH503" s="1785" t="str">
        <f t="shared" si="325"/>
        <v/>
      </c>
      <c r="MI503" s="1785" t="str">
        <f t="shared" si="326"/>
        <v/>
      </c>
      <c r="MJ503" s="1785" t="str">
        <f t="shared" si="327"/>
        <v/>
      </c>
      <c r="MK503" s="1785" t="str">
        <f t="shared" si="328"/>
        <v/>
      </c>
      <c r="ML503" s="1785" t="str">
        <f t="shared" si="329"/>
        <v/>
      </c>
      <c r="MM503" s="1785" t="str">
        <f t="shared" si="330"/>
        <v/>
      </c>
      <c r="MN503" s="1785" t="str">
        <f t="shared" si="331"/>
        <v/>
      </c>
      <c r="MO503" s="1785" t="str">
        <f t="shared" si="332"/>
        <v/>
      </c>
      <c r="MP503" s="2470" t="str">
        <f t="shared" si="333"/>
        <v/>
      </c>
      <c r="MQ503" s="2470" t="str">
        <f t="shared" si="334"/>
        <v/>
      </c>
      <c r="MR503" s="2470" t="str">
        <f t="shared" si="335"/>
        <v/>
      </c>
      <c r="MS503" s="2470" t="str">
        <f t="shared" si="336"/>
        <v/>
      </c>
      <c r="MT503" s="2470" t="str">
        <f t="shared" si="337"/>
        <v/>
      </c>
      <c r="MU503" s="356" t="str">
        <f t="shared" si="338"/>
        <v/>
      </c>
      <c r="MV503" s="356" t="str">
        <f t="shared" si="339"/>
        <v/>
      </c>
      <c r="MW503" s="356" t="str">
        <f t="shared" si="340"/>
        <v/>
      </c>
      <c r="MX503" s="356" t="str">
        <f t="shared" si="341"/>
        <v/>
      </c>
      <c r="MY503" s="356" t="str">
        <f t="shared" si="342"/>
        <v/>
      </c>
      <c r="MZ503" s="356" t="str">
        <f t="shared" si="343"/>
        <v/>
      </c>
      <c r="NA503" s="356" t="str">
        <f t="shared" si="344"/>
        <v/>
      </c>
      <c r="NB503" s="356" t="str">
        <f t="shared" si="345"/>
        <v/>
      </c>
      <c r="NC503" s="356" t="str">
        <f t="shared" si="346"/>
        <v/>
      </c>
      <c r="ND503" s="356" t="str">
        <f t="shared" si="347"/>
        <v/>
      </c>
      <c r="NE503" s="356" t="str">
        <f t="shared" si="348"/>
        <v/>
      </c>
      <c r="NF503" s="356" t="str">
        <f t="shared" si="349"/>
        <v/>
      </c>
      <c r="NG503" s="356" t="str">
        <f t="shared" si="350"/>
        <v/>
      </c>
      <c r="NH503" s="356" t="str">
        <f t="shared" si="351"/>
        <v/>
      </c>
      <c r="NI503" s="356" t="str">
        <f t="shared" si="352"/>
        <v/>
      </c>
      <c r="NJ503" s="356" t="str">
        <f t="shared" si="353"/>
        <v/>
      </c>
      <c r="NK503" s="356" t="str">
        <f t="shared" si="354"/>
        <v/>
      </c>
      <c r="NL503" s="356" t="str">
        <f t="shared" si="355"/>
        <v/>
      </c>
      <c r="NM503" s="356" t="str">
        <f t="shared" si="356"/>
        <v/>
      </c>
      <c r="NN503" s="356" t="str">
        <f t="shared" si="357"/>
        <v/>
      </c>
      <c r="NO503" s="1640">
        <f t="shared" si="358"/>
        <v>0</v>
      </c>
      <c r="NP503" s="1640">
        <f t="shared" si="359"/>
        <v>0</v>
      </c>
      <c r="NQ503" s="1640">
        <f t="shared" si="360"/>
        <v>0</v>
      </c>
      <c r="NR503" s="1640">
        <f t="shared" si="361"/>
        <v>0</v>
      </c>
      <c r="NS503" s="1640">
        <f t="shared" si="362"/>
        <v>0</v>
      </c>
      <c r="NT503" s="1640">
        <f t="shared" si="368"/>
        <v>0</v>
      </c>
      <c r="NU503" s="1640">
        <f t="shared" si="369"/>
        <v>0</v>
      </c>
      <c r="NV503" s="1640">
        <f t="shared" si="370"/>
        <v>0</v>
      </c>
      <c r="NW503" s="1640">
        <f t="shared" si="371"/>
        <v>0</v>
      </c>
      <c r="NX503" s="1640">
        <f t="shared" si="372"/>
        <v>0</v>
      </c>
      <c r="NY503" s="1640">
        <f t="shared" si="363"/>
        <v>0</v>
      </c>
      <c r="NZ503" s="1640">
        <f t="shared" si="364"/>
        <v>0</v>
      </c>
      <c r="OA503" s="1640">
        <f t="shared" si="365"/>
        <v>0</v>
      </c>
      <c r="OB503" s="1640">
        <f t="shared" si="366"/>
        <v>0</v>
      </c>
      <c r="OC503" s="1640">
        <f t="shared" si="367"/>
        <v>0</v>
      </c>
      <c r="OY503" s="356" t="s">
        <v>4332</v>
      </c>
      <c r="OZ503" s="1784">
        <v>50</v>
      </c>
    </row>
    <row r="504" spans="1:416" ht="12" customHeight="1">
      <c r="A504" s="2706" t="str">
        <f t="shared" si="0"/>
        <v/>
      </c>
      <c r="B504" s="2725">
        <f>'Part V-Revenues &amp; Expenses'!B51</f>
        <v>0</v>
      </c>
      <c r="C504" s="2726">
        <f>'Part V-Revenues &amp; Expenses'!C51</f>
        <v>0</v>
      </c>
      <c r="D504" s="2727">
        <f>'Part V-Revenues &amp; Expenses'!D51</f>
        <v>0</v>
      </c>
      <c r="E504" s="2728">
        <f>'Part V-Revenues &amp; Expenses'!E51</f>
        <v>0</v>
      </c>
      <c r="F504" s="2728">
        <f>'Part V-Revenues &amp; Expenses'!F51</f>
        <v>0</v>
      </c>
      <c r="G504" s="2728">
        <f>'Part V-Revenues &amp; Expenses'!G51</f>
        <v>0</v>
      </c>
      <c r="H504" s="2728">
        <f>'Part V-Revenues &amp; Expenses'!H51</f>
        <v>0</v>
      </c>
      <c r="I504" s="2728">
        <f>'Part V-Revenues &amp; Expenses'!I51</f>
        <v>0</v>
      </c>
      <c r="J504" s="2728">
        <f>'Part V-Revenues &amp; Expenses'!J51</f>
        <v>0</v>
      </c>
      <c r="K504" s="2729">
        <f>'Part V-Revenues &amp; Expenses'!K51</f>
        <v>0</v>
      </c>
      <c r="L504" s="2730">
        <f t="shared" si="1"/>
        <v>0</v>
      </c>
      <c r="M504" s="2730">
        <f t="shared" si="2"/>
        <v>0</v>
      </c>
      <c r="N504" s="2580">
        <f>'Part V-Revenues &amp; Expenses'!N51</f>
        <v>0</v>
      </c>
      <c r="O504" s="1248">
        <f>'Part V-Revenues &amp; Expenses'!O51</f>
        <v>0</v>
      </c>
      <c r="P504" s="2580">
        <f>'Part V-Revenues &amp; Expenses'!P51</f>
        <v>0</v>
      </c>
      <c r="Q504" s="2469">
        <f>'Part V-Revenues &amp; Expenses'!Q51</f>
        <v>0</v>
      </c>
      <c r="R504" s="2731"/>
      <c r="S504" s="2732"/>
      <c r="T504" s="2647"/>
      <c r="U504" s="2647"/>
      <c r="V504" s="2647"/>
      <c r="W504" s="2647"/>
      <c r="X504" s="356" t="str">
        <f t="shared" si="3"/>
        <v/>
      </c>
      <c r="Y504" s="356" t="str">
        <f t="shared" si="4"/>
        <v/>
      </c>
      <c r="Z504" s="356" t="str">
        <f t="shared" si="5"/>
        <v/>
      </c>
      <c r="AA504" s="356" t="str">
        <f t="shared" si="6"/>
        <v/>
      </c>
      <c r="AB504" s="356" t="str">
        <f t="shared" si="7"/>
        <v/>
      </c>
      <c r="AC504" s="356" t="str">
        <f t="shared" si="8"/>
        <v/>
      </c>
      <c r="AD504" s="356" t="str">
        <f t="shared" si="9"/>
        <v/>
      </c>
      <c r="AE504" s="356" t="str">
        <f t="shared" si="10"/>
        <v/>
      </c>
      <c r="AF504" s="356" t="str">
        <f t="shared" si="11"/>
        <v/>
      </c>
      <c r="AG504" s="356" t="str">
        <f t="shared" si="12"/>
        <v/>
      </c>
      <c r="AH504" s="356" t="str">
        <f t="shared" si="13"/>
        <v/>
      </c>
      <c r="AI504" s="356" t="str">
        <f t="shared" si="14"/>
        <v/>
      </c>
      <c r="AJ504" s="356" t="str">
        <f t="shared" si="15"/>
        <v/>
      </c>
      <c r="AK504" s="356" t="str">
        <f t="shared" si="16"/>
        <v/>
      </c>
      <c r="AL504" s="356" t="str">
        <f t="shared" si="17"/>
        <v/>
      </c>
      <c r="AM504" s="356" t="str">
        <f t="shared" si="18"/>
        <v/>
      </c>
      <c r="AN504" s="356" t="str">
        <f t="shared" si="19"/>
        <v/>
      </c>
      <c r="AO504" s="356" t="str">
        <f t="shared" si="20"/>
        <v/>
      </c>
      <c r="AP504" s="356" t="str">
        <f t="shared" si="21"/>
        <v/>
      </c>
      <c r="AQ504" s="356" t="str">
        <f t="shared" si="22"/>
        <v/>
      </c>
      <c r="AR504" s="356" t="str">
        <f t="shared" si="23"/>
        <v/>
      </c>
      <c r="AS504" s="356" t="str">
        <f t="shared" si="24"/>
        <v/>
      </c>
      <c r="AT504" s="356" t="str">
        <f t="shared" si="25"/>
        <v/>
      </c>
      <c r="AU504" s="356" t="str">
        <f t="shared" si="26"/>
        <v/>
      </c>
      <c r="AV504" s="356" t="str">
        <f t="shared" si="27"/>
        <v/>
      </c>
      <c r="AW504" s="356" t="str">
        <f t="shared" si="28"/>
        <v/>
      </c>
      <c r="AX504" s="356" t="str">
        <f t="shared" si="29"/>
        <v/>
      </c>
      <c r="AY504" s="356" t="str">
        <f t="shared" si="30"/>
        <v/>
      </c>
      <c r="AZ504" s="356" t="str">
        <f t="shared" si="31"/>
        <v/>
      </c>
      <c r="BA504" s="356" t="str">
        <f t="shared" si="32"/>
        <v/>
      </c>
      <c r="BB504" s="356" t="str">
        <f t="shared" si="33"/>
        <v/>
      </c>
      <c r="BC504" s="356" t="str">
        <f t="shared" si="34"/>
        <v/>
      </c>
      <c r="BD504" s="356" t="str">
        <f t="shared" si="35"/>
        <v/>
      </c>
      <c r="BE504" s="356" t="str">
        <f t="shared" si="36"/>
        <v/>
      </c>
      <c r="BF504" s="356" t="str">
        <f t="shared" si="37"/>
        <v/>
      </c>
      <c r="BG504" s="356" t="str">
        <f t="shared" si="38"/>
        <v/>
      </c>
      <c r="BH504" s="356" t="str">
        <f t="shared" si="39"/>
        <v/>
      </c>
      <c r="BI504" s="356" t="str">
        <f t="shared" si="40"/>
        <v/>
      </c>
      <c r="BJ504" s="356" t="str">
        <f t="shared" si="41"/>
        <v/>
      </c>
      <c r="BK504" s="356" t="str">
        <f t="shared" si="42"/>
        <v/>
      </c>
      <c r="BL504" s="356" t="str">
        <f t="shared" si="43"/>
        <v/>
      </c>
      <c r="BM504" s="356" t="str">
        <f t="shared" si="44"/>
        <v/>
      </c>
      <c r="BN504" s="356" t="str">
        <f t="shared" si="45"/>
        <v/>
      </c>
      <c r="BO504" s="356" t="str">
        <f t="shared" si="46"/>
        <v/>
      </c>
      <c r="BP504" s="356" t="str">
        <f t="shared" si="47"/>
        <v/>
      </c>
      <c r="BQ504" s="356" t="str">
        <f t="shared" si="48"/>
        <v/>
      </c>
      <c r="BR504" s="356" t="str">
        <f t="shared" si="49"/>
        <v/>
      </c>
      <c r="BS504" s="356" t="str">
        <f t="shared" si="50"/>
        <v/>
      </c>
      <c r="BT504" s="356" t="str">
        <f t="shared" si="51"/>
        <v/>
      </c>
      <c r="BU504" s="356" t="str">
        <f t="shared" si="52"/>
        <v/>
      </c>
      <c r="BV504" s="356" t="str">
        <f t="shared" si="53"/>
        <v/>
      </c>
      <c r="BW504" s="356" t="str">
        <f t="shared" si="54"/>
        <v/>
      </c>
      <c r="BX504" s="356" t="str">
        <f t="shared" si="55"/>
        <v/>
      </c>
      <c r="BY504" s="356" t="str">
        <f t="shared" si="56"/>
        <v/>
      </c>
      <c r="BZ504" s="356" t="str">
        <f t="shared" si="57"/>
        <v/>
      </c>
      <c r="CA504" s="356" t="str">
        <f t="shared" si="58"/>
        <v/>
      </c>
      <c r="CB504" s="356" t="str">
        <f t="shared" si="59"/>
        <v/>
      </c>
      <c r="CC504" s="356" t="str">
        <f t="shared" si="60"/>
        <v/>
      </c>
      <c r="CD504" s="356" t="str">
        <f t="shared" si="61"/>
        <v/>
      </c>
      <c r="CE504" s="356" t="str">
        <f t="shared" si="62"/>
        <v/>
      </c>
      <c r="CF504" s="356" t="str">
        <f t="shared" si="63"/>
        <v/>
      </c>
      <c r="CG504" s="356" t="str">
        <f t="shared" si="64"/>
        <v/>
      </c>
      <c r="CH504" s="356" t="str">
        <f t="shared" si="65"/>
        <v/>
      </c>
      <c r="CI504" s="356" t="str">
        <f t="shared" si="66"/>
        <v/>
      </c>
      <c r="CJ504" s="356" t="str">
        <f t="shared" si="67"/>
        <v/>
      </c>
      <c r="CK504" s="356" t="str">
        <f t="shared" si="68"/>
        <v/>
      </c>
      <c r="CL504" s="356" t="str">
        <f t="shared" si="69"/>
        <v/>
      </c>
      <c r="CM504" s="356" t="str">
        <f t="shared" si="70"/>
        <v/>
      </c>
      <c r="CN504" s="356" t="str">
        <f t="shared" si="71"/>
        <v/>
      </c>
      <c r="CO504" s="356" t="str">
        <f t="shared" si="72"/>
        <v/>
      </c>
      <c r="CP504" s="356" t="str">
        <f t="shared" si="73"/>
        <v/>
      </c>
      <c r="CQ504" s="356" t="str">
        <f t="shared" si="74"/>
        <v/>
      </c>
      <c r="CR504" s="356" t="str">
        <f t="shared" si="75"/>
        <v/>
      </c>
      <c r="CS504" s="356" t="str">
        <f t="shared" si="76"/>
        <v/>
      </c>
      <c r="CT504" s="356" t="str">
        <f t="shared" si="77"/>
        <v/>
      </c>
      <c r="CU504" s="356" t="str">
        <f t="shared" si="78"/>
        <v/>
      </c>
      <c r="CV504" s="356" t="str">
        <f t="shared" si="79"/>
        <v/>
      </c>
      <c r="CW504" s="356" t="str">
        <f t="shared" si="80"/>
        <v/>
      </c>
      <c r="CX504" s="356" t="str">
        <f t="shared" si="81"/>
        <v/>
      </c>
      <c r="CY504" s="356" t="str">
        <f t="shared" si="82"/>
        <v/>
      </c>
      <c r="CZ504" s="356" t="str">
        <f t="shared" si="83"/>
        <v/>
      </c>
      <c r="DA504" s="356" t="str">
        <f t="shared" si="84"/>
        <v/>
      </c>
      <c r="DB504" s="356" t="str">
        <f t="shared" si="85"/>
        <v/>
      </c>
      <c r="DC504" s="356" t="str">
        <f t="shared" si="86"/>
        <v/>
      </c>
      <c r="DD504" s="356" t="str">
        <f t="shared" si="87"/>
        <v/>
      </c>
      <c r="DE504" s="356" t="str">
        <f t="shared" si="88"/>
        <v/>
      </c>
      <c r="DF504" s="356" t="str">
        <f t="shared" si="89"/>
        <v/>
      </c>
      <c r="DG504" s="356" t="str">
        <f t="shared" si="90"/>
        <v/>
      </c>
      <c r="DH504" s="356" t="str">
        <f t="shared" si="91"/>
        <v/>
      </c>
      <c r="DI504" s="356" t="str">
        <f t="shared" si="92"/>
        <v/>
      </c>
      <c r="DJ504" s="356" t="str">
        <f t="shared" si="93"/>
        <v/>
      </c>
      <c r="DK504" s="356" t="str">
        <f t="shared" si="94"/>
        <v/>
      </c>
      <c r="DL504" s="356" t="str">
        <f t="shared" si="95"/>
        <v/>
      </c>
      <c r="DM504" s="356" t="str">
        <f t="shared" si="96"/>
        <v/>
      </c>
      <c r="DN504" s="356" t="str">
        <f t="shared" si="97"/>
        <v/>
      </c>
      <c r="DO504" s="356" t="str">
        <f t="shared" si="98"/>
        <v/>
      </c>
      <c r="DP504" s="356" t="str">
        <f t="shared" si="99"/>
        <v/>
      </c>
      <c r="DQ504" s="356" t="str">
        <f t="shared" si="100"/>
        <v/>
      </c>
      <c r="DR504" s="356" t="str">
        <f t="shared" si="101"/>
        <v/>
      </c>
      <c r="DS504" s="356" t="str">
        <f t="shared" si="102"/>
        <v/>
      </c>
      <c r="DT504" s="356" t="str">
        <f t="shared" si="103"/>
        <v/>
      </c>
      <c r="DU504" s="356" t="str">
        <f t="shared" si="104"/>
        <v/>
      </c>
      <c r="DV504" s="356" t="str">
        <f t="shared" si="105"/>
        <v/>
      </c>
      <c r="DW504" s="356" t="str">
        <f t="shared" si="106"/>
        <v/>
      </c>
      <c r="DX504" s="356" t="str">
        <f t="shared" si="107"/>
        <v/>
      </c>
      <c r="DY504" s="356" t="str">
        <f t="shared" si="108"/>
        <v/>
      </c>
      <c r="DZ504" s="356" t="str">
        <f t="shared" si="109"/>
        <v/>
      </c>
      <c r="EA504" s="356" t="str">
        <f t="shared" si="110"/>
        <v/>
      </c>
      <c r="EB504" s="356" t="str">
        <f t="shared" si="111"/>
        <v/>
      </c>
      <c r="EC504" s="356" t="str">
        <f t="shared" si="112"/>
        <v/>
      </c>
      <c r="ED504" s="356" t="str">
        <f t="shared" si="113"/>
        <v/>
      </c>
      <c r="EE504" s="356" t="str">
        <f t="shared" si="114"/>
        <v/>
      </c>
      <c r="EF504" s="356" t="str">
        <f t="shared" si="115"/>
        <v/>
      </c>
      <c r="EG504" s="356" t="str">
        <f t="shared" si="116"/>
        <v/>
      </c>
      <c r="EH504" s="356" t="str">
        <f t="shared" si="117"/>
        <v/>
      </c>
      <c r="EI504" s="356" t="str">
        <f t="shared" si="118"/>
        <v/>
      </c>
      <c r="EJ504" s="356" t="str">
        <f t="shared" si="119"/>
        <v/>
      </c>
      <c r="EK504" s="356" t="str">
        <f t="shared" si="120"/>
        <v/>
      </c>
      <c r="EL504" s="356" t="str">
        <f t="shared" si="121"/>
        <v/>
      </c>
      <c r="EM504" s="356" t="str">
        <f t="shared" si="122"/>
        <v/>
      </c>
      <c r="EN504" s="356" t="str">
        <f t="shared" si="123"/>
        <v/>
      </c>
      <c r="EO504" s="356" t="str">
        <f t="shared" si="124"/>
        <v/>
      </c>
      <c r="EP504" s="356" t="str">
        <f t="shared" si="125"/>
        <v/>
      </c>
      <c r="EQ504" s="356" t="str">
        <f t="shared" si="126"/>
        <v/>
      </c>
      <c r="ER504" s="356" t="str">
        <f t="shared" si="127"/>
        <v/>
      </c>
      <c r="ES504" s="356" t="str">
        <f t="shared" si="128"/>
        <v/>
      </c>
      <c r="ET504" s="356" t="str">
        <f t="shared" si="129"/>
        <v/>
      </c>
      <c r="EU504" s="356" t="str">
        <f t="shared" si="130"/>
        <v/>
      </c>
      <c r="EV504" s="356" t="str">
        <f t="shared" si="131"/>
        <v/>
      </c>
      <c r="EW504" s="356" t="str">
        <f t="shared" si="132"/>
        <v/>
      </c>
      <c r="EX504" s="356" t="str">
        <f t="shared" si="133"/>
        <v/>
      </c>
      <c r="EY504" s="356" t="str">
        <f t="shared" si="134"/>
        <v/>
      </c>
      <c r="EZ504" s="356" t="str">
        <f t="shared" si="135"/>
        <v/>
      </c>
      <c r="FA504" s="356" t="str">
        <f t="shared" si="136"/>
        <v/>
      </c>
      <c r="FB504" s="356" t="str">
        <f t="shared" si="137"/>
        <v/>
      </c>
      <c r="FC504" s="356" t="str">
        <f t="shared" si="138"/>
        <v/>
      </c>
      <c r="FD504" s="356" t="str">
        <f t="shared" si="139"/>
        <v/>
      </c>
      <c r="FE504" s="356" t="str">
        <f t="shared" si="140"/>
        <v/>
      </c>
      <c r="FF504" s="356" t="str">
        <f t="shared" si="141"/>
        <v/>
      </c>
      <c r="FG504" s="356" t="str">
        <f t="shared" si="142"/>
        <v/>
      </c>
      <c r="FH504" s="356" t="str">
        <f t="shared" si="143"/>
        <v/>
      </c>
      <c r="FI504" s="356" t="str">
        <f t="shared" si="144"/>
        <v/>
      </c>
      <c r="FJ504" s="356" t="str">
        <f t="shared" si="145"/>
        <v/>
      </c>
      <c r="FK504" s="356" t="str">
        <f t="shared" si="146"/>
        <v/>
      </c>
      <c r="FL504" s="356" t="str">
        <f t="shared" si="147"/>
        <v/>
      </c>
      <c r="FM504" s="356" t="str">
        <f t="shared" si="148"/>
        <v/>
      </c>
      <c r="FN504" s="356" t="str">
        <f t="shared" si="149"/>
        <v/>
      </c>
      <c r="FO504" s="356" t="str">
        <f t="shared" si="150"/>
        <v/>
      </c>
      <c r="FP504" s="356" t="str">
        <f t="shared" si="151"/>
        <v/>
      </c>
      <c r="FQ504" s="356" t="str">
        <f t="shared" si="152"/>
        <v/>
      </c>
      <c r="FR504" s="356" t="str">
        <f t="shared" si="153"/>
        <v/>
      </c>
      <c r="FS504" s="356" t="str">
        <f t="shared" si="154"/>
        <v/>
      </c>
      <c r="FT504" s="356" t="str">
        <f t="shared" si="155"/>
        <v/>
      </c>
      <c r="FU504" s="356" t="str">
        <f t="shared" si="156"/>
        <v/>
      </c>
      <c r="FV504" s="356" t="str">
        <f t="shared" si="157"/>
        <v/>
      </c>
      <c r="FW504" s="356" t="str">
        <f t="shared" si="158"/>
        <v/>
      </c>
      <c r="FX504" s="356" t="str">
        <f t="shared" si="159"/>
        <v/>
      </c>
      <c r="FY504" s="356" t="str">
        <f t="shared" si="160"/>
        <v/>
      </c>
      <c r="FZ504" s="356" t="str">
        <f t="shared" si="161"/>
        <v/>
      </c>
      <c r="GA504" s="356" t="str">
        <f t="shared" si="162"/>
        <v/>
      </c>
      <c r="GB504" s="356" t="str">
        <f t="shared" si="163"/>
        <v/>
      </c>
      <c r="GC504" s="356" t="str">
        <f t="shared" si="164"/>
        <v/>
      </c>
      <c r="GD504" s="356" t="str">
        <f t="shared" si="165"/>
        <v/>
      </c>
      <c r="GE504" s="356" t="str">
        <f t="shared" si="166"/>
        <v/>
      </c>
      <c r="GF504" s="356" t="str">
        <f t="shared" si="167"/>
        <v/>
      </c>
      <c r="GG504" s="356" t="str">
        <f t="shared" si="168"/>
        <v/>
      </c>
      <c r="GH504" s="356" t="str">
        <f t="shared" si="169"/>
        <v/>
      </c>
      <c r="GI504" s="356" t="str">
        <f t="shared" si="170"/>
        <v/>
      </c>
      <c r="GJ504" s="356" t="str">
        <f t="shared" si="171"/>
        <v/>
      </c>
      <c r="GK504" s="356" t="str">
        <f t="shared" si="172"/>
        <v/>
      </c>
      <c r="GL504" s="356" t="str">
        <f t="shared" si="173"/>
        <v/>
      </c>
      <c r="GM504" s="356" t="str">
        <f t="shared" si="174"/>
        <v/>
      </c>
      <c r="GN504" s="356" t="str">
        <f t="shared" si="175"/>
        <v/>
      </c>
      <c r="GO504" s="356" t="str">
        <f t="shared" si="176"/>
        <v/>
      </c>
      <c r="GP504" s="356" t="str">
        <f t="shared" si="177"/>
        <v/>
      </c>
      <c r="GQ504" s="356" t="str">
        <f t="shared" si="178"/>
        <v/>
      </c>
      <c r="GR504" s="356" t="str">
        <f t="shared" si="179"/>
        <v/>
      </c>
      <c r="GS504" s="356" t="str">
        <f t="shared" si="180"/>
        <v/>
      </c>
      <c r="GT504" s="356" t="str">
        <f t="shared" si="181"/>
        <v/>
      </c>
      <c r="GU504" s="356" t="str">
        <f t="shared" si="182"/>
        <v/>
      </c>
      <c r="GV504" s="356" t="str">
        <f t="shared" si="183"/>
        <v/>
      </c>
      <c r="GW504" s="356" t="str">
        <f t="shared" si="184"/>
        <v/>
      </c>
      <c r="GX504" s="356" t="str">
        <f t="shared" si="185"/>
        <v/>
      </c>
      <c r="GY504" s="356" t="str">
        <f t="shared" si="186"/>
        <v/>
      </c>
      <c r="GZ504" s="356" t="str">
        <f t="shared" si="187"/>
        <v/>
      </c>
      <c r="HA504" s="356" t="str">
        <f t="shared" si="188"/>
        <v/>
      </c>
      <c r="HB504" s="356" t="str">
        <f t="shared" si="189"/>
        <v/>
      </c>
      <c r="HC504" s="356" t="str">
        <f t="shared" si="190"/>
        <v/>
      </c>
      <c r="HD504" s="356" t="str">
        <f t="shared" si="191"/>
        <v/>
      </c>
      <c r="HE504" s="356" t="str">
        <f t="shared" si="192"/>
        <v/>
      </c>
      <c r="HF504" s="356" t="str">
        <f t="shared" si="193"/>
        <v/>
      </c>
      <c r="HG504" s="356" t="str">
        <f t="shared" si="194"/>
        <v/>
      </c>
      <c r="HH504" s="356" t="str">
        <f t="shared" si="195"/>
        <v/>
      </c>
      <c r="HI504" s="356" t="str">
        <f t="shared" si="196"/>
        <v/>
      </c>
      <c r="HJ504" s="356" t="str">
        <f t="shared" si="197"/>
        <v/>
      </c>
      <c r="HK504" s="356" t="str">
        <f t="shared" si="198"/>
        <v/>
      </c>
      <c r="HL504" s="356" t="str">
        <f t="shared" si="199"/>
        <v/>
      </c>
      <c r="HM504" s="356" t="str">
        <f t="shared" si="200"/>
        <v/>
      </c>
      <c r="HN504" s="356" t="str">
        <f t="shared" si="201"/>
        <v/>
      </c>
      <c r="HO504" s="356" t="str">
        <f t="shared" si="202"/>
        <v/>
      </c>
      <c r="HP504" s="356" t="str">
        <f t="shared" si="203"/>
        <v/>
      </c>
      <c r="HQ504" s="356" t="str">
        <f t="shared" si="204"/>
        <v/>
      </c>
      <c r="HR504" s="356" t="str">
        <f t="shared" si="205"/>
        <v/>
      </c>
      <c r="HS504" s="356" t="str">
        <f t="shared" si="206"/>
        <v/>
      </c>
      <c r="HT504" s="356" t="str">
        <f t="shared" si="207"/>
        <v/>
      </c>
      <c r="HU504" s="356" t="str">
        <f t="shared" si="208"/>
        <v/>
      </c>
      <c r="HV504" s="356" t="str">
        <f t="shared" si="209"/>
        <v/>
      </c>
      <c r="HW504" s="356" t="str">
        <f t="shared" si="210"/>
        <v/>
      </c>
      <c r="HX504" s="356" t="str">
        <f t="shared" si="211"/>
        <v/>
      </c>
      <c r="HY504" s="356" t="str">
        <f t="shared" si="212"/>
        <v/>
      </c>
      <c r="HZ504" s="356" t="str">
        <f t="shared" si="213"/>
        <v/>
      </c>
      <c r="IA504" s="356" t="str">
        <f t="shared" si="214"/>
        <v/>
      </c>
      <c r="IB504" s="356" t="str">
        <f t="shared" si="215"/>
        <v/>
      </c>
      <c r="IC504" s="356" t="str">
        <f t="shared" si="216"/>
        <v/>
      </c>
      <c r="ID504" s="356" t="str">
        <f t="shared" si="217"/>
        <v/>
      </c>
      <c r="IE504" s="356" t="str">
        <f t="shared" si="218"/>
        <v/>
      </c>
      <c r="IF504" s="356" t="str">
        <f t="shared" si="219"/>
        <v/>
      </c>
      <c r="IG504" s="356" t="str">
        <f t="shared" si="220"/>
        <v/>
      </c>
      <c r="IH504" s="356" t="str">
        <f t="shared" si="221"/>
        <v/>
      </c>
      <c r="II504" s="356" t="str">
        <f t="shared" si="222"/>
        <v/>
      </c>
      <c r="IJ504" s="356" t="str">
        <f t="shared" si="223"/>
        <v/>
      </c>
      <c r="IK504" s="356" t="str">
        <f t="shared" si="224"/>
        <v/>
      </c>
      <c r="IL504" s="356" t="str">
        <f t="shared" si="225"/>
        <v/>
      </c>
      <c r="IM504" s="356" t="str">
        <f t="shared" si="226"/>
        <v/>
      </c>
      <c r="IN504" s="356" t="str">
        <f t="shared" si="227"/>
        <v/>
      </c>
      <c r="IO504" s="356" t="str">
        <f t="shared" si="228"/>
        <v/>
      </c>
      <c r="IP504" s="356" t="str">
        <f t="shared" si="229"/>
        <v/>
      </c>
      <c r="IQ504" s="356" t="str">
        <f t="shared" si="230"/>
        <v/>
      </c>
      <c r="IR504" s="356" t="str">
        <f t="shared" si="231"/>
        <v/>
      </c>
      <c r="IS504" s="356" t="str">
        <f t="shared" si="232"/>
        <v/>
      </c>
      <c r="IT504" s="356" t="str">
        <f t="shared" si="233"/>
        <v/>
      </c>
      <c r="IU504" s="356" t="str">
        <f t="shared" si="234"/>
        <v/>
      </c>
      <c r="IV504" s="356" t="str">
        <f t="shared" si="235"/>
        <v/>
      </c>
      <c r="IW504" s="356" t="str">
        <f t="shared" si="236"/>
        <v/>
      </c>
      <c r="IX504" s="356" t="str">
        <f t="shared" si="237"/>
        <v/>
      </c>
      <c r="IY504" s="356" t="str">
        <f t="shared" si="238"/>
        <v/>
      </c>
      <c r="IZ504" s="356" t="str">
        <f t="shared" si="239"/>
        <v/>
      </c>
      <c r="JA504" s="356" t="str">
        <f t="shared" si="240"/>
        <v/>
      </c>
      <c r="JB504" s="356" t="str">
        <f t="shared" si="241"/>
        <v/>
      </c>
      <c r="JC504" s="356" t="str">
        <f t="shared" si="242"/>
        <v/>
      </c>
      <c r="JD504" s="356" t="str">
        <f t="shared" si="243"/>
        <v/>
      </c>
      <c r="JE504" s="356" t="str">
        <f t="shared" si="244"/>
        <v/>
      </c>
      <c r="JF504" s="356" t="str">
        <f t="shared" si="245"/>
        <v/>
      </c>
      <c r="JG504" s="356" t="str">
        <f t="shared" si="246"/>
        <v/>
      </c>
      <c r="JH504" s="356" t="str">
        <f t="shared" si="247"/>
        <v/>
      </c>
      <c r="JI504" s="1785" t="str">
        <f t="shared" si="248"/>
        <v/>
      </c>
      <c r="JJ504" s="1785" t="str">
        <f t="shared" si="249"/>
        <v/>
      </c>
      <c r="JK504" s="1785" t="str">
        <f t="shared" si="250"/>
        <v/>
      </c>
      <c r="JL504" s="1785" t="str">
        <f t="shared" si="251"/>
        <v/>
      </c>
      <c r="JM504" s="1785" t="str">
        <f t="shared" si="252"/>
        <v/>
      </c>
      <c r="JN504" s="1785" t="str">
        <f t="shared" si="253"/>
        <v/>
      </c>
      <c r="JO504" s="1785" t="str">
        <f t="shared" si="254"/>
        <v/>
      </c>
      <c r="JP504" s="1785" t="str">
        <f t="shared" si="255"/>
        <v/>
      </c>
      <c r="JQ504" s="1785" t="str">
        <f t="shared" si="256"/>
        <v/>
      </c>
      <c r="JR504" s="1785" t="str">
        <f t="shared" si="257"/>
        <v/>
      </c>
      <c r="JS504" s="1785" t="str">
        <f t="shared" si="258"/>
        <v/>
      </c>
      <c r="JT504" s="1785" t="str">
        <f t="shared" si="259"/>
        <v/>
      </c>
      <c r="JU504" s="1785" t="str">
        <f t="shared" si="260"/>
        <v/>
      </c>
      <c r="JV504" s="1785" t="str">
        <f t="shared" si="261"/>
        <v/>
      </c>
      <c r="JW504" s="1785" t="str">
        <f t="shared" si="262"/>
        <v/>
      </c>
      <c r="JX504" s="1785" t="str">
        <f t="shared" si="263"/>
        <v/>
      </c>
      <c r="JY504" s="1785" t="str">
        <f t="shared" si="264"/>
        <v/>
      </c>
      <c r="JZ504" s="1785" t="str">
        <f t="shared" si="265"/>
        <v/>
      </c>
      <c r="KA504" s="1785" t="str">
        <f t="shared" si="266"/>
        <v/>
      </c>
      <c r="KB504" s="1785" t="str">
        <f t="shared" si="267"/>
        <v/>
      </c>
      <c r="KC504" s="1785" t="str">
        <f t="shared" si="268"/>
        <v/>
      </c>
      <c r="KD504" s="1785" t="str">
        <f t="shared" si="269"/>
        <v/>
      </c>
      <c r="KE504" s="1785" t="str">
        <f t="shared" si="270"/>
        <v/>
      </c>
      <c r="KF504" s="1785" t="str">
        <f t="shared" si="271"/>
        <v/>
      </c>
      <c r="KG504" s="1785" t="str">
        <f t="shared" si="272"/>
        <v/>
      </c>
      <c r="KH504" s="1785" t="str">
        <f t="shared" si="273"/>
        <v/>
      </c>
      <c r="KI504" s="1785" t="str">
        <f t="shared" si="274"/>
        <v/>
      </c>
      <c r="KJ504" s="1785" t="str">
        <f t="shared" si="275"/>
        <v/>
      </c>
      <c r="KK504" s="1785" t="str">
        <f t="shared" si="276"/>
        <v/>
      </c>
      <c r="KL504" s="1785" t="str">
        <f t="shared" si="277"/>
        <v/>
      </c>
      <c r="KM504" s="1785" t="str">
        <f t="shared" si="278"/>
        <v/>
      </c>
      <c r="KN504" s="1785" t="str">
        <f t="shared" si="279"/>
        <v/>
      </c>
      <c r="KO504" s="1785" t="str">
        <f t="shared" si="280"/>
        <v/>
      </c>
      <c r="KP504" s="1785" t="str">
        <f t="shared" si="281"/>
        <v/>
      </c>
      <c r="KQ504" s="1785" t="str">
        <f t="shared" si="282"/>
        <v/>
      </c>
      <c r="KR504" s="1785" t="str">
        <f t="shared" si="283"/>
        <v/>
      </c>
      <c r="KS504" s="1785" t="str">
        <f t="shared" si="284"/>
        <v/>
      </c>
      <c r="KT504" s="1785" t="str">
        <f t="shared" si="285"/>
        <v/>
      </c>
      <c r="KU504" s="1785" t="str">
        <f t="shared" si="286"/>
        <v/>
      </c>
      <c r="KV504" s="1785" t="str">
        <f t="shared" si="287"/>
        <v/>
      </c>
      <c r="KW504" s="1785" t="str">
        <f t="shared" si="288"/>
        <v/>
      </c>
      <c r="KX504" s="1785" t="str">
        <f t="shared" si="289"/>
        <v/>
      </c>
      <c r="KY504" s="1785" t="str">
        <f t="shared" si="290"/>
        <v/>
      </c>
      <c r="KZ504" s="1785" t="str">
        <f t="shared" si="291"/>
        <v/>
      </c>
      <c r="LA504" s="1785" t="str">
        <f t="shared" si="292"/>
        <v/>
      </c>
      <c r="LB504" s="1785" t="str">
        <f t="shared" si="293"/>
        <v/>
      </c>
      <c r="LC504" s="1785" t="str">
        <f t="shared" si="294"/>
        <v/>
      </c>
      <c r="LD504" s="1785" t="str">
        <f t="shared" si="295"/>
        <v/>
      </c>
      <c r="LE504" s="1785" t="str">
        <f t="shared" si="296"/>
        <v/>
      </c>
      <c r="LF504" s="1785" t="str">
        <f t="shared" si="297"/>
        <v/>
      </c>
      <c r="LG504" s="1785" t="str">
        <f t="shared" si="298"/>
        <v/>
      </c>
      <c r="LH504" s="1785" t="str">
        <f t="shared" si="299"/>
        <v/>
      </c>
      <c r="LI504" s="1785" t="str">
        <f t="shared" si="300"/>
        <v/>
      </c>
      <c r="LJ504" s="1785" t="str">
        <f t="shared" si="301"/>
        <v/>
      </c>
      <c r="LK504" s="1785" t="str">
        <f t="shared" si="302"/>
        <v/>
      </c>
      <c r="LL504" s="1785" t="str">
        <f t="shared" si="303"/>
        <v/>
      </c>
      <c r="LM504" s="1785" t="str">
        <f t="shared" si="304"/>
        <v/>
      </c>
      <c r="LN504" s="1785" t="str">
        <f t="shared" si="305"/>
        <v/>
      </c>
      <c r="LO504" s="1785" t="str">
        <f t="shared" si="306"/>
        <v/>
      </c>
      <c r="LP504" s="1785" t="str">
        <f t="shared" si="307"/>
        <v/>
      </c>
      <c r="LQ504" s="1785" t="str">
        <f t="shared" si="308"/>
        <v/>
      </c>
      <c r="LR504" s="1785" t="str">
        <f t="shared" si="309"/>
        <v/>
      </c>
      <c r="LS504" s="1785" t="str">
        <f t="shared" si="310"/>
        <v/>
      </c>
      <c r="LT504" s="1785" t="str">
        <f t="shared" si="311"/>
        <v/>
      </c>
      <c r="LU504" s="1785" t="str">
        <f t="shared" si="312"/>
        <v/>
      </c>
      <c r="LV504" s="1785" t="str">
        <f t="shared" si="313"/>
        <v/>
      </c>
      <c r="LW504" s="1785" t="str">
        <f t="shared" si="314"/>
        <v/>
      </c>
      <c r="LX504" s="1785" t="str">
        <f t="shared" si="315"/>
        <v/>
      </c>
      <c r="LY504" s="1785" t="str">
        <f t="shared" si="316"/>
        <v/>
      </c>
      <c r="LZ504" s="1785" t="str">
        <f t="shared" si="317"/>
        <v/>
      </c>
      <c r="MA504" s="1785" t="str">
        <f t="shared" si="318"/>
        <v/>
      </c>
      <c r="MB504" s="1785" t="str">
        <f t="shared" si="319"/>
        <v/>
      </c>
      <c r="MC504" s="1785" t="str">
        <f t="shared" si="320"/>
        <v/>
      </c>
      <c r="MD504" s="1785" t="str">
        <f t="shared" si="321"/>
        <v/>
      </c>
      <c r="ME504" s="1785" t="str">
        <f t="shared" si="322"/>
        <v/>
      </c>
      <c r="MF504" s="1785" t="str">
        <f t="shared" si="323"/>
        <v/>
      </c>
      <c r="MG504" s="1785" t="str">
        <f t="shared" si="324"/>
        <v/>
      </c>
      <c r="MH504" s="1785" t="str">
        <f t="shared" si="325"/>
        <v/>
      </c>
      <c r="MI504" s="1785" t="str">
        <f t="shared" si="326"/>
        <v/>
      </c>
      <c r="MJ504" s="1785" t="str">
        <f t="shared" si="327"/>
        <v/>
      </c>
      <c r="MK504" s="1785" t="str">
        <f t="shared" si="328"/>
        <v/>
      </c>
      <c r="ML504" s="1785" t="str">
        <f t="shared" si="329"/>
        <v/>
      </c>
      <c r="MM504" s="1785" t="str">
        <f t="shared" si="330"/>
        <v/>
      </c>
      <c r="MN504" s="1785" t="str">
        <f t="shared" si="331"/>
        <v/>
      </c>
      <c r="MO504" s="1785" t="str">
        <f t="shared" si="332"/>
        <v/>
      </c>
      <c r="MP504" s="2470" t="str">
        <f t="shared" si="333"/>
        <v/>
      </c>
      <c r="MQ504" s="2470" t="str">
        <f t="shared" si="334"/>
        <v/>
      </c>
      <c r="MR504" s="2470" t="str">
        <f t="shared" si="335"/>
        <v/>
      </c>
      <c r="MS504" s="2470" t="str">
        <f t="shared" si="336"/>
        <v/>
      </c>
      <c r="MT504" s="2470" t="str">
        <f t="shared" si="337"/>
        <v/>
      </c>
      <c r="MU504" s="356" t="str">
        <f t="shared" si="338"/>
        <v/>
      </c>
      <c r="MV504" s="356" t="str">
        <f t="shared" si="339"/>
        <v/>
      </c>
      <c r="MW504" s="356" t="str">
        <f t="shared" si="340"/>
        <v/>
      </c>
      <c r="MX504" s="356" t="str">
        <f t="shared" si="341"/>
        <v/>
      </c>
      <c r="MY504" s="356" t="str">
        <f t="shared" si="342"/>
        <v/>
      </c>
      <c r="MZ504" s="356" t="str">
        <f t="shared" si="343"/>
        <v/>
      </c>
      <c r="NA504" s="356" t="str">
        <f t="shared" si="344"/>
        <v/>
      </c>
      <c r="NB504" s="356" t="str">
        <f t="shared" si="345"/>
        <v/>
      </c>
      <c r="NC504" s="356" t="str">
        <f t="shared" si="346"/>
        <v/>
      </c>
      <c r="ND504" s="356" t="str">
        <f t="shared" si="347"/>
        <v/>
      </c>
      <c r="NE504" s="356" t="str">
        <f t="shared" si="348"/>
        <v/>
      </c>
      <c r="NF504" s="356" t="str">
        <f t="shared" si="349"/>
        <v/>
      </c>
      <c r="NG504" s="356" t="str">
        <f t="shared" si="350"/>
        <v/>
      </c>
      <c r="NH504" s="356" t="str">
        <f t="shared" si="351"/>
        <v/>
      </c>
      <c r="NI504" s="356" t="str">
        <f t="shared" si="352"/>
        <v/>
      </c>
      <c r="NJ504" s="356" t="str">
        <f t="shared" si="353"/>
        <v/>
      </c>
      <c r="NK504" s="356" t="str">
        <f t="shared" si="354"/>
        <v/>
      </c>
      <c r="NL504" s="356" t="str">
        <f t="shared" si="355"/>
        <v/>
      </c>
      <c r="NM504" s="356" t="str">
        <f t="shared" si="356"/>
        <v/>
      </c>
      <c r="NN504" s="356" t="str">
        <f t="shared" si="357"/>
        <v/>
      </c>
      <c r="NO504" s="1640">
        <f t="shared" si="358"/>
        <v>0</v>
      </c>
      <c r="NP504" s="1640">
        <f t="shared" si="359"/>
        <v>0</v>
      </c>
      <c r="NQ504" s="1640">
        <f t="shared" si="360"/>
        <v>0</v>
      </c>
      <c r="NR504" s="1640">
        <f t="shared" si="361"/>
        <v>0</v>
      </c>
      <c r="NS504" s="1640">
        <f t="shared" si="362"/>
        <v>0</v>
      </c>
      <c r="NT504" s="1640">
        <f t="shared" si="368"/>
        <v>0</v>
      </c>
      <c r="NU504" s="1640">
        <f t="shared" si="369"/>
        <v>0</v>
      </c>
      <c r="NV504" s="1640">
        <f t="shared" si="370"/>
        <v>0</v>
      </c>
      <c r="NW504" s="1640">
        <f t="shared" si="371"/>
        <v>0</v>
      </c>
      <c r="NX504" s="1640">
        <f t="shared" si="372"/>
        <v>0</v>
      </c>
      <c r="NY504" s="1640">
        <f t="shared" si="363"/>
        <v>0</v>
      </c>
      <c r="NZ504" s="1640">
        <f t="shared" si="364"/>
        <v>0</v>
      </c>
      <c r="OA504" s="1640">
        <f t="shared" si="365"/>
        <v>0</v>
      </c>
      <c r="OB504" s="1640">
        <f t="shared" si="366"/>
        <v>0</v>
      </c>
      <c r="OC504" s="1640">
        <f t="shared" si="367"/>
        <v>0</v>
      </c>
      <c r="OY504" s="356" t="s">
        <v>4333</v>
      </c>
      <c r="OZ504" s="1640">
        <v>51</v>
      </c>
    </row>
    <row r="505" spans="1:416" ht="12" customHeight="1">
      <c r="A505" s="2706" t="str">
        <f t="shared" si="0"/>
        <v/>
      </c>
      <c r="B505" s="2725">
        <f>'Part V-Revenues &amp; Expenses'!B52</f>
        <v>0</v>
      </c>
      <c r="C505" s="2726">
        <f>'Part V-Revenues &amp; Expenses'!C52</f>
        <v>0</v>
      </c>
      <c r="D505" s="2727">
        <f>'Part V-Revenues &amp; Expenses'!D52</f>
        <v>0</v>
      </c>
      <c r="E505" s="2728">
        <f>'Part V-Revenues &amp; Expenses'!E52</f>
        <v>0</v>
      </c>
      <c r="F505" s="2728">
        <f>'Part V-Revenues &amp; Expenses'!F52</f>
        <v>0</v>
      </c>
      <c r="G505" s="2728">
        <f>'Part V-Revenues &amp; Expenses'!G52</f>
        <v>0</v>
      </c>
      <c r="H505" s="2728">
        <f>'Part V-Revenues &amp; Expenses'!H52</f>
        <v>0</v>
      </c>
      <c r="I505" s="2728">
        <f>'Part V-Revenues &amp; Expenses'!I52</f>
        <v>0</v>
      </c>
      <c r="J505" s="2728">
        <f>'Part V-Revenues &amp; Expenses'!J52</f>
        <v>0</v>
      </c>
      <c r="K505" s="2729">
        <f>'Part V-Revenues &amp; Expenses'!K52</f>
        <v>0</v>
      </c>
      <c r="L505" s="2730">
        <f t="shared" si="1"/>
        <v>0</v>
      </c>
      <c r="M505" s="2730">
        <f t="shared" si="2"/>
        <v>0</v>
      </c>
      <c r="N505" s="2580">
        <f>'Part V-Revenues &amp; Expenses'!N52</f>
        <v>0</v>
      </c>
      <c r="O505" s="1248">
        <f>'Part V-Revenues &amp; Expenses'!O52</f>
        <v>0</v>
      </c>
      <c r="P505" s="2580">
        <f>'Part V-Revenues &amp; Expenses'!P52</f>
        <v>0</v>
      </c>
      <c r="Q505" s="2469">
        <f>'Part V-Revenues &amp; Expenses'!Q52</f>
        <v>0</v>
      </c>
      <c r="R505" s="2731"/>
      <c r="S505" s="2732"/>
      <c r="T505" s="2647"/>
      <c r="U505" s="2647"/>
      <c r="V505" s="2647"/>
      <c r="W505" s="2647"/>
      <c r="X505" s="356" t="str">
        <f t="shared" si="3"/>
        <v/>
      </c>
      <c r="Y505" s="356" t="str">
        <f t="shared" si="4"/>
        <v/>
      </c>
      <c r="Z505" s="356" t="str">
        <f t="shared" si="5"/>
        <v/>
      </c>
      <c r="AA505" s="356" t="str">
        <f t="shared" si="6"/>
        <v/>
      </c>
      <c r="AB505" s="356" t="str">
        <f t="shared" si="7"/>
        <v/>
      </c>
      <c r="AC505" s="356" t="str">
        <f t="shared" si="8"/>
        <v/>
      </c>
      <c r="AD505" s="356" t="str">
        <f t="shared" si="9"/>
        <v/>
      </c>
      <c r="AE505" s="356" t="str">
        <f t="shared" si="10"/>
        <v/>
      </c>
      <c r="AF505" s="356" t="str">
        <f t="shared" si="11"/>
        <v/>
      </c>
      <c r="AG505" s="356" t="str">
        <f t="shared" si="12"/>
        <v/>
      </c>
      <c r="AH505" s="356" t="str">
        <f t="shared" si="13"/>
        <v/>
      </c>
      <c r="AI505" s="356" t="str">
        <f t="shared" si="14"/>
        <v/>
      </c>
      <c r="AJ505" s="356" t="str">
        <f t="shared" si="15"/>
        <v/>
      </c>
      <c r="AK505" s="356" t="str">
        <f t="shared" si="16"/>
        <v/>
      </c>
      <c r="AL505" s="356" t="str">
        <f t="shared" si="17"/>
        <v/>
      </c>
      <c r="AM505" s="356" t="str">
        <f t="shared" si="18"/>
        <v/>
      </c>
      <c r="AN505" s="356" t="str">
        <f t="shared" si="19"/>
        <v/>
      </c>
      <c r="AO505" s="356" t="str">
        <f t="shared" si="20"/>
        <v/>
      </c>
      <c r="AP505" s="356" t="str">
        <f t="shared" si="21"/>
        <v/>
      </c>
      <c r="AQ505" s="356" t="str">
        <f t="shared" si="22"/>
        <v/>
      </c>
      <c r="AR505" s="356" t="str">
        <f t="shared" si="23"/>
        <v/>
      </c>
      <c r="AS505" s="356" t="str">
        <f t="shared" si="24"/>
        <v/>
      </c>
      <c r="AT505" s="356" t="str">
        <f t="shared" si="25"/>
        <v/>
      </c>
      <c r="AU505" s="356" t="str">
        <f t="shared" si="26"/>
        <v/>
      </c>
      <c r="AV505" s="356" t="str">
        <f t="shared" si="27"/>
        <v/>
      </c>
      <c r="AW505" s="356" t="str">
        <f t="shared" si="28"/>
        <v/>
      </c>
      <c r="AX505" s="356" t="str">
        <f t="shared" si="29"/>
        <v/>
      </c>
      <c r="AY505" s="356" t="str">
        <f t="shared" si="30"/>
        <v/>
      </c>
      <c r="AZ505" s="356" t="str">
        <f t="shared" si="31"/>
        <v/>
      </c>
      <c r="BA505" s="356" t="str">
        <f t="shared" si="32"/>
        <v/>
      </c>
      <c r="BB505" s="356" t="str">
        <f t="shared" si="33"/>
        <v/>
      </c>
      <c r="BC505" s="356" t="str">
        <f t="shared" si="34"/>
        <v/>
      </c>
      <c r="BD505" s="356" t="str">
        <f t="shared" si="35"/>
        <v/>
      </c>
      <c r="BE505" s="356" t="str">
        <f t="shared" si="36"/>
        <v/>
      </c>
      <c r="BF505" s="356" t="str">
        <f t="shared" si="37"/>
        <v/>
      </c>
      <c r="BG505" s="356" t="str">
        <f t="shared" si="38"/>
        <v/>
      </c>
      <c r="BH505" s="356" t="str">
        <f t="shared" si="39"/>
        <v/>
      </c>
      <c r="BI505" s="356" t="str">
        <f t="shared" si="40"/>
        <v/>
      </c>
      <c r="BJ505" s="356" t="str">
        <f t="shared" si="41"/>
        <v/>
      </c>
      <c r="BK505" s="356" t="str">
        <f t="shared" si="42"/>
        <v/>
      </c>
      <c r="BL505" s="356" t="str">
        <f t="shared" si="43"/>
        <v/>
      </c>
      <c r="BM505" s="356" t="str">
        <f t="shared" si="44"/>
        <v/>
      </c>
      <c r="BN505" s="356" t="str">
        <f t="shared" si="45"/>
        <v/>
      </c>
      <c r="BO505" s="356" t="str">
        <f t="shared" si="46"/>
        <v/>
      </c>
      <c r="BP505" s="356" t="str">
        <f t="shared" si="47"/>
        <v/>
      </c>
      <c r="BQ505" s="356" t="str">
        <f t="shared" si="48"/>
        <v/>
      </c>
      <c r="BR505" s="356" t="str">
        <f t="shared" si="49"/>
        <v/>
      </c>
      <c r="BS505" s="356" t="str">
        <f t="shared" si="50"/>
        <v/>
      </c>
      <c r="BT505" s="356" t="str">
        <f t="shared" si="51"/>
        <v/>
      </c>
      <c r="BU505" s="356" t="str">
        <f t="shared" si="52"/>
        <v/>
      </c>
      <c r="BV505" s="356" t="str">
        <f t="shared" si="53"/>
        <v/>
      </c>
      <c r="BW505" s="356" t="str">
        <f t="shared" si="54"/>
        <v/>
      </c>
      <c r="BX505" s="356" t="str">
        <f t="shared" si="55"/>
        <v/>
      </c>
      <c r="BY505" s="356" t="str">
        <f t="shared" si="56"/>
        <v/>
      </c>
      <c r="BZ505" s="356" t="str">
        <f t="shared" si="57"/>
        <v/>
      </c>
      <c r="CA505" s="356" t="str">
        <f t="shared" si="58"/>
        <v/>
      </c>
      <c r="CB505" s="356" t="str">
        <f t="shared" si="59"/>
        <v/>
      </c>
      <c r="CC505" s="356" t="str">
        <f t="shared" si="60"/>
        <v/>
      </c>
      <c r="CD505" s="356" t="str">
        <f t="shared" si="61"/>
        <v/>
      </c>
      <c r="CE505" s="356" t="str">
        <f t="shared" si="62"/>
        <v/>
      </c>
      <c r="CF505" s="356" t="str">
        <f t="shared" si="63"/>
        <v/>
      </c>
      <c r="CG505" s="356" t="str">
        <f t="shared" si="64"/>
        <v/>
      </c>
      <c r="CH505" s="356" t="str">
        <f t="shared" si="65"/>
        <v/>
      </c>
      <c r="CI505" s="356" t="str">
        <f t="shared" si="66"/>
        <v/>
      </c>
      <c r="CJ505" s="356" t="str">
        <f t="shared" si="67"/>
        <v/>
      </c>
      <c r="CK505" s="356" t="str">
        <f t="shared" si="68"/>
        <v/>
      </c>
      <c r="CL505" s="356" t="str">
        <f t="shared" si="69"/>
        <v/>
      </c>
      <c r="CM505" s="356" t="str">
        <f t="shared" si="70"/>
        <v/>
      </c>
      <c r="CN505" s="356" t="str">
        <f t="shared" si="71"/>
        <v/>
      </c>
      <c r="CO505" s="356" t="str">
        <f t="shared" si="72"/>
        <v/>
      </c>
      <c r="CP505" s="356" t="str">
        <f t="shared" si="73"/>
        <v/>
      </c>
      <c r="CQ505" s="356" t="str">
        <f t="shared" si="74"/>
        <v/>
      </c>
      <c r="CR505" s="356" t="str">
        <f t="shared" si="75"/>
        <v/>
      </c>
      <c r="CS505" s="356" t="str">
        <f t="shared" si="76"/>
        <v/>
      </c>
      <c r="CT505" s="356" t="str">
        <f t="shared" si="77"/>
        <v/>
      </c>
      <c r="CU505" s="356" t="str">
        <f t="shared" si="78"/>
        <v/>
      </c>
      <c r="CV505" s="356" t="str">
        <f t="shared" si="79"/>
        <v/>
      </c>
      <c r="CW505" s="356" t="str">
        <f t="shared" si="80"/>
        <v/>
      </c>
      <c r="CX505" s="356" t="str">
        <f t="shared" si="81"/>
        <v/>
      </c>
      <c r="CY505" s="356" t="str">
        <f t="shared" si="82"/>
        <v/>
      </c>
      <c r="CZ505" s="356" t="str">
        <f t="shared" si="83"/>
        <v/>
      </c>
      <c r="DA505" s="356" t="str">
        <f t="shared" si="84"/>
        <v/>
      </c>
      <c r="DB505" s="356" t="str">
        <f t="shared" si="85"/>
        <v/>
      </c>
      <c r="DC505" s="356" t="str">
        <f t="shared" si="86"/>
        <v/>
      </c>
      <c r="DD505" s="356" t="str">
        <f t="shared" si="87"/>
        <v/>
      </c>
      <c r="DE505" s="356" t="str">
        <f t="shared" si="88"/>
        <v/>
      </c>
      <c r="DF505" s="356" t="str">
        <f t="shared" si="89"/>
        <v/>
      </c>
      <c r="DG505" s="356" t="str">
        <f t="shared" si="90"/>
        <v/>
      </c>
      <c r="DH505" s="356" t="str">
        <f t="shared" si="91"/>
        <v/>
      </c>
      <c r="DI505" s="356" t="str">
        <f t="shared" si="92"/>
        <v/>
      </c>
      <c r="DJ505" s="356" t="str">
        <f t="shared" si="93"/>
        <v/>
      </c>
      <c r="DK505" s="356" t="str">
        <f t="shared" si="94"/>
        <v/>
      </c>
      <c r="DL505" s="356" t="str">
        <f t="shared" si="95"/>
        <v/>
      </c>
      <c r="DM505" s="356" t="str">
        <f t="shared" si="96"/>
        <v/>
      </c>
      <c r="DN505" s="356" t="str">
        <f t="shared" si="97"/>
        <v/>
      </c>
      <c r="DO505" s="356" t="str">
        <f t="shared" si="98"/>
        <v/>
      </c>
      <c r="DP505" s="356" t="str">
        <f t="shared" si="99"/>
        <v/>
      </c>
      <c r="DQ505" s="356" t="str">
        <f t="shared" si="100"/>
        <v/>
      </c>
      <c r="DR505" s="356" t="str">
        <f t="shared" si="101"/>
        <v/>
      </c>
      <c r="DS505" s="356" t="str">
        <f t="shared" si="102"/>
        <v/>
      </c>
      <c r="DT505" s="356" t="str">
        <f t="shared" si="103"/>
        <v/>
      </c>
      <c r="DU505" s="356" t="str">
        <f t="shared" si="104"/>
        <v/>
      </c>
      <c r="DV505" s="356" t="str">
        <f t="shared" si="105"/>
        <v/>
      </c>
      <c r="DW505" s="356" t="str">
        <f t="shared" si="106"/>
        <v/>
      </c>
      <c r="DX505" s="356" t="str">
        <f t="shared" si="107"/>
        <v/>
      </c>
      <c r="DY505" s="356" t="str">
        <f t="shared" si="108"/>
        <v/>
      </c>
      <c r="DZ505" s="356" t="str">
        <f t="shared" si="109"/>
        <v/>
      </c>
      <c r="EA505" s="356" t="str">
        <f t="shared" si="110"/>
        <v/>
      </c>
      <c r="EB505" s="356" t="str">
        <f t="shared" si="111"/>
        <v/>
      </c>
      <c r="EC505" s="356" t="str">
        <f t="shared" si="112"/>
        <v/>
      </c>
      <c r="ED505" s="356" t="str">
        <f t="shared" si="113"/>
        <v/>
      </c>
      <c r="EE505" s="356" t="str">
        <f t="shared" si="114"/>
        <v/>
      </c>
      <c r="EF505" s="356" t="str">
        <f t="shared" si="115"/>
        <v/>
      </c>
      <c r="EG505" s="356" t="str">
        <f t="shared" si="116"/>
        <v/>
      </c>
      <c r="EH505" s="356" t="str">
        <f t="shared" si="117"/>
        <v/>
      </c>
      <c r="EI505" s="356" t="str">
        <f t="shared" si="118"/>
        <v/>
      </c>
      <c r="EJ505" s="356" t="str">
        <f t="shared" si="119"/>
        <v/>
      </c>
      <c r="EK505" s="356" t="str">
        <f t="shared" si="120"/>
        <v/>
      </c>
      <c r="EL505" s="356" t="str">
        <f t="shared" si="121"/>
        <v/>
      </c>
      <c r="EM505" s="356" t="str">
        <f t="shared" si="122"/>
        <v/>
      </c>
      <c r="EN505" s="356" t="str">
        <f t="shared" si="123"/>
        <v/>
      </c>
      <c r="EO505" s="356" t="str">
        <f t="shared" si="124"/>
        <v/>
      </c>
      <c r="EP505" s="356" t="str">
        <f t="shared" si="125"/>
        <v/>
      </c>
      <c r="EQ505" s="356" t="str">
        <f t="shared" si="126"/>
        <v/>
      </c>
      <c r="ER505" s="356" t="str">
        <f t="shared" si="127"/>
        <v/>
      </c>
      <c r="ES505" s="356" t="str">
        <f t="shared" si="128"/>
        <v/>
      </c>
      <c r="ET505" s="356" t="str">
        <f t="shared" si="129"/>
        <v/>
      </c>
      <c r="EU505" s="356" t="str">
        <f t="shared" si="130"/>
        <v/>
      </c>
      <c r="EV505" s="356" t="str">
        <f t="shared" si="131"/>
        <v/>
      </c>
      <c r="EW505" s="356" t="str">
        <f t="shared" si="132"/>
        <v/>
      </c>
      <c r="EX505" s="356" t="str">
        <f t="shared" si="133"/>
        <v/>
      </c>
      <c r="EY505" s="356" t="str">
        <f t="shared" si="134"/>
        <v/>
      </c>
      <c r="EZ505" s="356" t="str">
        <f t="shared" si="135"/>
        <v/>
      </c>
      <c r="FA505" s="356" t="str">
        <f t="shared" si="136"/>
        <v/>
      </c>
      <c r="FB505" s="356" t="str">
        <f t="shared" si="137"/>
        <v/>
      </c>
      <c r="FC505" s="356" t="str">
        <f t="shared" si="138"/>
        <v/>
      </c>
      <c r="FD505" s="356" t="str">
        <f t="shared" si="139"/>
        <v/>
      </c>
      <c r="FE505" s="356" t="str">
        <f t="shared" si="140"/>
        <v/>
      </c>
      <c r="FF505" s="356" t="str">
        <f t="shared" si="141"/>
        <v/>
      </c>
      <c r="FG505" s="356" t="str">
        <f t="shared" si="142"/>
        <v/>
      </c>
      <c r="FH505" s="356" t="str">
        <f t="shared" si="143"/>
        <v/>
      </c>
      <c r="FI505" s="356" t="str">
        <f t="shared" si="144"/>
        <v/>
      </c>
      <c r="FJ505" s="356" t="str">
        <f t="shared" si="145"/>
        <v/>
      </c>
      <c r="FK505" s="356" t="str">
        <f t="shared" si="146"/>
        <v/>
      </c>
      <c r="FL505" s="356" t="str">
        <f t="shared" si="147"/>
        <v/>
      </c>
      <c r="FM505" s="356" t="str">
        <f t="shared" si="148"/>
        <v/>
      </c>
      <c r="FN505" s="356" t="str">
        <f t="shared" si="149"/>
        <v/>
      </c>
      <c r="FO505" s="356" t="str">
        <f t="shared" si="150"/>
        <v/>
      </c>
      <c r="FP505" s="356" t="str">
        <f t="shared" si="151"/>
        <v/>
      </c>
      <c r="FQ505" s="356" t="str">
        <f t="shared" si="152"/>
        <v/>
      </c>
      <c r="FR505" s="356" t="str">
        <f t="shared" si="153"/>
        <v/>
      </c>
      <c r="FS505" s="356" t="str">
        <f t="shared" si="154"/>
        <v/>
      </c>
      <c r="FT505" s="356" t="str">
        <f t="shared" si="155"/>
        <v/>
      </c>
      <c r="FU505" s="356" t="str">
        <f t="shared" si="156"/>
        <v/>
      </c>
      <c r="FV505" s="356" t="str">
        <f t="shared" si="157"/>
        <v/>
      </c>
      <c r="FW505" s="356" t="str">
        <f t="shared" si="158"/>
        <v/>
      </c>
      <c r="FX505" s="356" t="str">
        <f t="shared" si="159"/>
        <v/>
      </c>
      <c r="FY505" s="356" t="str">
        <f t="shared" si="160"/>
        <v/>
      </c>
      <c r="FZ505" s="356" t="str">
        <f t="shared" si="161"/>
        <v/>
      </c>
      <c r="GA505" s="356" t="str">
        <f t="shared" si="162"/>
        <v/>
      </c>
      <c r="GB505" s="356" t="str">
        <f t="shared" si="163"/>
        <v/>
      </c>
      <c r="GC505" s="356" t="str">
        <f t="shared" si="164"/>
        <v/>
      </c>
      <c r="GD505" s="356" t="str">
        <f t="shared" si="165"/>
        <v/>
      </c>
      <c r="GE505" s="356" t="str">
        <f t="shared" si="166"/>
        <v/>
      </c>
      <c r="GF505" s="356" t="str">
        <f t="shared" si="167"/>
        <v/>
      </c>
      <c r="GG505" s="356" t="str">
        <f t="shared" si="168"/>
        <v/>
      </c>
      <c r="GH505" s="356" t="str">
        <f t="shared" si="169"/>
        <v/>
      </c>
      <c r="GI505" s="356" t="str">
        <f t="shared" si="170"/>
        <v/>
      </c>
      <c r="GJ505" s="356" t="str">
        <f t="shared" si="171"/>
        <v/>
      </c>
      <c r="GK505" s="356" t="str">
        <f t="shared" si="172"/>
        <v/>
      </c>
      <c r="GL505" s="356" t="str">
        <f t="shared" si="173"/>
        <v/>
      </c>
      <c r="GM505" s="356" t="str">
        <f t="shared" si="174"/>
        <v/>
      </c>
      <c r="GN505" s="356" t="str">
        <f t="shared" si="175"/>
        <v/>
      </c>
      <c r="GO505" s="356" t="str">
        <f t="shared" si="176"/>
        <v/>
      </c>
      <c r="GP505" s="356" t="str">
        <f t="shared" si="177"/>
        <v/>
      </c>
      <c r="GQ505" s="356" t="str">
        <f t="shared" si="178"/>
        <v/>
      </c>
      <c r="GR505" s="356" t="str">
        <f t="shared" si="179"/>
        <v/>
      </c>
      <c r="GS505" s="356" t="str">
        <f t="shared" si="180"/>
        <v/>
      </c>
      <c r="GT505" s="356" t="str">
        <f t="shared" si="181"/>
        <v/>
      </c>
      <c r="GU505" s="356" t="str">
        <f t="shared" si="182"/>
        <v/>
      </c>
      <c r="GV505" s="356" t="str">
        <f t="shared" si="183"/>
        <v/>
      </c>
      <c r="GW505" s="356" t="str">
        <f t="shared" si="184"/>
        <v/>
      </c>
      <c r="GX505" s="356" t="str">
        <f t="shared" si="185"/>
        <v/>
      </c>
      <c r="GY505" s="356" t="str">
        <f t="shared" si="186"/>
        <v/>
      </c>
      <c r="GZ505" s="356" t="str">
        <f t="shared" si="187"/>
        <v/>
      </c>
      <c r="HA505" s="356" t="str">
        <f t="shared" si="188"/>
        <v/>
      </c>
      <c r="HB505" s="356" t="str">
        <f t="shared" si="189"/>
        <v/>
      </c>
      <c r="HC505" s="356" t="str">
        <f t="shared" si="190"/>
        <v/>
      </c>
      <c r="HD505" s="356" t="str">
        <f t="shared" si="191"/>
        <v/>
      </c>
      <c r="HE505" s="356" t="str">
        <f t="shared" si="192"/>
        <v/>
      </c>
      <c r="HF505" s="356" t="str">
        <f t="shared" si="193"/>
        <v/>
      </c>
      <c r="HG505" s="356" t="str">
        <f t="shared" si="194"/>
        <v/>
      </c>
      <c r="HH505" s="356" t="str">
        <f t="shared" si="195"/>
        <v/>
      </c>
      <c r="HI505" s="356" t="str">
        <f t="shared" si="196"/>
        <v/>
      </c>
      <c r="HJ505" s="356" t="str">
        <f t="shared" si="197"/>
        <v/>
      </c>
      <c r="HK505" s="356" t="str">
        <f t="shared" si="198"/>
        <v/>
      </c>
      <c r="HL505" s="356" t="str">
        <f t="shared" si="199"/>
        <v/>
      </c>
      <c r="HM505" s="356" t="str">
        <f t="shared" si="200"/>
        <v/>
      </c>
      <c r="HN505" s="356" t="str">
        <f t="shared" si="201"/>
        <v/>
      </c>
      <c r="HO505" s="356" t="str">
        <f t="shared" si="202"/>
        <v/>
      </c>
      <c r="HP505" s="356" t="str">
        <f t="shared" si="203"/>
        <v/>
      </c>
      <c r="HQ505" s="356" t="str">
        <f t="shared" si="204"/>
        <v/>
      </c>
      <c r="HR505" s="356" t="str">
        <f t="shared" si="205"/>
        <v/>
      </c>
      <c r="HS505" s="356" t="str">
        <f t="shared" si="206"/>
        <v/>
      </c>
      <c r="HT505" s="356" t="str">
        <f t="shared" si="207"/>
        <v/>
      </c>
      <c r="HU505" s="356" t="str">
        <f t="shared" si="208"/>
        <v/>
      </c>
      <c r="HV505" s="356" t="str">
        <f t="shared" si="209"/>
        <v/>
      </c>
      <c r="HW505" s="356" t="str">
        <f t="shared" si="210"/>
        <v/>
      </c>
      <c r="HX505" s="356" t="str">
        <f t="shared" si="211"/>
        <v/>
      </c>
      <c r="HY505" s="356" t="str">
        <f t="shared" si="212"/>
        <v/>
      </c>
      <c r="HZ505" s="356" t="str">
        <f t="shared" si="213"/>
        <v/>
      </c>
      <c r="IA505" s="356" t="str">
        <f t="shared" si="214"/>
        <v/>
      </c>
      <c r="IB505" s="356" t="str">
        <f t="shared" si="215"/>
        <v/>
      </c>
      <c r="IC505" s="356" t="str">
        <f t="shared" si="216"/>
        <v/>
      </c>
      <c r="ID505" s="356" t="str">
        <f t="shared" si="217"/>
        <v/>
      </c>
      <c r="IE505" s="356" t="str">
        <f t="shared" si="218"/>
        <v/>
      </c>
      <c r="IF505" s="356" t="str">
        <f t="shared" si="219"/>
        <v/>
      </c>
      <c r="IG505" s="356" t="str">
        <f t="shared" si="220"/>
        <v/>
      </c>
      <c r="IH505" s="356" t="str">
        <f t="shared" si="221"/>
        <v/>
      </c>
      <c r="II505" s="356" t="str">
        <f t="shared" si="222"/>
        <v/>
      </c>
      <c r="IJ505" s="356" t="str">
        <f t="shared" si="223"/>
        <v/>
      </c>
      <c r="IK505" s="356" t="str">
        <f t="shared" si="224"/>
        <v/>
      </c>
      <c r="IL505" s="356" t="str">
        <f t="shared" si="225"/>
        <v/>
      </c>
      <c r="IM505" s="356" t="str">
        <f t="shared" si="226"/>
        <v/>
      </c>
      <c r="IN505" s="356" t="str">
        <f t="shared" si="227"/>
        <v/>
      </c>
      <c r="IO505" s="356" t="str">
        <f t="shared" si="228"/>
        <v/>
      </c>
      <c r="IP505" s="356" t="str">
        <f t="shared" si="229"/>
        <v/>
      </c>
      <c r="IQ505" s="356" t="str">
        <f t="shared" si="230"/>
        <v/>
      </c>
      <c r="IR505" s="356" t="str">
        <f t="shared" si="231"/>
        <v/>
      </c>
      <c r="IS505" s="356" t="str">
        <f t="shared" si="232"/>
        <v/>
      </c>
      <c r="IT505" s="356" t="str">
        <f t="shared" si="233"/>
        <v/>
      </c>
      <c r="IU505" s="356" t="str">
        <f t="shared" si="234"/>
        <v/>
      </c>
      <c r="IV505" s="356" t="str">
        <f t="shared" si="235"/>
        <v/>
      </c>
      <c r="IW505" s="356" t="str">
        <f t="shared" si="236"/>
        <v/>
      </c>
      <c r="IX505" s="356" t="str">
        <f t="shared" si="237"/>
        <v/>
      </c>
      <c r="IY505" s="356" t="str">
        <f t="shared" si="238"/>
        <v/>
      </c>
      <c r="IZ505" s="356" t="str">
        <f t="shared" si="239"/>
        <v/>
      </c>
      <c r="JA505" s="356" t="str">
        <f t="shared" si="240"/>
        <v/>
      </c>
      <c r="JB505" s="356" t="str">
        <f t="shared" si="241"/>
        <v/>
      </c>
      <c r="JC505" s="356" t="str">
        <f t="shared" si="242"/>
        <v/>
      </c>
      <c r="JD505" s="356" t="str">
        <f t="shared" si="243"/>
        <v/>
      </c>
      <c r="JE505" s="356" t="str">
        <f t="shared" si="244"/>
        <v/>
      </c>
      <c r="JF505" s="356" t="str">
        <f t="shared" si="245"/>
        <v/>
      </c>
      <c r="JG505" s="356" t="str">
        <f t="shared" si="246"/>
        <v/>
      </c>
      <c r="JH505" s="356" t="str">
        <f t="shared" si="247"/>
        <v/>
      </c>
      <c r="JI505" s="1785" t="str">
        <f t="shared" si="248"/>
        <v/>
      </c>
      <c r="JJ505" s="1785" t="str">
        <f t="shared" si="249"/>
        <v/>
      </c>
      <c r="JK505" s="1785" t="str">
        <f t="shared" si="250"/>
        <v/>
      </c>
      <c r="JL505" s="1785" t="str">
        <f t="shared" si="251"/>
        <v/>
      </c>
      <c r="JM505" s="1785" t="str">
        <f t="shared" si="252"/>
        <v/>
      </c>
      <c r="JN505" s="1785" t="str">
        <f t="shared" si="253"/>
        <v/>
      </c>
      <c r="JO505" s="1785" t="str">
        <f t="shared" si="254"/>
        <v/>
      </c>
      <c r="JP505" s="1785" t="str">
        <f t="shared" si="255"/>
        <v/>
      </c>
      <c r="JQ505" s="1785" t="str">
        <f t="shared" si="256"/>
        <v/>
      </c>
      <c r="JR505" s="1785" t="str">
        <f t="shared" si="257"/>
        <v/>
      </c>
      <c r="JS505" s="1785" t="str">
        <f t="shared" si="258"/>
        <v/>
      </c>
      <c r="JT505" s="1785" t="str">
        <f t="shared" si="259"/>
        <v/>
      </c>
      <c r="JU505" s="1785" t="str">
        <f t="shared" si="260"/>
        <v/>
      </c>
      <c r="JV505" s="1785" t="str">
        <f t="shared" si="261"/>
        <v/>
      </c>
      <c r="JW505" s="1785" t="str">
        <f t="shared" si="262"/>
        <v/>
      </c>
      <c r="JX505" s="1785" t="str">
        <f t="shared" si="263"/>
        <v/>
      </c>
      <c r="JY505" s="1785" t="str">
        <f t="shared" si="264"/>
        <v/>
      </c>
      <c r="JZ505" s="1785" t="str">
        <f t="shared" si="265"/>
        <v/>
      </c>
      <c r="KA505" s="1785" t="str">
        <f t="shared" si="266"/>
        <v/>
      </c>
      <c r="KB505" s="1785" t="str">
        <f t="shared" si="267"/>
        <v/>
      </c>
      <c r="KC505" s="1785" t="str">
        <f t="shared" si="268"/>
        <v/>
      </c>
      <c r="KD505" s="1785" t="str">
        <f t="shared" si="269"/>
        <v/>
      </c>
      <c r="KE505" s="1785" t="str">
        <f t="shared" si="270"/>
        <v/>
      </c>
      <c r="KF505" s="1785" t="str">
        <f t="shared" si="271"/>
        <v/>
      </c>
      <c r="KG505" s="1785" t="str">
        <f t="shared" si="272"/>
        <v/>
      </c>
      <c r="KH505" s="1785" t="str">
        <f t="shared" si="273"/>
        <v/>
      </c>
      <c r="KI505" s="1785" t="str">
        <f t="shared" si="274"/>
        <v/>
      </c>
      <c r="KJ505" s="1785" t="str">
        <f t="shared" si="275"/>
        <v/>
      </c>
      <c r="KK505" s="1785" t="str">
        <f t="shared" si="276"/>
        <v/>
      </c>
      <c r="KL505" s="1785" t="str">
        <f t="shared" si="277"/>
        <v/>
      </c>
      <c r="KM505" s="1785" t="str">
        <f t="shared" si="278"/>
        <v/>
      </c>
      <c r="KN505" s="1785" t="str">
        <f t="shared" si="279"/>
        <v/>
      </c>
      <c r="KO505" s="1785" t="str">
        <f t="shared" si="280"/>
        <v/>
      </c>
      <c r="KP505" s="1785" t="str">
        <f t="shared" si="281"/>
        <v/>
      </c>
      <c r="KQ505" s="1785" t="str">
        <f t="shared" si="282"/>
        <v/>
      </c>
      <c r="KR505" s="1785" t="str">
        <f t="shared" si="283"/>
        <v/>
      </c>
      <c r="KS505" s="1785" t="str">
        <f t="shared" si="284"/>
        <v/>
      </c>
      <c r="KT505" s="1785" t="str">
        <f t="shared" si="285"/>
        <v/>
      </c>
      <c r="KU505" s="1785" t="str">
        <f t="shared" si="286"/>
        <v/>
      </c>
      <c r="KV505" s="1785" t="str">
        <f t="shared" si="287"/>
        <v/>
      </c>
      <c r="KW505" s="1785" t="str">
        <f t="shared" si="288"/>
        <v/>
      </c>
      <c r="KX505" s="1785" t="str">
        <f t="shared" si="289"/>
        <v/>
      </c>
      <c r="KY505" s="1785" t="str">
        <f t="shared" si="290"/>
        <v/>
      </c>
      <c r="KZ505" s="1785" t="str">
        <f t="shared" si="291"/>
        <v/>
      </c>
      <c r="LA505" s="1785" t="str">
        <f t="shared" si="292"/>
        <v/>
      </c>
      <c r="LB505" s="1785" t="str">
        <f t="shared" si="293"/>
        <v/>
      </c>
      <c r="LC505" s="1785" t="str">
        <f t="shared" si="294"/>
        <v/>
      </c>
      <c r="LD505" s="1785" t="str">
        <f t="shared" si="295"/>
        <v/>
      </c>
      <c r="LE505" s="1785" t="str">
        <f t="shared" si="296"/>
        <v/>
      </c>
      <c r="LF505" s="1785" t="str">
        <f t="shared" si="297"/>
        <v/>
      </c>
      <c r="LG505" s="1785" t="str">
        <f t="shared" si="298"/>
        <v/>
      </c>
      <c r="LH505" s="1785" t="str">
        <f t="shared" si="299"/>
        <v/>
      </c>
      <c r="LI505" s="1785" t="str">
        <f t="shared" si="300"/>
        <v/>
      </c>
      <c r="LJ505" s="1785" t="str">
        <f t="shared" si="301"/>
        <v/>
      </c>
      <c r="LK505" s="1785" t="str">
        <f t="shared" si="302"/>
        <v/>
      </c>
      <c r="LL505" s="1785" t="str">
        <f t="shared" si="303"/>
        <v/>
      </c>
      <c r="LM505" s="1785" t="str">
        <f t="shared" si="304"/>
        <v/>
      </c>
      <c r="LN505" s="1785" t="str">
        <f t="shared" si="305"/>
        <v/>
      </c>
      <c r="LO505" s="1785" t="str">
        <f t="shared" si="306"/>
        <v/>
      </c>
      <c r="LP505" s="1785" t="str">
        <f t="shared" si="307"/>
        <v/>
      </c>
      <c r="LQ505" s="1785" t="str">
        <f t="shared" si="308"/>
        <v/>
      </c>
      <c r="LR505" s="1785" t="str">
        <f t="shared" si="309"/>
        <v/>
      </c>
      <c r="LS505" s="1785" t="str">
        <f t="shared" si="310"/>
        <v/>
      </c>
      <c r="LT505" s="1785" t="str">
        <f t="shared" si="311"/>
        <v/>
      </c>
      <c r="LU505" s="1785" t="str">
        <f t="shared" si="312"/>
        <v/>
      </c>
      <c r="LV505" s="1785" t="str">
        <f t="shared" si="313"/>
        <v/>
      </c>
      <c r="LW505" s="1785" t="str">
        <f t="shared" si="314"/>
        <v/>
      </c>
      <c r="LX505" s="1785" t="str">
        <f t="shared" si="315"/>
        <v/>
      </c>
      <c r="LY505" s="1785" t="str">
        <f t="shared" si="316"/>
        <v/>
      </c>
      <c r="LZ505" s="1785" t="str">
        <f t="shared" si="317"/>
        <v/>
      </c>
      <c r="MA505" s="1785" t="str">
        <f t="shared" si="318"/>
        <v/>
      </c>
      <c r="MB505" s="1785" t="str">
        <f t="shared" si="319"/>
        <v/>
      </c>
      <c r="MC505" s="1785" t="str">
        <f t="shared" si="320"/>
        <v/>
      </c>
      <c r="MD505" s="1785" t="str">
        <f t="shared" si="321"/>
        <v/>
      </c>
      <c r="ME505" s="1785" t="str">
        <f t="shared" si="322"/>
        <v/>
      </c>
      <c r="MF505" s="1785" t="str">
        <f t="shared" si="323"/>
        <v/>
      </c>
      <c r="MG505" s="1785" t="str">
        <f t="shared" si="324"/>
        <v/>
      </c>
      <c r="MH505" s="1785" t="str">
        <f t="shared" si="325"/>
        <v/>
      </c>
      <c r="MI505" s="1785" t="str">
        <f t="shared" si="326"/>
        <v/>
      </c>
      <c r="MJ505" s="1785" t="str">
        <f t="shared" si="327"/>
        <v/>
      </c>
      <c r="MK505" s="1785" t="str">
        <f t="shared" si="328"/>
        <v/>
      </c>
      <c r="ML505" s="1785" t="str">
        <f t="shared" si="329"/>
        <v/>
      </c>
      <c r="MM505" s="1785" t="str">
        <f t="shared" si="330"/>
        <v/>
      </c>
      <c r="MN505" s="1785" t="str">
        <f t="shared" si="331"/>
        <v/>
      </c>
      <c r="MO505" s="1785" t="str">
        <f t="shared" si="332"/>
        <v/>
      </c>
      <c r="MP505" s="2470" t="str">
        <f t="shared" si="333"/>
        <v/>
      </c>
      <c r="MQ505" s="2470" t="str">
        <f t="shared" si="334"/>
        <v/>
      </c>
      <c r="MR505" s="2470" t="str">
        <f t="shared" si="335"/>
        <v/>
      </c>
      <c r="MS505" s="2470" t="str">
        <f t="shared" si="336"/>
        <v/>
      </c>
      <c r="MT505" s="2470" t="str">
        <f t="shared" si="337"/>
        <v/>
      </c>
      <c r="MU505" s="356" t="str">
        <f t="shared" si="338"/>
        <v/>
      </c>
      <c r="MV505" s="356" t="str">
        <f t="shared" si="339"/>
        <v/>
      </c>
      <c r="MW505" s="356" t="str">
        <f t="shared" si="340"/>
        <v/>
      </c>
      <c r="MX505" s="356" t="str">
        <f t="shared" si="341"/>
        <v/>
      </c>
      <c r="MY505" s="356" t="str">
        <f t="shared" si="342"/>
        <v/>
      </c>
      <c r="MZ505" s="356" t="str">
        <f t="shared" si="343"/>
        <v/>
      </c>
      <c r="NA505" s="356" t="str">
        <f t="shared" si="344"/>
        <v/>
      </c>
      <c r="NB505" s="356" t="str">
        <f t="shared" si="345"/>
        <v/>
      </c>
      <c r="NC505" s="356" t="str">
        <f t="shared" si="346"/>
        <v/>
      </c>
      <c r="ND505" s="356" t="str">
        <f t="shared" si="347"/>
        <v/>
      </c>
      <c r="NE505" s="356" t="str">
        <f t="shared" si="348"/>
        <v/>
      </c>
      <c r="NF505" s="356" t="str">
        <f t="shared" si="349"/>
        <v/>
      </c>
      <c r="NG505" s="356" t="str">
        <f t="shared" si="350"/>
        <v/>
      </c>
      <c r="NH505" s="356" t="str">
        <f t="shared" si="351"/>
        <v/>
      </c>
      <c r="NI505" s="356" t="str">
        <f t="shared" si="352"/>
        <v/>
      </c>
      <c r="NJ505" s="356" t="str">
        <f t="shared" si="353"/>
        <v/>
      </c>
      <c r="NK505" s="356" t="str">
        <f t="shared" si="354"/>
        <v/>
      </c>
      <c r="NL505" s="356" t="str">
        <f t="shared" si="355"/>
        <v/>
      </c>
      <c r="NM505" s="356" t="str">
        <f t="shared" si="356"/>
        <v/>
      </c>
      <c r="NN505" s="356" t="str">
        <f t="shared" si="357"/>
        <v/>
      </c>
      <c r="NO505" s="1640">
        <f t="shared" si="358"/>
        <v>0</v>
      </c>
      <c r="NP505" s="1640">
        <f t="shared" si="359"/>
        <v>0</v>
      </c>
      <c r="NQ505" s="1640">
        <f t="shared" si="360"/>
        <v>0</v>
      </c>
      <c r="NR505" s="1640">
        <f t="shared" si="361"/>
        <v>0</v>
      </c>
      <c r="NS505" s="1640">
        <f t="shared" si="362"/>
        <v>0</v>
      </c>
      <c r="NT505" s="1640">
        <f t="shared" si="368"/>
        <v>0</v>
      </c>
      <c r="NU505" s="1640">
        <f t="shared" si="369"/>
        <v>0</v>
      </c>
      <c r="NV505" s="1640">
        <f t="shared" si="370"/>
        <v>0</v>
      </c>
      <c r="NW505" s="1640">
        <f t="shared" si="371"/>
        <v>0</v>
      </c>
      <c r="NX505" s="1640">
        <f t="shared" si="372"/>
        <v>0</v>
      </c>
      <c r="NY505" s="1640">
        <f t="shared" si="363"/>
        <v>0</v>
      </c>
      <c r="NZ505" s="1640">
        <f t="shared" si="364"/>
        <v>0</v>
      </c>
      <c r="OA505" s="1640">
        <f t="shared" si="365"/>
        <v>0</v>
      </c>
      <c r="OB505" s="1640">
        <f t="shared" si="366"/>
        <v>0</v>
      </c>
      <c r="OC505" s="1640">
        <f t="shared" si="367"/>
        <v>0</v>
      </c>
      <c r="OY505" s="356" t="s">
        <v>4333</v>
      </c>
      <c r="OZ505" s="1640">
        <v>52</v>
      </c>
    </row>
    <row r="506" spans="1:416" ht="12" customHeight="1">
      <c r="A506" s="2706" t="str">
        <f t="shared" si="0"/>
        <v/>
      </c>
      <c r="B506" s="2725">
        <f>'Part V-Revenues &amp; Expenses'!B53</f>
        <v>0</v>
      </c>
      <c r="C506" s="2726">
        <f>'Part V-Revenues &amp; Expenses'!C53</f>
        <v>0</v>
      </c>
      <c r="D506" s="2727">
        <f>'Part V-Revenues &amp; Expenses'!D53</f>
        <v>0</v>
      </c>
      <c r="E506" s="2728">
        <f>'Part V-Revenues &amp; Expenses'!E53</f>
        <v>0</v>
      </c>
      <c r="F506" s="2728">
        <f>'Part V-Revenues &amp; Expenses'!F53</f>
        <v>0</v>
      </c>
      <c r="G506" s="2728">
        <f>'Part V-Revenues &amp; Expenses'!G53</f>
        <v>0</v>
      </c>
      <c r="H506" s="2728">
        <f>'Part V-Revenues &amp; Expenses'!H53</f>
        <v>0</v>
      </c>
      <c r="I506" s="2728">
        <f>'Part V-Revenues &amp; Expenses'!I53</f>
        <v>0</v>
      </c>
      <c r="J506" s="2728">
        <f>'Part V-Revenues &amp; Expenses'!J53</f>
        <v>0</v>
      </c>
      <c r="K506" s="2729">
        <f>'Part V-Revenues &amp; Expenses'!K53</f>
        <v>0</v>
      </c>
      <c r="L506" s="2730">
        <f t="shared" si="1"/>
        <v>0</v>
      </c>
      <c r="M506" s="2730">
        <f t="shared" si="2"/>
        <v>0</v>
      </c>
      <c r="N506" s="2580">
        <f>'Part V-Revenues &amp; Expenses'!N53</f>
        <v>0</v>
      </c>
      <c r="O506" s="1248">
        <f>'Part V-Revenues &amp; Expenses'!O53</f>
        <v>0</v>
      </c>
      <c r="P506" s="2580">
        <f>'Part V-Revenues &amp; Expenses'!P53</f>
        <v>0</v>
      </c>
      <c r="Q506" s="2469">
        <f>'Part V-Revenues &amp; Expenses'!Q53</f>
        <v>0</v>
      </c>
      <c r="R506" s="2731"/>
      <c r="S506" s="2732"/>
      <c r="T506" s="2647"/>
      <c r="U506" s="2647"/>
      <c r="V506" s="2647"/>
      <c r="W506" s="2647"/>
      <c r="X506" s="356" t="str">
        <f t="shared" si="3"/>
        <v/>
      </c>
      <c r="Y506" s="356" t="str">
        <f t="shared" si="4"/>
        <v/>
      </c>
      <c r="Z506" s="356" t="str">
        <f t="shared" si="5"/>
        <v/>
      </c>
      <c r="AA506" s="356" t="str">
        <f t="shared" si="6"/>
        <v/>
      </c>
      <c r="AB506" s="356" t="str">
        <f t="shared" si="7"/>
        <v/>
      </c>
      <c r="AC506" s="356" t="str">
        <f t="shared" si="8"/>
        <v/>
      </c>
      <c r="AD506" s="356" t="str">
        <f t="shared" si="9"/>
        <v/>
      </c>
      <c r="AE506" s="356" t="str">
        <f t="shared" si="10"/>
        <v/>
      </c>
      <c r="AF506" s="356" t="str">
        <f t="shared" si="11"/>
        <v/>
      </c>
      <c r="AG506" s="356" t="str">
        <f t="shared" si="12"/>
        <v/>
      </c>
      <c r="AH506" s="356" t="str">
        <f t="shared" si="13"/>
        <v/>
      </c>
      <c r="AI506" s="356" t="str">
        <f t="shared" si="14"/>
        <v/>
      </c>
      <c r="AJ506" s="356" t="str">
        <f t="shared" si="15"/>
        <v/>
      </c>
      <c r="AK506" s="356" t="str">
        <f t="shared" si="16"/>
        <v/>
      </c>
      <c r="AL506" s="356" t="str">
        <f t="shared" si="17"/>
        <v/>
      </c>
      <c r="AM506" s="356" t="str">
        <f t="shared" si="18"/>
        <v/>
      </c>
      <c r="AN506" s="356" t="str">
        <f t="shared" si="19"/>
        <v/>
      </c>
      <c r="AO506" s="356" t="str">
        <f t="shared" si="20"/>
        <v/>
      </c>
      <c r="AP506" s="356" t="str">
        <f t="shared" si="21"/>
        <v/>
      </c>
      <c r="AQ506" s="356" t="str">
        <f t="shared" si="22"/>
        <v/>
      </c>
      <c r="AR506" s="356" t="str">
        <f t="shared" si="23"/>
        <v/>
      </c>
      <c r="AS506" s="356" t="str">
        <f t="shared" si="24"/>
        <v/>
      </c>
      <c r="AT506" s="356" t="str">
        <f t="shared" si="25"/>
        <v/>
      </c>
      <c r="AU506" s="356" t="str">
        <f t="shared" si="26"/>
        <v/>
      </c>
      <c r="AV506" s="356" t="str">
        <f t="shared" si="27"/>
        <v/>
      </c>
      <c r="AW506" s="356" t="str">
        <f t="shared" si="28"/>
        <v/>
      </c>
      <c r="AX506" s="356" t="str">
        <f t="shared" si="29"/>
        <v/>
      </c>
      <c r="AY506" s="356" t="str">
        <f t="shared" si="30"/>
        <v/>
      </c>
      <c r="AZ506" s="356" t="str">
        <f t="shared" si="31"/>
        <v/>
      </c>
      <c r="BA506" s="356" t="str">
        <f t="shared" si="32"/>
        <v/>
      </c>
      <c r="BB506" s="356" t="str">
        <f t="shared" si="33"/>
        <v/>
      </c>
      <c r="BC506" s="356" t="str">
        <f t="shared" si="34"/>
        <v/>
      </c>
      <c r="BD506" s="356" t="str">
        <f t="shared" si="35"/>
        <v/>
      </c>
      <c r="BE506" s="356" t="str">
        <f t="shared" si="36"/>
        <v/>
      </c>
      <c r="BF506" s="356" t="str">
        <f t="shared" si="37"/>
        <v/>
      </c>
      <c r="BG506" s="356" t="str">
        <f t="shared" si="38"/>
        <v/>
      </c>
      <c r="BH506" s="356" t="str">
        <f t="shared" si="39"/>
        <v/>
      </c>
      <c r="BI506" s="356" t="str">
        <f t="shared" si="40"/>
        <v/>
      </c>
      <c r="BJ506" s="356" t="str">
        <f t="shared" si="41"/>
        <v/>
      </c>
      <c r="BK506" s="356" t="str">
        <f t="shared" si="42"/>
        <v/>
      </c>
      <c r="BL506" s="356" t="str">
        <f t="shared" si="43"/>
        <v/>
      </c>
      <c r="BM506" s="356" t="str">
        <f t="shared" si="44"/>
        <v/>
      </c>
      <c r="BN506" s="356" t="str">
        <f t="shared" si="45"/>
        <v/>
      </c>
      <c r="BO506" s="356" t="str">
        <f t="shared" si="46"/>
        <v/>
      </c>
      <c r="BP506" s="356" t="str">
        <f t="shared" si="47"/>
        <v/>
      </c>
      <c r="BQ506" s="356" t="str">
        <f t="shared" si="48"/>
        <v/>
      </c>
      <c r="BR506" s="356" t="str">
        <f t="shared" si="49"/>
        <v/>
      </c>
      <c r="BS506" s="356" t="str">
        <f t="shared" si="50"/>
        <v/>
      </c>
      <c r="BT506" s="356" t="str">
        <f t="shared" si="51"/>
        <v/>
      </c>
      <c r="BU506" s="356" t="str">
        <f t="shared" si="52"/>
        <v/>
      </c>
      <c r="BV506" s="356" t="str">
        <f t="shared" si="53"/>
        <v/>
      </c>
      <c r="BW506" s="356" t="str">
        <f t="shared" si="54"/>
        <v/>
      </c>
      <c r="BX506" s="356" t="str">
        <f t="shared" si="55"/>
        <v/>
      </c>
      <c r="BY506" s="356" t="str">
        <f t="shared" si="56"/>
        <v/>
      </c>
      <c r="BZ506" s="356" t="str">
        <f t="shared" si="57"/>
        <v/>
      </c>
      <c r="CA506" s="356" t="str">
        <f t="shared" si="58"/>
        <v/>
      </c>
      <c r="CB506" s="356" t="str">
        <f t="shared" si="59"/>
        <v/>
      </c>
      <c r="CC506" s="356" t="str">
        <f t="shared" si="60"/>
        <v/>
      </c>
      <c r="CD506" s="356" t="str">
        <f t="shared" si="61"/>
        <v/>
      </c>
      <c r="CE506" s="356" t="str">
        <f t="shared" si="62"/>
        <v/>
      </c>
      <c r="CF506" s="356" t="str">
        <f t="shared" si="63"/>
        <v/>
      </c>
      <c r="CG506" s="356" t="str">
        <f t="shared" si="64"/>
        <v/>
      </c>
      <c r="CH506" s="356" t="str">
        <f t="shared" si="65"/>
        <v/>
      </c>
      <c r="CI506" s="356" t="str">
        <f t="shared" si="66"/>
        <v/>
      </c>
      <c r="CJ506" s="356" t="str">
        <f t="shared" si="67"/>
        <v/>
      </c>
      <c r="CK506" s="356" t="str">
        <f t="shared" si="68"/>
        <v/>
      </c>
      <c r="CL506" s="356" t="str">
        <f t="shared" si="69"/>
        <v/>
      </c>
      <c r="CM506" s="356" t="str">
        <f t="shared" si="70"/>
        <v/>
      </c>
      <c r="CN506" s="356" t="str">
        <f t="shared" si="71"/>
        <v/>
      </c>
      <c r="CO506" s="356" t="str">
        <f t="shared" si="72"/>
        <v/>
      </c>
      <c r="CP506" s="356" t="str">
        <f t="shared" si="73"/>
        <v/>
      </c>
      <c r="CQ506" s="356" t="str">
        <f t="shared" si="74"/>
        <v/>
      </c>
      <c r="CR506" s="356" t="str">
        <f t="shared" si="75"/>
        <v/>
      </c>
      <c r="CS506" s="356" t="str">
        <f t="shared" si="76"/>
        <v/>
      </c>
      <c r="CT506" s="356" t="str">
        <f t="shared" si="77"/>
        <v/>
      </c>
      <c r="CU506" s="356" t="str">
        <f t="shared" si="78"/>
        <v/>
      </c>
      <c r="CV506" s="356" t="str">
        <f t="shared" si="79"/>
        <v/>
      </c>
      <c r="CW506" s="356" t="str">
        <f t="shared" si="80"/>
        <v/>
      </c>
      <c r="CX506" s="356" t="str">
        <f t="shared" si="81"/>
        <v/>
      </c>
      <c r="CY506" s="356" t="str">
        <f t="shared" si="82"/>
        <v/>
      </c>
      <c r="CZ506" s="356" t="str">
        <f t="shared" si="83"/>
        <v/>
      </c>
      <c r="DA506" s="356" t="str">
        <f t="shared" si="84"/>
        <v/>
      </c>
      <c r="DB506" s="356" t="str">
        <f t="shared" si="85"/>
        <v/>
      </c>
      <c r="DC506" s="356" t="str">
        <f t="shared" si="86"/>
        <v/>
      </c>
      <c r="DD506" s="356" t="str">
        <f t="shared" si="87"/>
        <v/>
      </c>
      <c r="DE506" s="356" t="str">
        <f t="shared" si="88"/>
        <v/>
      </c>
      <c r="DF506" s="356" t="str">
        <f t="shared" si="89"/>
        <v/>
      </c>
      <c r="DG506" s="356" t="str">
        <f t="shared" si="90"/>
        <v/>
      </c>
      <c r="DH506" s="356" t="str">
        <f t="shared" si="91"/>
        <v/>
      </c>
      <c r="DI506" s="356" t="str">
        <f t="shared" si="92"/>
        <v/>
      </c>
      <c r="DJ506" s="356" t="str">
        <f t="shared" si="93"/>
        <v/>
      </c>
      <c r="DK506" s="356" t="str">
        <f t="shared" si="94"/>
        <v/>
      </c>
      <c r="DL506" s="356" t="str">
        <f t="shared" si="95"/>
        <v/>
      </c>
      <c r="DM506" s="356" t="str">
        <f t="shared" si="96"/>
        <v/>
      </c>
      <c r="DN506" s="356" t="str">
        <f t="shared" si="97"/>
        <v/>
      </c>
      <c r="DO506" s="356" t="str">
        <f t="shared" si="98"/>
        <v/>
      </c>
      <c r="DP506" s="356" t="str">
        <f t="shared" si="99"/>
        <v/>
      </c>
      <c r="DQ506" s="356" t="str">
        <f t="shared" si="100"/>
        <v/>
      </c>
      <c r="DR506" s="356" t="str">
        <f t="shared" si="101"/>
        <v/>
      </c>
      <c r="DS506" s="356" t="str">
        <f t="shared" si="102"/>
        <v/>
      </c>
      <c r="DT506" s="356" t="str">
        <f t="shared" si="103"/>
        <v/>
      </c>
      <c r="DU506" s="356" t="str">
        <f t="shared" si="104"/>
        <v/>
      </c>
      <c r="DV506" s="356" t="str">
        <f t="shared" si="105"/>
        <v/>
      </c>
      <c r="DW506" s="356" t="str">
        <f t="shared" si="106"/>
        <v/>
      </c>
      <c r="DX506" s="356" t="str">
        <f t="shared" si="107"/>
        <v/>
      </c>
      <c r="DY506" s="356" t="str">
        <f t="shared" si="108"/>
        <v/>
      </c>
      <c r="DZ506" s="356" t="str">
        <f t="shared" si="109"/>
        <v/>
      </c>
      <c r="EA506" s="356" t="str">
        <f t="shared" si="110"/>
        <v/>
      </c>
      <c r="EB506" s="356" t="str">
        <f t="shared" si="111"/>
        <v/>
      </c>
      <c r="EC506" s="356" t="str">
        <f t="shared" si="112"/>
        <v/>
      </c>
      <c r="ED506" s="356" t="str">
        <f t="shared" si="113"/>
        <v/>
      </c>
      <c r="EE506" s="356" t="str">
        <f t="shared" si="114"/>
        <v/>
      </c>
      <c r="EF506" s="356" t="str">
        <f t="shared" si="115"/>
        <v/>
      </c>
      <c r="EG506" s="356" t="str">
        <f t="shared" si="116"/>
        <v/>
      </c>
      <c r="EH506" s="356" t="str">
        <f t="shared" si="117"/>
        <v/>
      </c>
      <c r="EI506" s="356" t="str">
        <f t="shared" si="118"/>
        <v/>
      </c>
      <c r="EJ506" s="356" t="str">
        <f t="shared" si="119"/>
        <v/>
      </c>
      <c r="EK506" s="356" t="str">
        <f t="shared" si="120"/>
        <v/>
      </c>
      <c r="EL506" s="356" t="str">
        <f t="shared" si="121"/>
        <v/>
      </c>
      <c r="EM506" s="356" t="str">
        <f t="shared" si="122"/>
        <v/>
      </c>
      <c r="EN506" s="356" t="str">
        <f t="shared" si="123"/>
        <v/>
      </c>
      <c r="EO506" s="356" t="str">
        <f t="shared" si="124"/>
        <v/>
      </c>
      <c r="EP506" s="356" t="str">
        <f t="shared" si="125"/>
        <v/>
      </c>
      <c r="EQ506" s="356" t="str">
        <f t="shared" si="126"/>
        <v/>
      </c>
      <c r="ER506" s="356" t="str">
        <f t="shared" si="127"/>
        <v/>
      </c>
      <c r="ES506" s="356" t="str">
        <f t="shared" si="128"/>
        <v/>
      </c>
      <c r="ET506" s="356" t="str">
        <f t="shared" si="129"/>
        <v/>
      </c>
      <c r="EU506" s="356" t="str">
        <f t="shared" si="130"/>
        <v/>
      </c>
      <c r="EV506" s="356" t="str">
        <f t="shared" si="131"/>
        <v/>
      </c>
      <c r="EW506" s="356" t="str">
        <f t="shared" si="132"/>
        <v/>
      </c>
      <c r="EX506" s="356" t="str">
        <f t="shared" si="133"/>
        <v/>
      </c>
      <c r="EY506" s="356" t="str">
        <f t="shared" si="134"/>
        <v/>
      </c>
      <c r="EZ506" s="356" t="str">
        <f t="shared" si="135"/>
        <v/>
      </c>
      <c r="FA506" s="356" t="str">
        <f t="shared" si="136"/>
        <v/>
      </c>
      <c r="FB506" s="356" t="str">
        <f t="shared" si="137"/>
        <v/>
      </c>
      <c r="FC506" s="356" t="str">
        <f t="shared" si="138"/>
        <v/>
      </c>
      <c r="FD506" s="356" t="str">
        <f t="shared" si="139"/>
        <v/>
      </c>
      <c r="FE506" s="356" t="str">
        <f t="shared" si="140"/>
        <v/>
      </c>
      <c r="FF506" s="356" t="str">
        <f t="shared" si="141"/>
        <v/>
      </c>
      <c r="FG506" s="356" t="str">
        <f t="shared" si="142"/>
        <v/>
      </c>
      <c r="FH506" s="356" t="str">
        <f t="shared" si="143"/>
        <v/>
      </c>
      <c r="FI506" s="356" t="str">
        <f t="shared" si="144"/>
        <v/>
      </c>
      <c r="FJ506" s="356" t="str">
        <f t="shared" si="145"/>
        <v/>
      </c>
      <c r="FK506" s="356" t="str">
        <f t="shared" si="146"/>
        <v/>
      </c>
      <c r="FL506" s="356" t="str">
        <f t="shared" si="147"/>
        <v/>
      </c>
      <c r="FM506" s="356" t="str">
        <f t="shared" si="148"/>
        <v/>
      </c>
      <c r="FN506" s="356" t="str">
        <f t="shared" si="149"/>
        <v/>
      </c>
      <c r="FO506" s="356" t="str">
        <f t="shared" si="150"/>
        <v/>
      </c>
      <c r="FP506" s="356" t="str">
        <f t="shared" si="151"/>
        <v/>
      </c>
      <c r="FQ506" s="356" t="str">
        <f t="shared" si="152"/>
        <v/>
      </c>
      <c r="FR506" s="356" t="str">
        <f t="shared" si="153"/>
        <v/>
      </c>
      <c r="FS506" s="356" t="str">
        <f t="shared" si="154"/>
        <v/>
      </c>
      <c r="FT506" s="356" t="str">
        <f t="shared" si="155"/>
        <v/>
      </c>
      <c r="FU506" s="356" t="str">
        <f t="shared" si="156"/>
        <v/>
      </c>
      <c r="FV506" s="356" t="str">
        <f t="shared" si="157"/>
        <v/>
      </c>
      <c r="FW506" s="356" t="str">
        <f t="shared" si="158"/>
        <v/>
      </c>
      <c r="FX506" s="356" t="str">
        <f t="shared" si="159"/>
        <v/>
      </c>
      <c r="FY506" s="356" t="str">
        <f t="shared" si="160"/>
        <v/>
      </c>
      <c r="FZ506" s="356" t="str">
        <f t="shared" si="161"/>
        <v/>
      </c>
      <c r="GA506" s="356" t="str">
        <f t="shared" si="162"/>
        <v/>
      </c>
      <c r="GB506" s="356" t="str">
        <f t="shared" si="163"/>
        <v/>
      </c>
      <c r="GC506" s="356" t="str">
        <f t="shared" si="164"/>
        <v/>
      </c>
      <c r="GD506" s="356" t="str">
        <f t="shared" si="165"/>
        <v/>
      </c>
      <c r="GE506" s="356" t="str">
        <f t="shared" si="166"/>
        <v/>
      </c>
      <c r="GF506" s="356" t="str">
        <f t="shared" si="167"/>
        <v/>
      </c>
      <c r="GG506" s="356" t="str">
        <f t="shared" si="168"/>
        <v/>
      </c>
      <c r="GH506" s="356" t="str">
        <f t="shared" si="169"/>
        <v/>
      </c>
      <c r="GI506" s="356" t="str">
        <f t="shared" si="170"/>
        <v/>
      </c>
      <c r="GJ506" s="356" t="str">
        <f t="shared" si="171"/>
        <v/>
      </c>
      <c r="GK506" s="356" t="str">
        <f t="shared" si="172"/>
        <v/>
      </c>
      <c r="GL506" s="356" t="str">
        <f t="shared" si="173"/>
        <v/>
      </c>
      <c r="GM506" s="356" t="str">
        <f t="shared" si="174"/>
        <v/>
      </c>
      <c r="GN506" s="356" t="str">
        <f t="shared" si="175"/>
        <v/>
      </c>
      <c r="GO506" s="356" t="str">
        <f t="shared" si="176"/>
        <v/>
      </c>
      <c r="GP506" s="356" t="str">
        <f t="shared" si="177"/>
        <v/>
      </c>
      <c r="GQ506" s="356" t="str">
        <f t="shared" si="178"/>
        <v/>
      </c>
      <c r="GR506" s="356" t="str">
        <f t="shared" si="179"/>
        <v/>
      </c>
      <c r="GS506" s="356" t="str">
        <f t="shared" si="180"/>
        <v/>
      </c>
      <c r="GT506" s="356" t="str">
        <f t="shared" si="181"/>
        <v/>
      </c>
      <c r="GU506" s="356" t="str">
        <f t="shared" si="182"/>
        <v/>
      </c>
      <c r="GV506" s="356" t="str">
        <f t="shared" si="183"/>
        <v/>
      </c>
      <c r="GW506" s="356" t="str">
        <f t="shared" si="184"/>
        <v/>
      </c>
      <c r="GX506" s="356" t="str">
        <f t="shared" si="185"/>
        <v/>
      </c>
      <c r="GY506" s="356" t="str">
        <f t="shared" si="186"/>
        <v/>
      </c>
      <c r="GZ506" s="356" t="str">
        <f t="shared" si="187"/>
        <v/>
      </c>
      <c r="HA506" s="356" t="str">
        <f t="shared" si="188"/>
        <v/>
      </c>
      <c r="HB506" s="356" t="str">
        <f t="shared" si="189"/>
        <v/>
      </c>
      <c r="HC506" s="356" t="str">
        <f t="shared" si="190"/>
        <v/>
      </c>
      <c r="HD506" s="356" t="str">
        <f t="shared" si="191"/>
        <v/>
      </c>
      <c r="HE506" s="356" t="str">
        <f t="shared" si="192"/>
        <v/>
      </c>
      <c r="HF506" s="356" t="str">
        <f t="shared" si="193"/>
        <v/>
      </c>
      <c r="HG506" s="356" t="str">
        <f t="shared" si="194"/>
        <v/>
      </c>
      <c r="HH506" s="356" t="str">
        <f t="shared" si="195"/>
        <v/>
      </c>
      <c r="HI506" s="356" t="str">
        <f t="shared" si="196"/>
        <v/>
      </c>
      <c r="HJ506" s="356" t="str">
        <f t="shared" si="197"/>
        <v/>
      </c>
      <c r="HK506" s="356" t="str">
        <f t="shared" si="198"/>
        <v/>
      </c>
      <c r="HL506" s="356" t="str">
        <f t="shared" si="199"/>
        <v/>
      </c>
      <c r="HM506" s="356" t="str">
        <f t="shared" si="200"/>
        <v/>
      </c>
      <c r="HN506" s="356" t="str">
        <f t="shared" si="201"/>
        <v/>
      </c>
      <c r="HO506" s="356" t="str">
        <f t="shared" si="202"/>
        <v/>
      </c>
      <c r="HP506" s="356" t="str">
        <f t="shared" si="203"/>
        <v/>
      </c>
      <c r="HQ506" s="356" t="str">
        <f t="shared" si="204"/>
        <v/>
      </c>
      <c r="HR506" s="356" t="str">
        <f t="shared" si="205"/>
        <v/>
      </c>
      <c r="HS506" s="356" t="str">
        <f t="shared" si="206"/>
        <v/>
      </c>
      <c r="HT506" s="356" t="str">
        <f t="shared" si="207"/>
        <v/>
      </c>
      <c r="HU506" s="356" t="str">
        <f t="shared" si="208"/>
        <v/>
      </c>
      <c r="HV506" s="356" t="str">
        <f t="shared" si="209"/>
        <v/>
      </c>
      <c r="HW506" s="356" t="str">
        <f t="shared" si="210"/>
        <v/>
      </c>
      <c r="HX506" s="356" t="str">
        <f t="shared" si="211"/>
        <v/>
      </c>
      <c r="HY506" s="356" t="str">
        <f t="shared" si="212"/>
        <v/>
      </c>
      <c r="HZ506" s="356" t="str">
        <f t="shared" si="213"/>
        <v/>
      </c>
      <c r="IA506" s="356" t="str">
        <f t="shared" si="214"/>
        <v/>
      </c>
      <c r="IB506" s="356" t="str">
        <f t="shared" si="215"/>
        <v/>
      </c>
      <c r="IC506" s="356" t="str">
        <f t="shared" si="216"/>
        <v/>
      </c>
      <c r="ID506" s="356" t="str">
        <f t="shared" si="217"/>
        <v/>
      </c>
      <c r="IE506" s="356" t="str">
        <f t="shared" si="218"/>
        <v/>
      </c>
      <c r="IF506" s="356" t="str">
        <f t="shared" si="219"/>
        <v/>
      </c>
      <c r="IG506" s="356" t="str">
        <f t="shared" si="220"/>
        <v/>
      </c>
      <c r="IH506" s="356" t="str">
        <f t="shared" si="221"/>
        <v/>
      </c>
      <c r="II506" s="356" t="str">
        <f t="shared" si="222"/>
        <v/>
      </c>
      <c r="IJ506" s="356" t="str">
        <f t="shared" si="223"/>
        <v/>
      </c>
      <c r="IK506" s="356" t="str">
        <f t="shared" si="224"/>
        <v/>
      </c>
      <c r="IL506" s="356" t="str">
        <f t="shared" si="225"/>
        <v/>
      </c>
      <c r="IM506" s="356" t="str">
        <f t="shared" si="226"/>
        <v/>
      </c>
      <c r="IN506" s="356" t="str">
        <f t="shared" si="227"/>
        <v/>
      </c>
      <c r="IO506" s="356" t="str">
        <f t="shared" si="228"/>
        <v/>
      </c>
      <c r="IP506" s="356" t="str">
        <f t="shared" si="229"/>
        <v/>
      </c>
      <c r="IQ506" s="356" t="str">
        <f t="shared" si="230"/>
        <v/>
      </c>
      <c r="IR506" s="356" t="str">
        <f t="shared" si="231"/>
        <v/>
      </c>
      <c r="IS506" s="356" t="str">
        <f t="shared" si="232"/>
        <v/>
      </c>
      <c r="IT506" s="356" t="str">
        <f t="shared" si="233"/>
        <v/>
      </c>
      <c r="IU506" s="356" t="str">
        <f t="shared" si="234"/>
        <v/>
      </c>
      <c r="IV506" s="356" t="str">
        <f t="shared" si="235"/>
        <v/>
      </c>
      <c r="IW506" s="356" t="str">
        <f t="shared" si="236"/>
        <v/>
      </c>
      <c r="IX506" s="356" t="str">
        <f t="shared" si="237"/>
        <v/>
      </c>
      <c r="IY506" s="356" t="str">
        <f t="shared" si="238"/>
        <v/>
      </c>
      <c r="IZ506" s="356" t="str">
        <f t="shared" si="239"/>
        <v/>
      </c>
      <c r="JA506" s="356" t="str">
        <f t="shared" si="240"/>
        <v/>
      </c>
      <c r="JB506" s="356" t="str">
        <f t="shared" si="241"/>
        <v/>
      </c>
      <c r="JC506" s="356" t="str">
        <f t="shared" si="242"/>
        <v/>
      </c>
      <c r="JD506" s="356" t="str">
        <f t="shared" si="243"/>
        <v/>
      </c>
      <c r="JE506" s="356" t="str">
        <f t="shared" si="244"/>
        <v/>
      </c>
      <c r="JF506" s="356" t="str">
        <f t="shared" si="245"/>
        <v/>
      </c>
      <c r="JG506" s="356" t="str">
        <f t="shared" si="246"/>
        <v/>
      </c>
      <c r="JH506" s="356" t="str">
        <f t="shared" si="247"/>
        <v/>
      </c>
      <c r="JI506" s="1785" t="str">
        <f t="shared" si="248"/>
        <v/>
      </c>
      <c r="JJ506" s="1785" t="str">
        <f t="shared" si="249"/>
        <v/>
      </c>
      <c r="JK506" s="1785" t="str">
        <f t="shared" si="250"/>
        <v/>
      </c>
      <c r="JL506" s="1785" t="str">
        <f t="shared" si="251"/>
        <v/>
      </c>
      <c r="JM506" s="1785" t="str">
        <f t="shared" si="252"/>
        <v/>
      </c>
      <c r="JN506" s="1785" t="str">
        <f t="shared" si="253"/>
        <v/>
      </c>
      <c r="JO506" s="1785" t="str">
        <f t="shared" si="254"/>
        <v/>
      </c>
      <c r="JP506" s="1785" t="str">
        <f t="shared" si="255"/>
        <v/>
      </c>
      <c r="JQ506" s="1785" t="str">
        <f t="shared" si="256"/>
        <v/>
      </c>
      <c r="JR506" s="1785" t="str">
        <f t="shared" si="257"/>
        <v/>
      </c>
      <c r="JS506" s="1785" t="str">
        <f t="shared" si="258"/>
        <v/>
      </c>
      <c r="JT506" s="1785" t="str">
        <f t="shared" si="259"/>
        <v/>
      </c>
      <c r="JU506" s="1785" t="str">
        <f t="shared" si="260"/>
        <v/>
      </c>
      <c r="JV506" s="1785" t="str">
        <f t="shared" si="261"/>
        <v/>
      </c>
      <c r="JW506" s="1785" t="str">
        <f t="shared" si="262"/>
        <v/>
      </c>
      <c r="JX506" s="1785" t="str">
        <f t="shared" si="263"/>
        <v/>
      </c>
      <c r="JY506" s="1785" t="str">
        <f t="shared" si="264"/>
        <v/>
      </c>
      <c r="JZ506" s="1785" t="str">
        <f t="shared" si="265"/>
        <v/>
      </c>
      <c r="KA506" s="1785" t="str">
        <f t="shared" si="266"/>
        <v/>
      </c>
      <c r="KB506" s="1785" t="str">
        <f t="shared" si="267"/>
        <v/>
      </c>
      <c r="KC506" s="1785" t="str">
        <f t="shared" si="268"/>
        <v/>
      </c>
      <c r="KD506" s="1785" t="str">
        <f t="shared" si="269"/>
        <v/>
      </c>
      <c r="KE506" s="1785" t="str">
        <f t="shared" si="270"/>
        <v/>
      </c>
      <c r="KF506" s="1785" t="str">
        <f t="shared" si="271"/>
        <v/>
      </c>
      <c r="KG506" s="1785" t="str">
        <f t="shared" si="272"/>
        <v/>
      </c>
      <c r="KH506" s="1785" t="str">
        <f t="shared" si="273"/>
        <v/>
      </c>
      <c r="KI506" s="1785" t="str">
        <f t="shared" si="274"/>
        <v/>
      </c>
      <c r="KJ506" s="1785" t="str">
        <f t="shared" si="275"/>
        <v/>
      </c>
      <c r="KK506" s="1785" t="str">
        <f t="shared" si="276"/>
        <v/>
      </c>
      <c r="KL506" s="1785" t="str">
        <f t="shared" si="277"/>
        <v/>
      </c>
      <c r="KM506" s="1785" t="str">
        <f t="shared" si="278"/>
        <v/>
      </c>
      <c r="KN506" s="1785" t="str">
        <f t="shared" si="279"/>
        <v/>
      </c>
      <c r="KO506" s="1785" t="str">
        <f t="shared" si="280"/>
        <v/>
      </c>
      <c r="KP506" s="1785" t="str">
        <f t="shared" si="281"/>
        <v/>
      </c>
      <c r="KQ506" s="1785" t="str">
        <f t="shared" si="282"/>
        <v/>
      </c>
      <c r="KR506" s="1785" t="str">
        <f t="shared" si="283"/>
        <v/>
      </c>
      <c r="KS506" s="1785" t="str">
        <f t="shared" si="284"/>
        <v/>
      </c>
      <c r="KT506" s="1785" t="str">
        <f t="shared" si="285"/>
        <v/>
      </c>
      <c r="KU506" s="1785" t="str">
        <f t="shared" si="286"/>
        <v/>
      </c>
      <c r="KV506" s="1785" t="str">
        <f t="shared" si="287"/>
        <v/>
      </c>
      <c r="KW506" s="1785" t="str">
        <f t="shared" si="288"/>
        <v/>
      </c>
      <c r="KX506" s="1785" t="str">
        <f t="shared" si="289"/>
        <v/>
      </c>
      <c r="KY506" s="1785" t="str">
        <f t="shared" si="290"/>
        <v/>
      </c>
      <c r="KZ506" s="1785" t="str">
        <f t="shared" si="291"/>
        <v/>
      </c>
      <c r="LA506" s="1785" t="str">
        <f t="shared" si="292"/>
        <v/>
      </c>
      <c r="LB506" s="1785" t="str">
        <f t="shared" si="293"/>
        <v/>
      </c>
      <c r="LC506" s="1785" t="str">
        <f t="shared" si="294"/>
        <v/>
      </c>
      <c r="LD506" s="1785" t="str">
        <f t="shared" si="295"/>
        <v/>
      </c>
      <c r="LE506" s="1785" t="str">
        <f t="shared" si="296"/>
        <v/>
      </c>
      <c r="LF506" s="1785" t="str">
        <f t="shared" si="297"/>
        <v/>
      </c>
      <c r="LG506" s="1785" t="str">
        <f t="shared" si="298"/>
        <v/>
      </c>
      <c r="LH506" s="1785" t="str">
        <f t="shared" si="299"/>
        <v/>
      </c>
      <c r="LI506" s="1785" t="str">
        <f t="shared" si="300"/>
        <v/>
      </c>
      <c r="LJ506" s="1785" t="str">
        <f t="shared" si="301"/>
        <v/>
      </c>
      <c r="LK506" s="1785" t="str">
        <f t="shared" si="302"/>
        <v/>
      </c>
      <c r="LL506" s="1785" t="str">
        <f t="shared" si="303"/>
        <v/>
      </c>
      <c r="LM506" s="1785" t="str">
        <f t="shared" si="304"/>
        <v/>
      </c>
      <c r="LN506" s="1785" t="str">
        <f t="shared" si="305"/>
        <v/>
      </c>
      <c r="LO506" s="1785" t="str">
        <f t="shared" si="306"/>
        <v/>
      </c>
      <c r="LP506" s="1785" t="str">
        <f t="shared" si="307"/>
        <v/>
      </c>
      <c r="LQ506" s="1785" t="str">
        <f t="shared" si="308"/>
        <v/>
      </c>
      <c r="LR506" s="1785" t="str">
        <f t="shared" si="309"/>
        <v/>
      </c>
      <c r="LS506" s="1785" t="str">
        <f t="shared" si="310"/>
        <v/>
      </c>
      <c r="LT506" s="1785" t="str">
        <f t="shared" si="311"/>
        <v/>
      </c>
      <c r="LU506" s="1785" t="str">
        <f t="shared" si="312"/>
        <v/>
      </c>
      <c r="LV506" s="1785" t="str">
        <f t="shared" si="313"/>
        <v/>
      </c>
      <c r="LW506" s="1785" t="str">
        <f t="shared" si="314"/>
        <v/>
      </c>
      <c r="LX506" s="1785" t="str">
        <f t="shared" si="315"/>
        <v/>
      </c>
      <c r="LY506" s="1785" t="str">
        <f t="shared" si="316"/>
        <v/>
      </c>
      <c r="LZ506" s="1785" t="str">
        <f t="shared" si="317"/>
        <v/>
      </c>
      <c r="MA506" s="1785" t="str">
        <f t="shared" si="318"/>
        <v/>
      </c>
      <c r="MB506" s="1785" t="str">
        <f t="shared" si="319"/>
        <v/>
      </c>
      <c r="MC506" s="1785" t="str">
        <f t="shared" si="320"/>
        <v/>
      </c>
      <c r="MD506" s="1785" t="str">
        <f t="shared" si="321"/>
        <v/>
      </c>
      <c r="ME506" s="1785" t="str">
        <f t="shared" si="322"/>
        <v/>
      </c>
      <c r="MF506" s="1785" t="str">
        <f t="shared" si="323"/>
        <v/>
      </c>
      <c r="MG506" s="1785" t="str">
        <f t="shared" si="324"/>
        <v/>
      </c>
      <c r="MH506" s="1785" t="str">
        <f t="shared" si="325"/>
        <v/>
      </c>
      <c r="MI506" s="1785" t="str">
        <f t="shared" si="326"/>
        <v/>
      </c>
      <c r="MJ506" s="1785" t="str">
        <f t="shared" si="327"/>
        <v/>
      </c>
      <c r="MK506" s="1785" t="str">
        <f t="shared" si="328"/>
        <v/>
      </c>
      <c r="ML506" s="1785" t="str">
        <f t="shared" si="329"/>
        <v/>
      </c>
      <c r="MM506" s="1785" t="str">
        <f t="shared" si="330"/>
        <v/>
      </c>
      <c r="MN506" s="1785" t="str">
        <f t="shared" si="331"/>
        <v/>
      </c>
      <c r="MO506" s="1785" t="str">
        <f t="shared" si="332"/>
        <v/>
      </c>
      <c r="MP506" s="2470" t="str">
        <f t="shared" si="333"/>
        <v/>
      </c>
      <c r="MQ506" s="2470" t="str">
        <f t="shared" si="334"/>
        <v/>
      </c>
      <c r="MR506" s="2470" t="str">
        <f t="shared" si="335"/>
        <v/>
      </c>
      <c r="MS506" s="2470" t="str">
        <f t="shared" si="336"/>
        <v/>
      </c>
      <c r="MT506" s="2470" t="str">
        <f t="shared" si="337"/>
        <v/>
      </c>
      <c r="MU506" s="356" t="str">
        <f t="shared" si="338"/>
        <v/>
      </c>
      <c r="MV506" s="356" t="str">
        <f t="shared" si="339"/>
        <v/>
      </c>
      <c r="MW506" s="356" t="str">
        <f t="shared" si="340"/>
        <v/>
      </c>
      <c r="MX506" s="356" t="str">
        <f t="shared" si="341"/>
        <v/>
      </c>
      <c r="MY506" s="356" t="str">
        <f t="shared" si="342"/>
        <v/>
      </c>
      <c r="MZ506" s="356" t="str">
        <f t="shared" si="343"/>
        <v/>
      </c>
      <c r="NA506" s="356" t="str">
        <f t="shared" si="344"/>
        <v/>
      </c>
      <c r="NB506" s="356" t="str">
        <f t="shared" si="345"/>
        <v/>
      </c>
      <c r="NC506" s="356" t="str">
        <f t="shared" si="346"/>
        <v/>
      </c>
      <c r="ND506" s="356" t="str">
        <f t="shared" si="347"/>
        <v/>
      </c>
      <c r="NE506" s="356" t="str">
        <f t="shared" si="348"/>
        <v/>
      </c>
      <c r="NF506" s="356" t="str">
        <f t="shared" si="349"/>
        <v/>
      </c>
      <c r="NG506" s="356" t="str">
        <f t="shared" si="350"/>
        <v/>
      </c>
      <c r="NH506" s="356" t="str">
        <f t="shared" si="351"/>
        <v/>
      </c>
      <c r="NI506" s="356" t="str">
        <f t="shared" si="352"/>
        <v/>
      </c>
      <c r="NJ506" s="356" t="str">
        <f t="shared" si="353"/>
        <v/>
      </c>
      <c r="NK506" s="356" t="str">
        <f t="shared" si="354"/>
        <v/>
      </c>
      <c r="NL506" s="356" t="str">
        <f t="shared" si="355"/>
        <v/>
      </c>
      <c r="NM506" s="356" t="str">
        <f t="shared" si="356"/>
        <v/>
      </c>
      <c r="NN506" s="356" t="str">
        <f t="shared" si="357"/>
        <v/>
      </c>
      <c r="NO506" s="1640">
        <f t="shared" si="358"/>
        <v>0</v>
      </c>
      <c r="NP506" s="1640">
        <f t="shared" si="359"/>
        <v>0</v>
      </c>
      <c r="NQ506" s="1640">
        <f t="shared" si="360"/>
        <v>0</v>
      </c>
      <c r="NR506" s="1640">
        <f t="shared" si="361"/>
        <v>0</v>
      </c>
      <c r="NS506" s="1640">
        <f t="shared" si="362"/>
        <v>0</v>
      </c>
      <c r="NT506" s="1640">
        <f t="shared" si="368"/>
        <v>0</v>
      </c>
      <c r="NU506" s="1640">
        <f t="shared" si="369"/>
        <v>0</v>
      </c>
      <c r="NV506" s="1640">
        <f t="shared" si="370"/>
        <v>0</v>
      </c>
      <c r="NW506" s="1640">
        <f t="shared" si="371"/>
        <v>0</v>
      </c>
      <c r="NX506" s="1640">
        <f t="shared" si="372"/>
        <v>0</v>
      </c>
      <c r="NY506" s="1640">
        <f t="shared" si="363"/>
        <v>0</v>
      </c>
      <c r="NZ506" s="1640">
        <f t="shared" si="364"/>
        <v>0</v>
      </c>
      <c r="OA506" s="1640">
        <f t="shared" si="365"/>
        <v>0</v>
      </c>
      <c r="OB506" s="1640">
        <f t="shared" si="366"/>
        <v>0</v>
      </c>
      <c r="OC506" s="1640">
        <f t="shared" si="367"/>
        <v>0</v>
      </c>
      <c r="OY506" s="356" t="s">
        <v>4333</v>
      </c>
      <c r="OZ506" s="1640">
        <v>51</v>
      </c>
    </row>
    <row r="507" spans="1:416" ht="12" customHeight="1">
      <c r="A507" s="2706" t="str">
        <f t="shared" si="0"/>
        <v/>
      </c>
      <c r="B507" s="2725">
        <f>'Part V-Revenues &amp; Expenses'!B54</f>
        <v>0</v>
      </c>
      <c r="C507" s="2726">
        <f>'Part V-Revenues &amp; Expenses'!C54</f>
        <v>0</v>
      </c>
      <c r="D507" s="2727">
        <f>'Part V-Revenues &amp; Expenses'!D54</f>
        <v>0</v>
      </c>
      <c r="E507" s="2728">
        <f>'Part V-Revenues &amp; Expenses'!E54</f>
        <v>0</v>
      </c>
      <c r="F507" s="2728">
        <f>'Part V-Revenues &amp; Expenses'!F54</f>
        <v>0</v>
      </c>
      <c r="G507" s="2728">
        <f>'Part V-Revenues &amp; Expenses'!G54</f>
        <v>0</v>
      </c>
      <c r="H507" s="2728">
        <f>'Part V-Revenues &amp; Expenses'!H54</f>
        <v>0</v>
      </c>
      <c r="I507" s="2728">
        <f>'Part V-Revenues &amp; Expenses'!I54</f>
        <v>0</v>
      </c>
      <c r="J507" s="2728">
        <f>'Part V-Revenues &amp; Expenses'!J54</f>
        <v>0</v>
      </c>
      <c r="K507" s="2729">
        <f>'Part V-Revenues &amp; Expenses'!K54</f>
        <v>0</v>
      </c>
      <c r="L507" s="2730">
        <f t="shared" si="1"/>
        <v>0</v>
      </c>
      <c r="M507" s="2730">
        <f t="shared" si="2"/>
        <v>0</v>
      </c>
      <c r="N507" s="2580">
        <f>'Part V-Revenues &amp; Expenses'!N54</f>
        <v>0</v>
      </c>
      <c r="O507" s="1248">
        <f>'Part V-Revenues &amp; Expenses'!O54</f>
        <v>0</v>
      </c>
      <c r="P507" s="2580">
        <f>'Part V-Revenues &amp; Expenses'!P54</f>
        <v>0</v>
      </c>
      <c r="Q507" s="2469">
        <f>'Part V-Revenues &amp; Expenses'!Q54</f>
        <v>0</v>
      </c>
      <c r="R507" s="2731"/>
      <c r="S507" s="2732"/>
      <c r="T507" s="2647"/>
      <c r="U507" s="2647"/>
      <c r="V507" s="2647"/>
      <c r="W507" s="2647"/>
      <c r="X507" s="356" t="str">
        <f t="shared" si="3"/>
        <v/>
      </c>
      <c r="Y507" s="356" t="str">
        <f t="shared" si="4"/>
        <v/>
      </c>
      <c r="Z507" s="356" t="str">
        <f t="shared" si="5"/>
        <v/>
      </c>
      <c r="AA507" s="356" t="str">
        <f t="shared" si="6"/>
        <v/>
      </c>
      <c r="AB507" s="356" t="str">
        <f t="shared" si="7"/>
        <v/>
      </c>
      <c r="AC507" s="356" t="str">
        <f t="shared" si="8"/>
        <v/>
      </c>
      <c r="AD507" s="356" t="str">
        <f t="shared" si="9"/>
        <v/>
      </c>
      <c r="AE507" s="356" t="str">
        <f t="shared" si="10"/>
        <v/>
      </c>
      <c r="AF507" s="356" t="str">
        <f t="shared" si="11"/>
        <v/>
      </c>
      <c r="AG507" s="356" t="str">
        <f t="shared" si="12"/>
        <v/>
      </c>
      <c r="AH507" s="356" t="str">
        <f t="shared" si="13"/>
        <v/>
      </c>
      <c r="AI507" s="356" t="str">
        <f t="shared" si="14"/>
        <v/>
      </c>
      <c r="AJ507" s="356" t="str">
        <f t="shared" si="15"/>
        <v/>
      </c>
      <c r="AK507" s="356" t="str">
        <f t="shared" si="16"/>
        <v/>
      </c>
      <c r="AL507" s="356" t="str">
        <f t="shared" si="17"/>
        <v/>
      </c>
      <c r="AM507" s="356" t="str">
        <f t="shared" si="18"/>
        <v/>
      </c>
      <c r="AN507" s="356" t="str">
        <f t="shared" si="19"/>
        <v/>
      </c>
      <c r="AO507" s="356" t="str">
        <f t="shared" si="20"/>
        <v/>
      </c>
      <c r="AP507" s="356" t="str">
        <f t="shared" si="21"/>
        <v/>
      </c>
      <c r="AQ507" s="356" t="str">
        <f t="shared" si="22"/>
        <v/>
      </c>
      <c r="AR507" s="356" t="str">
        <f t="shared" si="23"/>
        <v/>
      </c>
      <c r="AS507" s="356" t="str">
        <f t="shared" si="24"/>
        <v/>
      </c>
      <c r="AT507" s="356" t="str">
        <f t="shared" si="25"/>
        <v/>
      </c>
      <c r="AU507" s="356" t="str">
        <f t="shared" si="26"/>
        <v/>
      </c>
      <c r="AV507" s="356" t="str">
        <f t="shared" si="27"/>
        <v/>
      </c>
      <c r="AW507" s="356" t="str">
        <f t="shared" si="28"/>
        <v/>
      </c>
      <c r="AX507" s="356" t="str">
        <f t="shared" si="29"/>
        <v/>
      </c>
      <c r="AY507" s="356" t="str">
        <f t="shared" si="30"/>
        <v/>
      </c>
      <c r="AZ507" s="356" t="str">
        <f t="shared" si="31"/>
        <v/>
      </c>
      <c r="BA507" s="356" t="str">
        <f t="shared" si="32"/>
        <v/>
      </c>
      <c r="BB507" s="356" t="str">
        <f t="shared" si="33"/>
        <v/>
      </c>
      <c r="BC507" s="356" t="str">
        <f t="shared" si="34"/>
        <v/>
      </c>
      <c r="BD507" s="356" t="str">
        <f t="shared" si="35"/>
        <v/>
      </c>
      <c r="BE507" s="356" t="str">
        <f t="shared" si="36"/>
        <v/>
      </c>
      <c r="BF507" s="356" t="str">
        <f t="shared" si="37"/>
        <v/>
      </c>
      <c r="BG507" s="356" t="str">
        <f t="shared" si="38"/>
        <v/>
      </c>
      <c r="BH507" s="356" t="str">
        <f t="shared" si="39"/>
        <v/>
      </c>
      <c r="BI507" s="356" t="str">
        <f t="shared" si="40"/>
        <v/>
      </c>
      <c r="BJ507" s="356" t="str">
        <f t="shared" si="41"/>
        <v/>
      </c>
      <c r="BK507" s="356" t="str">
        <f t="shared" si="42"/>
        <v/>
      </c>
      <c r="BL507" s="356" t="str">
        <f t="shared" si="43"/>
        <v/>
      </c>
      <c r="BM507" s="356" t="str">
        <f t="shared" si="44"/>
        <v/>
      </c>
      <c r="BN507" s="356" t="str">
        <f t="shared" si="45"/>
        <v/>
      </c>
      <c r="BO507" s="356" t="str">
        <f t="shared" si="46"/>
        <v/>
      </c>
      <c r="BP507" s="356" t="str">
        <f t="shared" si="47"/>
        <v/>
      </c>
      <c r="BQ507" s="356" t="str">
        <f t="shared" si="48"/>
        <v/>
      </c>
      <c r="BR507" s="356" t="str">
        <f t="shared" si="49"/>
        <v/>
      </c>
      <c r="BS507" s="356" t="str">
        <f t="shared" si="50"/>
        <v/>
      </c>
      <c r="BT507" s="356" t="str">
        <f t="shared" si="51"/>
        <v/>
      </c>
      <c r="BU507" s="356" t="str">
        <f t="shared" si="52"/>
        <v/>
      </c>
      <c r="BV507" s="356" t="str">
        <f t="shared" si="53"/>
        <v/>
      </c>
      <c r="BW507" s="356" t="str">
        <f t="shared" si="54"/>
        <v/>
      </c>
      <c r="BX507" s="356" t="str">
        <f t="shared" si="55"/>
        <v/>
      </c>
      <c r="BY507" s="356" t="str">
        <f t="shared" si="56"/>
        <v/>
      </c>
      <c r="BZ507" s="356" t="str">
        <f t="shared" si="57"/>
        <v/>
      </c>
      <c r="CA507" s="356" t="str">
        <f t="shared" si="58"/>
        <v/>
      </c>
      <c r="CB507" s="356" t="str">
        <f t="shared" si="59"/>
        <v/>
      </c>
      <c r="CC507" s="356" t="str">
        <f t="shared" si="60"/>
        <v/>
      </c>
      <c r="CD507" s="356" t="str">
        <f t="shared" si="61"/>
        <v/>
      </c>
      <c r="CE507" s="356" t="str">
        <f t="shared" si="62"/>
        <v/>
      </c>
      <c r="CF507" s="356" t="str">
        <f t="shared" si="63"/>
        <v/>
      </c>
      <c r="CG507" s="356" t="str">
        <f t="shared" si="64"/>
        <v/>
      </c>
      <c r="CH507" s="356" t="str">
        <f t="shared" si="65"/>
        <v/>
      </c>
      <c r="CI507" s="356" t="str">
        <f t="shared" si="66"/>
        <v/>
      </c>
      <c r="CJ507" s="356" t="str">
        <f t="shared" si="67"/>
        <v/>
      </c>
      <c r="CK507" s="356" t="str">
        <f t="shared" si="68"/>
        <v/>
      </c>
      <c r="CL507" s="356" t="str">
        <f t="shared" si="69"/>
        <v/>
      </c>
      <c r="CM507" s="356" t="str">
        <f t="shared" si="70"/>
        <v/>
      </c>
      <c r="CN507" s="356" t="str">
        <f t="shared" si="71"/>
        <v/>
      </c>
      <c r="CO507" s="356" t="str">
        <f t="shared" si="72"/>
        <v/>
      </c>
      <c r="CP507" s="356" t="str">
        <f t="shared" si="73"/>
        <v/>
      </c>
      <c r="CQ507" s="356" t="str">
        <f t="shared" si="74"/>
        <v/>
      </c>
      <c r="CR507" s="356" t="str">
        <f t="shared" si="75"/>
        <v/>
      </c>
      <c r="CS507" s="356" t="str">
        <f t="shared" si="76"/>
        <v/>
      </c>
      <c r="CT507" s="356" t="str">
        <f t="shared" si="77"/>
        <v/>
      </c>
      <c r="CU507" s="356" t="str">
        <f t="shared" si="78"/>
        <v/>
      </c>
      <c r="CV507" s="356" t="str">
        <f t="shared" si="79"/>
        <v/>
      </c>
      <c r="CW507" s="356" t="str">
        <f t="shared" si="80"/>
        <v/>
      </c>
      <c r="CX507" s="356" t="str">
        <f t="shared" si="81"/>
        <v/>
      </c>
      <c r="CY507" s="356" t="str">
        <f t="shared" si="82"/>
        <v/>
      </c>
      <c r="CZ507" s="356" t="str">
        <f t="shared" si="83"/>
        <v/>
      </c>
      <c r="DA507" s="356" t="str">
        <f t="shared" si="84"/>
        <v/>
      </c>
      <c r="DB507" s="356" t="str">
        <f t="shared" si="85"/>
        <v/>
      </c>
      <c r="DC507" s="356" t="str">
        <f t="shared" si="86"/>
        <v/>
      </c>
      <c r="DD507" s="356" t="str">
        <f t="shared" si="87"/>
        <v/>
      </c>
      <c r="DE507" s="356" t="str">
        <f t="shared" si="88"/>
        <v/>
      </c>
      <c r="DF507" s="356" t="str">
        <f t="shared" si="89"/>
        <v/>
      </c>
      <c r="DG507" s="356" t="str">
        <f t="shared" si="90"/>
        <v/>
      </c>
      <c r="DH507" s="356" t="str">
        <f t="shared" si="91"/>
        <v/>
      </c>
      <c r="DI507" s="356" t="str">
        <f t="shared" si="92"/>
        <v/>
      </c>
      <c r="DJ507" s="356" t="str">
        <f t="shared" si="93"/>
        <v/>
      </c>
      <c r="DK507" s="356" t="str">
        <f t="shared" si="94"/>
        <v/>
      </c>
      <c r="DL507" s="356" t="str">
        <f t="shared" si="95"/>
        <v/>
      </c>
      <c r="DM507" s="356" t="str">
        <f t="shared" si="96"/>
        <v/>
      </c>
      <c r="DN507" s="356" t="str">
        <f t="shared" si="97"/>
        <v/>
      </c>
      <c r="DO507" s="356" t="str">
        <f t="shared" si="98"/>
        <v/>
      </c>
      <c r="DP507" s="356" t="str">
        <f t="shared" si="99"/>
        <v/>
      </c>
      <c r="DQ507" s="356" t="str">
        <f t="shared" si="100"/>
        <v/>
      </c>
      <c r="DR507" s="356" t="str">
        <f t="shared" si="101"/>
        <v/>
      </c>
      <c r="DS507" s="356" t="str">
        <f t="shared" si="102"/>
        <v/>
      </c>
      <c r="DT507" s="356" t="str">
        <f t="shared" si="103"/>
        <v/>
      </c>
      <c r="DU507" s="356" t="str">
        <f t="shared" si="104"/>
        <v/>
      </c>
      <c r="DV507" s="356" t="str">
        <f t="shared" si="105"/>
        <v/>
      </c>
      <c r="DW507" s="356" t="str">
        <f t="shared" si="106"/>
        <v/>
      </c>
      <c r="DX507" s="356" t="str">
        <f t="shared" si="107"/>
        <v/>
      </c>
      <c r="DY507" s="356" t="str">
        <f t="shared" si="108"/>
        <v/>
      </c>
      <c r="DZ507" s="356" t="str">
        <f t="shared" si="109"/>
        <v/>
      </c>
      <c r="EA507" s="356" t="str">
        <f t="shared" si="110"/>
        <v/>
      </c>
      <c r="EB507" s="356" t="str">
        <f t="shared" si="111"/>
        <v/>
      </c>
      <c r="EC507" s="356" t="str">
        <f t="shared" si="112"/>
        <v/>
      </c>
      <c r="ED507" s="356" t="str">
        <f t="shared" si="113"/>
        <v/>
      </c>
      <c r="EE507" s="356" t="str">
        <f t="shared" si="114"/>
        <v/>
      </c>
      <c r="EF507" s="356" t="str">
        <f t="shared" si="115"/>
        <v/>
      </c>
      <c r="EG507" s="356" t="str">
        <f t="shared" si="116"/>
        <v/>
      </c>
      <c r="EH507" s="356" t="str">
        <f t="shared" si="117"/>
        <v/>
      </c>
      <c r="EI507" s="356" t="str">
        <f t="shared" si="118"/>
        <v/>
      </c>
      <c r="EJ507" s="356" t="str">
        <f t="shared" si="119"/>
        <v/>
      </c>
      <c r="EK507" s="356" t="str">
        <f t="shared" si="120"/>
        <v/>
      </c>
      <c r="EL507" s="356" t="str">
        <f t="shared" si="121"/>
        <v/>
      </c>
      <c r="EM507" s="356" t="str">
        <f t="shared" si="122"/>
        <v/>
      </c>
      <c r="EN507" s="356" t="str">
        <f t="shared" si="123"/>
        <v/>
      </c>
      <c r="EO507" s="356" t="str">
        <f t="shared" si="124"/>
        <v/>
      </c>
      <c r="EP507" s="356" t="str">
        <f t="shared" si="125"/>
        <v/>
      </c>
      <c r="EQ507" s="356" t="str">
        <f t="shared" si="126"/>
        <v/>
      </c>
      <c r="ER507" s="356" t="str">
        <f t="shared" si="127"/>
        <v/>
      </c>
      <c r="ES507" s="356" t="str">
        <f t="shared" si="128"/>
        <v/>
      </c>
      <c r="ET507" s="356" t="str">
        <f t="shared" si="129"/>
        <v/>
      </c>
      <c r="EU507" s="356" t="str">
        <f t="shared" si="130"/>
        <v/>
      </c>
      <c r="EV507" s="356" t="str">
        <f t="shared" si="131"/>
        <v/>
      </c>
      <c r="EW507" s="356" t="str">
        <f t="shared" si="132"/>
        <v/>
      </c>
      <c r="EX507" s="356" t="str">
        <f t="shared" si="133"/>
        <v/>
      </c>
      <c r="EY507" s="356" t="str">
        <f t="shared" si="134"/>
        <v/>
      </c>
      <c r="EZ507" s="356" t="str">
        <f t="shared" si="135"/>
        <v/>
      </c>
      <c r="FA507" s="356" t="str">
        <f t="shared" si="136"/>
        <v/>
      </c>
      <c r="FB507" s="356" t="str">
        <f t="shared" si="137"/>
        <v/>
      </c>
      <c r="FC507" s="356" t="str">
        <f t="shared" si="138"/>
        <v/>
      </c>
      <c r="FD507" s="356" t="str">
        <f t="shared" si="139"/>
        <v/>
      </c>
      <c r="FE507" s="356" t="str">
        <f t="shared" si="140"/>
        <v/>
      </c>
      <c r="FF507" s="356" t="str">
        <f t="shared" si="141"/>
        <v/>
      </c>
      <c r="FG507" s="356" t="str">
        <f t="shared" si="142"/>
        <v/>
      </c>
      <c r="FH507" s="356" t="str">
        <f t="shared" si="143"/>
        <v/>
      </c>
      <c r="FI507" s="356" t="str">
        <f t="shared" si="144"/>
        <v/>
      </c>
      <c r="FJ507" s="356" t="str">
        <f t="shared" si="145"/>
        <v/>
      </c>
      <c r="FK507" s="356" t="str">
        <f t="shared" si="146"/>
        <v/>
      </c>
      <c r="FL507" s="356" t="str">
        <f t="shared" si="147"/>
        <v/>
      </c>
      <c r="FM507" s="356" t="str">
        <f t="shared" si="148"/>
        <v/>
      </c>
      <c r="FN507" s="356" t="str">
        <f t="shared" si="149"/>
        <v/>
      </c>
      <c r="FO507" s="356" t="str">
        <f t="shared" si="150"/>
        <v/>
      </c>
      <c r="FP507" s="356" t="str">
        <f t="shared" si="151"/>
        <v/>
      </c>
      <c r="FQ507" s="356" t="str">
        <f t="shared" si="152"/>
        <v/>
      </c>
      <c r="FR507" s="356" t="str">
        <f t="shared" si="153"/>
        <v/>
      </c>
      <c r="FS507" s="356" t="str">
        <f t="shared" si="154"/>
        <v/>
      </c>
      <c r="FT507" s="356" t="str">
        <f t="shared" si="155"/>
        <v/>
      </c>
      <c r="FU507" s="356" t="str">
        <f t="shared" si="156"/>
        <v/>
      </c>
      <c r="FV507" s="356" t="str">
        <f t="shared" si="157"/>
        <v/>
      </c>
      <c r="FW507" s="356" t="str">
        <f t="shared" si="158"/>
        <v/>
      </c>
      <c r="FX507" s="356" t="str">
        <f t="shared" si="159"/>
        <v/>
      </c>
      <c r="FY507" s="356" t="str">
        <f t="shared" si="160"/>
        <v/>
      </c>
      <c r="FZ507" s="356" t="str">
        <f t="shared" si="161"/>
        <v/>
      </c>
      <c r="GA507" s="356" t="str">
        <f t="shared" si="162"/>
        <v/>
      </c>
      <c r="GB507" s="356" t="str">
        <f t="shared" si="163"/>
        <v/>
      </c>
      <c r="GC507" s="356" t="str">
        <f t="shared" si="164"/>
        <v/>
      </c>
      <c r="GD507" s="356" t="str">
        <f t="shared" si="165"/>
        <v/>
      </c>
      <c r="GE507" s="356" t="str">
        <f t="shared" si="166"/>
        <v/>
      </c>
      <c r="GF507" s="356" t="str">
        <f t="shared" si="167"/>
        <v/>
      </c>
      <c r="GG507" s="356" t="str">
        <f t="shared" si="168"/>
        <v/>
      </c>
      <c r="GH507" s="356" t="str">
        <f t="shared" si="169"/>
        <v/>
      </c>
      <c r="GI507" s="356" t="str">
        <f t="shared" si="170"/>
        <v/>
      </c>
      <c r="GJ507" s="356" t="str">
        <f t="shared" si="171"/>
        <v/>
      </c>
      <c r="GK507" s="356" t="str">
        <f t="shared" si="172"/>
        <v/>
      </c>
      <c r="GL507" s="356" t="str">
        <f t="shared" si="173"/>
        <v/>
      </c>
      <c r="GM507" s="356" t="str">
        <f t="shared" si="174"/>
        <v/>
      </c>
      <c r="GN507" s="356" t="str">
        <f t="shared" si="175"/>
        <v/>
      </c>
      <c r="GO507" s="356" t="str">
        <f t="shared" si="176"/>
        <v/>
      </c>
      <c r="GP507" s="356" t="str">
        <f t="shared" si="177"/>
        <v/>
      </c>
      <c r="GQ507" s="356" t="str">
        <f t="shared" si="178"/>
        <v/>
      </c>
      <c r="GR507" s="356" t="str">
        <f t="shared" si="179"/>
        <v/>
      </c>
      <c r="GS507" s="356" t="str">
        <f t="shared" si="180"/>
        <v/>
      </c>
      <c r="GT507" s="356" t="str">
        <f t="shared" si="181"/>
        <v/>
      </c>
      <c r="GU507" s="356" t="str">
        <f t="shared" si="182"/>
        <v/>
      </c>
      <c r="GV507" s="356" t="str">
        <f t="shared" si="183"/>
        <v/>
      </c>
      <c r="GW507" s="356" t="str">
        <f t="shared" si="184"/>
        <v/>
      </c>
      <c r="GX507" s="356" t="str">
        <f t="shared" si="185"/>
        <v/>
      </c>
      <c r="GY507" s="356" t="str">
        <f t="shared" si="186"/>
        <v/>
      </c>
      <c r="GZ507" s="356" t="str">
        <f t="shared" si="187"/>
        <v/>
      </c>
      <c r="HA507" s="356" t="str">
        <f t="shared" si="188"/>
        <v/>
      </c>
      <c r="HB507" s="356" t="str">
        <f t="shared" si="189"/>
        <v/>
      </c>
      <c r="HC507" s="356" t="str">
        <f t="shared" si="190"/>
        <v/>
      </c>
      <c r="HD507" s="356" t="str">
        <f t="shared" si="191"/>
        <v/>
      </c>
      <c r="HE507" s="356" t="str">
        <f t="shared" si="192"/>
        <v/>
      </c>
      <c r="HF507" s="356" t="str">
        <f t="shared" si="193"/>
        <v/>
      </c>
      <c r="HG507" s="356" t="str">
        <f t="shared" si="194"/>
        <v/>
      </c>
      <c r="HH507" s="356" t="str">
        <f t="shared" si="195"/>
        <v/>
      </c>
      <c r="HI507" s="356" t="str">
        <f t="shared" si="196"/>
        <v/>
      </c>
      <c r="HJ507" s="356" t="str">
        <f t="shared" si="197"/>
        <v/>
      </c>
      <c r="HK507" s="356" t="str">
        <f t="shared" si="198"/>
        <v/>
      </c>
      <c r="HL507" s="356" t="str">
        <f t="shared" si="199"/>
        <v/>
      </c>
      <c r="HM507" s="356" t="str">
        <f t="shared" si="200"/>
        <v/>
      </c>
      <c r="HN507" s="356" t="str">
        <f t="shared" si="201"/>
        <v/>
      </c>
      <c r="HO507" s="356" t="str">
        <f t="shared" si="202"/>
        <v/>
      </c>
      <c r="HP507" s="356" t="str">
        <f t="shared" si="203"/>
        <v/>
      </c>
      <c r="HQ507" s="356" t="str">
        <f t="shared" si="204"/>
        <v/>
      </c>
      <c r="HR507" s="356" t="str">
        <f t="shared" si="205"/>
        <v/>
      </c>
      <c r="HS507" s="356" t="str">
        <f t="shared" si="206"/>
        <v/>
      </c>
      <c r="HT507" s="356" t="str">
        <f t="shared" si="207"/>
        <v/>
      </c>
      <c r="HU507" s="356" t="str">
        <f t="shared" si="208"/>
        <v/>
      </c>
      <c r="HV507" s="356" t="str">
        <f t="shared" si="209"/>
        <v/>
      </c>
      <c r="HW507" s="356" t="str">
        <f t="shared" si="210"/>
        <v/>
      </c>
      <c r="HX507" s="356" t="str">
        <f t="shared" si="211"/>
        <v/>
      </c>
      <c r="HY507" s="356" t="str">
        <f t="shared" si="212"/>
        <v/>
      </c>
      <c r="HZ507" s="356" t="str">
        <f t="shared" si="213"/>
        <v/>
      </c>
      <c r="IA507" s="356" t="str">
        <f t="shared" si="214"/>
        <v/>
      </c>
      <c r="IB507" s="356" t="str">
        <f t="shared" si="215"/>
        <v/>
      </c>
      <c r="IC507" s="356" t="str">
        <f t="shared" si="216"/>
        <v/>
      </c>
      <c r="ID507" s="356" t="str">
        <f t="shared" si="217"/>
        <v/>
      </c>
      <c r="IE507" s="356" t="str">
        <f t="shared" si="218"/>
        <v/>
      </c>
      <c r="IF507" s="356" t="str">
        <f t="shared" si="219"/>
        <v/>
      </c>
      <c r="IG507" s="356" t="str">
        <f t="shared" si="220"/>
        <v/>
      </c>
      <c r="IH507" s="356" t="str">
        <f t="shared" si="221"/>
        <v/>
      </c>
      <c r="II507" s="356" t="str">
        <f t="shared" si="222"/>
        <v/>
      </c>
      <c r="IJ507" s="356" t="str">
        <f t="shared" si="223"/>
        <v/>
      </c>
      <c r="IK507" s="356" t="str">
        <f t="shared" si="224"/>
        <v/>
      </c>
      <c r="IL507" s="356" t="str">
        <f t="shared" si="225"/>
        <v/>
      </c>
      <c r="IM507" s="356" t="str">
        <f t="shared" si="226"/>
        <v/>
      </c>
      <c r="IN507" s="356" t="str">
        <f t="shared" si="227"/>
        <v/>
      </c>
      <c r="IO507" s="356" t="str">
        <f t="shared" si="228"/>
        <v/>
      </c>
      <c r="IP507" s="356" t="str">
        <f t="shared" si="229"/>
        <v/>
      </c>
      <c r="IQ507" s="356" t="str">
        <f t="shared" si="230"/>
        <v/>
      </c>
      <c r="IR507" s="356" t="str">
        <f t="shared" si="231"/>
        <v/>
      </c>
      <c r="IS507" s="356" t="str">
        <f t="shared" si="232"/>
        <v/>
      </c>
      <c r="IT507" s="356" t="str">
        <f t="shared" si="233"/>
        <v/>
      </c>
      <c r="IU507" s="356" t="str">
        <f t="shared" si="234"/>
        <v/>
      </c>
      <c r="IV507" s="356" t="str">
        <f t="shared" si="235"/>
        <v/>
      </c>
      <c r="IW507" s="356" t="str">
        <f t="shared" si="236"/>
        <v/>
      </c>
      <c r="IX507" s="356" t="str">
        <f t="shared" si="237"/>
        <v/>
      </c>
      <c r="IY507" s="356" t="str">
        <f t="shared" si="238"/>
        <v/>
      </c>
      <c r="IZ507" s="356" t="str">
        <f t="shared" si="239"/>
        <v/>
      </c>
      <c r="JA507" s="356" t="str">
        <f t="shared" si="240"/>
        <v/>
      </c>
      <c r="JB507" s="356" t="str">
        <f t="shared" si="241"/>
        <v/>
      </c>
      <c r="JC507" s="356" t="str">
        <f t="shared" si="242"/>
        <v/>
      </c>
      <c r="JD507" s="356" t="str">
        <f t="shared" si="243"/>
        <v/>
      </c>
      <c r="JE507" s="356" t="str">
        <f t="shared" si="244"/>
        <v/>
      </c>
      <c r="JF507" s="356" t="str">
        <f t="shared" si="245"/>
        <v/>
      </c>
      <c r="JG507" s="356" t="str">
        <f t="shared" si="246"/>
        <v/>
      </c>
      <c r="JH507" s="356" t="str">
        <f t="shared" si="247"/>
        <v/>
      </c>
      <c r="JI507" s="1785" t="str">
        <f t="shared" si="248"/>
        <v/>
      </c>
      <c r="JJ507" s="1785" t="str">
        <f t="shared" si="249"/>
        <v/>
      </c>
      <c r="JK507" s="1785" t="str">
        <f t="shared" si="250"/>
        <v/>
      </c>
      <c r="JL507" s="1785" t="str">
        <f t="shared" si="251"/>
        <v/>
      </c>
      <c r="JM507" s="1785" t="str">
        <f t="shared" si="252"/>
        <v/>
      </c>
      <c r="JN507" s="1785" t="str">
        <f t="shared" si="253"/>
        <v/>
      </c>
      <c r="JO507" s="1785" t="str">
        <f t="shared" si="254"/>
        <v/>
      </c>
      <c r="JP507" s="1785" t="str">
        <f t="shared" si="255"/>
        <v/>
      </c>
      <c r="JQ507" s="1785" t="str">
        <f t="shared" si="256"/>
        <v/>
      </c>
      <c r="JR507" s="1785" t="str">
        <f t="shared" si="257"/>
        <v/>
      </c>
      <c r="JS507" s="1785" t="str">
        <f t="shared" si="258"/>
        <v/>
      </c>
      <c r="JT507" s="1785" t="str">
        <f t="shared" si="259"/>
        <v/>
      </c>
      <c r="JU507" s="1785" t="str">
        <f t="shared" si="260"/>
        <v/>
      </c>
      <c r="JV507" s="1785" t="str">
        <f t="shared" si="261"/>
        <v/>
      </c>
      <c r="JW507" s="1785" t="str">
        <f t="shared" si="262"/>
        <v/>
      </c>
      <c r="JX507" s="1785" t="str">
        <f t="shared" si="263"/>
        <v/>
      </c>
      <c r="JY507" s="1785" t="str">
        <f t="shared" si="264"/>
        <v/>
      </c>
      <c r="JZ507" s="1785" t="str">
        <f t="shared" si="265"/>
        <v/>
      </c>
      <c r="KA507" s="1785" t="str">
        <f t="shared" si="266"/>
        <v/>
      </c>
      <c r="KB507" s="1785" t="str">
        <f t="shared" si="267"/>
        <v/>
      </c>
      <c r="KC507" s="1785" t="str">
        <f t="shared" si="268"/>
        <v/>
      </c>
      <c r="KD507" s="1785" t="str">
        <f t="shared" si="269"/>
        <v/>
      </c>
      <c r="KE507" s="1785" t="str">
        <f t="shared" si="270"/>
        <v/>
      </c>
      <c r="KF507" s="1785" t="str">
        <f t="shared" si="271"/>
        <v/>
      </c>
      <c r="KG507" s="1785" t="str">
        <f t="shared" si="272"/>
        <v/>
      </c>
      <c r="KH507" s="1785" t="str">
        <f t="shared" si="273"/>
        <v/>
      </c>
      <c r="KI507" s="1785" t="str">
        <f t="shared" si="274"/>
        <v/>
      </c>
      <c r="KJ507" s="1785" t="str">
        <f t="shared" si="275"/>
        <v/>
      </c>
      <c r="KK507" s="1785" t="str">
        <f t="shared" si="276"/>
        <v/>
      </c>
      <c r="KL507" s="1785" t="str">
        <f t="shared" si="277"/>
        <v/>
      </c>
      <c r="KM507" s="1785" t="str">
        <f t="shared" si="278"/>
        <v/>
      </c>
      <c r="KN507" s="1785" t="str">
        <f t="shared" si="279"/>
        <v/>
      </c>
      <c r="KO507" s="1785" t="str">
        <f t="shared" si="280"/>
        <v/>
      </c>
      <c r="KP507" s="1785" t="str">
        <f t="shared" si="281"/>
        <v/>
      </c>
      <c r="KQ507" s="1785" t="str">
        <f t="shared" si="282"/>
        <v/>
      </c>
      <c r="KR507" s="1785" t="str">
        <f t="shared" si="283"/>
        <v/>
      </c>
      <c r="KS507" s="1785" t="str">
        <f t="shared" si="284"/>
        <v/>
      </c>
      <c r="KT507" s="1785" t="str">
        <f t="shared" si="285"/>
        <v/>
      </c>
      <c r="KU507" s="1785" t="str">
        <f t="shared" si="286"/>
        <v/>
      </c>
      <c r="KV507" s="1785" t="str">
        <f t="shared" si="287"/>
        <v/>
      </c>
      <c r="KW507" s="1785" t="str">
        <f t="shared" si="288"/>
        <v/>
      </c>
      <c r="KX507" s="1785" t="str">
        <f t="shared" si="289"/>
        <v/>
      </c>
      <c r="KY507" s="1785" t="str">
        <f t="shared" si="290"/>
        <v/>
      </c>
      <c r="KZ507" s="1785" t="str">
        <f t="shared" si="291"/>
        <v/>
      </c>
      <c r="LA507" s="1785" t="str">
        <f t="shared" si="292"/>
        <v/>
      </c>
      <c r="LB507" s="1785" t="str">
        <f t="shared" si="293"/>
        <v/>
      </c>
      <c r="LC507" s="1785" t="str">
        <f t="shared" si="294"/>
        <v/>
      </c>
      <c r="LD507" s="1785" t="str">
        <f t="shared" si="295"/>
        <v/>
      </c>
      <c r="LE507" s="1785" t="str">
        <f t="shared" si="296"/>
        <v/>
      </c>
      <c r="LF507" s="1785" t="str">
        <f t="shared" si="297"/>
        <v/>
      </c>
      <c r="LG507" s="1785" t="str">
        <f t="shared" si="298"/>
        <v/>
      </c>
      <c r="LH507" s="1785" t="str">
        <f t="shared" si="299"/>
        <v/>
      </c>
      <c r="LI507" s="1785" t="str">
        <f t="shared" si="300"/>
        <v/>
      </c>
      <c r="LJ507" s="1785" t="str">
        <f t="shared" si="301"/>
        <v/>
      </c>
      <c r="LK507" s="1785" t="str">
        <f t="shared" si="302"/>
        <v/>
      </c>
      <c r="LL507" s="1785" t="str">
        <f t="shared" si="303"/>
        <v/>
      </c>
      <c r="LM507" s="1785" t="str">
        <f t="shared" si="304"/>
        <v/>
      </c>
      <c r="LN507" s="1785" t="str">
        <f t="shared" si="305"/>
        <v/>
      </c>
      <c r="LO507" s="1785" t="str">
        <f t="shared" si="306"/>
        <v/>
      </c>
      <c r="LP507" s="1785" t="str">
        <f t="shared" si="307"/>
        <v/>
      </c>
      <c r="LQ507" s="1785" t="str">
        <f t="shared" si="308"/>
        <v/>
      </c>
      <c r="LR507" s="1785" t="str">
        <f t="shared" si="309"/>
        <v/>
      </c>
      <c r="LS507" s="1785" t="str">
        <f t="shared" si="310"/>
        <v/>
      </c>
      <c r="LT507" s="1785" t="str">
        <f t="shared" si="311"/>
        <v/>
      </c>
      <c r="LU507" s="1785" t="str">
        <f t="shared" si="312"/>
        <v/>
      </c>
      <c r="LV507" s="1785" t="str">
        <f t="shared" si="313"/>
        <v/>
      </c>
      <c r="LW507" s="1785" t="str">
        <f t="shared" si="314"/>
        <v/>
      </c>
      <c r="LX507" s="1785" t="str">
        <f t="shared" si="315"/>
        <v/>
      </c>
      <c r="LY507" s="1785" t="str">
        <f t="shared" si="316"/>
        <v/>
      </c>
      <c r="LZ507" s="1785" t="str">
        <f t="shared" si="317"/>
        <v/>
      </c>
      <c r="MA507" s="1785" t="str">
        <f t="shared" si="318"/>
        <v/>
      </c>
      <c r="MB507" s="1785" t="str">
        <f t="shared" si="319"/>
        <v/>
      </c>
      <c r="MC507" s="1785" t="str">
        <f t="shared" si="320"/>
        <v/>
      </c>
      <c r="MD507" s="1785" t="str">
        <f t="shared" si="321"/>
        <v/>
      </c>
      <c r="ME507" s="1785" t="str">
        <f t="shared" si="322"/>
        <v/>
      </c>
      <c r="MF507" s="1785" t="str">
        <f t="shared" si="323"/>
        <v/>
      </c>
      <c r="MG507" s="1785" t="str">
        <f t="shared" si="324"/>
        <v/>
      </c>
      <c r="MH507" s="1785" t="str">
        <f t="shared" si="325"/>
        <v/>
      </c>
      <c r="MI507" s="1785" t="str">
        <f t="shared" si="326"/>
        <v/>
      </c>
      <c r="MJ507" s="1785" t="str">
        <f t="shared" si="327"/>
        <v/>
      </c>
      <c r="MK507" s="1785" t="str">
        <f t="shared" si="328"/>
        <v/>
      </c>
      <c r="ML507" s="1785" t="str">
        <f t="shared" si="329"/>
        <v/>
      </c>
      <c r="MM507" s="1785" t="str">
        <f t="shared" si="330"/>
        <v/>
      </c>
      <c r="MN507" s="1785" t="str">
        <f t="shared" si="331"/>
        <v/>
      </c>
      <c r="MO507" s="1785" t="str">
        <f t="shared" si="332"/>
        <v/>
      </c>
      <c r="MP507" s="2470" t="str">
        <f t="shared" si="333"/>
        <v/>
      </c>
      <c r="MQ507" s="2470" t="str">
        <f t="shared" si="334"/>
        <v/>
      </c>
      <c r="MR507" s="2470" t="str">
        <f t="shared" si="335"/>
        <v/>
      </c>
      <c r="MS507" s="2470" t="str">
        <f t="shared" si="336"/>
        <v/>
      </c>
      <c r="MT507" s="2470" t="str">
        <f t="shared" si="337"/>
        <v/>
      </c>
      <c r="MU507" s="356" t="str">
        <f t="shared" si="338"/>
        <v/>
      </c>
      <c r="MV507" s="356" t="str">
        <f t="shared" si="339"/>
        <v/>
      </c>
      <c r="MW507" s="356" t="str">
        <f t="shared" si="340"/>
        <v/>
      </c>
      <c r="MX507" s="356" t="str">
        <f t="shared" si="341"/>
        <v/>
      </c>
      <c r="MY507" s="356" t="str">
        <f t="shared" si="342"/>
        <v/>
      </c>
      <c r="MZ507" s="356" t="str">
        <f t="shared" si="343"/>
        <v/>
      </c>
      <c r="NA507" s="356" t="str">
        <f t="shared" si="344"/>
        <v/>
      </c>
      <c r="NB507" s="356" t="str">
        <f t="shared" si="345"/>
        <v/>
      </c>
      <c r="NC507" s="356" t="str">
        <f t="shared" si="346"/>
        <v/>
      </c>
      <c r="ND507" s="356" t="str">
        <f t="shared" si="347"/>
        <v/>
      </c>
      <c r="NE507" s="356" t="str">
        <f t="shared" si="348"/>
        <v/>
      </c>
      <c r="NF507" s="356" t="str">
        <f t="shared" si="349"/>
        <v/>
      </c>
      <c r="NG507" s="356" t="str">
        <f t="shared" si="350"/>
        <v/>
      </c>
      <c r="NH507" s="356" t="str">
        <f t="shared" si="351"/>
        <v/>
      </c>
      <c r="NI507" s="356" t="str">
        <f t="shared" si="352"/>
        <v/>
      </c>
      <c r="NJ507" s="356" t="str">
        <f t="shared" si="353"/>
        <v/>
      </c>
      <c r="NK507" s="356" t="str">
        <f t="shared" si="354"/>
        <v/>
      </c>
      <c r="NL507" s="356" t="str">
        <f t="shared" si="355"/>
        <v/>
      </c>
      <c r="NM507" s="356" t="str">
        <f t="shared" si="356"/>
        <v/>
      </c>
      <c r="NN507" s="356" t="str">
        <f t="shared" si="357"/>
        <v/>
      </c>
      <c r="NO507" s="1640">
        <f t="shared" si="358"/>
        <v>0</v>
      </c>
      <c r="NP507" s="1640">
        <f t="shared" si="359"/>
        <v>0</v>
      </c>
      <c r="NQ507" s="1640">
        <f t="shared" si="360"/>
        <v>0</v>
      </c>
      <c r="NR507" s="1640">
        <f t="shared" si="361"/>
        <v>0</v>
      </c>
      <c r="NS507" s="1640">
        <f t="shared" si="362"/>
        <v>0</v>
      </c>
      <c r="NT507" s="1640">
        <f t="shared" si="368"/>
        <v>0</v>
      </c>
      <c r="NU507" s="1640">
        <f t="shared" si="369"/>
        <v>0</v>
      </c>
      <c r="NV507" s="1640">
        <f t="shared" si="370"/>
        <v>0</v>
      </c>
      <c r="NW507" s="1640">
        <f t="shared" si="371"/>
        <v>0</v>
      </c>
      <c r="NX507" s="1640">
        <f t="shared" si="372"/>
        <v>0</v>
      </c>
      <c r="NY507" s="1640">
        <f t="shared" si="363"/>
        <v>0</v>
      </c>
      <c r="NZ507" s="1640">
        <f t="shared" si="364"/>
        <v>0</v>
      </c>
      <c r="OA507" s="1640">
        <f t="shared" si="365"/>
        <v>0</v>
      </c>
      <c r="OB507" s="1640">
        <f t="shared" si="366"/>
        <v>0</v>
      </c>
      <c r="OC507" s="1640">
        <f t="shared" si="367"/>
        <v>0</v>
      </c>
      <c r="OY507" s="356" t="s">
        <v>4333</v>
      </c>
      <c r="OZ507" s="1640">
        <v>52</v>
      </c>
    </row>
    <row r="508" spans="1:416" ht="12" customHeight="1">
      <c r="A508" s="2706" t="str">
        <f t="shared" si="0"/>
        <v/>
      </c>
      <c r="B508" s="2725">
        <f>'Part V-Revenues &amp; Expenses'!B55</f>
        <v>0</v>
      </c>
      <c r="C508" s="2726">
        <f>'Part V-Revenues &amp; Expenses'!C55</f>
        <v>0</v>
      </c>
      <c r="D508" s="2727">
        <f>'Part V-Revenues &amp; Expenses'!D55</f>
        <v>0</v>
      </c>
      <c r="E508" s="2728">
        <f>'Part V-Revenues &amp; Expenses'!E55</f>
        <v>0</v>
      </c>
      <c r="F508" s="2728">
        <f>'Part V-Revenues &amp; Expenses'!F55</f>
        <v>0</v>
      </c>
      <c r="G508" s="2728">
        <f>'Part V-Revenues &amp; Expenses'!G55</f>
        <v>0</v>
      </c>
      <c r="H508" s="2728">
        <f>'Part V-Revenues &amp; Expenses'!H55</f>
        <v>0</v>
      </c>
      <c r="I508" s="2728">
        <f>'Part V-Revenues &amp; Expenses'!I55</f>
        <v>0</v>
      </c>
      <c r="J508" s="2728">
        <f>'Part V-Revenues &amp; Expenses'!J55</f>
        <v>0</v>
      </c>
      <c r="K508" s="2729">
        <f>'Part V-Revenues &amp; Expenses'!K55</f>
        <v>0</v>
      </c>
      <c r="L508" s="2730">
        <f t="shared" si="1"/>
        <v>0</v>
      </c>
      <c r="M508" s="2730">
        <f t="shared" si="2"/>
        <v>0</v>
      </c>
      <c r="N508" s="2580">
        <f>'Part V-Revenues &amp; Expenses'!N55</f>
        <v>0</v>
      </c>
      <c r="O508" s="1248">
        <f>'Part V-Revenues &amp; Expenses'!O55</f>
        <v>0</v>
      </c>
      <c r="P508" s="2580">
        <f>'Part V-Revenues &amp; Expenses'!P55</f>
        <v>0</v>
      </c>
      <c r="Q508" s="2469">
        <f>'Part V-Revenues &amp; Expenses'!Q55</f>
        <v>0</v>
      </c>
      <c r="R508" s="2731"/>
      <c r="S508" s="2732"/>
      <c r="T508" s="2647"/>
      <c r="U508" s="2647"/>
      <c r="V508" s="2647"/>
      <c r="W508" s="2647"/>
      <c r="X508" s="356" t="str">
        <f t="shared" si="3"/>
        <v/>
      </c>
      <c r="Y508" s="356" t="str">
        <f t="shared" si="4"/>
        <v/>
      </c>
      <c r="Z508" s="356" t="str">
        <f t="shared" si="5"/>
        <v/>
      </c>
      <c r="AA508" s="356" t="str">
        <f t="shared" si="6"/>
        <v/>
      </c>
      <c r="AB508" s="356" t="str">
        <f t="shared" si="7"/>
        <v/>
      </c>
      <c r="AC508" s="356" t="str">
        <f t="shared" si="8"/>
        <v/>
      </c>
      <c r="AD508" s="356" t="str">
        <f t="shared" si="9"/>
        <v/>
      </c>
      <c r="AE508" s="356" t="str">
        <f t="shared" si="10"/>
        <v/>
      </c>
      <c r="AF508" s="356" t="str">
        <f t="shared" si="11"/>
        <v/>
      </c>
      <c r="AG508" s="356" t="str">
        <f t="shared" si="12"/>
        <v/>
      </c>
      <c r="AH508" s="356" t="str">
        <f t="shared" si="13"/>
        <v/>
      </c>
      <c r="AI508" s="356" t="str">
        <f t="shared" si="14"/>
        <v/>
      </c>
      <c r="AJ508" s="356" t="str">
        <f t="shared" si="15"/>
        <v/>
      </c>
      <c r="AK508" s="356" t="str">
        <f t="shared" si="16"/>
        <v/>
      </c>
      <c r="AL508" s="356" t="str">
        <f t="shared" si="17"/>
        <v/>
      </c>
      <c r="AM508" s="356" t="str">
        <f t="shared" si="18"/>
        <v/>
      </c>
      <c r="AN508" s="356" t="str">
        <f t="shared" si="19"/>
        <v/>
      </c>
      <c r="AO508" s="356" t="str">
        <f t="shared" si="20"/>
        <v/>
      </c>
      <c r="AP508" s="356" t="str">
        <f t="shared" si="21"/>
        <v/>
      </c>
      <c r="AQ508" s="356" t="str">
        <f t="shared" si="22"/>
        <v/>
      </c>
      <c r="AR508" s="356" t="str">
        <f t="shared" si="23"/>
        <v/>
      </c>
      <c r="AS508" s="356" t="str">
        <f t="shared" si="24"/>
        <v/>
      </c>
      <c r="AT508" s="356" t="str">
        <f t="shared" si="25"/>
        <v/>
      </c>
      <c r="AU508" s="356" t="str">
        <f t="shared" si="26"/>
        <v/>
      </c>
      <c r="AV508" s="356" t="str">
        <f t="shared" si="27"/>
        <v/>
      </c>
      <c r="AW508" s="356" t="str">
        <f t="shared" si="28"/>
        <v/>
      </c>
      <c r="AX508" s="356" t="str">
        <f t="shared" si="29"/>
        <v/>
      </c>
      <c r="AY508" s="356" t="str">
        <f t="shared" si="30"/>
        <v/>
      </c>
      <c r="AZ508" s="356" t="str">
        <f t="shared" si="31"/>
        <v/>
      </c>
      <c r="BA508" s="356" t="str">
        <f t="shared" si="32"/>
        <v/>
      </c>
      <c r="BB508" s="356" t="str">
        <f t="shared" si="33"/>
        <v/>
      </c>
      <c r="BC508" s="356" t="str">
        <f t="shared" si="34"/>
        <v/>
      </c>
      <c r="BD508" s="356" t="str">
        <f t="shared" si="35"/>
        <v/>
      </c>
      <c r="BE508" s="356" t="str">
        <f t="shared" si="36"/>
        <v/>
      </c>
      <c r="BF508" s="356" t="str">
        <f t="shared" si="37"/>
        <v/>
      </c>
      <c r="BG508" s="356" t="str">
        <f t="shared" si="38"/>
        <v/>
      </c>
      <c r="BH508" s="356" t="str">
        <f t="shared" si="39"/>
        <v/>
      </c>
      <c r="BI508" s="356" t="str">
        <f t="shared" si="40"/>
        <v/>
      </c>
      <c r="BJ508" s="356" t="str">
        <f t="shared" si="41"/>
        <v/>
      </c>
      <c r="BK508" s="356" t="str">
        <f t="shared" si="42"/>
        <v/>
      </c>
      <c r="BL508" s="356" t="str">
        <f t="shared" si="43"/>
        <v/>
      </c>
      <c r="BM508" s="356" t="str">
        <f t="shared" si="44"/>
        <v/>
      </c>
      <c r="BN508" s="356" t="str">
        <f t="shared" si="45"/>
        <v/>
      </c>
      <c r="BO508" s="356" t="str">
        <f t="shared" si="46"/>
        <v/>
      </c>
      <c r="BP508" s="356" t="str">
        <f t="shared" si="47"/>
        <v/>
      </c>
      <c r="BQ508" s="356" t="str">
        <f t="shared" si="48"/>
        <v/>
      </c>
      <c r="BR508" s="356" t="str">
        <f t="shared" si="49"/>
        <v/>
      </c>
      <c r="BS508" s="356" t="str">
        <f t="shared" si="50"/>
        <v/>
      </c>
      <c r="BT508" s="356" t="str">
        <f t="shared" si="51"/>
        <v/>
      </c>
      <c r="BU508" s="356" t="str">
        <f t="shared" si="52"/>
        <v/>
      </c>
      <c r="BV508" s="356" t="str">
        <f t="shared" si="53"/>
        <v/>
      </c>
      <c r="BW508" s="356" t="str">
        <f t="shared" si="54"/>
        <v/>
      </c>
      <c r="BX508" s="356" t="str">
        <f t="shared" si="55"/>
        <v/>
      </c>
      <c r="BY508" s="356" t="str">
        <f t="shared" si="56"/>
        <v/>
      </c>
      <c r="BZ508" s="356" t="str">
        <f t="shared" si="57"/>
        <v/>
      </c>
      <c r="CA508" s="356" t="str">
        <f t="shared" si="58"/>
        <v/>
      </c>
      <c r="CB508" s="356" t="str">
        <f t="shared" si="59"/>
        <v/>
      </c>
      <c r="CC508" s="356" t="str">
        <f t="shared" si="60"/>
        <v/>
      </c>
      <c r="CD508" s="356" t="str">
        <f t="shared" si="61"/>
        <v/>
      </c>
      <c r="CE508" s="356" t="str">
        <f t="shared" si="62"/>
        <v/>
      </c>
      <c r="CF508" s="356" t="str">
        <f t="shared" si="63"/>
        <v/>
      </c>
      <c r="CG508" s="356" t="str">
        <f t="shared" si="64"/>
        <v/>
      </c>
      <c r="CH508" s="356" t="str">
        <f t="shared" si="65"/>
        <v/>
      </c>
      <c r="CI508" s="356" t="str">
        <f t="shared" si="66"/>
        <v/>
      </c>
      <c r="CJ508" s="356" t="str">
        <f t="shared" si="67"/>
        <v/>
      </c>
      <c r="CK508" s="356" t="str">
        <f t="shared" si="68"/>
        <v/>
      </c>
      <c r="CL508" s="356" t="str">
        <f t="shared" si="69"/>
        <v/>
      </c>
      <c r="CM508" s="356" t="str">
        <f t="shared" si="70"/>
        <v/>
      </c>
      <c r="CN508" s="356" t="str">
        <f t="shared" si="71"/>
        <v/>
      </c>
      <c r="CO508" s="356" t="str">
        <f t="shared" si="72"/>
        <v/>
      </c>
      <c r="CP508" s="356" t="str">
        <f t="shared" si="73"/>
        <v/>
      </c>
      <c r="CQ508" s="356" t="str">
        <f t="shared" si="74"/>
        <v/>
      </c>
      <c r="CR508" s="356" t="str">
        <f t="shared" si="75"/>
        <v/>
      </c>
      <c r="CS508" s="356" t="str">
        <f t="shared" si="76"/>
        <v/>
      </c>
      <c r="CT508" s="356" t="str">
        <f t="shared" si="77"/>
        <v/>
      </c>
      <c r="CU508" s="356" t="str">
        <f t="shared" si="78"/>
        <v/>
      </c>
      <c r="CV508" s="356" t="str">
        <f t="shared" si="79"/>
        <v/>
      </c>
      <c r="CW508" s="356" t="str">
        <f t="shared" si="80"/>
        <v/>
      </c>
      <c r="CX508" s="356" t="str">
        <f t="shared" si="81"/>
        <v/>
      </c>
      <c r="CY508" s="356" t="str">
        <f t="shared" si="82"/>
        <v/>
      </c>
      <c r="CZ508" s="356" t="str">
        <f t="shared" si="83"/>
        <v/>
      </c>
      <c r="DA508" s="356" t="str">
        <f t="shared" si="84"/>
        <v/>
      </c>
      <c r="DB508" s="356" t="str">
        <f t="shared" si="85"/>
        <v/>
      </c>
      <c r="DC508" s="356" t="str">
        <f t="shared" si="86"/>
        <v/>
      </c>
      <c r="DD508" s="356" t="str">
        <f t="shared" si="87"/>
        <v/>
      </c>
      <c r="DE508" s="356" t="str">
        <f t="shared" si="88"/>
        <v/>
      </c>
      <c r="DF508" s="356" t="str">
        <f t="shared" si="89"/>
        <v/>
      </c>
      <c r="DG508" s="356" t="str">
        <f t="shared" si="90"/>
        <v/>
      </c>
      <c r="DH508" s="356" t="str">
        <f t="shared" si="91"/>
        <v/>
      </c>
      <c r="DI508" s="356" t="str">
        <f t="shared" si="92"/>
        <v/>
      </c>
      <c r="DJ508" s="356" t="str">
        <f t="shared" si="93"/>
        <v/>
      </c>
      <c r="DK508" s="356" t="str">
        <f t="shared" si="94"/>
        <v/>
      </c>
      <c r="DL508" s="356" t="str">
        <f t="shared" si="95"/>
        <v/>
      </c>
      <c r="DM508" s="356" t="str">
        <f t="shared" si="96"/>
        <v/>
      </c>
      <c r="DN508" s="356" t="str">
        <f t="shared" si="97"/>
        <v/>
      </c>
      <c r="DO508" s="356" t="str">
        <f t="shared" si="98"/>
        <v/>
      </c>
      <c r="DP508" s="356" t="str">
        <f t="shared" si="99"/>
        <v/>
      </c>
      <c r="DQ508" s="356" t="str">
        <f t="shared" si="100"/>
        <v/>
      </c>
      <c r="DR508" s="356" t="str">
        <f t="shared" si="101"/>
        <v/>
      </c>
      <c r="DS508" s="356" t="str">
        <f t="shared" si="102"/>
        <v/>
      </c>
      <c r="DT508" s="356" t="str">
        <f t="shared" si="103"/>
        <v/>
      </c>
      <c r="DU508" s="356" t="str">
        <f t="shared" si="104"/>
        <v/>
      </c>
      <c r="DV508" s="356" t="str">
        <f t="shared" si="105"/>
        <v/>
      </c>
      <c r="DW508" s="356" t="str">
        <f t="shared" si="106"/>
        <v/>
      </c>
      <c r="DX508" s="356" t="str">
        <f t="shared" si="107"/>
        <v/>
      </c>
      <c r="DY508" s="356" t="str">
        <f t="shared" si="108"/>
        <v/>
      </c>
      <c r="DZ508" s="356" t="str">
        <f t="shared" si="109"/>
        <v/>
      </c>
      <c r="EA508" s="356" t="str">
        <f t="shared" si="110"/>
        <v/>
      </c>
      <c r="EB508" s="356" t="str">
        <f t="shared" si="111"/>
        <v/>
      </c>
      <c r="EC508" s="356" t="str">
        <f t="shared" si="112"/>
        <v/>
      </c>
      <c r="ED508" s="356" t="str">
        <f t="shared" si="113"/>
        <v/>
      </c>
      <c r="EE508" s="356" t="str">
        <f t="shared" si="114"/>
        <v/>
      </c>
      <c r="EF508" s="356" t="str">
        <f t="shared" si="115"/>
        <v/>
      </c>
      <c r="EG508" s="356" t="str">
        <f t="shared" si="116"/>
        <v/>
      </c>
      <c r="EH508" s="356" t="str">
        <f t="shared" si="117"/>
        <v/>
      </c>
      <c r="EI508" s="356" t="str">
        <f t="shared" si="118"/>
        <v/>
      </c>
      <c r="EJ508" s="356" t="str">
        <f t="shared" si="119"/>
        <v/>
      </c>
      <c r="EK508" s="356" t="str">
        <f t="shared" si="120"/>
        <v/>
      </c>
      <c r="EL508" s="356" t="str">
        <f t="shared" si="121"/>
        <v/>
      </c>
      <c r="EM508" s="356" t="str">
        <f t="shared" si="122"/>
        <v/>
      </c>
      <c r="EN508" s="356" t="str">
        <f t="shared" si="123"/>
        <v/>
      </c>
      <c r="EO508" s="356" t="str">
        <f t="shared" si="124"/>
        <v/>
      </c>
      <c r="EP508" s="356" t="str">
        <f t="shared" si="125"/>
        <v/>
      </c>
      <c r="EQ508" s="356" t="str">
        <f t="shared" si="126"/>
        <v/>
      </c>
      <c r="ER508" s="356" t="str">
        <f t="shared" si="127"/>
        <v/>
      </c>
      <c r="ES508" s="356" t="str">
        <f t="shared" si="128"/>
        <v/>
      </c>
      <c r="ET508" s="356" t="str">
        <f t="shared" si="129"/>
        <v/>
      </c>
      <c r="EU508" s="356" t="str">
        <f t="shared" si="130"/>
        <v/>
      </c>
      <c r="EV508" s="356" t="str">
        <f t="shared" si="131"/>
        <v/>
      </c>
      <c r="EW508" s="356" t="str">
        <f t="shared" si="132"/>
        <v/>
      </c>
      <c r="EX508" s="356" t="str">
        <f t="shared" si="133"/>
        <v/>
      </c>
      <c r="EY508" s="356" t="str">
        <f t="shared" si="134"/>
        <v/>
      </c>
      <c r="EZ508" s="356" t="str">
        <f t="shared" si="135"/>
        <v/>
      </c>
      <c r="FA508" s="356" t="str">
        <f t="shared" si="136"/>
        <v/>
      </c>
      <c r="FB508" s="356" t="str">
        <f t="shared" si="137"/>
        <v/>
      </c>
      <c r="FC508" s="356" t="str">
        <f t="shared" si="138"/>
        <v/>
      </c>
      <c r="FD508" s="356" t="str">
        <f t="shared" si="139"/>
        <v/>
      </c>
      <c r="FE508" s="356" t="str">
        <f t="shared" si="140"/>
        <v/>
      </c>
      <c r="FF508" s="356" t="str">
        <f t="shared" si="141"/>
        <v/>
      </c>
      <c r="FG508" s="356" t="str">
        <f t="shared" si="142"/>
        <v/>
      </c>
      <c r="FH508" s="356" t="str">
        <f t="shared" si="143"/>
        <v/>
      </c>
      <c r="FI508" s="356" t="str">
        <f t="shared" si="144"/>
        <v/>
      </c>
      <c r="FJ508" s="356" t="str">
        <f t="shared" si="145"/>
        <v/>
      </c>
      <c r="FK508" s="356" t="str">
        <f t="shared" si="146"/>
        <v/>
      </c>
      <c r="FL508" s="356" t="str">
        <f t="shared" si="147"/>
        <v/>
      </c>
      <c r="FM508" s="356" t="str">
        <f t="shared" si="148"/>
        <v/>
      </c>
      <c r="FN508" s="356" t="str">
        <f t="shared" si="149"/>
        <v/>
      </c>
      <c r="FO508" s="356" t="str">
        <f t="shared" si="150"/>
        <v/>
      </c>
      <c r="FP508" s="356" t="str">
        <f t="shared" si="151"/>
        <v/>
      </c>
      <c r="FQ508" s="356" t="str">
        <f t="shared" si="152"/>
        <v/>
      </c>
      <c r="FR508" s="356" t="str">
        <f t="shared" si="153"/>
        <v/>
      </c>
      <c r="FS508" s="356" t="str">
        <f t="shared" si="154"/>
        <v/>
      </c>
      <c r="FT508" s="356" t="str">
        <f t="shared" si="155"/>
        <v/>
      </c>
      <c r="FU508" s="356" t="str">
        <f t="shared" si="156"/>
        <v/>
      </c>
      <c r="FV508" s="356" t="str">
        <f t="shared" si="157"/>
        <v/>
      </c>
      <c r="FW508" s="356" t="str">
        <f t="shared" si="158"/>
        <v/>
      </c>
      <c r="FX508" s="356" t="str">
        <f t="shared" si="159"/>
        <v/>
      </c>
      <c r="FY508" s="356" t="str">
        <f t="shared" si="160"/>
        <v/>
      </c>
      <c r="FZ508" s="356" t="str">
        <f t="shared" si="161"/>
        <v/>
      </c>
      <c r="GA508" s="356" t="str">
        <f t="shared" si="162"/>
        <v/>
      </c>
      <c r="GB508" s="356" t="str">
        <f t="shared" si="163"/>
        <v/>
      </c>
      <c r="GC508" s="356" t="str">
        <f t="shared" si="164"/>
        <v/>
      </c>
      <c r="GD508" s="356" t="str">
        <f t="shared" si="165"/>
        <v/>
      </c>
      <c r="GE508" s="356" t="str">
        <f t="shared" si="166"/>
        <v/>
      </c>
      <c r="GF508" s="356" t="str">
        <f t="shared" si="167"/>
        <v/>
      </c>
      <c r="GG508" s="356" t="str">
        <f t="shared" si="168"/>
        <v/>
      </c>
      <c r="GH508" s="356" t="str">
        <f t="shared" si="169"/>
        <v/>
      </c>
      <c r="GI508" s="356" t="str">
        <f t="shared" si="170"/>
        <v/>
      </c>
      <c r="GJ508" s="356" t="str">
        <f t="shared" si="171"/>
        <v/>
      </c>
      <c r="GK508" s="356" t="str">
        <f t="shared" si="172"/>
        <v/>
      </c>
      <c r="GL508" s="356" t="str">
        <f t="shared" si="173"/>
        <v/>
      </c>
      <c r="GM508" s="356" t="str">
        <f t="shared" si="174"/>
        <v/>
      </c>
      <c r="GN508" s="356" t="str">
        <f t="shared" si="175"/>
        <v/>
      </c>
      <c r="GO508" s="356" t="str">
        <f t="shared" si="176"/>
        <v/>
      </c>
      <c r="GP508" s="356" t="str">
        <f t="shared" si="177"/>
        <v/>
      </c>
      <c r="GQ508" s="356" t="str">
        <f t="shared" si="178"/>
        <v/>
      </c>
      <c r="GR508" s="356" t="str">
        <f t="shared" si="179"/>
        <v/>
      </c>
      <c r="GS508" s="356" t="str">
        <f t="shared" si="180"/>
        <v/>
      </c>
      <c r="GT508" s="356" t="str">
        <f t="shared" si="181"/>
        <v/>
      </c>
      <c r="GU508" s="356" t="str">
        <f t="shared" si="182"/>
        <v/>
      </c>
      <c r="GV508" s="356" t="str">
        <f t="shared" si="183"/>
        <v/>
      </c>
      <c r="GW508" s="356" t="str">
        <f t="shared" si="184"/>
        <v/>
      </c>
      <c r="GX508" s="356" t="str">
        <f t="shared" si="185"/>
        <v/>
      </c>
      <c r="GY508" s="356" t="str">
        <f t="shared" si="186"/>
        <v/>
      </c>
      <c r="GZ508" s="356" t="str">
        <f t="shared" si="187"/>
        <v/>
      </c>
      <c r="HA508" s="356" t="str">
        <f t="shared" si="188"/>
        <v/>
      </c>
      <c r="HB508" s="356" t="str">
        <f t="shared" si="189"/>
        <v/>
      </c>
      <c r="HC508" s="356" t="str">
        <f t="shared" si="190"/>
        <v/>
      </c>
      <c r="HD508" s="356" t="str">
        <f t="shared" si="191"/>
        <v/>
      </c>
      <c r="HE508" s="356" t="str">
        <f t="shared" si="192"/>
        <v/>
      </c>
      <c r="HF508" s="356" t="str">
        <f t="shared" si="193"/>
        <v/>
      </c>
      <c r="HG508" s="356" t="str">
        <f t="shared" si="194"/>
        <v/>
      </c>
      <c r="HH508" s="356" t="str">
        <f t="shared" si="195"/>
        <v/>
      </c>
      <c r="HI508" s="356" t="str">
        <f t="shared" si="196"/>
        <v/>
      </c>
      <c r="HJ508" s="356" t="str">
        <f t="shared" si="197"/>
        <v/>
      </c>
      <c r="HK508" s="356" t="str">
        <f t="shared" si="198"/>
        <v/>
      </c>
      <c r="HL508" s="356" t="str">
        <f t="shared" si="199"/>
        <v/>
      </c>
      <c r="HM508" s="356" t="str">
        <f t="shared" si="200"/>
        <v/>
      </c>
      <c r="HN508" s="356" t="str">
        <f t="shared" si="201"/>
        <v/>
      </c>
      <c r="HO508" s="356" t="str">
        <f t="shared" si="202"/>
        <v/>
      </c>
      <c r="HP508" s="356" t="str">
        <f t="shared" si="203"/>
        <v/>
      </c>
      <c r="HQ508" s="356" t="str">
        <f t="shared" si="204"/>
        <v/>
      </c>
      <c r="HR508" s="356" t="str">
        <f t="shared" si="205"/>
        <v/>
      </c>
      <c r="HS508" s="356" t="str">
        <f t="shared" si="206"/>
        <v/>
      </c>
      <c r="HT508" s="356" t="str">
        <f t="shared" si="207"/>
        <v/>
      </c>
      <c r="HU508" s="356" t="str">
        <f t="shared" si="208"/>
        <v/>
      </c>
      <c r="HV508" s="356" t="str">
        <f t="shared" si="209"/>
        <v/>
      </c>
      <c r="HW508" s="356" t="str">
        <f t="shared" si="210"/>
        <v/>
      </c>
      <c r="HX508" s="356" t="str">
        <f t="shared" si="211"/>
        <v/>
      </c>
      <c r="HY508" s="356" t="str">
        <f t="shared" si="212"/>
        <v/>
      </c>
      <c r="HZ508" s="356" t="str">
        <f t="shared" si="213"/>
        <v/>
      </c>
      <c r="IA508" s="356" t="str">
        <f t="shared" si="214"/>
        <v/>
      </c>
      <c r="IB508" s="356" t="str">
        <f t="shared" si="215"/>
        <v/>
      </c>
      <c r="IC508" s="356" t="str">
        <f t="shared" si="216"/>
        <v/>
      </c>
      <c r="ID508" s="356" t="str">
        <f t="shared" si="217"/>
        <v/>
      </c>
      <c r="IE508" s="356" t="str">
        <f t="shared" si="218"/>
        <v/>
      </c>
      <c r="IF508" s="356" t="str">
        <f t="shared" si="219"/>
        <v/>
      </c>
      <c r="IG508" s="356" t="str">
        <f t="shared" si="220"/>
        <v/>
      </c>
      <c r="IH508" s="356" t="str">
        <f t="shared" si="221"/>
        <v/>
      </c>
      <c r="II508" s="356" t="str">
        <f t="shared" si="222"/>
        <v/>
      </c>
      <c r="IJ508" s="356" t="str">
        <f t="shared" si="223"/>
        <v/>
      </c>
      <c r="IK508" s="356" t="str">
        <f t="shared" si="224"/>
        <v/>
      </c>
      <c r="IL508" s="356" t="str">
        <f t="shared" si="225"/>
        <v/>
      </c>
      <c r="IM508" s="356" t="str">
        <f t="shared" si="226"/>
        <v/>
      </c>
      <c r="IN508" s="356" t="str">
        <f t="shared" si="227"/>
        <v/>
      </c>
      <c r="IO508" s="356" t="str">
        <f t="shared" si="228"/>
        <v/>
      </c>
      <c r="IP508" s="356" t="str">
        <f t="shared" si="229"/>
        <v/>
      </c>
      <c r="IQ508" s="356" t="str">
        <f t="shared" si="230"/>
        <v/>
      </c>
      <c r="IR508" s="356" t="str">
        <f t="shared" si="231"/>
        <v/>
      </c>
      <c r="IS508" s="356" t="str">
        <f t="shared" si="232"/>
        <v/>
      </c>
      <c r="IT508" s="356" t="str">
        <f t="shared" si="233"/>
        <v/>
      </c>
      <c r="IU508" s="356" t="str">
        <f t="shared" si="234"/>
        <v/>
      </c>
      <c r="IV508" s="356" t="str">
        <f t="shared" si="235"/>
        <v/>
      </c>
      <c r="IW508" s="356" t="str">
        <f t="shared" si="236"/>
        <v/>
      </c>
      <c r="IX508" s="356" t="str">
        <f t="shared" si="237"/>
        <v/>
      </c>
      <c r="IY508" s="356" t="str">
        <f t="shared" si="238"/>
        <v/>
      </c>
      <c r="IZ508" s="356" t="str">
        <f t="shared" si="239"/>
        <v/>
      </c>
      <c r="JA508" s="356" t="str">
        <f t="shared" si="240"/>
        <v/>
      </c>
      <c r="JB508" s="356" t="str">
        <f t="shared" si="241"/>
        <v/>
      </c>
      <c r="JC508" s="356" t="str">
        <f t="shared" si="242"/>
        <v/>
      </c>
      <c r="JD508" s="356" t="str">
        <f t="shared" si="243"/>
        <v/>
      </c>
      <c r="JE508" s="356" t="str">
        <f t="shared" si="244"/>
        <v/>
      </c>
      <c r="JF508" s="356" t="str">
        <f t="shared" si="245"/>
        <v/>
      </c>
      <c r="JG508" s="356" t="str">
        <f t="shared" si="246"/>
        <v/>
      </c>
      <c r="JH508" s="356" t="str">
        <f t="shared" si="247"/>
        <v/>
      </c>
      <c r="JI508" s="1785" t="str">
        <f t="shared" si="248"/>
        <v/>
      </c>
      <c r="JJ508" s="1785" t="str">
        <f t="shared" si="249"/>
        <v/>
      </c>
      <c r="JK508" s="1785" t="str">
        <f t="shared" si="250"/>
        <v/>
      </c>
      <c r="JL508" s="1785" t="str">
        <f t="shared" si="251"/>
        <v/>
      </c>
      <c r="JM508" s="1785" t="str">
        <f t="shared" si="252"/>
        <v/>
      </c>
      <c r="JN508" s="1785" t="str">
        <f t="shared" si="253"/>
        <v/>
      </c>
      <c r="JO508" s="1785" t="str">
        <f t="shared" si="254"/>
        <v/>
      </c>
      <c r="JP508" s="1785" t="str">
        <f t="shared" si="255"/>
        <v/>
      </c>
      <c r="JQ508" s="1785" t="str">
        <f t="shared" si="256"/>
        <v/>
      </c>
      <c r="JR508" s="1785" t="str">
        <f t="shared" si="257"/>
        <v/>
      </c>
      <c r="JS508" s="1785" t="str">
        <f t="shared" si="258"/>
        <v/>
      </c>
      <c r="JT508" s="1785" t="str">
        <f t="shared" si="259"/>
        <v/>
      </c>
      <c r="JU508" s="1785" t="str">
        <f t="shared" si="260"/>
        <v/>
      </c>
      <c r="JV508" s="1785" t="str">
        <f t="shared" si="261"/>
        <v/>
      </c>
      <c r="JW508" s="1785" t="str">
        <f t="shared" si="262"/>
        <v/>
      </c>
      <c r="JX508" s="1785" t="str">
        <f t="shared" si="263"/>
        <v/>
      </c>
      <c r="JY508" s="1785" t="str">
        <f t="shared" si="264"/>
        <v/>
      </c>
      <c r="JZ508" s="1785" t="str">
        <f t="shared" si="265"/>
        <v/>
      </c>
      <c r="KA508" s="1785" t="str">
        <f t="shared" si="266"/>
        <v/>
      </c>
      <c r="KB508" s="1785" t="str">
        <f t="shared" si="267"/>
        <v/>
      </c>
      <c r="KC508" s="1785" t="str">
        <f t="shared" si="268"/>
        <v/>
      </c>
      <c r="KD508" s="1785" t="str">
        <f t="shared" si="269"/>
        <v/>
      </c>
      <c r="KE508" s="1785" t="str">
        <f t="shared" si="270"/>
        <v/>
      </c>
      <c r="KF508" s="1785" t="str">
        <f t="shared" si="271"/>
        <v/>
      </c>
      <c r="KG508" s="1785" t="str">
        <f t="shared" si="272"/>
        <v/>
      </c>
      <c r="KH508" s="1785" t="str">
        <f t="shared" si="273"/>
        <v/>
      </c>
      <c r="KI508" s="1785" t="str">
        <f t="shared" si="274"/>
        <v/>
      </c>
      <c r="KJ508" s="1785" t="str">
        <f t="shared" si="275"/>
        <v/>
      </c>
      <c r="KK508" s="1785" t="str">
        <f t="shared" si="276"/>
        <v/>
      </c>
      <c r="KL508" s="1785" t="str">
        <f t="shared" si="277"/>
        <v/>
      </c>
      <c r="KM508" s="1785" t="str">
        <f t="shared" si="278"/>
        <v/>
      </c>
      <c r="KN508" s="1785" t="str">
        <f t="shared" si="279"/>
        <v/>
      </c>
      <c r="KO508" s="1785" t="str">
        <f t="shared" si="280"/>
        <v/>
      </c>
      <c r="KP508" s="1785" t="str">
        <f t="shared" si="281"/>
        <v/>
      </c>
      <c r="KQ508" s="1785" t="str">
        <f t="shared" si="282"/>
        <v/>
      </c>
      <c r="KR508" s="1785" t="str">
        <f t="shared" si="283"/>
        <v/>
      </c>
      <c r="KS508" s="1785" t="str">
        <f t="shared" si="284"/>
        <v/>
      </c>
      <c r="KT508" s="1785" t="str">
        <f t="shared" si="285"/>
        <v/>
      </c>
      <c r="KU508" s="1785" t="str">
        <f t="shared" si="286"/>
        <v/>
      </c>
      <c r="KV508" s="1785" t="str">
        <f t="shared" si="287"/>
        <v/>
      </c>
      <c r="KW508" s="1785" t="str">
        <f t="shared" si="288"/>
        <v/>
      </c>
      <c r="KX508" s="1785" t="str">
        <f t="shared" si="289"/>
        <v/>
      </c>
      <c r="KY508" s="1785" t="str">
        <f t="shared" si="290"/>
        <v/>
      </c>
      <c r="KZ508" s="1785" t="str">
        <f t="shared" si="291"/>
        <v/>
      </c>
      <c r="LA508" s="1785" t="str">
        <f t="shared" si="292"/>
        <v/>
      </c>
      <c r="LB508" s="1785" t="str">
        <f t="shared" si="293"/>
        <v/>
      </c>
      <c r="LC508" s="1785" t="str">
        <f t="shared" si="294"/>
        <v/>
      </c>
      <c r="LD508" s="1785" t="str">
        <f t="shared" si="295"/>
        <v/>
      </c>
      <c r="LE508" s="1785" t="str">
        <f t="shared" si="296"/>
        <v/>
      </c>
      <c r="LF508" s="1785" t="str">
        <f t="shared" si="297"/>
        <v/>
      </c>
      <c r="LG508" s="1785" t="str">
        <f t="shared" si="298"/>
        <v/>
      </c>
      <c r="LH508" s="1785" t="str">
        <f t="shared" si="299"/>
        <v/>
      </c>
      <c r="LI508" s="1785" t="str">
        <f t="shared" si="300"/>
        <v/>
      </c>
      <c r="LJ508" s="1785" t="str">
        <f t="shared" si="301"/>
        <v/>
      </c>
      <c r="LK508" s="1785" t="str">
        <f t="shared" si="302"/>
        <v/>
      </c>
      <c r="LL508" s="1785" t="str">
        <f t="shared" si="303"/>
        <v/>
      </c>
      <c r="LM508" s="1785" t="str">
        <f t="shared" si="304"/>
        <v/>
      </c>
      <c r="LN508" s="1785" t="str">
        <f t="shared" si="305"/>
        <v/>
      </c>
      <c r="LO508" s="1785" t="str">
        <f t="shared" si="306"/>
        <v/>
      </c>
      <c r="LP508" s="1785" t="str">
        <f t="shared" si="307"/>
        <v/>
      </c>
      <c r="LQ508" s="1785" t="str">
        <f t="shared" si="308"/>
        <v/>
      </c>
      <c r="LR508" s="1785" t="str">
        <f t="shared" si="309"/>
        <v/>
      </c>
      <c r="LS508" s="1785" t="str">
        <f t="shared" si="310"/>
        <v/>
      </c>
      <c r="LT508" s="1785" t="str">
        <f t="shared" si="311"/>
        <v/>
      </c>
      <c r="LU508" s="1785" t="str">
        <f t="shared" si="312"/>
        <v/>
      </c>
      <c r="LV508" s="1785" t="str">
        <f t="shared" si="313"/>
        <v/>
      </c>
      <c r="LW508" s="1785" t="str">
        <f t="shared" si="314"/>
        <v/>
      </c>
      <c r="LX508" s="1785" t="str">
        <f t="shared" si="315"/>
        <v/>
      </c>
      <c r="LY508" s="1785" t="str">
        <f t="shared" si="316"/>
        <v/>
      </c>
      <c r="LZ508" s="1785" t="str">
        <f t="shared" si="317"/>
        <v/>
      </c>
      <c r="MA508" s="1785" t="str">
        <f t="shared" si="318"/>
        <v/>
      </c>
      <c r="MB508" s="1785" t="str">
        <f t="shared" si="319"/>
        <v/>
      </c>
      <c r="MC508" s="1785" t="str">
        <f t="shared" si="320"/>
        <v/>
      </c>
      <c r="MD508" s="1785" t="str">
        <f t="shared" si="321"/>
        <v/>
      </c>
      <c r="ME508" s="1785" t="str">
        <f t="shared" si="322"/>
        <v/>
      </c>
      <c r="MF508" s="1785" t="str">
        <f t="shared" si="323"/>
        <v/>
      </c>
      <c r="MG508" s="1785" t="str">
        <f t="shared" si="324"/>
        <v/>
      </c>
      <c r="MH508" s="1785" t="str">
        <f t="shared" si="325"/>
        <v/>
      </c>
      <c r="MI508" s="1785" t="str">
        <f t="shared" si="326"/>
        <v/>
      </c>
      <c r="MJ508" s="1785" t="str">
        <f t="shared" si="327"/>
        <v/>
      </c>
      <c r="MK508" s="1785" t="str">
        <f t="shared" si="328"/>
        <v/>
      </c>
      <c r="ML508" s="1785" t="str">
        <f t="shared" si="329"/>
        <v/>
      </c>
      <c r="MM508" s="1785" t="str">
        <f t="shared" si="330"/>
        <v/>
      </c>
      <c r="MN508" s="1785" t="str">
        <f t="shared" si="331"/>
        <v/>
      </c>
      <c r="MO508" s="1785" t="str">
        <f t="shared" si="332"/>
        <v/>
      </c>
      <c r="MP508" s="2470" t="str">
        <f t="shared" si="333"/>
        <v/>
      </c>
      <c r="MQ508" s="2470" t="str">
        <f t="shared" si="334"/>
        <v/>
      </c>
      <c r="MR508" s="2470" t="str">
        <f t="shared" si="335"/>
        <v/>
      </c>
      <c r="MS508" s="2470" t="str">
        <f t="shared" si="336"/>
        <v/>
      </c>
      <c r="MT508" s="2470" t="str">
        <f t="shared" si="337"/>
        <v/>
      </c>
      <c r="MU508" s="356" t="str">
        <f t="shared" si="338"/>
        <v/>
      </c>
      <c r="MV508" s="356" t="str">
        <f t="shared" si="339"/>
        <v/>
      </c>
      <c r="MW508" s="356" t="str">
        <f t="shared" si="340"/>
        <v/>
      </c>
      <c r="MX508" s="356" t="str">
        <f t="shared" si="341"/>
        <v/>
      </c>
      <c r="MY508" s="356" t="str">
        <f t="shared" si="342"/>
        <v/>
      </c>
      <c r="MZ508" s="356" t="str">
        <f t="shared" si="343"/>
        <v/>
      </c>
      <c r="NA508" s="356" t="str">
        <f t="shared" si="344"/>
        <v/>
      </c>
      <c r="NB508" s="356" t="str">
        <f t="shared" si="345"/>
        <v/>
      </c>
      <c r="NC508" s="356" t="str">
        <f t="shared" si="346"/>
        <v/>
      </c>
      <c r="ND508" s="356" t="str">
        <f t="shared" si="347"/>
        <v/>
      </c>
      <c r="NE508" s="356" t="str">
        <f t="shared" si="348"/>
        <v/>
      </c>
      <c r="NF508" s="356" t="str">
        <f t="shared" si="349"/>
        <v/>
      </c>
      <c r="NG508" s="356" t="str">
        <f t="shared" si="350"/>
        <v/>
      </c>
      <c r="NH508" s="356" t="str">
        <f t="shared" si="351"/>
        <v/>
      </c>
      <c r="NI508" s="356" t="str">
        <f t="shared" si="352"/>
        <v/>
      </c>
      <c r="NJ508" s="356" t="str">
        <f t="shared" si="353"/>
        <v/>
      </c>
      <c r="NK508" s="356" t="str">
        <f t="shared" si="354"/>
        <v/>
      </c>
      <c r="NL508" s="356" t="str">
        <f t="shared" si="355"/>
        <v/>
      </c>
      <c r="NM508" s="356" t="str">
        <f t="shared" si="356"/>
        <v/>
      </c>
      <c r="NN508" s="356" t="str">
        <f t="shared" si="357"/>
        <v/>
      </c>
      <c r="NO508" s="1640">
        <f t="shared" si="358"/>
        <v>0</v>
      </c>
      <c r="NP508" s="1640">
        <f t="shared" si="359"/>
        <v>0</v>
      </c>
      <c r="NQ508" s="1640">
        <f t="shared" si="360"/>
        <v>0</v>
      </c>
      <c r="NR508" s="1640">
        <f t="shared" si="361"/>
        <v>0</v>
      </c>
      <c r="NS508" s="1640">
        <f t="shared" si="362"/>
        <v>0</v>
      </c>
      <c r="NT508" s="1640">
        <f t="shared" si="368"/>
        <v>0</v>
      </c>
      <c r="NU508" s="1640">
        <f t="shared" si="369"/>
        <v>0</v>
      </c>
      <c r="NV508" s="1640">
        <f t="shared" si="370"/>
        <v>0</v>
      </c>
      <c r="NW508" s="1640">
        <f t="shared" si="371"/>
        <v>0</v>
      </c>
      <c r="NX508" s="1640">
        <f t="shared" si="372"/>
        <v>0</v>
      </c>
      <c r="NY508" s="1640">
        <f t="shared" si="363"/>
        <v>0</v>
      </c>
      <c r="NZ508" s="1640">
        <f t="shared" si="364"/>
        <v>0</v>
      </c>
      <c r="OA508" s="1640">
        <f t="shared" si="365"/>
        <v>0</v>
      </c>
      <c r="OB508" s="1640">
        <f t="shared" si="366"/>
        <v>0</v>
      </c>
      <c r="OC508" s="1640">
        <f t="shared" si="367"/>
        <v>0</v>
      </c>
      <c r="OY508" s="356" t="s">
        <v>4333</v>
      </c>
      <c r="OZ508" s="1640">
        <v>51</v>
      </c>
    </row>
    <row r="509" spans="1:416" ht="12" customHeight="1">
      <c r="A509" s="2706" t="str">
        <f t="shared" si="0"/>
        <v/>
      </c>
      <c r="B509" s="2725">
        <f>'Part V-Revenues &amp; Expenses'!B56</f>
        <v>0</v>
      </c>
      <c r="C509" s="2726">
        <f>'Part V-Revenues &amp; Expenses'!C56</f>
        <v>0</v>
      </c>
      <c r="D509" s="2727">
        <f>'Part V-Revenues &amp; Expenses'!D56</f>
        <v>0</v>
      </c>
      <c r="E509" s="2728">
        <f>'Part V-Revenues &amp; Expenses'!E56</f>
        <v>0</v>
      </c>
      <c r="F509" s="2728">
        <f>'Part V-Revenues &amp; Expenses'!F56</f>
        <v>0</v>
      </c>
      <c r="G509" s="2728">
        <f>'Part V-Revenues &amp; Expenses'!G56</f>
        <v>0</v>
      </c>
      <c r="H509" s="2728">
        <f>'Part V-Revenues &amp; Expenses'!H56</f>
        <v>0</v>
      </c>
      <c r="I509" s="2728">
        <f>'Part V-Revenues &amp; Expenses'!I56</f>
        <v>0</v>
      </c>
      <c r="J509" s="2728">
        <f>'Part V-Revenues &amp; Expenses'!J56</f>
        <v>0</v>
      </c>
      <c r="K509" s="2729">
        <f>'Part V-Revenues &amp; Expenses'!K56</f>
        <v>0</v>
      </c>
      <c r="L509" s="2730">
        <f t="shared" si="1"/>
        <v>0</v>
      </c>
      <c r="M509" s="2730">
        <f t="shared" si="2"/>
        <v>0</v>
      </c>
      <c r="N509" s="2580">
        <f>'Part V-Revenues &amp; Expenses'!N56</f>
        <v>0</v>
      </c>
      <c r="O509" s="1248">
        <f>'Part V-Revenues &amp; Expenses'!O56</f>
        <v>0</v>
      </c>
      <c r="P509" s="2580">
        <f>'Part V-Revenues &amp; Expenses'!P56</f>
        <v>0</v>
      </c>
      <c r="Q509" s="2469">
        <f>'Part V-Revenues &amp; Expenses'!Q56</f>
        <v>0</v>
      </c>
      <c r="R509" s="2731"/>
      <c r="S509" s="2732"/>
      <c r="T509" s="2647"/>
      <c r="U509" s="2647"/>
      <c r="V509" s="2647"/>
      <c r="W509" s="2647"/>
      <c r="X509" s="356" t="str">
        <f t="shared" si="3"/>
        <v/>
      </c>
      <c r="Y509" s="356" t="str">
        <f t="shared" si="4"/>
        <v/>
      </c>
      <c r="Z509" s="356" t="str">
        <f t="shared" si="5"/>
        <v/>
      </c>
      <c r="AA509" s="356" t="str">
        <f t="shared" si="6"/>
        <v/>
      </c>
      <c r="AB509" s="356" t="str">
        <f t="shared" si="7"/>
        <v/>
      </c>
      <c r="AC509" s="356" t="str">
        <f t="shared" si="8"/>
        <v/>
      </c>
      <c r="AD509" s="356" t="str">
        <f t="shared" si="9"/>
        <v/>
      </c>
      <c r="AE509" s="356" t="str">
        <f t="shared" si="10"/>
        <v/>
      </c>
      <c r="AF509" s="356" t="str">
        <f t="shared" si="11"/>
        <v/>
      </c>
      <c r="AG509" s="356" t="str">
        <f t="shared" si="12"/>
        <v/>
      </c>
      <c r="AH509" s="356" t="str">
        <f t="shared" si="13"/>
        <v/>
      </c>
      <c r="AI509" s="356" t="str">
        <f t="shared" si="14"/>
        <v/>
      </c>
      <c r="AJ509" s="356" t="str">
        <f t="shared" si="15"/>
        <v/>
      </c>
      <c r="AK509" s="356" t="str">
        <f t="shared" si="16"/>
        <v/>
      </c>
      <c r="AL509" s="356" t="str">
        <f t="shared" si="17"/>
        <v/>
      </c>
      <c r="AM509" s="356" t="str">
        <f t="shared" si="18"/>
        <v/>
      </c>
      <c r="AN509" s="356" t="str">
        <f t="shared" si="19"/>
        <v/>
      </c>
      <c r="AO509" s="356" t="str">
        <f t="shared" si="20"/>
        <v/>
      </c>
      <c r="AP509" s="356" t="str">
        <f t="shared" si="21"/>
        <v/>
      </c>
      <c r="AQ509" s="356" t="str">
        <f t="shared" si="22"/>
        <v/>
      </c>
      <c r="AR509" s="356" t="str">
        <f t="shared" si="23"/>
        <v/>
      </c>
      <c r="AS509" s="356" t="str">
        <f t="shared" si="24"/>
        <v/>
      </c>
      <c r="AT509" s="356" t="str">
        <f t="shared" si="25"/>
        <v/>
      </c>
      <c r="AU509" s="356" t="str">
        <f t="shared" si="26"/>
        <v/>
      </c>
      <c r="AV509" s="356" t="str">
        <f t="shared" si="27"/>
        <v/>
      </c>
      <c r="AW509" s="356" t="str">
        <f t="shared" si="28"/>
        <v/>
      </c>
      <c r="AX509" s="356" t="str">
        <f t="shared" si="29"/>
        <v/>
      </c>
      <c r="AY509" s="356" t="str">
        <f t="shared" si="30"/>
        <v/>
      </c>
      <c r="AZ509" s="356" t="str">
        <f t="shared" si="31"/>
        <v/>
      </c>
      <c r="BA509" s="356" t="str">
        <f t="shared" si="32"/>
        <v/>
      </c>
      <c r="BB509" s="356" t="str">
        <f t="shared" si="33"/>
        <v/>
      </c>
      <c r="BC509" s="356" t="str">
        <f t="shared" si="34"/>
        <v/>
      </c>
      <c r="BD509" s="356" t="str">
        <f t="shared" si="35"/>
        <v/>
      </c>
      <c r="BE509" s="356" t="str">
        <f t="shared" si="36"/>
        <v/>
      </c>
      <c r="BF509" s="356" t="str">
        <f t="shared" si="37"/>
        <v/>
      </c>
      <c r="BG509" s="356" t="str">
        <f t="shared" si="38"/>
        <v/>
      </c>
      <c r="BH509" s="356" t="str">
        <f t="shared" si="39"/>
        <v/>
      </c>
      <c r="BI509" s="356" t="str">
        <f t="shared" si="40"/>
        <v/>
      </c>
      <c r="BJ509" s="356" t="str">
        <f t="shared" si="41"/>
        <v/>
      </c>
      <c r="BK509" s="356" t="str">
        <f t="shared" si="42"/>
        <v/>
      </c>
      <c r="BL509" s="356" t="str">
        <f t="shared" si="43"/>
        <v/>
      </c>
      <c r="BM509" s="356" t="str">
        <f t="shared" si="44"/>
        <v/>
      </c>
      <c r="BN509" s="356" t="str">
        <f t="shared" si="45"/>
        <v/>
      </c>
      <c r="BO509" s="356" t="str">
        <f t="shared" si="46"/>
        <v/>
      </c>
      <c r="BP509" s="356" t="str">
        <f t="shared" si="47"/>
        <v/>
      </c>
      <c r="BQ509" s="356" t="str">
        <f t="shared" si="48"/>
        <v/>
      </c>
      <c r="BR509" s="356" t="str">
        <f t="shared" si="49"/>
        <v/>
      </c>
      <c r="BS509" s="356" t="str">
        <f t="shared" si="50"/>
        <v/>
      </c>
      <c r="BT509" s="356" t="str">
        <f t="shared" si="51"/>
        <v/>
      </c>
      <c r="BU509" s="356" t="str">
        <f t="shared" si="52"/>
        <v/>
      </c>
      <c r="BV509" s="356" t="str">
        <f t="shared" si="53"/>
        <v/>
      </c>
      <c r="BW509" s="356" t="str">
        <f t="shared" si="54"/>
        <v/>
      </c>
      <c r="BX509" s="356" t="str">
        <f t="shared" si="55"/>
        <v/>
      </c>
      <c r="BY509" s="356" t="str">
        <f t="shared" si="56"/>
        <v/>
      </c>
      <c r="BZ509" s="356" t="str">
        <f t="shared" si="57"/>
        <v/>
      </c>
      <c r="CA509" s="356" t="str">
        <f t="shared" si="58"/>
        <v/>
      </c>
      <c r="CB509" s="356" t="str">
        <f t="shared" si="59"/>
        <v/>
      </c>
      <c r="CC509" s="356" t="str">
        <f t="shared" si="60"/>
        <v/>
      </c>
      <c r="CD509" s="356" t="str">
        <f t="shared" si="61"/>
        <v/>
      </c>
      <c r="CE509" s="356" t="str">
        <f t="shared" si="62"/>
        <v/>
      </c>
      <c r="CF509" s="356" t="str">
        <f t="shared" si="63"/>
        <v/>
      </c>
      <c r="CG509" s="356" t="str">
        <f t="shared" si="64"/>
        <v/>
      </c>
      <c r="CH509" s="356" t="str">
        <f t="shared" si="65"/>
        <v/>
      </c>
      <c r="CI509" s="356" t="str">
        <f t="shared" si="66"/>
        <v/>
      </c>
      <c r="CJ509" s="356" t="str">
        <f t="shared" si="67"/>
        <v/>
      </c>
      <c r="CK509" s="356" t="str">
        <f t="shared" si="68"/>
        <v/>
      </c>
      <c r="CL509" s="356" t="str">
        <f t="shared" si="69"/>
        <v/>
      </c>
      <c r="CM509" s="356" t="str">
        <f t="shared" si="70"/>
        <v/>
      </c>
      <c r="CN509" s="356" t="str">
        <f t="shared" si="71"/>
        <v/>
      </c>
      <c r="CO509" s="356" t="str">
        <f t="shared" si="72"/>
        <v/>
      </c>
      <c r="CP509" s="356" t="str">
        <f t="shared" si="73"/>
        <v/>
      </c>
      <c r="CQ509" s="356" t="str">
        <f t="shared" si="74"/>
        <v/>
      </c>
      <c r="CR509" s="356" t="str">
        <f t="shared" si="75"/>
        <v/>
      </c>
      <c r="CS509" s="356" t="str">
        <f t="shared" si="76"/>
        <v/>
      </c>
      <c r="CT509" s="356" t="str">
        <f t="shared" si="77"/>
        <v/>
      </c>
      <c r="CU509" s="356" t="str">
        <f t="shared" si="78"/>
        <v/>
      </c>
      <c r="CV509" s="356" t="str">
        <f t="shared" si="79"/>
        <v/>
      </c>
      <c r="CW509" s="356" t="str">
        <f t="shared" si="80"/>
        <v/>
      </c>
      <c r="CX509" s="356" t="str">
        <f t="shared" si="81"/>
        <v/>
      </c>
      <c r="CY509" s="356" t="str">
        <f t="shared" si="82"/>
        <v/>
      </c>
      <c r="CZ509" s="356" t="str">
        <f t="shared" si="83"/>
        <v/>
      </c>
      <c r="DA509" s="356" t="str">
        <f t="shared" si="84"/>
        <v/>
      </c>
      <c r="DB509" s="356" t="str">
        <f t="shared" si="85"/>
        <v/>
      </c>
      <c r="DC509" s="356" t="str">
        <f t="shared" si="86"/>
        <v/>
      </c>
      <c r="DD509" s="356" t="str">
        <f t="shared" si="87"/>
        <v/>
      </c>
      <c r="DE509" s="356" t="str">
        <f t="shared" si="88"/>
        <v/>
      </c>
      <c r="DF509" s="356" t="str">
        <f t="shared" si="89"/>
        <v/>
      </c>
      <c r="DG509" s="356" t="str">
        <f t="shared" si="90"/>
        <v/>
      </c>
      <c r="DH509" s="356" t="str">
        <f t="shared" si="91"/>
        <v/>
      </c>
      <c r="DI509" s="356" t="str">
        <f t="shared" si="92"/>
        <v/>
      </c>
      <c r="DJ509" s="356" t="str">
        <f t="shared" si="93"/>
        <v/>
      </c>
      <c r="DK509" s="356" t="str">
        <f t="shared" si="94"/>
        <v/>
      </c>
      <c r="DL509" s="356" t="str">
        <f t="shared" si="95"/>
        <v/>
      </c>
      <c r="DM509" s="356" t="str">
        <f t="shared" si="96"/>
        <v/>
      </c>
      <c r="DN509" s="356" t="str">
        <f t="shared" si="97"/>
        <v/>
      </c>
      <c r="DO509" s="356" t="str">
        <f t="shared" si="98"/>
        <v/>
      </c>
      <c r="DP509" s="356" t="str">
        <f t="shared" si="99"/>
        <v/>
      </c>
      <c r="DQ509" s="356" t="str">
        <f t="shared" si="100"/>
        <v/>
      </c>
      <c r="DR509" s="356" t="str">
        <f t="shared" si="101"/>
        <v/>
      </c>
      <c r="DS509" s="356" t="str">
        <f t="shared" si="102"/>
        <v/>
      </c>
      <c r="DT509" s="356" t="str">
        <f t="shared" si="103"/>
        <v/>
      </c>
      <c r="DU509" s="356" t="str">
        <f t="shared" si="104"/>
        <v/>
      </c>
      <c r="DV509" s="356" t="str">
        <f t="shared" si="105"/>
        <v/>
      </c>
      <c r="DW509" s="356" t="str">
        <f t="shared" si="106"/>
        <v/>
      </c>
      <c r="DX509" s="356" t="str">
        <f t="shared" si="107"/>
        <v/>
      </c>
      <c r="DY509" s="356" t="str">
        <f t="shared" si="108"/>
        <v/>
      </c>
      <c r="DZ509" s="356" t="str">
        <f t="shared" si="109"/>
        <v/>
      </c>
      <c r="EA509" s="356" t="str">
        <f t="shared" si="110"/>
        <v/>
      </c>
      <c r="EB509" s="356" t="str">
        <f t="shared" si="111"/>
        <v/>
      </c>
      <c r="EC509" s="356" t="str">
        <f t="shared" si="112"/>
        <v/>
      </c>
      <c r="ED509" s="356" t="str">
        <f t="shared" si="113"/>
        <v/>
      </c>
      <c r="EE509" s="356" t="str">
        <f t="shared" si="114"/>
        <v/>
      </c>
      <c r="EF509" s="356" t="str">
        <f t="shared" si="115"/>
        <v/>
      </c>
      <c r="EG509" s="356" t="str">
        <f t="shared" si="116"/>
        <v/>
      </c>
      <c r="EH509" s="356" t="str">
        <f t="shared" si="117"/>
        <v/>
      </c>
      <c r="EI509" s="356" t="str">
        <f t="shared" si="118"/>
        <v/>
      </c>
      <c r="EJ509" s="356" t="str">
        <f t="shared" si="119"/>
        <v/>
      </c>
      <c r="EK509" s="356" t="str">
        <f t="shared" si="120"/>
        <v/>
      </c>
      <c r="EL509" s="356" t="str">
        <f t="shared" si="121"/>
        <v/>
      </c>
      <c r="EM509" s="356" t="str">
        <f t="shared" si="122"/>
        <v/>
      </c>
      <c r="EN509" s="356" t="str">
        <f t="shared" si="123"/>
        <v/>
      </c>
      <c r="EO509" s="356" t="str">
        <f t="shared" si="124"/>
        <v/>
      </c>
      <c r="EP509" s="356" t="str">
        <f t="shared" si="125"/>
        <v/>
      </c>
      <c r="EQ509" s="356" t="str">
        <f t="shared" si="126"/>
        <v/>
      </c>
      <c r="ER509" s="356" t="str">
        <f t="shared" si="127"/>
        <v/>
      </c>
      <c r="ES509" s="356" t="str">
        <f t="shared" si="128"/>
        <v/>
      </c>
      <c r="ET509" s="356" t="str">
        <f t="shared" si="129"/>
        <v/>
      </c>
      <c r="EU509" s="356" t="str">
        <f t="shared" si="130"/>
        <v/>
      </c>
      <c r="EV509" s="356" t="str">
        <f t="shared" si="131"/>
        <v/>
      </c>
      <c r="EW509" s="356" t="str">
        <f t="shared" si="132"/>
        <v/>
      </c>
      <c r="EX509" s="356" t="str">
        <f t="shared" si="133"/>
        <v/>
      </c>
      <c r="EY509" s="356" t="str">
        <f t="shared" si="134"/>
        <v/>
      </c>
      <c r="EZ509" s="356" t="str">
        <f t="shared" si="135"/>
        <v/>
      </c>
      <c r="FA509" s="356" t="str">
        <f t="shared" si="136"/>
        <v/>
      </c>
      <c r="FB509" s="356" t="str">
        <f t="shared" si="137"/>
        <v/>
      </c>
      <c r="FC509" s="356" t="str">
        <f t="shared" si="138"/>
        <v/>
      </c>
      <c r="FD509" s="356" t="str">
        <f t="shared" si="139"/>
        <v/>
      </c>
      <c r="FE509" s="356" t="str">
        <f t="shared" si="140"/>
        <v/>
      </c>
      <c r="FF509" s="356" t="str">
        <f t="shared" si="141"/>
        <v/>
      </c>
      <c r="FG509" s="356" t="str">
        <f t="shared" si="142"/>
        <v/>
      </c>
      <c r="FH509" s="356" t="str">
        <f t="shared" si="143"/>
        <v/>
      </c>
      <c r="FI509" s="356" t="str">
        <f t="shared" si="144"/>
        <v/>
      </c>
      <c r="FJ509" s="356" t="str">
        <f t="shared" si="145"/>
        <v/>
      </c>
      <c r="FK509" s="356" t="str">
        <f t="shared" si="146"/>
        <v/>
      </c>
      <c r="FL509" s="356" t="str">
        <f t="shared" si="147"/>
        <v/>
      </c>
      <c r="FM509" s="356" t="str">
        <f t="shared" si="148"/>
        <v/>
      </c>
      <c r="FN509" s="356" t="str">
        <f t="shared" si="149"/>
        <v/>
      </c>
      <c r="FO509" s="356" t="str">
        <f t="shared" si="150"/>
        <v/>
      </c>
      <c r="FP509" s="356" t="str">
        <f t="shared" si="151"/>
        <v/>
      </c>
      <c r="FQ509" s="356" t="str">
        <f t="shared" si="152"/>
        <v/>
      </c>
      <c r="FR509" s="356" t="str">
        <f t="shared" si="153"/>
        <v/>
      </c>
      <c r="FS509" s="356" t="str">
        <f t="shared" si="154"/>
        <v/>
      </c>
      <c r="FT509" s="356" t="str">
        <f t="shared" si="155"/>
        <v/>
      </c>
      <c r="FU509" s="356" t="str">
        <f t="shared" si="156"/>
        <v/>
      </c>
      <c r="FV509" s="356" t="str">
        <f t="shared" si="157"/>
        <v/>
      </c>
      <c r="FW509" s="356" t="str">
        <f t="shared" si="158"/>
        <v/>
      </c>
      <c r="FX509" s="356" t="str">
        <f t="shared" si="159"/>
        <v/>
      </c>
      <c r="FY509" s="356" t="str">
        <f t="shared" si="160"/>
        <v/>
      </c>
      <c r="FZ509" s="356" t="str">
        <f t="shared" si="161"/>
        <v/>
      </c>
      <c r="GA509" s="356" t="str">
        <f t="shared" si="162"/>
        <v/>
      </c>
      <c r="GB509" s="356" t="str">
        <f t="shared" si="163"/>
        <v/>
      </c>
      <c r="GC509" s="356" t="str">
        <f t="shared" si="164"/>
        <v/>
      </c>
      <c r="GD509" s="356" t="str">
        <f t="shared" si="165"/>
        <v/>
      </c>
      <c r="GE509" s="356" t="str">
        <f t="shared" si="166"/>
        <v/>
      </c>
      <c r="GF509" s="356" t="str">
        <f t="shared" si="167"/>
        <v/>
      </c>
      <c r="GG509" s="356" t="str">
        <f t="shared" si="168"/>
        <v/>
      </c>
      <c r="GH509" s="356" t="str">
        <f t="shared" si="169"/>
        <v/>
      </c>
      <c r="GI509" s="356" t="str">
        <f t="shared" si="170"/>
        <v/>
      </c>
      <c r="GJ509" s="356" t="str">
        <f t="shared" si="171"/>
        <v/>
      </c>
      <c r="GK509" s="356" t="str">
        <f t="shared" si="172"/>
        <v/>
      </c>
      <c r="GL509" s="356" t="str">
        <f t="shared" si="173"/>
        <v/>
      </c>
      <c r="GM509" s="356" t="str">
        <f t="shared" si="174"/>
        <v/>
      </c>
      <c r="GN509" s="356" t="str">
        <f t="shared" si="175"/>
        <v/>
      </c>
      <c r="GO509" s="356" t="str">
        <f t="shared" si="176"/>
        <v/>
      </c>
      <c r="GP509" s="356" t="str">
        <f t="shared" si="177"/>
        <v/>
      </c>
      <c r="GQ509" s="356" t="str">
        <f t="shared" si="178"/>
        <v/>
      </c>
      <c r="GR509" s="356" t="str">
        <f t="shared" si="179"/>
        <v/>
      </c>
      <c r="GS509" s="356" t="str">
        <f t="shared" si="180"/>
        <v/>
      </c>
      <c r="GT509" s="356" t="str">
        <f t="shared" si="181"/>
        <v/>
      </c>
      <c r="GU509" s="356" t="str">
        <f t="shared" si="182"/>
        <v/>
      </c>
      <c r="GV509" s="356" t="str">
        <f t="shared" si="183"/>
        <v/>
      </c>
      <c r="GW509" s="356" t="str">
        <f t="shared" si="184"/>
        <v/>
      </c>
      <c r="GX509" s="356" t="str">
        <f t="shared" si="185"/>
        <v/>
      </c>
      <c r="GY509" s="356" t="str">
        <f t="shared" si="186"/>
        <v/>
      </c>
      <c r="GZ509" s="356" t="str">
        <f t="shared" si="187"/>
        <v/>
      </c>
      <c r="HA509" s="356" t="str">
        <f t="shared" si="188"/>
        <v/>
      </c>
      <c r="HB509" s="356" t="str">
        <f t="shared" si="189"/>
        <v/>
      </c>
      <c r="HC509" s="356" t="str">
        <f t="shared" si="190"/>
        <v/>
      </c>
      <c r="HD509" s="356" t="str">
        <f t="shared" si="191"/>
        <v/>
      </c>
      <c r="HE509" s="356" t="str">
        <f t="shared" si="192"/>
        <v/>
      </c>
      <c r="HF509" s="356" t="str">
        <f t="shared" si="193"/>
        <v/>
      </c>
      <c r="HG509" s="356" t="str">
        <f t="shared" si="194"/>
        <v/>
      </c>
      <c r="HH509" s="356" t="str">
        <f t="shared" si="195"/>
        <v/>
      </c>
      <c r="HI509" s="356" t="str">
        <f t="shared" si="196"/>
        <v/>
      </c>
      <c r="HJ509" s="356" t="str">
        <f t="shared" si="197"/>
        <v/>
      </c>
      <c r="HK509" s="356" t="str">
        <f t="shared" si="198"/>
        <v/>
      </c>
      <c r="HL509" s="356" t="str">
        <f t="shared" si="199"/>
        <v/>
      </c>
      <c r="HM509" s="356" t="str">
        <f t="shared" si="200"/>
        <v/>
      </c>
      <c r="HN509" s="356" t="str">
        <f t="shared" si="201"/>
        <v/>
      </c>
      <c r="HO509" s="356" t="str">
        <f t="shared" si="202"/>
        <v/>
      </c>
      <c r="HP509" s="356" t="str">
        <f t="shared" si="203"/>
        <v/>
      </c>
      <c r="HQ509" s="356" t="str">
        <f t="shared" si="204"/>
        <v/>
      </c>
      <c r="HR509" s="356" t="str">
        <f t="shared" si="205"/>
        <v/>
      </c>
      <c r="HS509" s="356" t="str">
        <f t="shared" si="206"/>
        <v/>
      </c>
      <c r="HT509" s="356" t="str">
        <f t="shared" si="207"/>
        <v/>
      </c>
      <c r="HU509" s="356" t="str">
        <f t="shared" si="208"/>
        <v/>
      </c>
      <c r="HV509" s="356" t="str">
        <f t="shared" si="209"/>
        <v/>
      </c>
      <c r="HW509" s="356" t="str">
        <f t="shared" si="210"/>
        <v/>
      </c>
      <c r="HX509" s="356" t="str">
        <f t="shared" si="211"/>
        <v/>
      </c>
      <c r="HY509" s="356" t="str">
        <f t="shared" si="212"/>
        <v/>
      </c>
      <c r="HZ509" s="356" t="str">
        <f t="shared" si="213"/>
        <v/>
      </c>
      <c r="IA509" s="356" t="str">
        <f t="shared" si="214"/>
        <v/>
      </c>
      <c r="IB509" s="356" t="str">
        <f t="shared" si="215"/>
        <v/>
      </c>
      <c r="IC509" s="356" t="str">
        <f t="shared" si="216"/>
        <v/>
      </c>
      <c r="ID509" s="356" t="str">
        <f t="shared" si="217"/>
        <v/>
      </c>
      <c r="IE509" s="356" t="str">
        <f t="shared" si="218"/>
        <v/>
      </c>
      <c r="IF509" s="356" t="str">
        <f t="shared" si="219"/>
        <v/>
      </c>
      <c r="IG509" s="356" t="str">
        <f t="shared" si="220"/>
        <v/>
      </c>
      <c r="IH509" s="356" t="str">
        <f t="shared" si="221"/>
        <v/>
      </c>
      <c r="II509" s="356" t="str">
        <f t="shared" si="222"/>
        <v/>
      </c>
      <c r="IJ509" s="356" t="str">
        <f t="shared" si="223"/>
        <v/>
      </c>
      <c r="IK509" s="356" t="str">
        <f t="shared" si="224"/>
        <v/>
      </c>
      <c r="IL509" s="356" t="str">
        <f t="shared" si="225"/>
        <v/>
      </c>
      <c r="IM509" s="356" t="str">
        <f t="shared" si="226"/>
        <v/>
      </c>
      <c r="IN509" s="356" t="str">
        <f t="shared" si="227"/>
        <v/>
      </c>
      <c r="IO509" s="356" t="str">
        <f t="shared" si="228"/>
        <v/>
      </c>
      <c r="IP509" s="356" t="str">
        <f t="shared" si="229"/>
        <v/>
      </c>
      <c r="IQ509" s="356" t="str">
        <f t="shared" si="230"/>
        <v/>
      </c>
      <c r="IR509" s="356" t="str">
        <f t="shared" si="231"/>
        <v/>
      </c>
      <c r="IS509" s="356" t="str">
        <f t="shared" si="232"/>
        <v/>
      </c>
      <c r="IT509" s="356" t="str">
        <f t="shared" si="233"/>
        <v/>
      </c>
      <c r="IU509" s="356" t="str">
        <f t="shared" si="234"/>
        <v/>
      </c>
      <c r="IV509" s="356" t="str">
        <f t="shared" si="235"/>
        <v/>
      </c>
      <c r="IW509" s="356" t="str">
        <f t="shared" si="236"/>
        <v/>
      </c>
      <c r="IX509" s="356" t="str">
        <f t="shared" si="237"/>
        <v/>
      </c>
      <c r="IY509" s="356" t="str">
        <f t="shared" si="238"/>
        <v/>
      </c>
      <c r="IZ509" s="356" t="str">
        <f t="shared" si="239"/>
        <v/>
      </c>
      <c r="JA509" s="356" t="str">
        <f t="shared" si="240"/>
        <v/>
      </c>
      <c r="JB509" s="356" t="str">
        <f t="shared" si="241"/>
        <v/>
      </c>
      <c r="JC509" s="356" t="str">
        <f t="shared" si="242"/>
        <v/>
      </c>
      <c r="JD509" s="356" t="str">
        <f t="shared" si="243"/>
        <v/>
      </c>
      <c r="JE509" s="356" t="str">
        <f t="shared" si="244"/>
        <v/>
      </c>
      <c r="JF509" s="356" t="str">
        <f t="shared" si="245"/>
        <v/>
      </c>
      <c r="JG509" s="356" t="str">
        <f t="shared" si="246"/>
        <v/>
      </c>
      <c r="JH509" s="356" t="str">
        <f t="shared" si="247"/>
        <v/>
      </c>
      <c r="JI509" s="1785" t="str">
        <f t="shared" si="248"/>
        <v/>
      </c>
      <c r="JJ509" s="1785" t="str">
        <f t="shared" si="249"/>
        <v/>
      </c>
      <c r="JK509" s="1785" t="str">
        <f t="shared" si="250"/>
        <v/>
      </c>
      <c r="JL509" s="1785" t="str">
        <f t="shared" si="251"/>
        <v/>
      </c>
      <c r="JM509" s="1785" t="str">
        <f t="shared" si="252"/>
        <v/>
      </c>
      <c r="JN509" s="1785" t="str">
        <f t="shared" si="253"/>
        <v/>
      </c>
      <c r="JO509" s="1785" t="str">
        <f t="shared" si="254"/>
        <v/>
      </c>
      <c r="JP509" s="1785" t="str">
        <f t="shared" si="255"/>
        <v/>
      </c>
      <c r="JQ509" s="1785" t="str">
        <f t="shared" si="256"/>
        <v/>
      </c>
      <c r="JR509" s="1785" t="str">
        <f t="shared" si="257"/>
        <v/>
      </c>
      <c r="JS509" s="1785" t="str">
        <f t="shared" si="258"/>
        <v/>
      </c>
      <c r="JT509" s="1785" t="str">
        <f t="shared" si="259"/>
        <v/>
      </c>
      <c r="JU509" s="1785" t="str">
        <f t="shared" si="260"/>
        <v/>
      </c>
      <c r="JV509" s="1785" t="str">
        <f t="shared" si="261"/>
        <v/>
      </c>
      <c r="JW509" s="1785" t="str">
        <f t="shared" si="262"/>
        <v/>
      </c>
      <c r="JX509" s="1785" t="str">
        <f t="shared" si="263"/>
        <v/>
      </c>
      <c r="JY509" s="1785" t="str">
        <f t="shared" si="264"/>
        <v/>
      </c>
      <c r="JZ509" s="1785" t="str">
        <f t="shared" si="265"/>
        <v/>
      </c>
      <c r="KA509" s="1785" t="str">
        <f t="shared" si="266"/>
        <v/>
      </c>
      <c r="KB509" s="1785" t="str">
        <f t="shared" si="267"/>
        <v/>
      </c>
      <c r="KC509" s="1785" t="str">
        <f t="shared" si="268"/>
        <v/>
      </c>
      <c r="KD509" s="1785" t="str">
        <f t="shared" si="269"/>
        <v/>
      </c>
      <c r="KE509" s="1785" t="str">
        <f t="shared" si="270"/>
        <v/>
      </c>
      <c r="KF509" s="1785" t="str">
        <f t="shared" si="271"/>
        <v/>
      </c>
      <c r="KG509" s="1785" t="str">
        <f t="shared" si="272"/>
        <v/>
      </c>
      <c r="KH509" s="1785" t="str">
        <f t="shared" si="273"/>
        <v/>
      </c>
      <c r="KI509" s="1785" t="str">
        <f t="shared" si="274"/>
        <v/>
      </c>
      <c r="KJ509" s="1785" t="str">
        <f t="shared" si="275"/>
        <v/>
      </c>
      <c r="KK509" s="1785" t="str">
        <f t="shared" si="276"/>
        <v/>
      </c>
      <c r="KL509" s="1785" t="str">
        <f t="shared" si="277"/>
        <v/>
      </c>
      <c r="KM509" s="1785" t="str">
        <f t="shared" si="278"/>
        <v/>
      </c>
      <c r="KN509" s="1785" t="str">
        <f t="shared" si="279"/>
        <v/>
      </c>
      <c r="KO509" s="1785" t="str">
        <f t="shared" si="280"/>
        <v/>
      </c>
      <c r="KP509" s="1785" t="str">
        <f t="shared" si="281"/>
        <v/>
      </c>
      <c r="KQ509" s="1785" t="str">
        <f t="shared" si="282"/>
        <v/>
      </c>
      <c r="KR509" s="1785" t="str">
        <f t="shared" si="283"/>
        <v/>
      </c>
      <c r="KS509" s="1785" t="str">
        <f t="shared" si="284"/>
        <v/>
      </c>
      <c r="KT509" s="1785" t="str">
        <f t="shared" si="285"/>
        <v/>
      </c>
      <c r="KU509" s="1785" t="str">
        <f t="shared" si="286"/>
        <v/>
      </c>
      <c r="KV509" s="1785" t="str">
        <f t="shared" si="287"/>
        <v/>
      </c>
      <c r="KW509" s="1785" t="str">
        <f t="shared" si="288"/>
        <v/>
      </c>
      <c r="KX509" s="1785" t="str">
        <f t="shared" si="289"/>
        <v/>
      </c>
      <c r="KY509" s="1785" t="str">
        <f t="shared" si="290"/>
        <v/>
      </c>
      <c r="KZ509" s="1785" t="str">
        <f t="shared" si="291"/>
        <v/>
      </c>
      <c r="LA509" s="1785" t="str">
        <f t="shared" si="292"/>
        <v/>
      </c>
      <c r="LB509" s="1785" t="str">
        <f t="shared" si="293"/>
        <v/>
      </c>
      <c r="LC509" s="1785" t="str">
        <f t="shared" si="294"/>
        <v/>
      </c>
      <c r="LD509" s="1785" t="str">
        <f t="shared" si="295"/>
        <v/>
      </c>
      <c r="LE509" s="1785" t="str">
        <f t="shared" si="296"/>
        <v/>
      </c>
      <c r="LF509" s="1785" t="str">
        <f t="shared" si="297"/>
        <v/>
      </c>
      <c r="LG509" s="1785" t="str">
        <f t="shared" si="298"/>
        <v/>
      </c>
      <c r="LH509" s="1785" t="str">
        <f t="shared" si="299"/>
        <v/>
      </c>
      <c r="LI509" s="1785" t="str">
        <f t="shared" si="300"/>
        <v/>
      </c>
      <c r="LJ509" s="1785" t="str">
        <f t="shared" si="301"/>
        <v/>
      </c>
      <c r="LK509" s="1785" t="str">
        <f t="shared" si="302"/>
        <v/>
      </c>
      <c r="LL509" s="1785" t="str">
        <f t="shared" si="303"/>
        <v/>
      </c>
      <c r="LM509" s="1785" t="str">
        <f t="shared" si="304"/>
        <v/>
      </c>
      <c r="LN509" s="1785" t="str">
        <f t="shared" si="305"/>
        <v/>
      </c>
      <c r="LO509" s="1785" t="str">
        <f t="shared" si="306"/>
        <v/>
      </c>
      <c r="LP509" s="1785" t="str">
        <f t="shared" si="307"/>
        <v/>
      </c>
      <c r="LQ509" s="1785" t="str">
        <f t="shared" si="308"/>
        <v/>
      </c>
      <c r="LR509" s="1785" t="str">
        <f t="shared" si="309"/>
        <v/>
      </c>
      <c r="LS509" s="1785" t="str">
        <f t="shared" si="310"/>
        <v/>
      </c>
      <c r="LT509" s="1785" t="str">
        <f t="shared" si="311"/>
        <v/>
      </c>
      <c r="LU509" s="1785" t="str">
        <f t="shared" si="312"/>
        <v/>
      </c>
      <c r="LV509" s="1785" t="str">
        <f t="shared" si="313"/>
        <v/>
      </c>
      <c r="LW509" s="1785" t="str">
        <f t="shared" si="314"/>
        <v/>
      </c>
      <c r="LX509" s="1785" t="str">
        <f t="shared" si="315"/>
        <v/>
      </c>
      <c r="LY509" s="1785" t="str">
        <f t="shared" si="316"/>
        <v/>
      </c>
      <c r="LZ509" s="1785" t="str">
        <f t="shared" si="317"/>
        <v/>
      </c>
      <c r="MA509" s="1785" t="str">
        <f t="shared" si="318"/>
        <v/>
      </c>
      <c r="MB509" s="1785" t="str">
        <f t="shared" si="319"/>
        <v/>
      </c>
      <c r="MC509" s="1785" t="str">
        <f t="shared" si="320"/>
        <v/>
      </c>
      <c r="MD509" s="1785" t="str">
        <f t="shared" si="321"/>
        <v/>
      </c>
      <c r="ME509" s="1785" t="str">
        <f t="shared" si="322"/>
        <v/>
      </c>
      <c r="MF509" s="1785" t="str">
        <f t="shared" si="323"/>
        <v/>
      </c>
      <c r="MG509" s="1785" t="str">
        <f t="shared" si="324"/>
        <v/>
      </c>
      <c r="MH509" s="1785" t="str">
        <f t="shared" si="325"/>
        <v/>
      </c>
      <c r="MI509" s="1785" t="str">
        <f t="shared" si="326"/>
        <v/>
      </c>
      <c r="MJ509" s="1785" t="str">
        <f t="shared" si="327"/>
        <v/>
      </c>
      <c r="MK509" s="1785" t="str">
        <f t="shared" si="328"/>
        <v/>
      </c>
      <c r="ML509" s="1785" t="str">
        <f t="shared" si="329"/>
        <v/>
      </c>
      <c r="MM509" s="1785" t="str">
        <f t="shared" si="330"/>
        <v/>
      </c>
      <c r="MN509" s="1785" t="str">
        <f t="shared" si="331"/>
        <v/>
      </c>
      <c r="MO509" s="1785" t="str">
        <f t="shared" si="332"/>
        <v/>
      </c>
      <c r="MP509" s="2470" t="str">
        <f t="shared" si="333"/>
        <v/>
      </c>
      <c r="MQ509" s="2470" t="str">
        <f t="shared" si="334"/>
        <v/>
      </c>
      <c r="MR509" s="2470" t="str">
        <f t="shared" si="335"/>
        <v/>
      </c>
      <c r="MS509" s="2470" t="str">
        <f t="shared" si="336"/>
        <v/>
      </c>
      <c r="MT509" s="2470" t="str">
        <f t="shared" si="337"/>
        <v/>
      </c>
      <c r="MU509" s="356" t="str">
        <f t="shared" si="338"/>
        <v/>
      </c>
      <c r="MV509" s="356" t="str">
        <f t="shared" si="339"/>
        <v/>
      </c>
      <c r="MW509" s="356" t="str">
        <f t="shared" si="340"/>
        <v/>
      </c>
      <c r="MX509" s="356" t="str">
        <f t="shared" si="341"/>
        <v/>
      </c>
      <c r="MY509" s="356" t="str">
        <f t="shared" si="342"/>
        <v/>
      </c>
      <c r="MZ509" s="356" t="str">
        <f t="shared" si="343"/>
        <v/>
      </c>
      <c r="NA509" s="356" t="str">
        <f t="shared" si="344"/>
        <v/>
      </c>
      <c r="NB509" s="356" t="str">
        <f t="shared" si="345"/>
        <v/>
      </c>
      <c r="NC509" s="356" t="str">
        <f t="shared" si="346"/>
        <v/>
      </c>
      <c r="ND509" s="356" t="str">
        <f t="shared" si="347"/>
        <v/>
      </c>
      <c r="NE509" s="356" t="str">
        <f t="shared" si="348"/>
        <v/>
      </c>
      <c r="NF509" s="356" t="str">
        <f t="shared" si="349"/>
        <v/>
      </c>
      <c r="NG509" s="356" t="str">
        <f t="shared" si="350"/>
        <v/>
      </c>
      <c r="NH509" s="356" t="str">
        <f t="shared" si="351"/>
        <v/>
      </c>
      <c r="NI509" s="356" t="str">
        <f t="shared" si="352"/>
        <v/>
      </c>
      <c r="NJ509" s="356" t="str">
        <f t="shared" si="353"/>
        <v/>
      </c>
      <c r="NK509" s="356" t="str">
        <f t="shared" si="354"/>
        <v/>
      </c>
      <c r="NL509" s="356" t="str">
        <f t="shared" si="355"/>
        <v/>
      </c>
      <c r="NM509" s="356" t="str">
        <f t="shared" si="356"/>
        <v/>
      </c>
      <c r="NN509" s="356" t="str">
        <f t="shared" si="357"/>
        <v/>
      </c>
      <c r="NO509" s="1640">
        <f t="shared" si="358"/>
        <v>0</v>
      </c>
      <c r="NP509" s="1640">
        <f t="shared" si="359"/>
        <v>0</v>
      </c>
      <c r="NQ509" s="1640">
        <f t="shared" si="360"/>
        <v>0</v>
      </c>
      <c r="NR509" s="1640">
        <f t="shared" si="361"/>
        <v>0</v>
      </c>
      <c r="NS509" s="1640">
        <f t="shared" si="362"/>
        <v>0</v>
      </c>
      <c r="NT509" s="1640">
        <f t="shared" si="368"/>
        <v>0</v>
      </c>
      <c r="NU509" s="1640">
        <f t="shared" si="369"/>
        <v>0</v>
      </c>
      <c r="NV509" s="1640">
        <f t="shared" si="370"/>
        <v>0</v>
      </c>
      <c r="NW509" s="1640">
        <f t="shared" si="371"/>
        <v>0</v>
      </c>
      <c r="NX509" s="1640">
        <f t="shared" si="372"/>
        <v>0</v>
      </c>
      <c r="NY509" s="1640">
        <f t="shared" si="363"/>
        <v>0</v>
      </c>
      <c r="NZ509" s="1640">
        <f t="shared" si="364"/>
        <v>0</v>
      </c>
      <c r="OA509" s="1640">
        <f t="shared" si="365"/>
        <v>0</v>
      </c>
      <c r="OB509" s="1640">
        <f t="shared" si="366"/>
        <v>0</v>
      </c>
      <c r="OC509" s="1640">
        <f t="shared" si="367"/>
        <v>0</v>
      </c>
      <c r="OY509" s="356" t="s">
        <v>4333</v>
      </c>
      <c r="OZ509" s="1640">
        <v>52</v>
      </c>
    </row>
    <row r="510" spans="1:416" ht="12" customHeight="1">
      <c r="A510" s="2706" t="str">
        <f t="shared" si="0"/>
        <v/>
      </c>
      <c r="B510" s="2725">
        <f>'Part V-Revenues &amp; Expenses'!B57</f>
        <v>0</v>
      </c>
      <c r="C510" s="2726">
        <f>'Part V-Revenues &amp; Expenses'!C57</f>
        <v>0</v>
      </c>
      <c r="D510" s="2727">
        <f>'Part V-Revenues &amp; Expenses'!D57</f>
        <v>0</v>
      </c>
      <c r="E510" s="2728">
        <f>'Part V-Revenues &amp; Expenses'!E57</f>
        <v>0</v>
      </c>
      <c r="F510" s="2728">
        <f>'Part V-Revenues &amp; Expenses'!F57</f>
        <v>0</v>
      </c>
      <c r="G510" s="2728">
        <f>'Part V-Revenues &amp; Expenses'!G57</f>
        <v>0</v>
      </c>
      <c r="H510" s="2728">
        <f>'Part V-Revenues &amp; Expenses'!H57</f>
        <v>0</v>
      </c>
      <c r="I510" s="2728">
        <f>'Part V-Revenues &amp; Expenses'!I57</f>
        <v>0</v>
      </c>
      <c r="J510" s="2728">
        <f>'Part V-Revenues &amp; Expenses'!J57</f>
        <v>0</v>
      </c>
      <c r="K510" s="2729">
        <f>'Part V-Revenues &amp; Expenses'!K57</f>
        <v>0</v>
      </c>
      <c r="L510" s="2730">
        <f t="shared" si="1"/>
        <v>0</v>
      </c>
      <c r="M510" s="2730">
        <f t="shared" si="2"/>
        <v>0</v>
      </c>
      <c r="N510" s="2580">
        <f>'Part V-Revenues &amp; Expenses'!N57</f>
        <v>0</v>
      </c>
      <c r="O510" s="1248">
        <f>'Part V-Revenues &amp; Expenses'!O57</f>
        <v>0</v>
      </c>
      <c r="P510" s="2580">
        <f>'Part V-Revenues &amp; Expenses'!P57</f>
        <v>0</v>
      </c>
      <c r="Q510" s="2469">
        <f>'Part V-Revenues &amp; Expenses'!Q57</f>
        <v>0</v>
      </c>
      <c r="R510" s="2731"/>
      <c r="S510" s="2732"/>
      <c r="T510" s="2647"/>
      <c r="U510" s="2647"/>
      <c r="V510" s="2647"/>
      <c r="W510" s="2647"/>
      <c r="X510" s="356" t="str">
        <f t="shared" si="3"/>
        <v/>
      </c>
      <c r="Y510" s="356" t="str">
        <f t="shared" si="4"/>
        <v/>
      </c>
      <c r="Z510" s="356" t="str">
        <f t="shared" si="5"/>
        <v/>
      </c>
      <c r="AA510" s="356" t="str">
        <f t="shared" si="6"/>
        <v/>
      </c>
      <c r="AB510" s="356" t="str">
        <f t="shared" si="7"/>
        <v/>
      </c>
      <c r="AC510" s="356" t="str">
        <f t="shared" si="8"/>
        <v/>
      </c>
      <c r="AD510" s="356" t="str">
        <f t="shared" si="9"/>
        <v/>
      </c>
      <c r="AE510" s="356" t="str">
        <f t="shared" si="10"/>
        <v/>
      </c>
      <c r="AF510" s="356" t="str">
        <f t="shared" si="11"/>
        <v/>
      </c>
      <c r="AG510" s="356" t="str">
        <f t="shared" si="12"/>
        <v/>
      </c>
      <c r="AH510" s="356" t="str">
        <f t="shared" si="13"/>
        <v/>
      </c>
      <c r="AI510" s="356" t="str">
        <f t="shared" si="14"/>
        <v/>
      </c>
      <c r="AJ510" s="356" t="str">
        <f t="shared" si="15"/>
        <v/>
      </c>
      <c r="AK510" s="356" t="str">
        <f t="shared" si="16"/>
        <v/>
      </c>
      <c r="AL510" s="356" t="str">
        <f t="shared" si="17"/>
        <v/>
      </c>
      <c r="AM510" s="356" t="str">
        <f t="shared" si="18"/>
        <v/>
      </c>
      <c r="AN510" s="356" t="str">
        <f t="shared" si="19"/>
        <v/>
      </c>
      <c r="AO510" s="356" t="str">
        <f t="shared" si="20"/>
        <v/>
      </c>
      <c r="AP510" s="356" t="str">
        <f t="shared" si="21"/>
        <v/>
      </c>
      <c r="AQ510" s="356" t="str">
        <f t="shared" si="22"/>
        <v/>
      </c>
      <c r="AR510" s="356" t="str">
        <f t="shared" si="23"/>
        <v/>
      </c>
      <c r="AS510" s="356" t="str">
        <f t="shared" si="24"/>
        <v/>
      </c>
      <c r="AT510" s="356" t="str">
        <f t="shared" si="25"/>
        <v/>
      </c>
      <c r="AU510" s="356" t="str">
        <f t="shared" si="26"/>
        <v/>
      </c>
      <c r="AV510" s="356" t="str">
        <f t="shared" si="27"/>
        <v/>
      </c>
      <c r="AW510" s="356" t="str">
        <f t="shared" si="28"/>
        <v/>
      </c>
      <c r="AX510" s="356" t="str">
        <f t="shared" si="29"/>
        <v/>
      </c>
      <c r="AY510" s="356" t="str">
        <f t="shared" si="30"/>
        <v/>
      </c>
      <c r="AZ510" s="356" t="str">
        <f t="shared" si="31"/>
        <v/>
      </c>
      <c r="BA510" s="356" t="str">
        <f t="shared" si="32"/>
        <v/>
      </c>
      <c r="BB510" s="356" t="str">
        <f t="shared" si="33"/>
        <v/>
      </c>
      <c r="BC510" s="356" t="str">
        <f t="shared" si="34"/>
        <v/>
      </c>
      <c r="BD510" s="356" t="str">
        <f t="shared" si="35"/>
        <v/>
      </c>
      <c r="BE510" s="356" t="str">
        <f t="shared" si="36"/>
        <v/>
      </c>
      <c r="BF510" s="356" t="str">
        <f t="shared" si="37"/>
        <v/>
      </c>
      <c r="BG510" s="356" t="str">
        <f t="shared" si="38"/>
        <v/>
      </c>
      <c r="BH510" s="356" t="str">
        <f t="shared" si="39"/>
        <v/>
      </c>
      <c r="BI510" s="356" t="str">
        <f t="shared" si="40"/>
        <v/>
      </c>
      <c r="BJ510" s="356" t="str">
        <f t="shared" si="41"/>
        <v/>
      </c>
      <c r="BK510" s="356" t="str">
        <f t="shared" si="42"/>
        <v/>
      </c>
      <c r="BL510" s="356" t="str">
        <f t="shared" si="43"/>
        <v/>
      </c>
      <c r="BM510" s="356" t="str">
        <f t="shared" si="44"/>
        <v/>
      </c>
      <c r="BN510" s="356" t="str">
        <f t="shared" si="45"/>
        <v/>
      </c>
      <c r="BO510" s="356" t="str">
        <f t="shared" si="46"/>
        <v/>
      </c>
      <c r="BP510" s="356" t="str">
        <f t="shared" si="47"/>
        <v/>
      </c>
      <c r="BQ510" s="356" t="str">
        <f t="shared" si="48"/>
        <v/>
      </c>
      <c r="BR510" s="356" t="str">
        <f t="shared" si="49"/>
        <v/>
      </c>
      <c r="BS510" s="356" t="str">
        <f t="shared" si="50"/>
        <v/>
      </c>
      <c r="BT510" s="356" t="str">
        <f t="shared" si="51"/>
        <v/>
      </c>
      <c r="BU510" s="356" t="str">
        <f t="shared" si="52"/>
        <v/>
      </c>
      <c r="BV510" s="356" t="str">
        <f t="shared" si="53"/>
        <v/>
      </c>
      <c r="BW510" s="356" t="str">
        <f t="shared" si="54"/>
        <v/>
      </c>
      <c r="BX510" s="356" t="str">
        <f t="shared" si="55"/>
        <v/>
      </c>
      <c r="BY510" s="356" t="str">
        <f t="shared" si="56"/>
        <v/>
      </c>
      <c r="BZ510" s="356" t="str">
        <f t="shared" si="57"/>
        <v/>
      </c>
      <c r="CA510" s="356" t="str">
        <f t="shared" si="58"/>
        <v/>
      </c>
      <c r="CB510" s="356" t="str">
        <f t="shared" si="59"/>
        <v/>
      </c>
      <c r="CC510" s="356" t="str">
        <f t="shared" si="60"/>
        <v/>
      </c>
      <c r="CD510" s="356" t="str">
        <f t="shared" si="61"/>
        <v/>
      </c>
      <c r="CE510" s="356" t="str">
        <f t="shared" si="62"/>
        <v/>
      </c>
      <c r="CF510" s="356" t="str">
        <f t="shared" si="63"/>
        <v/>
      </c>
      <c r="CG510" s="356" t="str">
        <f t="shared" si="64"/>
        <v/>
      </c>
      <c r="CH510" s="356" t="str">
        <f t="shared" si="65"/>
        <v/>
      </c>
      <c r="CI510" s="356" t="str">
        <f t="shared" si="66"/>
        <v/>
      </c>
      <c r="CJ510" s="356" t="str">
        <f t="shared" si="67"/>
        <v/>
      </c>
      <c r="CK510" s="356" t="str">
        <f t="shared" si="68"/>
        <v/>
      </c>
      <c r="CL510" s="356" t="str">
        <f t="shared" si="69"/>
        <v/>
      </c>
      <c r="CM510" s="356" t="str">
        <f t="shared" si="70"/>
        <v/>
      </c>
      <c r="CN510" s="356" t="str">
        <f t="shared" si="71"/>
        <v/>
      </c>
      <c r="CO510" s="356" t="str">
        <f t="shared" si="72"/>
        <v/>
      </c>
      <c r="CP510" s="356" t="str">
        <f t="shared" si="73"/>
        <v/>
      </c>
      <c r="CQ510" s="356" t="str">
        <f t="shared" si="74"/>
        <v/>
      </c>
      <c r="CR510" s="356" t="str">
        <f t="shared" si="75"/>
        <v/>
      </c>
      <c r="CS510" s="356" t="str">
        <f t="shared" si="76"/>
        <v/>
      </c>
      <c r="CT510" s="356" t="str">
        <f t="shared" si="77"/>
        <v/>
      </c>
      <c r="CU510" s="356" t="str">
        <f t="shared" si="78"/>
        <v/>
      </c>
      <c r="CV510" s="356" t="str">
        <f t="shared" si="79"/>
        <v/>
      </c>
      <c r="CW510" s="356" t="str">
        <f t="shared" si="80"/>
        <v/>
      </c>
      <c r="CX510" s="356" t="str">
        <f t="shared" si="81"/>
        <v/>
      </c>
      <c r="CY510" s="356" t="str">
        <f t="shared" si="82"/>
        <v/>
      </c>
      <c r="CZ510" s="356" t="str">
        <f t="shared" si="83"/>
        <v/>
      </c>
      <c r="DA510" s="356" t="str">
        <f t="shared" si="84"/>
        <v/>
      </c>
      <c r="DB510" s="356" t="str">
        <f t="shared" si="85"/>
        <v/>
      </c>
      <c r="DC510" s="356" t="str">
        <f t="shared" si="86"/>
        <v/>
      </c>
      <c r="DD510" s="356" t="str">
        <f t="shared" si="87"/>
        <v/>
      </c>
      <c r="DE510" s="356" t="str">
        <f t="shared" si="88"/>
        <v/>
      </c>
      <c r="DF510" s="356" t="str">
        <f t="shared" si="89"/>
        <v/>
      </c>
      <c r="DG510" s="356" t="str">
        <f t="shared" si="90"/>
        <v/>
      </c>
      <c r="DH510" s="356" t="str">
        <f t="shared" si="91"/>
        <v/>
      </c>
      <c r="DI510" s="356" t="str">
        <f t="shared" si="92"/>
        <v/>
      </c>
      <c r="DJ510" s="356" t="str">
        <f t="shared" si="93"/>
        <v/>
      </c>
      <c r="DK510" s="356" t="str">
        <f t="shared" si="94"/>
        <v/>
      </c>
      <c r="DL510" s="356" t="str">
        <f t="shared" si="95"/>
        <v/>
      </c>
      <c r="DM510" s="356" t="str">
        <f t="shared" si="96"/>
        <v/>
      </c>
      <c r="DN510" s="356" t="str">
        <f t="shared" si="97"/>
        <v/>
      </c>
      <c r="DO510" s="356" t="str">
        <f t="shared" si="98"/>
        <v/>
      </c>
      <c r="DP510" s="356" t="str">
        <f t="shared" si="99"/>
        <v/>
      </c>
      <c r="DQ510" s="356" t="str">
        <f t="shared" si="100"/>
        <v/>
      </c>
      <c r="DR510" s="356" t="str">
        <f t="shared" si="101"/>
        <v/>
      </c>
      <c r="DS510" s="356" t="str">
        <f t="shared" si="102"/>
        <v/>
      </c>
      <c r="DT510" s="356" t="str">
        <f t="shared" si="103"/>
        <v/>
      </c>
      <c r="DU510" s="356" t="str">
        <f t="shared" si="104"/>
        <v/>
      </c>
      <c r="DV510" s="356" t="str">
        <f t="shared" si="105"/>
        <v/>
      </c>
      <c r="DW510" s="356" t="str">
        <f t="shared" si="106"/>
        <v/>
      </c>
      <c r="DX510" s="356" t="str">
        <f t="shared" si="107"/>
        <v/>
      </c>
      <c r="DY510" s="356" t="str">
        <f t="shared" si="108"/>
        <v/>
      </c>
      <c r="DZ510" s="356" t="str">
        <f t="shared" si="109"/>
        <v/>
      </c>
      <c r="EA510" s="356" t="str">
        <f t="shared" si="110"/>
        <v/>
      </c>
      <c r="EB510" s="356" t="str">
        <f t="shared" si="111"/>
        <v/>
      </c>
      <c r="EC510" s="356" t="str">
        <f t="shared" si="112"/>
        <v/>
      </c>
      <c r="ED510" s="356" t="str">
        <f t="shared" si="113"/>
        <v/>
      </c>
      <c r="EE510" s="356" t="str">
        <f t="shared" si="114"/>
        <v/>
      </c>
      <c r="EF510" s="356" t="str">
        <f t="shared" si="115"/>
        <v/>
      </c>
      <c r="EG510" s="356" t="str">
        <f t="shared" si="116"/>
        <v/>
      </c>
      <c r="EH510" s="356" t="str">
        <f t="shared" si="117"/>
        <v/>
      </c>
      <c r="EI510" s="356" t="str">
        <f t="shared" si="118"/>
        <v/>
      </c>
      <c r="EJ510" s="356" t="str">
        <f t="shared" si="119"/>
        <v/>
      </c>
      <c r="EK510" s="356" t="str">
        <f t="shared" si="120"/>
        <v/>
      </c>
      <c r="EL510" s="356" t="str">
        <f t="shared" si="121"/>
        <v/>
      </c>
      <c r="EM510" s="356" t="str">
        <f t="shared" si="122"/>
        <v/>
      </c>
      <c r="EN510" s="356" t="str">
        <f t="shared" si="123"/>
        <v/>
      </c>
      <c r="EO510" s="356" t="str">
        <f t="shared" si="124"/>
        <v/>
      </c>
      <c r="EP510" s="356" t="str">
        <f t="shared" si="125"/>
        <v/>
      </c>
      <c r="EQ510" s="356" t="str">
        <f t="shared" si="126"/>
        <v/>
      </c>
      <c r="ER510" s="356" t="str">
        <f t="shared" si="127"/>
        <v/>
      </c>
      <c r="ES510" s="356" t="str">
        <f t="shared" si="128"/>
        <v/>
      </c>
      <c r="ET510" s="356" t="str">
        <f t="shared" si="129"/>
        <v/>
      </c>
      <c r="EU510" s="356" t="str">
        <f t="shared" si="130"/>
        <v/>
      </c>
      <c r="EV510" s="356" t="str">
        <f t="shared" si="131"/>
        <v/>
      </c>
      <c r="EW510" s="356" t="str">
        <f t="shared" si="132"/>
        <v/>
      </c>
      <c r="EX510" s="356" t="str">
        <f t="shared" si="133"/>
        <v/>
      </c>
      <c r="EY510" s="356" t="str">
        <f t="shared" si="134"/>
        <v/>
      </c>
      <c r="EZ510" s="356" t="str">
        <f t="shared" si="135"/>
        <v/>
      </c>
      <c r="FA510" s="356" t="str">
        <f t="shared" si="136"/>
        <v/>
      </c>
      <c r="FB510" s="356" t="str">
        <f t="shared" si="137"/>
        <v/>
      </c>
      <c r="FC510" s="356" t="str">
        <f t="shared" si="138"/>
        <v/>
      </c>
      <c r="FD510" s="356" t="str">
        <f t="shared" si="139"/>
        <v/>
      </c>
      <c r="FE510" s="356" t="str">
        <f t="shared" si="140"/>
        <v/>
      </c>
      <c r="FF510" s="356" t="str">
        <f t="shared" si="141"/>
        <v/>
      </c>
      <c r="FG510" s="356" t="str">
        <f t="shared" si="142"/>
        <v/>
      </c>
      <c r="FH510" s="356" t="str">
        <f t="shared" si="143"/>
        <v/>
      </c>
      <c r="FI510" s="356" t="str">
        <f t="shared" si="144"/>
        <v/>
      </c>
      <c r="FJ510" s="356" t="str">
        <f t="shared" si="145"/>
        <v/>
      </c>
      <c r="FK510" s="356" t="str">
        <f t="shared" si="146"/>
        <v/>
      </c>
      <c r="FL510" s="356" t="str">
        <f t="shared" si="147"/>
        <v/>
      </c>
      <c r="FM510" s="356" t="str">
        <f t="shared" si="148"/>
        <v/>
      </c>
      <c r="FN510" s="356" t="str">
        <f t="shared" si="149"/>
        <v/>
      </c>
      <c r="FO510" s="356" t="str">
        <f t="shared" si="150"/>
        <v/>
      </c>
      <c r="FP510" s="356" t="str">
        <f t="shared" si="151"/>
        <v/>
      </c>
      <c r="FQ510" s="356" t="str">
        <f t="shared" si="152"/>
        <v/>
      </c>
      <c r="FR510" s="356" t="str">
        <f t="shared" si="153"/>
        <v/>
      </c>
      <c r="FS510" s="356" t="str">
        <f t="shared" si="154"/>
        <v/>
      </c>
      <c r="FT510" s="356" t="str">
        <f t="shared" si="155"/>
        <v/>
      </c>
      <c r="FU510" s="356" t="str">
        <f t="shared" si="156"/>
        <v/>
      </c>
      <c r="FV510" s="356" t="str">
        <f t="shared" si="157"/>
        <v/>
      </c>
      <c r="FW510" s="356" t="str">
        <f t="shared" si="158"/>
        <v/>
      </c>
      <c r="FX510" s="356" t="str">
        <f t="shared" si="159"/>
        <v/>
      </c>
      <c r="FY510" s="356" t="str">
        <f t="shared" si="160"/>
        <v/>
      </c>
      <c r="FZ510" s="356" t="str">
        <f t="shared" si="161"/>
        <v/>
      </c>
      <c r="GA510" s="356" t="str">
        <f t="shared" si="162"/>
        <v/>
      </c>
      <c r="GB510" s="356" t="str">
        <f t="shared" si="163"/>
        <v/>
      </c>
      <c r="GC510" s="356" t="str">
        <f t="shared" si="164"/>
        <v/>
      </c>
      <c r="GD510" s="356" t="str">
        <f t="shared" si="165"/>
        <v/>
      </c>
      <c r="GE510" s="356" t="str">
        <f t="shared" si="166"/>
        <v/>
      </c>
      <c r="GF510" s="356" t="str">
        <f t="shared" si="167"/>
        <v/>
      </c>
      <c r="GG510" s="356" t="str">
        <f t="shared" si="168"/>
        <v/>
      </c>
      <c r="GH510" s="356" t="str">
        <f t="shared" si="169"/>
        <v/>
      </c>
      <c r="GI510" s="356" t="str">
        <f t="shared" si="170"/>
        <v/>
      </c>
      <c r="GJ510" s="356" t="str">
        <f t="shared" si="171"/>
        <v/>
      </c>
      <c r="GK510" s="356" t="str">
        <f t="shared" si="172"/>
        <v/>
      </c>
      <c r="GL510" s="356" t="str">
        <f t="shared" si="173"/>
        <v/>
      </c>
      <c r="GM510" s="356" t="str">
        <f t="shared" si="174"/>
        <v/>
      </c>
      <c r="GN510" s="356" t="str">
        <f t="shared" si="175"/>
        <v/>
      </c>
      <c r="GO510" s="356" t="str">
        <f t="shared" si="176"/>
        <v/>
      </c>
      <c r="GP510" s="356" t="str">
        <f t="shared" si="177"/>
        <v/>
      </c>
      <c r="GQ510" s="356" t="str">
        <f t="shared" si="178"/>
        <v/>
      </c>
      <c r="GR510" s="356" t="str">
        <f t="shared" si="179"/>
        <v/>
      </c>
      <c r="GS510" s="356" t="str">
        <f t="shared" si="180"/>
        <v/>
      </c>
      <c r="GT510" s="356" t="str">
        <f t="shared" si="181"/>
        <v/>
      </c>
      <c r="GU510" s="356" t="str">
        <f t="shared" si="182"/>
        <v/>
      </c>
      <c r="GV510" s="356" t="str">
        <f t="shared" si="183"/>
        <v/>
      </c>
      <c r="GW510" s="356" t="str">
        <f t="shared" si="184"/>
        <v/>
      </c>
      <c r="GX510" s="356" t="str">
        <f t="shared" si="185"/>
        <v/>
      </c>
      <c r="GY510" s="356" t="str">
        <f t="shared" si="186"/>
        <v/>
      </c>
      <c r="GZ510" s="356" t="str">
        <f t="shared" si="187"/>
        <v/>
      </c>
      <c r="HA510" s="356" t="str">
        <f t="shared" si="188"/>
        <v/>
      </c>
      <c r="HB510" s="356" t="str">
        <f t="shared" si="189"/>
        <v/>
      </c>
      <c r="HC510" s="356" t="str">
        <f t="shared" si="190"/>
        <v/>
      </c>
      <c r="HD510" s="356" t="str">
        <f t="shared" si="191"/>
        <v/>
      </c>
      <c r="HE510" s="356" t="str">
        <f t="shared" si="192"/>
        <v/>
      </c>
      <c r="HF510" s="356" t="str">
        <f t="shared" si="193"/>
        <v/>
      </c>
      <c r="HG510" s="356" t="str">
        <f t="shared" si="194"/>
        <v/>
      </c>
      <c r="HH510" s="356" t="str">
        <f t="shared" si="195"/>
        <v/>
      </c>
      <c r="HI510" s="356" t="str">
        <f t="shared" si="196"/>
        <v/>
      </c>
      <c r="HJ510" s="356" t="str">
        <f t="shared" si="197"/>
        <v/>
      </c>
      <c r="HK510" s="356" t="str">
        <f t="shared" si="198"/>
        <v/>
      </c>
      <c r="HL510" s="356" t="str">
        <f t="shared" si="199"/>
        <v/>
      </c>
      <c r="HM510" s="356" t="str">
        <f t="shared" si="200"/>
        <v/>
      </c>
      <c r="HN510" s="356" t="str">
        <f t="shared" si="201"/>
        <v/>
      </c>
      <c r="HO510" s="356" t="str">
        <f t="shared" si="202"/>
        <v/>
      </c>
      <c r="HP510" s="356" t="str">
        <f t="shared" si="203"/>
        <v/>
      </c>
      <c r="HQ510" s="356" t="str">
        <f t="shared" si="204"/>
        <v/>
      </c>
      <c r="HR510" s="356" t="str">
        <f t="shared" si="205"/>
        <v/>
      </c>
      <c r="HS510" s="356" t="str">
        <f t="shared" si="206"/>
        <v/>
      </c>
      <c r="HT510" s="356" t="str">
        <f t="shared" si="207"/>
        <v/>
      </c>
      <c r="HU510" s="356" t="str">
        <f t="shared" si="208"/>
        <v/>
      </c>
      <c r="HV510" s="356" t="str">
        <f t="shared" si="209"/>
        <v/>
      </c>
      <c r="HW510" s="356" t="str">
        <f t="shared" si="210"/>
        <v/>
      </c>
      <c r="HX510" s="356" t="str">
        <f t="shared" si="211"/>
        <v/>
      </c>
      <c r="HY510" s="356" t="str">
        <f t="shared" si="212"/>
        <v/>
      </c>
      <c r="HZ510" s="356" t="str">
        <f t="shared" si="213"/>
        <v/>
      </c>
      <c r="IA510" s="356" t="str">
        <f t="shared" si="214"/>
        <v/>
      </c>
      <c r="IB510" s="356" t="str">
        <f t="shared" si="215"/>
        <v/>
      </c>
      <c r="IC510" s="356" t="str">
        <f t="shared" si="216"/>
        <v/>
      </c>
      <c r="ID510" s="356" t="str">
        <f t="shared" si="217"/>
        <v/>
      </c>
      <c r="IE510" s="356" t="str">
        <f t="shared" si="218"/>
        <v/>
      </c>
      <c r="IF510" s="356" t="str">
        <f t="shared" si="219"/>
        <v/>
      </c>
      <c r="IG510" s="356" t="str">
        <f t="shared" si="220"/>
        <v/>
      </c>
      <c r="IH510" s="356" t="str">
        <f t="shared" si="221"/>
        <v/>
      </c>
      <c r="II510" s="356" t="str">
        <f t="shared" si="222"/>
        <v/>
      </c>
      <c r="IJ510" s="356" t="str">
        <f t="shared" si="223"/>
        <v/>
      </c>
      <c r="IK510" s="356" t="str">
        <f t="shared" si="224"/>
        <v/>
      </c>
      <c r="IL510" s="356" t="str">
        <f t="shared" si="225"/>
        <v/>
      </c>
      <c r="IM510" s="356" t="str">
        <f t="shared" si="226"/>
        <v/>
      </c>
      <c r="IN510" s="356" t="str">
        <f t="shared" si="227"/>
        <v/>
      </c>
      <c r="IO510" s="356" t="str">
        <f t="shared" si="228"/>
        <v/>
      </c>
      <c r="IP510" s="356" t="str">
        <f t="shared" si="229"/>
        <v/>
      </c>
      <c r="IQ510" s="356" t="str">
        <f t="shared" si="230"/>
        <v/>
      </c>
      <c r="IR510" s="356" t="str">
        <f t="shared" si="231"/>
        <v/>
      </c>
      <c r="IS510" s="356" t="str">
        <f t="shared" si="232"/>
        <v/>
      </c>
      <c r="IT510" s="356" t="str">
        <f t="shared" si="233"/>
        <v/>
      </c>
      <c r="IU510" s="356" t="str">
        <f t="shared" si="234"/>
        <v/>
      </c>
      <c r="IV510" s="356" t="str">
        <f t="shared" si="235"/>
        <v/>
      </c>
      <c r="IW510" s="356" t="str">
        <f t="shared" si="236"/>
        <v/>
      </c>
      <c r="IX510" s="356" t="str">
        <f t="shared" si="237"/>
        <v/>
      </c>
      <c r="IY510" s="356" t="str">
        <f t="shared" si="238"/>
        <v/>
      </c>
      <c r="IZ510" s="356" t="str">
        <f t="shared" si="239"/>
        <v/>
      </c>
      <c r="JA510" s="356" t="str">
        <f t="shared" si="240"/>
        <v/>
      </c>
      <c r="JB510" s="356" t="str">
        <f t="shared" si="241"/>
        <v/>
      </c>
      <c r="JC510" s="356" t="str">
        <f t="shared" si="242"/>
        <v/>
      </c>
      <c r="JD510" s="356" t="str">
        <f t="shared" si="243"/>
        <v/>
      </c>
      <c r="JE510" s="356" t="str">
        <f t="shared" si="244"/>
        <v/>
      </c>
      <c r="JF510" s="356" t="str">
        <f t="shared" si="245"/>
        <v/>
      </c>
      <c r="JG510" s="356" t="str">
        <f t="shared" si="246"/>
        <v/>
      </c>
      <c r="JH510" s="356" t="str">
        <f t="shared" si="247"/>
        <v/>
      </c>
      <c r="JI510" s="1785" t="str">
        <f t="shared" si="248"/>
        <v/>
      </c>
      <c r="JJ510" s="1785" t="str">
        <f t="shared" si="249"/>
        <v/>
      </c>
      <c r="JK510" s="1785" t="str">
        <f t="shared" si="250"/>
        <v/>
      </c>
      <c r="JL510" s="1785" t="str">
        <f t="shared" si="251"/>
        <v/>
      </c>
      <c r="JM510" s="1785" t="str">
        <f t="shared" si="252"/>
        <v/>
      </c>
      <c r="JN510" s="1785" t="str">
        <f t="shared" si="253"/>
        <v/>
      </c>
      <c r="JO510" s="1785" t="str">
        <f t="shared" si="254"/>
        <v/>
      </c>
      <c r="JP510" s="1785" t="str">
        <f t="shared" si="255"/>
        <v/>
      </c>
      <c r="JQ510" s="1785" t="str">
        <f t="shared" si="256"/>
        <v/>
      </c>
      <c r="JR510" s="1785" t="str">
        <f t="shared" si="257"/>
        <v/>
      </c>
      <c r="JS510" s="1785" t="str">
        <f t="shared" si="258"/>
        <v/>
      </c>
      <c r="JT510" s="1785" t="str">
        <f t="shared" si="259"/>
        <v/>
      </c>
      <c r="JU510" s="1785" t="str">
        <f t="shared" si="260"/>
        <v/>
      </c>
      <c r="JV510" s="1785" t="str">
        <f t="shared" si="261"/>
        <v/>
      </c>
      <c r="JW510" s="1785" t="str">
        <f t="shared" si="262"/>
        <v/>
      </c>
      <c r="JX510" s="1785" t="str">
        <f t="shared" si="263"/>
        <v/>
      </c>
      <c r="JY510" s="1785" t="str">
        <f t="shared" si="264"/>
        <v/>
      </c>
      <c r="JZ510" s="1785" t="str">
        <f t="shared" si="265"/>
        <v/>
      </c>
      <c r="KA510" s="1785" t="str">
        <f t="shared" si="266"/>
        <v/>
      </c>
      <c r="KB510" s="1785" t="str">
        <f t="shared" si="267"/>
        <v/>
      </c>
      <c r="KC510" s="1785" t="str">
        <f t="shared" si="268"/>
        <v/>
      </c>
      <c r="KD510" s="1785" t="str">
        <f t="shared" si="269"/>
        <v/>
      </c>
      <c r="KE510" s="1785" t="str">
        <f t="shared" si="270"/>
        <v/>
      </c>
      <c r="KF510" s="1785" t="str">
        <f t="shared" si="271"/>
        <v/>
      </c>
      <c r="KG510" s="1785" t="str">
        <f t="shared" si="272"/>
        <v/>
      </c>
      <c r="KH510" s="1785" t="str">
        <f t="shared" si="273"/>
        <v/>
      </c>
      <c r="KI510" s="1785" t="str">
        <f t="shared" si="274"/>
        <v/>
      </c>
      <c r="KJ510" s="1785" t="str">
        <f t="shared" si="275"/>
        <v/>
      </c>
      <c r="KK510" s="1785" t="str">
        <f t="shared" si="276"/>
        <v/>
      </c>
      <c r="KL510" s="1785" t="str">
        <f t="shared" si="277"/>
        <v/>
      </c>
      <c r="KM510" s="1785" t="str">
        <f t="shared" si="278"/>
        <v/>
      </c>
      <c r="KN510" s="1785" t="str">
        <f t="shared" si="279"/>
        <v/>
      </c>
      <c r="KO510" s="1785" t="str">
        <f t="shared" si="280"/>
        <v/>
      </c>
      <c r="KP510" s="1785" t="str">
        <f t="shared" si="281"/>
        <v/>
      </c>
      <c r="KQ510" s="1785" t="str">
        <f t="shared" si="282"/>
        <v/>
      </c>
      <c r="KR510" s="1785" t="str">
        <f t="shared" si="283"/>
        <v/>
      </c>
      <c r="KS510" s="1785" t="str">
        <f t="shared" si="284"/>
        <v/>
      </c>
      <c r="KT510" s="1785" t="str">
        <f t="shared" si="285"/>
        <v/>
      </c>
      <c r="KU510" s="1785" t="str">
        <f t="shared" si="286"/>
        <v/>
      </c>
      <c r="KV510" s="1785" t="str">
        <f t="shared" si="287"/>
        <v/>
      </c>
      <c r="KW510" s="1785" t="str">
        <f t="shared" si="288"/>
        <v/>
      </c>
      <c r="KX510" s="1785" t="str">
        <f t="shared" si="289"/>
        <v/>
      </c>
      <c r="KY510" s="1785" t="str">
        <f t="shared" si="290"/>
        <v/>
      </c>
      <c r="KZ510" s="1785" t="str">
        <f t="shared" si="291"/>
        <v/>
      </c>
      <c r="LA510" s="1785" t="str">
        <f t="shared" si="292"/>
        <v/>
      </c>
      <c r="LB510" s="1785" t="str">
        <f t="shared" si="293"/>
        <v/>
      </c>
      <c r="LC510" s="1785" t="str">
        <f t="shared" si="294"/>
        <v/>
      </c>
      <c r="LD510" s="1785" t="str">
        <f t="shared" si="295"/>
        <v/>
      </c>
      <c r="LE510" s="1785" t="str">
        <f t="shared" si="296"/>
        <v/>
      </c>
      <c r="LF510" s="1785" t="str">
        <f t="shared" si="297"/>
        <v/>
      </c>
      <c r="LG510" s="1785" t="str">
        <f t="shared" si="298"/>
        <v/>
      </c>
      <c r="LH510" s="1785" t="str">
        <f t="shared" si="299"/>
        <v/>
      </c>
      <c r="LI510" s="1785" t="str">
        <f t="shared" si="300"/>
        <v/>
      </c>
      <c r="LJ510" s="1785" t="str">
        <f t="shared" si="301"/>
        <v/>
      </c>
      <c r="LK510" s="1785" t="str">
        <f t="shared" si="302"/>
        <v/>
      </c>
      <c r="LL510" s="1785" t="str">
        <f t="shared" si="303"/>
        <v/>
      </c>
      <c r="LM510" s="1785" t="str">
        <f t="shared" si="304"/>
        <v/>
      </c>
      <c r="LN510" s="1785" t="str">
        <f t="shared" si="305"/>
        <v/>
      </c>
      <c r="LO510" s="1785" t="str">
        <f t="shared" si="306"/>
        <v/>
      </c>
      <c r="LP510" s="1785" t="str">
        <f t="shared" si="307"/>
        <v/>
      </c>
      <c r="LQ510" s="1785" t="str">
        <f t="shared" si="308"/>
        <v/>
      </c>
      <c r="LR510" s="1785" t="str">
        <f t="shared" si="309"/>
        <v/>
      </c>
      <c r="LS510" s="1785" t="str">
        <f t="shared" si="310"/>
        <v/>
      </c>
      <c r="LT510" s="1785" t="str">
        <f t="shared" si="311"/>
        <v/>
      </c>
      <c r="LU510" s="1785" t="str">
        <f t="shared" si="312"/>
        <v/>
      </c>
      <c r="LV510" s="1785" t="str">
        <f t="shared" si="313"/>
        <v/>
      </c>
      <c r="LW510" s="1785" t="str">
        <f t="shared" si="314"/>
        <v/>
      </c>
      <c r="LX510" s="1785" t="str">
        <f t="shared" si="315"/>
        <v/>
      </c>
      <c r="LY510" s="1785" t="str">
        <f t="shared" si="316"/>
        <v/>
      </c>
      <c r="LZ510" s="1785" t="str">
        <f t="shared" si="317"/>
        <v/>
      </c>
      <c r="MA510" s="1785" t="str">
        <f t="shared" si="318"/>
        <v/>
      </c>
      <c r="MB510" s="1785" t="str">
        <f t="shared" si="319"/>
        <v/>
      </c>
      <c r="MC510" s="1785" t="str">
        <f t="shared" si="320"/>
        <v/>
      </c>
      <c r="MD510" s="1785" t="str">
        <f t="shared" si="321"/>
        <v/>
      </c>
      <c r="ME510" s="1785" t="str">
        <f t="shared" si="322"/>
        <v/>
      </c>
      <c r="MF510" s="1785" t="str">
        <f t="shared" si="323"/>
        <v/>
      </c>
      <c r="MG510" s="1785" t="str">
        <f t="shared" si="324"/>
        <v/>
      </c>
      <c r="MH510" s="1785" t="str">
        <f t="shared" si="325"/>
        <v/>
      </c>
      <c r="MI510" s="1785" t="str">
        <f t="shared" si="326"/>
        <v/>
      </c>
      <c r="MJ510" s="1785" t="str">
        <f t="shared" si="327"/>
        <v/>
      </c>
      <c r="MK510" s="1785" t="str">
        <f t="shared" si="328"/>
        <v/>
      </c>
      <c r="ML510" s="1785" t="str">
        <f t="shared" si="329"/>
        <v/>
      </c>
      <c r="MM510" s="1785" t="str">
        <f t="shared" si="330"/>
        <v/>
      </c>
      <c r="MN510" s="1785" t="str">
        <f t="shared" si="331"/>
        <v/>
      </c>
      <c r="MO510" s="1785" t="str">
        <f t="shared" si="332"/>
        <v/>
      </c>
      <c r="MP510" s="2470" t="str">
        <f t="shared" si="333"/>
        <v/>
      </c>
      <c r="MQ510" s="2470" t="str">
        <f t="shared" si="334"/>
        <v/>
      </c>
      <c r="MR510" s="2470" t="str">
        <f t="shared" si="335"/>
        <v/>
      </c>
      <c r="MS510" s="2470" t="str">
        <f t="shared" si="336"/>
        <v/>
      </c>
      <c r="MT510" s="2470" t="str">
        <f t="shared" si="337"/>
        <v/>
      </c>
      <c r="MU510" s="356" t="str">
        <f t="shared" si="338"/>
        <v/>
      </c>
      <c r="MV510" s="356" t="str">
        <f t="shared" si="339"/>
        <v/>
      </c>
      <c r="MW510" s="356" t="str">
        <f t="shared" si="340"/>
        <v/>
      </c>
      <c r="MX510" s="356" t="str">
        <f t="shared" si="341"/>
        <v/>
      </c>
      <c r="MY510" s="356" t="str">
        <f t="shared" si="342"/>
        <v/>
      </c>
      <c r="MZ510" s="356" t="str">
        <f t="shared" si="343"/>
        <v/>
      </c>
      <c r="NA510" s="356" t="str">
        <f t="shared" si="344"/>
        <v/>
      </c>
      <c r="NB510" s="356" t="str">
        <f t="shared" si="345"/>
        <v/>
      </c>
      <c r="NC510" s="356" t="str">
        <f t="shared" si="346"/>
        <v/>
      </c>
      <c r="ND510" s="356" t="str">
        <f t="shared" si="347"/>
        <v/>
      </c>
      <c r="NE510" s="356" t="str">
        <f t="shared" si="348"/>
        <v/>
      </c>
      <c r="NF510" s="356" t="str">
        <f t="shared" si="349"/>
        <v/>
      </c>
      <c r="NG510" s="356" t="str">
        <f t="shared" si="350"/>
        <v/>
      </c>
      <c r="NH510" s="356" t="str">
        <f t="shared" si="351"/>
        <v/>
      </c>
      <c r="NI510" s="356" t="str">
        <f t="shared" si="352"/>
        <v/>
      </c>
      <c r="NJ510" s="356" t="str">
        <f t="shared" si="353"/>
        <v/>
      </c>
      <c r="NK510" s="356" t="str">
        <f t="shared" si="354"/>
        <v/>
      </c>
      <c r="NL510" s="356" t="str">
        <f t="shared" si="355"/>
        <v/>
      </c>
      <c r="NM510" s="356" t="str">
        <f t="shared" si="356"/>
        <v/>
      </c>
      <c r="NN510" s="356" t="str">
        <f t="shared" si="357"/>
        <v/>
      </c>
      <c r="NO510" s="1640">
        <f t="shared" si="358"/>
        <v>0</v>
      </c>
      <c r="NP510" s="1640">
        <f t="shared" si="359"/>
        <v>0</v>
      </c>
      <c r="NQ510" s="1640">
        <f t="shared" si="360"/>
        <v>0</v>
      </c>
      <c r="NR510" s="1640">
        <f t="shared" si="361"/>
        <v>0</v>
      </c>
      <c r="NS510" s="1640">
        <f t="shared" si="362"/>
        <v>0</v>
      </c>
      <c r="NT510" s="1640">
        <f t="shared" si="368"/>
        <v>0</v>
      </c>
      <c r="NU510" s="1640">
        <f t="shared" si="369"/>
        <v>0</v>
      </c>
      <c r="NV510" s="1640">
        <f t="shared" si="370"/>
        <v>0</v>
      </c>
      <c r="NW510" s="1640">
        <f t="shared" si="371"/>
        <v>0</v>
      </c>
      <c r="NX510" s="1640">
        <f t="shared" si="372"/>
        <v>0</v>
      </c>
      <c r="NY510" s="1640">
        <f t="shared" si="363"/>
        <v>0</v>
      </c>
      <c r="NZ510" s="1640">
        <f t="shared" si="364"/>
        <v>0</v>
      </c>
      <c r="OA510" s="1640">
        <f t="shared" si="365"/>
        <v>0</v>
      </c>
      <c r="OB510" s="1640">
        <f t="shared" si="366"/>
        <v>0</v>
      </c>
      <c r="OC510" s="1640">
        <f t="shared" si="367"/>
        <v>0</v>
      </c>
      <c r="OY510" s="356" t="s">
        <v>4334</v>
      </c>
      <c r="OZ510" s="1784">
        <v>53</v>
      </c>
    </row>
    <row r="511" spans="1:416" ht="12.75" customHeight="1">
      <c r="A511" s="2706">
        <f>COUNT(A464,A465,A466,A467,A468,A469,A470,A471,A472,A473,A474,A475,A476,A477,A478,A479,A480,A481,A482,A483,A484,A485,A486,A487,A488,A489,A490,A491,A492,A493,A494,A495,A496,A497,A498,A499,A500,A501,A502,A503,A504,A505,A506,A507,A508,A509,A510)</f>
        <v>0</v>
      </c>
      <c r="B511" s="2733" t="s">
        <v>3646</v>
      </c>
      <c r="C511" s="2733"/>
      <c r="D511" s="2734" t="s">
        <v>953</v>
      </c>
      <c r="E511" s="2735">
        <f>SUM(E464:E510)</f>
        <v>160</v>
      </c>
      <c r="F511" s="2736">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144560</v>
      </c>
      <c r="H511" s="2737" t="s">
        <v>3643</v>
      </c>
      <c r="I511" s="2738" t="s">
        <v>3644</v>
      </c>
      <c r="J511" s="2739" t="e">
        <f>IF(P518=0,"",IF(SUM(#REF!)/P518&gt;=0.4,"Pass","Fail"))</f>
        <v>#REF!</v>
      </c>
      <c r="K511" s="362"/>
      <c r="L511" s="2740" t="s">
        <v>1223</v>
      </c>
      <c r="M511" s="2741">
        <f>SUM(M464:M510)</f>
        <v>218852</v>
      </c>
      <c r="N511" s="358"/>
      <c r="O511" s="358"/>
      <c r="P511" s="358"/>
      <c r="Q511" s="358"/>
      <c r="R511" s="358"/>
      <c r="S511" s="358"/>
      <c r="T511" s="358"/>
      <c r="U511" s="358"/>
      <c r="V511" s="2714"/>
      <c r="W511" s="1641"/>
      <c r="X511" s="1641">
        <f t="shared" ref="X511:GJ511" si="373">SUM(X464:X510)</f>
        <v>0</v>
      </c>
      <c r="Y511" s="1641">
        <f t="shared" si="373"/>
        <v>8</v>
      </c>
      <c r="Z511" s="1641">
        <f t="shared" si="373"/>
        <v>24</v>
      </c>
      <c r="AA511" s="1641">
        <f t="shared" si="373"/>
        <v>0</v>
      </c>
      <c r="AB511" s="1641">
        <f t="shared" si="373"/>
        <v>0</v>
      </c>
      <c r="AC511" s="1641">
        <f t="shared" si="373"/>
        <v>0</v>
      </c>
      <c r="AD511" s="1641">
        <f t="shared" si="373"/>
        <v>0</v>
      </c>
      <c r="AE511" s="1641">
        <f t="shared" si="373"/>
        <v>0</v>
      </c>
      <c r="AF511" s="1641">
        <f t="shared" si="373"/>
        <v>0</v>
      </c>
      <c r="AG511" s="1641">
        <f t="shared" si="373"/>
        <v>0</v>
      </c>
      <c r="AH511" s="1641">
        <f t="shared" si="373"/>
        <v>0</v>
      </c>
      <c r="AI511" s="1641">
        <f t="shared" si="373"/>
        <v>24</v>
      </c>
      <c r="AJ511" s="1641">
        <f t="shared" si="373"/>
        <v>72</v>
      </c>
      <c r="AK511" s="1641">
        <f t="shared" si="373"/>
        <v>0</v>
      </c>
      <c r="AL511" s="1641">
        <f t="shared" si="373"/>
        <v>0</v>
      </c>
      <c r="AM511" s="1641">
        <f>SUM(AM464:AM510)</f>
        <v>0</v>
      </c>
      <c r="AN511" s="1641">
        <f>SUM(AN464:AN510)</f>
        <v>4</v>
      </c>
      <c r="AO511" s="1641">
        <f>SUM(AO464:AO510)</f>
        <v>12</v>
      </c>
      <c r="AP511" s="1641">
        <f>SUM(AP464:AP510)</f>
        <v>0</v>
      </c>
      <c r="AQ511" s="1641">
        <f>SUM(AQ464:AQ510)</f>
        <v>0</v>
      </c>
      <c r="AR511" s="1641">
        <f t="shared" si="373"/>
        <v>0</v>
      </c>
      <c r="AS511" s="1641">
        <f t="shared" si="373"/>
        <v>0</v>
      </c>
      <c r="AT511" s="1641">
        <f t="shared" si="373"/>
        <v>0</v>
      </c>
      <c r="AU511" s="1641">
        <f t="shared" si="373"/>
        <v>0</v>
      </c>
      <c r="AV511" s="1641">
        <f t="shared" si="373"/>
        <v>0</v>
      </c>
      <c r="AW511" s="1641">
        <f t="shared" si="373"/>
        <v>0</v>
      </c>
      <c r="AX511" s="1641">
        <f t="shared" si="373"/>
        <v>4</v>
      </c>
      <c r="AY511" s="1641">
        <f t="shared" si="373"/>
        <v>12</v>
      </c>
      <c r="AZ511" s="1641">
        <f t="shared" si="373"/>
        <v>0</v>
      </c>
      <c r="BA511" s="1641">
        <f t="shared" si="373"/>
        <v>0</v>
      </c>
      <c r="BB511" s="1641">
        <f>SUM(BB464:BB510)</f>
        <v>0</v>
      </c>
      <c r="BC511" s="1641">
        <f>SUM(BC464:BC510)</f>
        <v>0</v>
      </c>
      <c r="BD511" s="1641">
        <f>SUM(BD464:BD510)</f>
        <v>0</v>
      </c>
      <c r="BE511" s="1641">
        <f>SUM(BE464:BE510)</f>
        <v>0</v>
      </c>
      <c r="BF511" s="1641">
        <f>SUM(BF464:BF510)</f>
        <v>0</v>
      </c>
      <c r="BG511" s="1641">
        <f t="shared" si="373"/>
        <v>0</v>
      </c>
      <c r="BH511" s="1641">
        <f t="shared" si="373"/>
        <v>0</v>
      </c>
      <c r="BI511" s="1641">
        <f t="shared" si="373"/>
        <v>0</v>
      </c>
      <c r="BJ511" s="1641">
        <f t="shared" si="373"/>
        <v>0</v>
      </c>
      <c r="BK511" s="1641">
        <f t="shared" si="373"/>
        <v>0</v>
      </c>
      <c r="BL511" s="1641">
        <f>SUM(BL464:BL510)</f>
        <v>0</v>
      </c>
      <c r="BM511" s="1641">
        <f>SUM(BM464:BM510)</f>
        <v>0</v>
      </c>
      <c r="BN511" s="1641">
        <f>SUM(BN464:BN510)</f>
        <v>0</v>
      </c>
      <c r="BO511" s="1641">
        <f>SUM(BO464:BO510)</f>
        <v>0</v>
      </c>
      <c r="BP511" s="1641">
        <f>SUM(BP464:BP510)</f>
        <v>0</v>
      </c>
      <c r="BQ511" s="1641">
        <f t="shared" si="373"/>
        <v>0</v>
      </c>
      <c r="BR511" s="1641">
        <f t="shared" si="373"/>
        <v>4</v>
      </c>
      <c r="BS511" s="1641">
        <f t="shared" si="373"/>
        <v>12</v>
      </c>
      <c r="BT511" s="1641">
        <f t="shared" si="373"/>
        <v>0</v>
      </c>
      <c r="BU511" s="1641">
        <f t="shared" si="373"/>
        <v>0</v>
      </c>
      <c r="BV511" s="1641">
        <f>SUM(BV464:BV510)</f>
        <v>0</v>
      </c>
      <c r="BW511" s="1641">
        <f>SUM(BW464:BW510)</f>
        <v>0</v>
      </c>
      <c r="BX511" s="1641">
        <f>SUM(BX464:BX510)</f>
        <v>0</v>
      </c>
      <c r="BY511" s="1641">
        <f>SUM(BY464:BY510)</f>
        <v>0</v>
      </c>
      <c r="BZ511" s="1641">
        <f>SUM(BZ464:BZ510)</f>
        <v>0</v>
      </c>
      <c r="CA511" s="1641">
        <f t="shared" si="373"/>
        <v>0</v>
      </c>
      <c r="CB511" s="1641">
        <f t="shared" si="373"/>
        <v>0</v>
      </c>
      <c r="CC511" s="1641">
        <f t="shared" si="373"/>
        <v>0</v>
      </c>
      <c r="CD511" s="1641">
        <f t="shared" si="373"/>
        <v>0</v>
      </c>
      <c r="CE511" s="1641">
        <f t="shared" si="373"/>
        <v>0</v>
      </c>
      <c r="CF511" s="1641">
        <f t="shared" si="373"/>
        <v>0</v>
      </c>
      <c r="CG511" s="1641">
        <f t="shared" si="373"/>
        <v>0</v>
      </c>
      <c r="CH511" s="1641">
        <f t="shared" si="373"/>
        <v>0</v>
      </c>
      <c r="CI511" s="1641">
        <f t="shared" si="373"/>
        <v>0</v>
      </c>
      <c r="CJ511" s="1641">
        <f t="shared" si="373"/>
        <v>0</v>
      </c>
      <c r="CK511" s="1641">
        <f>SUM(CK464:CK510)</f>
        <v>0</v>
      </c>
      <c r="CL511" s="1641">
        <f>SUM(CL464:CL510)</f>
        <v>0</v>
      </c>
      <c r="CM511" s="1641">
        <f>SUM(CM464:CM510)</f>
        <v>0</v>
      </c>
      <c r="CN511" s="1641">
        <f>SUM(CN464:CN510)</f>
        <v>0</v>
      </c>
      <c r="CO511" s="1641">
        <f>SUM(CO464:CO510)</f>
        <v>0</v>
      </c>
      <c r="CP511" s="1641">
        <f t="shared" ref="CP511:CY511" si="374">SUM(CP464:CP510)</f>
        <v>0</v>
      </c>
      <c r="CQ511" s="1641">
        <f t="shared" si="374"/>
        <v>8</v>
      </c>
      <c r="CR511" s="1641">
        <f t="shared" si="374"/>
        <v>24</v>
      </c>
      <c r="CS511" s="1641">
        <f t="shared" si="374"/>
        <v>0</v>
      </c>
      <c r="CT511" s="1641">
        <f t="shared" si="374"/>
        <v>0</v>
      </c>
      <c r="CU511" s="1641">
        <f t="shared" si="374"/>
        <v>0</v>
      </c>
      <c r="CV511" s="1641">
        <f t="shared" si="374"/>
        <v>0</v>
      </c>
      <c r="CW511" s="1641">
        <f t="shared" si="374"/>
        <v>0</v>
      </c>
      <c r="CX511" s="1641">
        <f t="shared" si="374"/>
        <v>0</v>
      </c>
      <c r="CY511" s="1641">
        <f t="shared" si="374"/>
        <v>0</v>
      </c>
      <c r="CZ511" s="1641">
        <f t="shared" si="373"/>
        <v>0</v>
      </c>
      <c r="DA511" s="1641">
        <f t="shared" si="373"/>
        <v>0</v>
      </c>
      <c r="DB511" s="1641">
        <f t="shared" si="373"/>
        <v>0</v>
      </c>
      <c r="DC511" s="1641">
        <f t="shared" si="373"/>
        <v>0</v>
      </c>
      <c r="DD511" s="1641">
        <f t="shared" si="373"/>
        <v>0</v>
      </c>
      <c r="DE511" s="1641">
        <f t="shared" si="373"/>
        <v>0</v>
      </c>
      <c r="DF511" s="1641">
        <f t="shared" si="373"/>
        <v>0</v>
      </c>
      <c r="DG511" s="1641">
        <f t="shared" si="373"/>
        <v>0</v>
      </c>
      <c r="DH511" s="1641">
        <f t="shared" si="373"/>
        <v>0</v>
      </c>
      <c r="DI511" s="1641">
        <f t="shared" si="373"/>
        <v>0</v>
      </c>
      <c r="DJ511" s="1641">
        <f t="shared" si="373"/>
        <v>0</v>
      </c>
      <c r="DK511" s="1641">
        <f t="shared" si="373"/>
        <v>0</v>
      </c>
      <c r="DL511" s="1641">
        <f t="shared" si="373"/>
        <v>0</v>
      </c>
      <c r="DM511" s="1641">
        <f t="shared" si="373"/>
        <v>0</v>
      </c>
      <c r="DN511" s="1641">
        <f t="shared" si="373"/>
        <v>0</v>
      </c>
      <c r="DO511" s="1641">
        <f t="shared" si="373"/>
        <v>0</v>
      </c>
      <c r="DP511" s="1641">
        <f t="shared" si="373"/>
        <v>0</v>
      </c>
      <c r="DQ511" s="1641">
        <f t="shared" si="373"/>
        <v>0</v>
      </c>
      <c r="DR511" s="1641">
        <f t="shared" si="373"/>
        <v>0</v>
      </c>
      <c r="DS511" s="1641">
        <f t="shared" si="373"/>
        <v>0</v>
      </c>
      <c r="DT511" s="1641">
        <f t="shared" si="373"/>
        <v>0</v>
      </c>
      <c r="DU511" s="1641">
        <f t="shared" si="373"/>
        <v>0</v>
      </c>
      <c r="DV511" s="1641">
        <f t="shared" si="373"/>
        <v>0</v>
      </c>
      <c r="DW511" s="1641">
        <f t="shared" si="373"/>
        <v>0</v>
      </c>
      <c r="DX511" s="1641">
        <f t="shared" si="373"/>
        <v>0</v>
      </c>
      <c r="DY511" s="1641">
        <f t="shared" si="373"/>
        <v>0</v>
      </c>
      <c r="DZ511" s="1641">
        <f t="shared" si="373"/>
        <v>0</v>
      </c>
      <c r="EA511" s="1641">
        <f t="shared" si="373"/>
        <v>0</v>
      </c>
      <c r="EB511" s="1641">
        <f t="shared" si="373"/>
        <v>0</v>
      </c>
      <c r="EC511" s="1641">
        <f t="shared" si="373"/>
        <v>0</v>
      </c>
      <c r="ED511" s="1641">
        <f t="shared" si="373"/>
        <v>0</v>
      </c>
      <c r="EE511" s="1641">
        <f t="shared" si="373"/>
        <v>0</v>
      </c>
      <c r="EF511" s="1641">
        <f t="shared" si="373"/>
        <v>0</v>
      </c>
      <c r="EG511" s="1641">
        <f t="shared" si="373"/>
        <v>0</v>
      </c>
      <c r="EH511" s="1641">
        <f t="shared" si="373"/>
        <v>0</v>
      </c>
      <c r="EI511" s="1641">
        <f t="shared" si="373"/>
        <v>0</v>
      </c>
      <c r="EJ511" s="1641">
        <f t="shared" si="373"/>
        <v>0</v>
      </c>
      <c r="EK511" s="1641">
        <f t="shared" si="373"/>
        <v>0</v>
      </c>
      <c r="EL511" s="1641">
        <f t="shared" si="373"/>
        <v>0</v>
      </c>
      <c r="EM511" s="1641">
        <f t="shared" si="373"/>
        <v>0</v>
      </c>
      <c r="EN511" s="1641">
        <f t="shared" si="373"/>
        <v>0</v>
      </c>
      <c r="EO511" s="1641">
        <f t="shared" si="373"/>
        <v>0</v>
      </c>
      <c r="EP511" s="1641">
        <f t="shared" si="373"/>
        <v>0</v>
      </c>
      <c r="EQ511" s="1641">
        <f t="shared" si="373"/>
        <v>0</v>
      </c>
      <c r="ER511" s="1641">
        <f t="shared" si="373"/>
        <v>0</v>
      </c>
      <c r="ES511" s="1641">
        <f t="shared" si="373"/>
        <v>0</v>
      </c>
      <c r="ET511" s="1641">
        <f t="shared" si="373"/>
        <v>0</v>
      </c>
      <c r="EU511" s="1641">
        <f t="shared" si="373"/>
        <v>0</v>
      </c>
      <c r="EV511" s="1641">
        <f t="shared" si="373"/>
        <v>0</v>
      </c>
      <c r="EW511" s="1641">
        <f t="shared" si="373"/>
        <v>0</v>
      </c>
      <c r="EX511" s="1641">
        <f t="shared" si="373"/>
        <v>0</v>
      </c>
      <c r="EY511" s="1641">
        <f t="shared" si="373"/>
        <v>0</v>
      </c>
      <c r="EZ511" s="1641">
        <f t="shared" si="373"/>
        <v>0</v>
      </c>
      <c r="FA511" s="1641">
        <f t="shared" si="373"/>
        <v>0</v>
      </c>
      <c r="FB511" s="1641">
        <f t="shared" si="373"/>
        <v>0</v>
      </c>
      <c r="FC511" s="1641">
        <f t="shared" si="373"/>
        <v>0</v>
      </c>
      <c r="FD511" s="1641">
        <f t="shared" si="373"/>
        <v>0</v>
      </c>
      <c r="FE511" s="1641">
        <f t="shared" si="373"/>
        <v>0</v>
      </c>
      <c r="FF511" s="1641">
        <f t="shared" si="373"/>
        <v>0</v>
      </c>
      <c r="FG511" s="1641">
        <f t="shared" si="373"/>
        <v>0</v>
      </c>
      <c r="FH511" s="1641">
        <f t="shared" si="373"/>
        <v>0</v>
      </c>
      <c r="FI511" s="1641">
        <f t="shared" si="373"/>
        <v>0</v>
      </c>
      <c r="FJ511" s="1641">
        <f t="shared" si="373"/>
        <v>0</v>
      </c>
      <c r="FK511" s="1641">
        <f t="shared" si="373"/>
        <v>0</v>
      </c>
      <c r="FL511" s="1641">
        <f t="shared" si="373"/>
        <v>0</v>
      </c>
      <c r="FM511" s="1641">
        <f t="shared" si="373"/>
        <v>0</v>
      </c>
      <c r="FN511" s="1641">
        <f t="shared" si="373"/>
        <v>0</v>
      </c>
      <c r="FO511" s="1641">
        <f t="shared" si="373"/>
        <v>0</v>
      </c>
      <c r="FP511" s="1641">
        <f t="shared" si="373"/>
        <v>0</v>
      </c>
      <c r="FQ511" s="1641">
        <f t="shared" si="373"/>
        <v>0</v>
      </c>
      <c r="FR511" s="1641">
        <f t="shared" si="373"/>
        <v>0</v>
      </c>
      <c r="FS511" s="1641">
        <f t="shared" si="373"/>
        <v>5608</v>
      </c>
      <c r="FT511" s="1641">
        <f t="shared" si="373"/>
        <v>23304</v>
      </c>
      <c r="FU511" s="1641">
        <f t="shared" si="373"/>
        <v>0</v>
      </c>
      <c r="FV511" s="1641">
        <f t="shared" si="373"/>
        <v>0</v>
      </c>
      <c r="FW511" s="1641">
        <f t="shared" si="373"/>
        <v>0</v>
      </c>
      <c r="FX511" s="1641">
        <f t="shared" si="373"/>
        <v>0</v>
      </c>
      <c r="FY511" s="1641">
        <f t="shared" si="373"/>
        <v>0</v>
      </c>
      <c r="FZ511" s="1641">
        <f t="shared" si="373"/>
        <v>0</v>
      </c>
      <c r="GA511" s="1641">
        <f t="shared" si="373"/>
        <v>0</v>
      </c>
      <c r="GB511" s="1641">
        <f t="shared" si="373"/>
        <v>0</v>
      </c>
      <c r="GC511" s="1641">
        <f t="shared" si="373"/>
        <v>16824</v>
      </c>
      <c r="GD511" s="1641">
        <f t="shared" si="373"/>
        <v>69912</v>
      </c>
      <c r="GE511" s="1641">
        <f t="shared" si="373"/>
        <v>0</v>
      </c>
      <c r="GF511" s="1641">
        <f t="shared" si="373"/>
        <v>0</v>
      </c>
      <c r="GG511" s="1641">
        <f t="shared" si="373"/>
        <v>0</v>
      </c>
      <c r="GH511" s="1641">
        <f t="shared" si="373"/>
        <v>2804</v>
      </c>
      <c r="GI511" s="1641">
        <f t="shared" si="373"/>
        <v>11652</v>
      </c>
      <c r="GJ511" s="1641">
        <f t="shared" si="373"/>
        <v>0</v>
      </c>
      <c r="GK511" s="1641">
        <f t="shared" ref="GK511:JF511" si="375">SUM(GK464:GK510)</f>
        <v>0</v>
      </c>
      <c r="GL511" s="1641">
        <f>SUM(GL464:GL510)</f>
        <v>0</v>
      </c>
      <c r="GM511" s="1641">
        <f>SUM(GM464:GM510)</f>
        <v>0</v>
      </c>
      <c r="GN511" s="1641">
        <f>SUM(GN464:GN510)</f>
        <v>0</v>
      </c>
      <c r="GO511" s="1641">
        <f>SUM(GO464:GO510)</f>
        <v>0</v>
      </c>
      <c r="GP511" s="1641">
        <f>SUM(GP464:GP510)</f>
        <v>0</v>
      </c>
      <c r="GQ511" s="1641">
        <f t="shared" si="375"/>
        <v>0</v>
      </c>
      <c r="GR511" s="1641">
        <f t="shared" si="375"/>
        <v>2804</v>
      </c>
      <c r="GS511" s="1641">
        <f t="shared" si="375"/>
        <v>11652</v>
      </c>
      <c r="GT511" s="1641">
        <f t="shared" si="375"/>
        <v>0</v>
      </c>
      <c r="GU511" s="1641">
        <f t="shared" si="375"/>
        <v>0</v>
      </c>
      <c r="GV511" s="1641">
        <f>SUM(GV464:GV510)</f>
        <v>0</v>
      </c>
      <c r="GW511" s="1641">
        <f>SUM(GW464:GW510)</f>
        <v>0</v>
      </c>
      <c r="GX511" s="1641">
        <f>SUM(GX464:GX510)</f>
        <v>0</v>
      </c>
      <c r="GY511" s="1641">
        <f>SUM(GY464:GY510)</f>
        <v>0</v>
      </c>
      <c r="GZ511" s="1641">
        <f>SUM(GZ464:GZ510)</f>
        <v>0</v>
      </c>
      <c r="HA511" s="1641">
        <f t="shared" si="375"/>
        <v>0</v>
      </c>
      <c r="HB511" s="1641">
        <f t="shared" si="375"/>
        <v>0</v>
      </c>
      <c r="HC511" s="1641">
        <f t="shared" si="375"/>
        <v>0</v>
      </c>
      <c r="HD511" s="1641">
        <f t="shared" si="375"/>
        <v>0</v>
      </c>
      <c r="HE511" s="1641">
        <f t="shared" si="375"/>
        <v>0</v>
      </c>
      <c r="HF511" s="1641">
        <f t="shared" si="375"/>
        <v>0</v>
      </c>
      <c r="HG511" s="1641">
        <f t="shared" si="375"/>
        <v>2804</v>
      </c>
      <c r="HH511" s="1641">
        <f t="shared" si="375"/>
        <v>11652</v>
      </c>
      <c r="HI511" s="1641">
        <f t="shared" si="375"/>
        <v>0</v>
      </c>
      <c r="HJ511" s="1641">
        <f t="shared" si="375"/>
        <v>0</v>
      </c>
      <c r="HK511" s="1641">
        <f t="shared" si="375"/>
        <v>0</v>
      </c>
      <c r="HL511" s="1641">
        <f t="shared" si="375"/>
        <v>0</v>
      </c>
      <c r="HM511" s="1641">
        <f t="shared" si="375"/>
        <v>0</v>
      </c>
      <c r="HN511" s="1641">
        <f t="shared" si="375"/>
        <v>0</v>
      </c>
      <c r="HO511" s="1641">
        <f t="shared" si="375"/>
        <v>0</v>
      </c>
      <c r="HP511" s="1641">
        <f t="shared" si="375"/>
        <v>0</v>
      </c>
      <c r="HQ511" s="1641">
        <f t="shared" si="375"/>
        <v>0</v>
      </c>
      <c r="HR511" s="1641">
        <f t="shared" si="375"/>
        <v>0</v>
      </c>
      <c r="HS511" s="1641">
        <f t="shared" si="375"/>
        <v>0</v>
      </c>
      <c r="HT511" s="1641">
        <f t="shared" si="375"/>
        <v>0</v>
      </c>
      <c r="HU511" s="1641">
        <f t="shared" si="375"/>
        <v>0</v>
      </c>
      <c r="HV511" s="1641">
        <f t="shared" si="375"/>
        <v>0</v>
      </c>
      <c r="HW511" s="1641">
        <f t="shared" si="375"/>
        <v>0</v>
      </c>
      <c r="HX511" s="1641">
        <f t="shared" si="375"/>
        <v>0</v>
      </c>
      <c r="HY511" s="1641">
        <f t="shared" si="375"/>
        <v>0</v>
      </c>
      <c r="HZ511" s="1641">
        <f t="shared" si="375"/>
        <v>0</v>
      </c>
      <c r="IA511" s="1641">
        <f t="shared" si="375"/>
        <v>0</v>
      </c>
      <c r="IB511" s="1641">
        <f t="shared" si="375"/>
        <v>0</v>
      </c>
      <c r="IC511" s="1641">
        <f t="shared" si="375"/>
        <v>0</v>
      </c>
      <c r="ID511" s="1641">
        <f t="shared" si="375"/>
        <v>0</v>
      </c>
      <c r="IE511" s="1641">
        <f t="shared" si="375"/>
        <v>0</v>
      </c>
      <c r="IF511" s="1641">
        <f t="shared" si="375"/>
        <v>0</v>
      </c>
      <c r="IG511" s="1641">
        <f t="shared" si="375"/>
        <v>0</v>
      </c>
      <c r="IH511" s="1641">
        <f t="shared" si="375"/>
        <v>0</v>
      </c>
      <c r="II511" s="1641">
        <f t="shared" si="375"/>
        <v>0</v>
      </c>
      <c r="IJ511" s="1641">
        <f t="shared" si="375"/>
        <v>0</v>
      </c>
      <c r="IK511" s="1641">
        <f t="shared" si="375"/>
        <v>0</v>
      </c>
      <c r="IL511" s="1641">
        <f t="shared" si="375"/>
        <v>0</v>
      </c>
      <c r="IM511" s="1641">
        <f t="shared" si="375"/>
        <v>0</v>
      </c>
      <c r="IN511" s="1641">
        <f t="shared" si="375"/>
        <v>0</v>
      </c>
      <c r="IO511" s="1641">
        <f t="shared" si="375"/>
        <v>0</v>
      </c>
      <c r="IP511" s="1641">
        <f t="shared" si="375"/>
        <v>0</v>
      </c>
      <c r="IQ511" s="1641">
        <f t="shared" si="375"/>
        <v>0</v>
      </c>
      <c r="IR511" s="1641">
        <f t="shared" si="375"/>
        <v>0</v>
      </c>
      <c r="IS511" s="1641">
        <f t="shared" si="375"/>
        <v>0</v>
      </c>
      <c r="IT511" s="1641">
        <f t="shared" si="375"/>
        <v>0</v>
      </c>
      <c r="IU511" s="1641">
        <f t="shared" si="375"/>
        <v>40</v>
      </c>
      <c r="IV511" s="1641">
        <f t="shared" si="375"/>
        <v>120</v>
      </c>
      <c r="IW511" s="1641">
        <f t="shared" si="375"/>
        <v>0</v>
      </c>
      <c r="IX511" s="1641">
        <f t="shared" si="375"/>
        <v>0</v>
      </c>
      <c r="IY511" s="1641">
        <f t="shared" si="375"/>
        <v>0</v>
      </c>
      <c r="IZ511" s="1641">
        <f t="shared" si="375"/>
        <v>0</v>
      </c>
      <c r="JA511" s="1641">
        <f t="shared" si="375"/>
        <v>0</v>
      </c>
      <c r="JB511" s="1641">
        <f t="shared" si="375"/>
        <v>0</v>
      </c>
      <c r="JC511" s="1641">
        <f t="shared" si="375"/>
        <v>0</v>
      </c>
      <c r="JD511" s="1641">
        <f t="shared" si="375"/>
        <v>0</v>
      </c>
      <c r="JE511" s="1641">
        <f t="shared" si="375"/>
        <v>0</v>
      </c>
      <c r="JF511" s="1641">
        <f t="shared" si="375"/>
        <v>0</v>
      </c>
      <c r="JG511" s="1641">
        <f t="shared" ref="JG511:LP511" si="376">SUM(JG464:JG510)</f>
        <v>0</v>
      </c>
      <c r="JH511" s="1641">
        <f t="shared" si="376"/>
        <v>0</v>
      </c>
      <c r="JI511" s="1641">
        <f t="shared" si="376"/>
        <v>0</v>
      </c>
      <c r="JJ511" s="1641">
        <f t="shared" si="376"/>
        <v>40</v>
      </c>
      <c r="JK511" s="1641">
        <f t="shared" si="376"/>
        <v>120</v>
      </c>
      <c r="JL511" s="1641">
        <f t="shared" si="376"/>
        <v>0</v>
      </c>
      <c r="JM511" s="1641">
        <f t="shared" si="376"/>
        <v>0</v>
      </c>
      <c r="JN511" s="1641">
        <f t="shared" si="376"/>
        <v>0</v>
      </c>
      <c r="JO511" s="1641">
        <f t="shared" si="376"/>
        <v>0</v>
      </c>
      <c r="JP511" s="1641">
        <f t="shared" si="376"/>
        <v>0</v>
      </c>
      <c r="JQ511" s="1641">
        <f t="shared" si="376"/>
        <v>0</v>
      </c>
      <c r="JR511" s="1641">
        <f t="shared" si="376"/>
        <v>0</v>
      </c>
      <c r="JS511" s="1641">
        <f t="shared" si="376"/>
        <v>0</v>
      </c>
      <c r="JT511" s="1641">
        <f t="shared" si="376"/>
        <v>0</v>
      </c>
      <c r="JU511" s="1641">
        <f t="shared" si="376"/>
        <v>0</v>
      </c>
      <c r="JV511" s="1641">
        <f t="shared" si="376"/>
        <v>0</v>
      </c>
      <c r="JW511" s="1641">
        <f t="shared" si="376"/>
        <v>0</v>
      </c>
      <c r="JX511" s="1641">
        <f t="shared" si="376"/>
        <v>0</v>
      </c>
      <c r="JY511" s="1641">
        <f t="shared" si="376"/>
        <v>0</v>
      </c>
      <c r="JZ511" s="1641">
        <f t="shared" si="376"/>
        <v>0</v>
      </c>
      <c r="KA511" s="1641">
        <f t="shared" si="376"/>
        <v>0</v>
      </c>
      <c r="KB511" s="1641">
        <f t="shared" si="376"/>
        <v>0</v>
      </c>
      <c r="KC511" s="1641">
        <f t="shared" si="376"/>
        <v>0</v>
      </c>
      <c r="KD511" s="1641">
        <f t="shared" si="376"/>
        <v>0</v>
      </c>
      <c r="KE511" s="1641">
        <f t="shared" si="376"/>
        <v>0</v>
      </c>
      <c r="KF511" s="1641">
        <f t="shared" si="376"/>
        <v>0</v>
      </c>
      <c r="KG511" s="1641">
        <f t="shared" si="376"/>
        <v>0</v>
      </c>
      <c r="KH511" s="1641">
        <f t="shared" si="376"/>
        <v>0</v>
      </c>
      <c r="KI511" s="1641">
        <f t="shared" si="376"/>
        <v>0</v>
      </c>
      <c r="KJ511" s="1641">
        <f t="shared" si="376"/>
        <v>0</v>
      </c>
      <c r="KK511" s="1641">
        <f t="shared" si="376"/>
        <v>0</v>
      </c>
      <c r="KL511" s="1641">
        <f t="shared" si="376"/>
        <v>0</v>
      </c>
      <c r="KM511" s="1641">
        <f t="shared" si="376"/>
        <v>0</v>
      </c>
      <c r="KN511" s="1641">
        <f t="shared" si="376"/>
        <v>0</v>
      </c>
      <c r="KO511" s="1641">
        <f t="shared" si="376"/>
        <v>0</v>
      </c>
      <c r="KP511" s="1641">
        <f t="shared" si="376"/>
        <v>0</v>
      </c>
      <c r="KQ511" s="1641">
        <f t="shared" si="376"/>
        <v>0</v>
      </c>
      <c r="KR511" s="1641">
        <f t="shared" si="376"/>
        <v>0</v>
      </c>
      <c r="KS511" s="1641">
        <f t="shared" si="376"/>
        <v>0</v>
      </c>
      <c r="KT511" s="1641">
        <f t="shared" si="376"/>
        <v>0</v>
      </c>
      <c r="KU511" s="1641">
        <f t="shared" si="376"/>
        <v>0</v>
      </c>
      <c r="KV511" s="1641">
        <f t="shared" si="376"/>
        <v>0</v>
      </c>
      <c r="KW511" s="1641">
        <f t="shared" si="376"/>
        <v>0</v>
      </c>
      <c r="KX511" s="1641">
        <f t="shared" si="376"/>
        <v>0</v>
      </c>
      <c r="KY511" s="1641">
        <f t="shared" si="376"/>
        <v>0</v>
      </c>
      <c r="KZ511" s="1641">
        <f t="shared" si="376"/>
        <v>0</v>
      </c>
      <c r="LA511" s="1641">
        <f t="shared" si="376"/>
        <v>0</v>
      </c>
      <c r="LB511" s="1641">
        <f t="shared" si="376"/>
        <v>0</v>
      </c>
      <c r="LC511" s="1641">
        <f t="shared" si="376"/>
        <v>0</v>
      </c>
      <c r="LD511" s="1641">
        <f t="shared" si="376"/>
        <v>0</v>
      </c>
      <c r="LE511" s="1641">
        <f t="shared" si="376"/>
        <v>0</v>
      </c>
      <c r="LF511" s="1641">
        <f t="shared" si="376"/>
        <v>0</v>
      </c>
      <c r="LG511" s="1641">
        <f>SUM(LG464:LG510)</f>
        <v>0</v>
      </c>
      <c r="LH511" s="1641">
        <f>SUM(LH464:LH510)</f>
        <v>40</v>
      </c>
      <c r="LI511" s="1641">
        <f>SUM(LI464:LI510)</f>
        <v>120</v>
      </c>
      <c r="LJ511" s="1641">
        <f>SUM(LJ464:LJ510)</f>
        <v>0</v>
      </c>
      <c r="LK511" s="1641">
        <f>SUM(LK464:LK510)</f>
        <v>0</v>
      </c>
      <c r="LL511" s="1641">
        <f t="shared" si="376"/>
        <v>0</v>
      </c>
      <c r="LM511" s="1641">
        <f t="shared" si="376"/>
        <v>0</v>
      </c>
      <c r="LN511" s="1641">
        <f t="shared" si="376"/>
        <v>0</v>
      </c>
      <c r="LO511" s="1641">
        <f t="shared" si="376"/>
        <v>0</v>
      </c>
      <c r="LP511" s="1641">
        <f t="shared" si="376"/>
        <v>0</v>
      </c>
      <c r="LQ511" s="1641">
        <f>SUM(LQ464:LQ510)</f>
        <v>0</v>
      </c>
      <c r="LR511" s="1641">
        <f>SUM(LR464:LR510)</f>
        <v>0</v>
      </c>
      <c r="LS511" s="1641">
        <f>SUM(LS464:LS510)</f>
        <v>0</v>
      </c>
      <c r="LT511" s="1641">
        <f>SUM(LT464:LT510)</f>
        <v>0</v>
      </c>
      <c r="LU511" s="1641">
        <f>SUM(LU464:LU510)</f>
        <v>0</v>
      </c>
      <c r="LV511" s="1641">
        <f t="shared" ref="LV511:MJ511" si="377">SUM(LV464:LV510)</f>
        <v>0</v>
      </c>
      <c r="LW511" s="1641">
        <f t="shared" si="377"/>
        <v>0</v>
      </c>
      <c r="LX511" s="1641">
        <f t="shared" si="377"/>
        <v>0</v>
      </c>
      <c r="LY511" s="1641">
        <f t="shared" si="377"/>
        <v>0</v>
      </c>
      <c r="LZ511" s="1641">
        <f t="shared" si="377"/>
        <v>0</v>
      </c>
      <c r="MA511" s="1641">
        <f>SUM(MA464:MA510)</f>
        <v>0</v>
      </c>
      <c r="MB511" s="1641">
        <f>SUM(MB464:MB510)</f>
        <v>0</v>
      </c>
      <c r="MC511" s="1641">
        <f>SUM(MC464:MC510)</f>
        <v>0</v>
      </c>
      <c r="MD511" s="1641">
        <f>SUM(MD464:MD510)</f>
        <v>0</v>
      </c>
      <c r="ME511" s="1641">
        <f>SUM(ME464:ME510)</f>
        <v>0</v>
      </c>
      <c r="MF511" s="1641">
        <f t="shared" si="377"/>
        <v>0</v>
      </c>
      <c r="MG511" s="1641">
        <f t="shared" si="377"/>
        <v>0</v>
      </c>
      <c r="MH511" s="1641">
        <f t="shared" si="377"/>
        <v>0</v>
      </c>
      <c r="MI511" s="1641">
        <f t="shared" si="377"/>
        <v>0</v>
      </c>
      <c r="MJ511" s="1641">
        <f t="shared" si="377"/>
        <v>0</v>
      </c>
      <c r="MK511" s="1641">
        <f>SUM(MK464:MK510)</f>
        <v>0</v>
      </c>
      <c r="ML511" s="1641">
        <f>SUM(ML464:ML510)</f>
        <v>0</v>
      </c>
      <c r="MM511" s="1641">
        <f>SUM(MM464:MM510)</f>
        <v>0</v>
      </c>
      <c r="MN511" s="1641">
        <f>SUM(MN464:MN510)</f>
        <v>0</v>
      </c>
      <c r="MO511" s="1641">
        <f>SUM(MO464:MO510)</f>
        <v>0</v>
      </c>
      <c r="MP511" s="1641">
        <f t="shared" ref="MP511:OD511" si="378">SUM(MP464:MP510)</f>
        <v>0</v>
      </c>
      <c r="MQ511" s="1641">
        <f t="shared" si="378"/>
        <v>0</v>
      </c>
      <c r="MR511" s="1641">
        <f t="shared" si="378"/>
        <v>0</v>
      </c>
      <c r="MS511" s="1641">
        <f t="shared" si="378"/>
        <v>0</v>
      </c>
      <c r="MT511" s="1641">
        <f t="shared" si="378"/>
        <v>0</v>
      </c>
      <c r="MU511" s="1641">
        <f t="shared" si="378"/>
        <v>0</v>
      </c>
      <c r="MV511" s="1641">
        <f t="shared" si="378"/>
        <v>0</v>
      </c>
      <c r="MW511" s="1641">
        <f t="shared" si="378"/>
        <v>0</v>
      </c>
      <c r="MX511" s="1641">
        <f t="shared" si="378"/>
        <v>0</v>
      </c>
      <c r="MY511" s="1641">
        <f t="shared" si="378"/>
        <v>0</v>
      </c>
      <c r="MZ511" s="1641">
        <f t="shared" si="378"/>
        <v>0</v>
      </c>
      <c r="NA511" s="1641">
        <f t="shared" si="378"/>
        <v>0</v>
      </c>
      <c r="NB511" s="1641">
        <f t="shared" si="378"/>
        <v>0</v>
      </c>
      <c r="NC511" s="1641">
        <f t="shared" si="378"/>
        <v>0</v>
      </c>
      <c r="ND511" s="1641">
        <f t="shared" si="378"/>
        <v>0</v>
      </c>
      <c r="NE511" s="1641">
        <f t="shared" si="378"/>
        <v>0</v>
      </c>
      <c r="NF511" s="1641">
        <f t="shared" si="378"/>
        <v>0</v>
      </c>
      <c r="NG511" s="1641">
        <f t="shared" si="378"/>
        <v>0</v>
      </c>
      <c r="NH511" s="1641">
        <f t="shared" si="378"/>
        <v>0</v>
      </c>
      <c r="NI511" s="1641">
        <f t="shared" si="378"/>
        <v>0</v>
      </c>
      <c r="NJ511" s="1641">
        <f t="shared" si="378"/>
        <v>0</v>
      </c>
      <c r="NK511" s="1641">
        <f t="shared" si="378"/>
        <v>0</v>
      </c>
      <c r="NL511" s="1641">
        <f t="shared" si="378"/>
        <v>0</v>
      </c>
      <c r="NM511" s="1641">
        <f t="shared" si="378"/>
        <v>0</v>
      </c>
      <c r="NN511" s="1641">
        <f t="shared" si="378"/>
        <v>0</v>
      </c>
      <c r="NO511" s="1641">
        <f t="shared" si="378"/>
        <v>0</v>
      </c>
      <c r="NP511" s="1641">
        <f t="shared" si="378"/>
        <v>40</v>
      </c>
      <c r="NQ511" s="1641">
        <f t="shared" si="378"/>
        <v>120</v>
      </c>
      <c r="NR511" s="1641">
        <f t="shared" si="378"/>
        <v>0</v>
      </c>
      <c r="NS511" s="1641">
        <f t="shared" si="378"/>
        <v>0</v>
      </c>
      <c r="NT511" s="1641">
        <f t="shared" si="378"/>
        <v>0</v>
      </c>
      <c r="NU511" s="1641">
        <f t="shared" si="378"/>
        <v>0</v>
      </c>
      <c r="NV511" s="1641">
        <f t="shared" si="378"/>
        <v>0</v>
      </c>
      <c r="NW511" s="1641">
        <f t="shared" si="378"/>
        <v>0</v>
      </c>
      <c r="NX511" s="1641">
        <f t="shared" si="378"/>
        <v>0</v>
      </c>
      <c r="NY511" s="1641">
        <f t="shared" si="378"/>
        <v>0</v>
      </c>
      <c r="NZ511" s="1641">
        <f t="shared" si="378"/>
        <v>0</v>
      </c>
      <c r="OA511" s="1641">
        <f t="shared" si="378"/>
        <v>0</v>
      </c>
      <c r="OB511" s="1641">
        <f t="shared" si="378"/>
        <v>0</v>
      </c>
      <c r="OC511" s="1641">
        <f t="shared" si="378"/>
        <v>0</v>
      </c>
      <c r="OD511" s="1641">
        <f t="shared" si="378"/>
        <v>0</v>
      </c>
      <c r="OY511" s="356" t="s">
        <v>4335</v>
      </c>
      <c r="OZ511" s="1784">
        <v>54</v>
      </c>
    </row>
    <row r="512" spans="1:416" ht="13.95" customHeight="1">
      <c r="B512" s="2742">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60</v>
      </c>
      <c r="C512" s="2742"/>
      <c r="D512" s="2706" t="s">
        <v>3553</v>
      </c>
      <c r="E512" s="2735">
        <f>SUM(E471:E510)</f>
        <v>160</v>
      </c>
      <c r="F512" s="2736">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144560</v>
      </c>
      <c r="H512" s="2737"/>
      <c r="I512" s="2738" t="s">
        <v>3645</v>
      </c>
      <c r="J512" s="2739" t="e">
        <f>IF(P518=0,"",IF(SUM(#REF!)/P518&gt;=0.2,"Pass","Fail"))</f>
        <v>#REF!</v>
      </c>
      <c r="K512" s="362"/>
      <c r="L512" s="2734" t="s">
        <v>756</v>
      </c>
      <c r="M512" s="2741">
        <f>M511*12</f>
        <v>2626224</v>
      </c>
      <c r="N512" s="358"/>
      <c r="O512" s="358"/>
      <c r="P512" s="358"/>
      <c r="Q512" s="358"/>
      <c r="R512" s="358"/>
      <c r="S512" s="358"/>
      <c r="T512" s="358"/>
      <c r="U512" s="358"/>
      <c r="V512" s="358"/>
      <c r="W512" s="1641"/>
      <c r="X512" s="1641"/>
      <c r="Y512" s="1641"/>
      <c r="Z512" s="1641"/>
      <c r="AA512" s="1641"/>
      <c r="AB512" s="1641"/>
      <c r="AC512" s="1641"/>
      <c r="AD512" s="1641"/>
      <c r="AE512" s="1641"/>
      <c r="AF512" s="1641"/>
      <c r="AG512" s="1641"/>
      <c r="AH512" s="1641"/>
      <c r="AI512" s="1641"/>
      <c r="AJ512" s="1641"/>
      <c r="AK512" s="1641"/>
      <c r="AL512" s="1641"/>
      <c r="AM512" s="1641"/>
      <c r="AN512" s="1641"/>
      <c r="AO512" s="1641"/>
      <c r="AP512" s="1641"/>
      <c r="AQ512" s="1641"/>
      <c r="AR512" s="1641"/>
      <c r="AS512" s="1641"/>
      <c r="AT512" s="1641"/>
      <c r="AU512" s="1641"/>
      <c r="AV512" s="1641"/>
      <c r="AW512" s="1641"/>
      <c r="AX512" s="1641"/>
      <c r="AY512" s="1641"/>
      <c r="AZ512" s="1641"/>
      <c r="BA512" s="1641"/>
      <c r="BB512" s="1641"/>
      <c r="BC512" s="1641"/>
      <c r="BD512" s="1641"/>
      <c r="BE512" s="1641"/>
      <c r="BF512" s="1641"/>
      <c r="BG512" s="1641"/>
      <c r="BH512" s="1641"/>
      <c r="BI512" s="1641"/>
      <c r="BJ512" s="1641"/>
      <c r="BK512" s="1641"/>
      <c r="BL512" s="1641"/>
      <c r="BM512" s="1641"/>
      <c r="BN512" s="1641"/>
      <c r="BO512" s="1641"/>
      <c r="BP512" s="1641"/>
      <c r="BQ512" s="1641"/>
      <c r="BR512" s="1641"/>
      <c r="BS512" s="1641"/>
      <c r="BT512" s="1641"/>
      <c r="BU512" s="1641"/>
      <c r="BV512" s="1641"/>
      <c r="BW512" s="1641"/>
      <c r="BX512" s="1641"/>
      <c r="BY512" s="1641"/>
      <c r="BZ512" s="1641"/>
      <c r="CA512" s="1641"/>
      <c r="CB512" s="1641"/>
      <c r="CC512" s="1641"/>
      <c r="CD512" s="1641"/>
      <c r="CE512" s="1641"/>
      <c r="CF512" s="1641"/>
      <c r="CG512" s="1641"/>
      <c r="CH512" s="1641"/>
      <c r="CI512" s="1641"/>
      <c r="CJ512" s="1641"/>
      <c r="CK512" s="1641"/>
      <c r="CL512" s="1641"/>
      <c r="CM512" s="1641"/>
      <c r="CN512" s="1641"/>
      <c r="CO512" s="1641"/>
      <c r="CP512" s="1641"/>
      <c r="CQ512" s="1641"/>
      <c r="CR512" s="1641"/>
      <c r="CS512" s="1641"/>
      <c r="CT512" s="1641"/>
      <c r="CU512" s="1641"/>
      <c r="CV512" s="1641"/>
      <c r="CW512" s="1641"/>
      <c r="CX512" s="1641"/>
      <c r="CY512" s="1641"/>
      <c r="CZ512" s="1641"/>
      <c r="DA512" s="1641"/>
      <c r="DB512" s="1641"/>
      <c r="DC512" s="1641"/>
      <c r="DD512" s="1641"/>
      <c r="DE512" s="1641"/>
      <c r="DF512" s="1641"/>
      <c r="DG512" s="1641"/>
      <c r="DH512" s="1641"/>
      <c r="DI512" s="1641"/>
      <c r="DJ512" s="1641"/>
      <c r="DK512" s="1641"/>
      <c r="DL512" s="1641"/>
      <c r="DM512" s="1641"/>
      <c r="DN512" s="1641"/>
      <c r="DO512" s="1641"/>
      <c r="DP512" s="1641"/>
      <c r="DQ512" s="1641"/>
      <c r="DR512" s="1641"/>
      <c r="DS512" s="1641"/>
      <c r="DT512" s="1641"/>
      <c r="DU512" s="1641"/>
      <c r="DV512" s="1641"/>
      <c r="DW512" s="1641"/>
      <c r="DX512" s="1641"/>
      <c r="DY512" s="1641"/>
      <c r="DZ512" s="1641"/>
      <c r="EA512" s="1641"/>
      <c r="EB512" s="1641"/>
      <c r="EC512" s="1641"/>
      <c r="ED512" s="1641"/>
      <c r="EE512" s="1641"/>
      <c r="EF512" s="1641"/>
      <c r="EG512" s="1641"/>
      <c r="EH512" s="1641"/>
      <c r="EI512" s="1641"/>
      <c r="EJ512" s="1641"/>
      <c r="EK512" s="1641"/>
      <c r="EL512" s="1641"/>
      <c r="EM512" s="1641"/>
      <c r="EN512" s="1641"/>
      <c r="EO512" s="1641"/>
      <c r="EP512" s="1641"/>
      <c r="EQ512" s="1641"/>
      <c r="ER512" s="1641"/>
      <c r="ES512" s="1641"/>
      <c r="ET512" s="1641"/>
      <c r="EU512" s="1641"/>
      <c r="EV512" s="1641"/>
      <c r="EW512" s="1641"/>
      <c r="EX512" s="1641"/>
      <c r="EY512" s="1641"/>
      <c r="EZ512" s="1641"/>
      <c r="FA512" s="1641"/>
      <c r="FB512" s="1641"/>
      <c r="FC512" s="1641"/>
      <c r="FD512" s="1641"/>
      <c r="FE512" s="1641"/>
      <c r="FF512" s="1641"/>
      <c r="FG512" s="1641"/>
      <c r="FH512" s="1641"/>
      <c r="FI512" s="1641"/>
      <c r="FJ512" s="1641"/>
      <c r="FK512" s="1641"/>
      <c r="FL512" s="1641"/>
      <c r="FM512" s="1641"/>
      <c r="FN512" s="1641"/>
      <c r="FO512" s="1641"/>
      <c r="FP512" s="1641"/>
      <c r="FQ512" s="1641"/>
      <c r="FR512" s="1641"/>
      <c r="FS512" s="1641"/>
      <c r="FT512" s="1641"/>
      <c r="FU512" s="1641"/>
      <c r="FV512" s="1641"/>
      <c r="FW512" s="1641"/>
      <c r="FX512" s="1641"/>
      <c r="FY512" s="1641"/>
      <c r="FZ512" s="1641"/>
      <c r="GA512" s="1641"/>
      <c r="GB512" s="1641"/>
      <c r="GC512" s="1641"/>
      <c r="GD512" s="1641"/>
      <c r="GE512" s="1641"/>
      <c r="GF512" s="1641"/>
      <c r="GG512" s="1641"/>
      <c r="GH512" s="1641"/>
      <c r="GI512" s="1641"/>
      <c r="GJ512" s="1641"/>
      <c r="GK512" s="1641"/>
      <c r="GL512" s="1641"/>
      <c r="GM512" s="1641"/>
      <c r="GN512" s="1641"/>
      <c r="GO512" s="1641"/>
      <c r="GP512" s="1641"/>
      <c r="GQ512" s="1641"/>
      <c r="GR512" s="1641"/>
      <c r="GS512" s="1641"/>
      <c r="GT512" s="1641"/>
      <c r="GU512" s="1641"/>
      <c r="GV512" s="1641"/>
      <c r="GW512" s="1641"/>
      <c r="GX512" s="1641"/>
      <c r="GY512" s="1641"/>
      <c r="GZ512" s="1641"/>
      <c r="HA512" s="1641"/>
      <c r="HB512" s="1641"/>
      <c r="HC512" s="1641"/>
      <c r="HD512" s="1641"/>
      <c r="HE512" s="1641"/>
      <c r="HF512" s="1641"/>
      <c r="HG512" s="1641"/>
      <c r="HH512" s="1641"/>
      <c r="HI512" s="1641"/>
      <c r="HJ512" s="1641"/>
      <c r="HK512" s="1641"/>
      <c r="HL512" s="1641"/>
      <c r="HM512" s="1641"/>
      <c r="HN512" s="1641"/>
      <c r="HO512" s="1641"/>
      <c r="HP512" s="1641"/>
      <c r="HQ512" s="1641"/>
      <c r="HR512" s="1641"/>
      <c r="HS512" s="1641"/>
      <c r="HT512" s="1641"/>
      <c r="HU512" s="1641"/>
      <c r="HV512" s="1641"/>
      <c r="HW512" s="1641"/>
      <c r="HX512" s="1641"/>
      <c r="HY512" s="1641"/>
      <c r="HZ512" s="1641"/>
      <c r="IA512" s="1641"/>
      <c r="IB512" s="1641"/>
      <c r="IC512" s="1641"/>
      <c r="ID512" s="1641"/>
      <c r="IE512" s="1641"/>
      <c r="IF512" s="1641"/>
      <c r="IG512" s="1641"/>
      <c r="IH512" s="1641"/>
      <c r="II512" s="1641"/>
      <c r="IJ512" s="1641"/>
      <c r="IK512" s="1641"/>
      <c r="IL512" s="1641"/>
      <c r="IM512" s="1641"/>
      <c r="IN512" s="1641"/>
      <c r="IO512" s="1641"/>
      <c r="IP512" s="1641"/>
      <c r="IQ512" s="1641"/>
      <c r="IR512" s="1641"/>
      <c r="IS512" s="1641"/>
      <c r="IT512" s="1641"/>
      <c r="IU512" s="1641"/>
      <c r="IV512" s="1641"/>
      <c r="IW512" s="1641"/>
      <c r="IX512" s="1641"/>
      <c r="IY512" s="1641"/>
      <c r="IZ512" s="1641"/>
      <c r="JA512" s="1641"/>
      <c r="JB512" s="1641"/>
      <c r="JC512" s="1641"/>
      <c r="JD512" s="1641"/>
      <c r="JE512" s="1641"/>
      <c r="JF512" s="1641"/>
      <c r="JG512" s="1641"/>
      <c r="JH512" s="1641"/>
      <c r="JI512" s="1641"/>
      <c r="JJ512" s="1641"/>
      <c r="JK512" s="1641"/>
      <c r="JL512" s="1641"/>
      <c r="JM512" s="1641"/>
      <c r="JN512" s="1641"/>
      <c r="JO512" s="1641"/>
      <c r="JP512" s="1641"/>
      <c r="JQ512" s="1641"/>
      <c r="JR512" s="1641"/>
      <c r="JS512" s="1641"/>
      <c r="JT512" s="1641"/>
      <c r="JU512" s="1641"/>
      <c r="JV512" s="1641"/>
      <c r="JW512" s="1641"/>
      <c r="JX512" s="1641"/>
      <c r="JY512" s="1641"/>
      <c r="JZ512" s="1641"/>
      <c r="KA512" s="1641"/>
      <c r="KB512" s="1641"/>
      <c r="KC512" s="1641"/>
      <c r="KD512" s="1641"/>
      <c r="KE512" s="1641"/>
      <c r="KF512" s="1641"/>
      <c r="KG512" s="1641"/>
      <c r="KH512" s="1641"/>
      <c r="KI512" s="1641"/>
      <c r="KJ512" s="1641"/>
      <c r="KK512" s="1641"/>
      <c r="KL512" s="1641"/>
      <c r="KM512" s="1641"/>
      <c r="KN512" s="1641"/>
      <c r="KO512" s="1641"/>
      <c r="KP512" s="1641"/>
      <c r="KQ512" s="1641"/>
      <c r="KR512" s="1641"/>
      <c r="KS512" s="1641"/>
      <c r="KT512" s="1641"/>
      <c r="KU512" s="1641"/>
      <c r="KV512" s="1641"/>
      <c r="KW512" s="1641"/>
      <c r="KX512" s="1641"/>
      <c r="KY512" s="1641"/>
      <c r="KZ512" s="1641"/>
      <c r="LA512" s="1641"/>
      <c r="LB512" s="1641"/>
      <c r="LC512" s="1641"/>
      <c r="LD512" s="1641"/>
      <c r="LE512" s="1641"/>
      <c r="LF512" s="1641"/>
      <c r="LG512" s="1641"/>
      <c r="LH512" s="1641"/>
      <c r="LI512" s="1641"/>
      <c r="LJ512" s="1641"/>
      <c r="LK512" s="1641"/>
      <c r="LL512" s="1641"/>
      <c r="LM512" s="1641"/>
      <c r="LN512" s="1641"/>
      <c r="LO512" s="1641"/>
      <c r="LP512" s="1641"/>
      <c r="LQ512" s="1641"/>
      <c r="LR512" s="1641"/>
      <c r="LS512" s="1641"/>
      <c r="LT512" s="1641"/>
      <c r="LU512" s="1641"/>
      <c r="LV512" s="1641"/>
      <c r="LW512" s="1641"/>
      <c r="LX512" s="1641"/>
      <c r="LY512" s="1641"/>
      <c r="LZ512" s="1641"/>
      <c r="MA512" s="1641"/>
      <c r="MB512" s="1641"/>
      <c r="MC512" s="1641"/>
      <c r="MD512" s="1641"/>
      <c r="ME512" s="1641"/>
      <c r="MF512" s="1641"/>
      <c r="MG512" s="1641"/>
      <c r="MH512" s="1641"/>
      <c r="MI512" s="1641"/>
      <c r="MJ512" s="1641"/>
      <c r="MK512" s="1641"/>
      <c r="ML512" s="1641"/>
      <c r="MM512" s="1641"/>
      <c r="MN512" s="1641"/>
      <c r="MO512" s="1641"/>
      <c r="MP512" s="1641"/>
      <c r="MQ512" s="1641"/>
      <c r="MR512" s="1641"/>
      <c r="MS512" s="1641"/>
      <c r="MT512" s="1641"/>
      <c r="MU512" s="1641"/>
      <c r="MV512" s="1641"/>
      <c r="MW512" s="1641"/>
      <c r="MX512" s="1641"/>
      <c r="MY512" s="1641"/>
      <c r="MZ512" s="1641"/>
      <c r="NA512" s="1641"/>
      <c r="NB512" s="1641"/>
      <c r="NC512" s="1641"/>
      <c r="ND512" s="1641"/>
      <c r="NE512" s="1641"/>
      <c r="NF512" s="1641"/>
      <c r="NG512" s="1641"/>
      <c r="NH512" s="1641"/>
      <c r="NI512" s="1641"/>
      <c r="NJ512" s="1641"/>
      <c r="NK512" s="1641"/>
      <c r="NL512" s="1641"/>
      <c r="NM512" s="1641"/>
      <c r="NN512" s="1641"/>
      <c r="OY512" s="356" t="s">
        <v>4336</v>
      </c>
      <c r="OZ512" s="1784">
        <v>55</v>
      </c>
    </row>
    <row r="513" spans="1:416" ht="7.5" customHeight="1">
      <c r="A513" s="4966" t="s">
        <v>5143</v>
      </c>
      <c r="B513" s="4966"/>
      <c r="C513" s="4966"/>
      <c r="D513" s="4966"/>
      <c r="E513" s="4966"/>
      <c r="F513" s="4966"/>
      <c r="G513" s="4966"/>
      <c r="H513" s="4966"/>
      <c r="I513" s="4966"/>
      <c r="J513" s="4966"/>
      <c r="K513" s="4966"/>
      <c r="L513" s="4966"/>
      <c r="M513" s="4966"/>
      <c r="N513" s="4966"/>
      <c r="O513" s="4966"/>
      <c r="P513" s="4966"/>
      <c r="Q513" s="4966"/>
      <c r="R513" s="2743"/>
      <c r="S513" s="358"/>
      <c r="T513" s="358"/>
      <c r="U513" s="358"/>
      <c r="V513" s="358"/>
      <c r="W513" s="1641"/>
      <c r="X513" s="1641"/>
      <c r="Y513" s="1641"/>
      <c r="Z513" s="1641"/>
      <c r="AA513" s="1641"/>
      <c r="AB513" s="1641"/>
      <c r="AC513" s="1641"/>
      <c r="AD513" s="1641"/>
      <c r="AE513" s="1641"/>
      <c r="AF513" s="1641"/>
      <c r="AG513" s="1641"/>
      <c r="AH513" s="1641"/>
      <c r="AI513" s="1641"/>
      <c r="AJ513" s="1641"/>
      <c r="AK513" s="1641"/>
      <c r="AL513" s="1641"/>
      <c r="AM513" s="1641"/>
      <c r="AN513" s="1641"/>
      <c r="AO513" s="1641"/>
      <c r="AP513" s="1641"/>
      <c r="AQ513" s="1641"/>
      <c r="AR513" s="1641"/>
      <c r="AS513" s="1641"/>
      <c r="AT513" s="1641"/>
      <c r="AU513" s="1641"/>
      <c r="AV513" s="1641"/>
      <c r="AW513" s="1641"/>
      <c r="AX513" s="1641"/>
      <c r="AY513" s="1641"/>
      <c r="AZ513" s="1641"/>
      <c r="BA513" s="1641"/>
      <c r="BB513" s="1641"/>
      <c r="BC513" s="1641"/>
      <c r="BD513" s="1641"/>
      <c r="BE513" s="1641"/>
      <c r="BF513" s="1641"/>
      <c r="BG513" s="1641"/>
      <c r="BH513" s="1641"/>
      <c r="BI513" s="1641"/>
      <c r="BJ513" s="1641"/>
      <c r="BK513" s="1641"/>
      <c r="BL513" s="1641"/>
      <c r="BM513" s="1641"/>
      <c r="BN513" s="1641"/>
      <c r="BO513" s="1641"/>
      <c r="BP513" s="1641"/>
      <c r="BQ513" s="1641"/>
      <c r="BR513" s="1641"/>
      <c r="BS513" s="1641"/>
      <c r="BT513" s="1641"/>
      <c r="BU513" s="1641"/>
      <c r="BV513" s="1641"/>
      <c r="BW513" s="1641"/>
      <c r="BX513" s="1641"/>
      <c r="BY513" s="1641"/>
      <c r="BZ513" s="1641"/>
      <c r="CA513" s="1641"/>
      <c r="CB513" s="1641"/>
      <c r="CC513" s="1641"/>
      <c r="CD513" s="1641"/>
      <c r="CE513" s="1641"/>
      <c r="CF513" s="1641"/>
      <c r="CG513" s="1641"/>
      <c r="CH513" s="1641"/>
      <c r="CI513" s="1641"/>
      <c r="CJ513" s="1641"/>
      <c r="CK513" s="1641"/>
      <c r="CL513" s="1641"/>
      <c r="CM513" s="1641"/>
      <c r="CN513" s="1641"/>
      <c r="CO513" s="1641"/>
      <c r="CP513" s="1641"/>
      <c r="CQ513" s="1641"/>
      <c r="CR513" s="1641"/>
      <c r="CS513" s="1641"/>
      <c r="CT513" s="1641"/>
      <c r="CU513" s="1641"/>
      <c r="CV513" s="1641"/>
      <c r="CW513" s="1641"/>
      <c r="CX513" s="1641"/>
      <c r="CY513" s="1641"/>
      <c r="CZ513" s="1641"/>
      <c r="DA513" s="1641"/>
      <c r="DB513" s="1641"/>
      <c r="DC513" s="1641"/>
      <c r="DD513" s="1641"/>
      <c r="DE513" s="1641"/>
      <c r="DF513" s="1641"/>
      <c r="DG513" s="1641"/>
      <c r="DH513" s="1641"/>
      <c r="DI513" s="1641"/>
      <c r="DJ513" s="1641"/>
      <c r="DK513" s="1641"/>
      <c r="DL513" s="1641"/>
      <c r="DM513" s="1641"/>
      <c r="DN513" s="1641"/>
      <c r="DO513" s="1641"/>
      <c r="DP513" s="1641"/>
      <c r="DQ513" s="1641"/>
      <c r="DR513" s="1641"/>
      <c r="DS513" s="1641"/>
      <c r="DT513" s="1641"/>
      <c r="DU513" s="1641"/>
      <c r="DV513" s="1641"/>
      <c r="DW513" s="1641"/>
      <c r="DX513" s="1641"/>
      <c r="DY513" s="1641"/>
      <c r="DZ513" s="1641"/>
      <c r="EA513" s="1641"/>
      <c r="EB513" s="1641"/>
      <c r="EC513" s="1641"/>
      <c r="ED513" s="1641"/>
      <c r="EE513" s="1641"/>
      <c r="EF513" s="1641"/>
      <c r="EG513" s="1641"/>
      <c r="EH513" s="1641"/>
      <c r="EI513" s="1641"/>
      <c r="EJ513" s="1641"/>
      <c r="EK513" s="1641"/>
      <c r="EL513" s="1641"/>
      <c r="EM513" s="1641"/>
      <c r="EN513" s="1641"/>
      <c r="EO513" s="1641"/>
      <c r="EP513" s="1641"/>
      <c r="EQ513" s="1641"/>
      <c r="ER513" s="1641"/>
      <c r="ES513" s="1641"/>
      <c r="ET513" s="1641"/>
      <c r="EU513" s="1641"/>
      <c r="EV513" s="1641"/>
      <c r="EW513" s="1641"/>
      <c r="EX513" s="1641"/>
      <c r="EY513" s="1641"/>
      <c r="EZ513" s="1641"/>
      <c r="FA513" s="1641"/>
      <c r="FB513" s="1641"/>
      <c r="FC513" s="1641"/>
      <c r="FD513" s="1641"/>
      <c r="FE513" s="1641"/>
      <c r="FF513" s="1641"/>
      <c r="FG513" s="1641"/>
      <c r="FH513" s="1641"/>
      <c r="FI513" s="1641"/>
      <c r="FJ513" s="1641"/>
      <c r="FK513" s="1641"/>
      <c r="FL513" s="1641"/>
      <c r="FM513" s="1641"/>
      <c r="FN513" s="1641"/>
      <c r="FO513" s="1641"/>
      <c r="FP513" s="1641"/>
      <c r="FQ513" s="1641"/>
      <c r="FR513" s="1641"/>
      <c r="FS513" s="1641"/>
      <c r="FT513" s="1641"/>
      <c r="FU513" s="1641"/>
      <c r="FV513" s="1641"/>
      <c r="FW513" s="1641"/>
      <c r="FX513" s="1641"/>
      <c r="FY513" s="1641"/>
      <c r="FZ513" s="1641"/>
      <c r="GA513" s="1641"/>
      <c r="GB513" s="1641"/>
      <c r="GC513" s="1641"/>
      <c r="GD513" s="1641"/>
      <c r="GE513" s="1641"/>
      <c r="GF513" s="1641"/>
      <c r="GG513" s="1641"/>
      <c r="GH513" s="1641"/>
      <c r="GI513" s="1641"/>
      <c r="GJ513" s="1641"/>
      <c r="GK513" s="1641"/>
      <c r="GL513" s="1641"/>
      <c r="GM513" s="1641"/>
      <c r="GN513" s="1641"/>
      <c r="GO513" s="1641"/>
      <c r="GP513" s="1641"/>
      <c r="GQ513" s="1641"/>
      <c r="GR513" s="1641"/>
      <c r="GS513" s="1641"/>
      <c r="GT513" s="1641"/>
      <c r="GU513" s="1641"/>
      <c r="GV513" s="1641"/>
      <c r="GW513" s="1641"/>
      <c r="GX513" s="1641"/>
      <c r="GY513" s="1641"/>
      <c r="GZ513" s="1641"/>
      <c r="HA513" s="1641"/>
      <c r="HB513" s="1641"/>
      <c r="HC513" s="1641"/>
      <c r="HD513" s="1641"/>
      <c r="HE513" s="1641"/>
      <c r="HF513" s="1641"/>
      <c r="HG513" s="1641"/>
      <c r="HH513" s="1641"/>
      <c r="HI513" s="1641"/>
      <c r="HJ513" s="1641"/>
      <c r="HK513" s="1641"/>
      <c r="HL513" s="1641"/>
      <c r="HM513" s="1641"/>
      <c r="HN513" s="1641"/>
      <c r="HO513" s="1641"/>
      <c r="HP513" s="1641"/>
      <c r="HQ513" s="1641"/>
      <c r="HR513" s="1641"/>
      <c r="HS513" s="1641"/>
      <c r="HT513" s="1641"/>
      <c r="HU513" s="1641"/>
      <c r="HV513" s="1641"/>
      <c r="HW513" s="1641"/>
      <c r="HX513" s="1641"/>
      <c r="HY513" s="1641"/>
      <c r="HZ513" s="1641"/>
      <c r="IA513" s="1641"/>
      <c r="IB513" s="1641"/>
      <c r="IC513" s="1641"/>
      <c r="ID513" s="1641"/>
      <c r="IE513" s="1641"/>
      <c r="IF513" s="1641"/>
      <c r="IG513" s="1641"/>
      <c r="IH513" s="1641"/>
      <c r="II513" s="1641"/>
      <c r="IJ513" s="1641"/>
      <c r="IK513" s="1641"/>
      <c r="IL513" s="1641"/>
      <c r="IM513" s="1641"/>
      <c r="IN513" s="1641"/>
      <c r="IO513" s="1641"/>
      <c r="IP513" s="1641"/>
      <c r="IQ513" s="1641"/>
      <c r="IR513" s="1641"/>
      <c r="IS513" s="1641"/>
      <c r="IT513" s="1641"/>
      <c r="IU513" s="1641"/>
      <c r="IV513" s="1641"/>
      <c r="IW513" s="1641"/>
      <c r="IX513" s="1641"/>
      <c r="IY513" s="1641"/>
      <c r="IZ513" s="1641"/>
      <c r="JA513" s="1641"/>
      <c r="JB513" s="1641"/>
      <c r="JC513" s="1641"/>
      <c r="JD513" s="1641"/>
      <c r="JE513" s="1641"/>
      <c r="JF513" s="1641"/>
      <c r="JG513" s="1641"/>
      <c r="JH513" s="1641"/>
      <c r="JI513" s="1641"/>
      <c r="JJ513" s="1641"/>
      <c r="JK513" s="1641"/>
      <c r="JL513" s="1641"/>
      <c r="JM513" s="1641"/>
      <c r="JN513" s="1641"/>
      <c r="JO513" s="1641"/>
      <c r="JP513" s="1641"/>
      <c r="JQ513" s="1641"/>
      <c r="JR513" s="1641"/>
      <c r="JS513" s="1641"/>
      <c r="JT513" s="1641"/>
      <c r="JU513" s="1641"/>
      <c r="JV513" s="1641"/>
      <c r="JW513" s="1641"/>
      <c r="JX513" s="1641"/>
      <c r="JY513" s="1641"/>
      <c r="JZ513" s="1641"/>
      <c r="KA513" s="1641"/>
      <c r="KB513" s="1641"/>
      <c r="KC513" s="1641"/>
      <c r="KD513" s="1641"/>
      <c r="KE513" s="1641"/>
      <c r="KF513" s="1641"/>
      <c r="KG513" s="1641"/>
      <c r="KH513" s="1641"/>
      <c r="KI513" s="1641"/>
      <c r="KJ513" s="1641"/>
      <c r="KK513" s="1641"/>
      <c r="KL513" s="1641"/>
      <c r="KM513" s="1641"/>
      <c r="KN513" s="1641"/>
      <c r="KO513" s="1641"/>
      <c r="KP513" s="1641"/>
      <c r="KQ513" s="1641"/>
      <c r="KR513" s="1641"/>
      <c r="KS513" s="1641"/>
      <c r="KT513" s="1641"/>
      <c r="KU513" s="1641"/>
      <c r="KV513" s="1641"/>
      <c r="KW513" s="1641"/>
      <c r="KX513" s="1641"/>
      <c r="KY513" s="1641"/>
      <c r="KZ513" s="1641"/>
      <c r="LA513" s="1641"/>
      <c r="LB513" s="1641"/>
      <c r="LC513" s="1641"/>
      <c r="LD513" s="1641"/>
      <c r="LE513" s="1641"/>
      <c r="LF513" s="1641"/>
      <c r="LG513" s="1641"/>
      <c r="LH513" s="1641"/>
      <c r="LI513" s="1641"/>
      <c r="LJ513" s="1641"/>
      <c r="LK513" s="1641"/>
      <c r="LL513" s="1641"/>
      <c r="LM513" s="1641"/>
      <c r="LN513" s="1641"/>
      <c r="LO513" s="1641"/>
      <c r="LP513" s="1641"/>
      <c r="LQ513" s="1641"/>
      <c r="LR513" s="1641"/>
      <c r="LS513" s="1641"/>
      <c r="LT513" s="1641"/>
      <c r="LU513" s="1641"/>
      <c r="LV513" s="1641"/>
      <c r="LW513" s="1641"/>
      <c r="LX513" s="1641"/>
      <c r="LY513" s="1641"/>
      <c r="LZ513" s="1641"/>
      <c r="MA513" s="1641"/>
      <c r="MB513" s="1641"/>
      <c r="MC513" s="1641"/>
      <c r="MD513" s="1641"/>
      <c r="ME513" s="1641"/>
      <c r="MF513" s="1641"/>
      <c r="MG513" s="1641"/>
      <c r="MH513" s="1641"/>
      <c r="MI513" s="1641"/>
      <c r="MJ513" s="1641"/>
      <c r="MK513" s="1641"/>
      <c r="ML513" s="1641"/>
      <c r="MM513" s="1641"/>
      <c r="MN513" s="1641"/>
      <c r="MO513" s="1641"/>
      <c r="MP513" s="1641"/>
      <c r="MQ513" s="1641"/>
      <c r="MR513" s="1641"/>
      <c r="MS513" s="1641"/>
      <c r="MT513" s="1641"/>
      <c r="MU513" s="1641"/>
      <c r="MV513" s="1641"/>
      <c r="MW513" s="1641"/>
      <c r="MX513" s="1641"/>
      <c r="MY513" s="1641"/>
      <c r="MZ513" s="1641"/>
      <c r="NA513" s="1641"/>
      <c r="NB513" s="1641"/>
      <c r="NC513" s="1641"/>
      <c r="ND513" s="1641"/>
      <c r="NE513" s="1641"/>
      <c r="NF513" s="1641"/>
      <c r="NG513" s="1641"/>
      <c r="NH513" s="1641"/>
      <c r="NI513" s="1641"/>
      <c r="NJ513" s="1641"/>
      <c r="NK513" s="1641"/>
      <c r="NL513" s="1641"/>
      <c r="NM513" s="1641"/>
      <c r="NN513" s="1641"/>
      <c r="OZ513" s="1784">
        <v>56</v>
      </c>
    </row>
    <row r="514" spans="1:416" ht="7.5" customHeight="1">
      <c r="A514" s="4966"/>
      <c r="B514" s="4966"/>
      <c r="C514" s="4966"/>
      <c r="D514" s="4966"/>
      <c r="E514" s="4966"/>
      <c r="F514" s="4966"/>
      <c r="G514" s="4966"/>
      <c r="H514" s="4966"/>
      <c r="I514" s="4966"/>
      <c r="J514" s="4966"/>
      <c r="K514" s="4966"/>
      <c r="L514" s="4966"/>
      <c r="M514" s="4966"/>
      <c r="N514" s="4966"/>
      <c r="O514" s="4966"/>
      <c r="P514" s="4966"/>
      <c r="Q514" s="4966"/>
      <c r="R514" s="2743"/>
      <c r="S514" s="358"/>
      <c r="T514" s="358"/>
      <c r="U514" s="358"/>
      <c r="V514" s="358"/>
      <c r="W514" s="1641"/>
      <c r="X514" s="1641"/>
      <c r="Y514" s="1641"/>
      <c r="Z514" s="1641"/>
      <c r="AA514" s="1641"/>
      <c r="AB514" s="1641"/>
      <c r="AC514" s="1641"/>
      <c r="AD514" s="1641"/>
      <c r="AE514" s="1641"/>
      <c r="AF514" s="1641"/>
      <c r="AG514" s="1641"/>
      <c r="AH514" s="1641"/>
      <c r="AI514" s="1641"/>
      <c r="AJ514" s="1641"/>
      <c r="AK514" s="1641"/>
      <c r="AL514" s="1641"/>
      <c r="AM514" s="1641"/>
      <c r="AN514" s="1641"/>
      <c r="AO514" s="1641"/>
      <c r="AP514" s="1641"/>
      <c r="AQ514" s="1641"/>
      <c r="AR514" s="1641"/>
      <c r="AS514" s="1641"/>
      <c r="AT514" s="1641"/>
      <c r="AU514" s="1641"/>
      <c r="AV514" s="1641"/>
      <c r="AW514" s="1641"/>
      <c r="AX514" s="1641"/>
      <c r="AY514" s="1641"/>
      <c r="AZ514" s="1641"/>
      <c r="BA514" s="1641"/>
      <c r="BB514" s="1641"/>
      <c r="BC514" s="1641"/>
      <c r="BD514" s="1641"/>
      <c r="BE514" s="1641"/>
      <c r="BF514" s="1641"/>
      <c r="BG514" s="1641"/>
      <c r="BH514" s="1641"/>
      <c r="BI514" s="1641"/>
      <c r="BJ514" s="1641"/>
      <c r="BK514" s="1641"/>
      <c r="BL514" s="1641"/>
      <c r="BM514" s="1641"/>
      <c r="BN514" s="1641"/>
      <c r="BO514" s="1641"/>
      <c r="BP514" s="1641"/>
      <c r="BQ514" s="1641"/>
      <c r="BR514" s="1641"/>
      <c r="BS514" s="1641"/>
      <c r="BT514" s="1641"/>
      <c r="BU514" s="1641"/>
      <c r="BV514" s="1641"/>
      <c r="BW514" s="1641"/>
      <c r="BX514" s="1641"/>
      <c r="BY514" s="1641"/>
      <c r="BZ514" s="1641"/>
      <c r="CA514" s="1641"/>
      <c r="CB514" s="1641"/>
      <c r="CC514" s="1641"/>
      <c r="CD514" s="1641"/>
      <c r="CE514" s="1641"/>
      <c r="CF514" s="1641"/>
      <c r="CG514" s="1641"/>
      <c r="CH514" s="1641"/>
      <c r="CI514" s="1641"/>
      <c r="CJ514" s="1641"/>
      <c r="CK514" s="1641"/>
      <c r="CL514" s="1641"/>
      <c r="CM514" s="1641"/>
      <c r="CN514" s="1641"/>
      <c r="CO514" s="1641"/>
      <c r="CP514" s="1641"/>
      <c r="CQ514" s="1641"/>
      <c r="CR514" s="1641"/>
      <c r="CS514" s="1641"/>
      <c r="CT514" s="1641"/>
      <c r="CU514" s="1641"/>
      <c r="CV514" s="1641"/>
      <c r="CW514" s="1641"/>
      <c r="CX514" s="1641"/>
      <c r="CY514" s="1641"/>
      <c r="CZ514" s="1641"/>
      <c r="DA514" s="1641"/>
      <c r="DB514" s="1641"/>
      <c r="DC514" s="1641"/>
      <c r="DD514" s="1641"/>
      <c r="DE514" s="1641"/>
      <c r="DF514" s="1641"/>
      <c r="DG514" s="1641"/>
      <c r="DH514" s="1641"/>
      <c r="DI514" s="1641"/>
      <c r="DJ514" s="1641"/>
      <c r="DK514" s="1641"/>
      <c r="DL514" s="1641"/>
      <c r="DM514" s="1641"/>
      <c r="DN514" s="1641"/>
      <c r="DO514" s="1641"/>
      <c r="DP514" s="1641"/>
      <c r="DQ514" s="1641"/>
      <c r="DR514" s="1641"/>
      <c r="DS514" s="1641"/>
      <c r="DT514" s="1641"/>
      <c r="DU514" s="1641"/>
      <c r="DV514" s="1641"/>
      <c r="DW514" s="1641"/>
      <c r="DX514" s="1641"/>
      <c r="DY514" s="1641"/>
      <c r="DZ514" s="1641"/>
      <c r="EA514" s="1641"/>
      <c r="EB514" s="1641"/>
      <c r="EC514" s="1641"/>
      <c r="ED514" s="1641"/>
      <c r="EE514" s="1641"/>
      <c r="EF514" s="1641"/>
      <c r="EG514" s="1641"/>
      <c r="EH514" s="1641"/>
      <c r="EI514" s="1641"/>
      <c r="EJ514" s="1641"/>
      <c r="EK514" s="1641"/>
      <c r="EL514" s="1641"/>
      <c r="EM514" s="1641"/>
      <c r="EN514" s="1641"/>
      <c r="EO514" s="1641"/>
      <c r="EP514" s="1641"/>
      <c r="EQ514" s="1641"/>
      <c r="ER514" s="1641"/>
      <c r="ES514" s="1641"/>
      <c r="ET514" s="1641"/>
      <c r="EU514" s="1641"/>
      <c r="EV514" s="1641"/>
      <c r="EW514" s="1641"/>
      <c r="EX514" s="1641"/>
      <c r="EY514" s="1641"/>
      <c r="EZ514" s="1641"/>
      <c r="FA514" s="1641"/>
      <c r="FB514" s="1641"/>
      <c r="FC514" s="1641"/>
      <c r="FD514" s="1641"/>
      <c r="FE514" s="1641"/>
      <c r="FF514" s="1641"/>
      <c r="FG514" s="1641"/>
      <c r="FH514" s="1641"/>
      <c r="FI514" s="1641"/>
      <c r="FJ514" s="1641"/>
      <c r="FK514" s="1641"/>
      <c r="FL514" s="1641"/>
      <c r="FM514" s="1641"/>
      <c r="FN514" s="1641"/>
      <c r="FO514" s="1641"/>
      <c r="FP514" s="1641"/>
      <c r="FQ514" s="1641"/>
      <c r="FR514" s="1641"/>
      <c r="FS514" s="1641"/>
      <c r="FT514" s="1641"/>
      <c r="FU514" s="1641"/>
      <c r="FV514" s="1641"/>
      <c r="FW514" s="1641"/>
      <c r="FX514" s="1641"/>
      <c r="FY514" s="1641"/>
      <c r="FZ514" s="1641"/>
      <c r="GA514" s="1641"/>
      <c r="GB514" s="1641"/>
      <c r="GC514" s="1641"/>
      <c r="GD514" s="1641"/>
      <c r="GE514" s="1641"/>
      <c r="GF514" s="1641"/>
      <c r="GG514" s="1641"/>
      <c r="GH514" s="1641"/>
      <c r="GI514" s="1641"/>
      <c r="GJ514" s="1641"/>
      <c r="GK514" s="1641"/>
      <c r="GL514" s="1641"/>
      <c r="GM514" s="1641"/>
      <c r="GN514" s="1641"/>
      <c r="GO514" s="1641"/>
      <c r="GP514" s="1641"/>
      <c r="GQ514" s="1641"/>
      <c r="GR514" s="1641"/>
      <c r="GS514" s="1641"/>
      <c r="GT514" s="1641"/>
      <c r="GU514" s="1641"/>
      <c r="GV514" s="1641"/>
      <c r="GW514" s="1641"/>
      <c r="GX514" s="1641"/>
      <c r="GY514" s="1641"/>
      <c r="GZ514" s="1641"/>
      <c r="HA514" s="1641"/>
      <c r="HB514" s="1641"/>
      <c r="HC514" s="1641"/>
      <c r="HD514" s="1641"/>
      <c r="HE514" s="1641"/>
      <c r="HF514" s="1641"/>
      <c r="HG514" s="1641"/>
      <c r="HH514" s="1641"/>
      <c r="HI514" s="1641"/>
      <c r="HJ514" s="1641"/>
      <c r="HK514" s="1641"/>
      <c r="HL514" s="1641"/>
      <c r="HM514" s="1641"/>
      <c r="HN514" s="1641"/>
      <c r="HO514" s="1641"/>
      <c r="HP514" s="1641"/>
      <c r="HQ514" s="1641"/>
      <c r="HR514" s="1641"/>
      <c r="HS514" s="1641"/>
      <c r="HT514" s="1641"/>
      <c r="HU514" s="1641"/>
      <c r="HV514" s="1641"/>
      <c r="HW514" s="1641"/>
      <c r="HX514" s="1641"/>
      <c r="HY514" s="1641"/>
      <c r="HZ514" s="1641"/>
      <c r="IA514" s="1641"/>
      <c r="IB514" s="1641"/>
      <c r="IC514" s="1641"/>
      <c r="ID514" s="1641"/>
      <c r="IE514" s="1641"/>
      <c r="IF514" s="1641"/>
      <c r="IG514" s="1641"/>
      <c r="IH514" s="1641"/>
      <c r="II514" s="1641"/>
      <c r="IJ514" s="1641"/>
      <c r="IK514" s="1641"/>
      <c r="IL514" s="1641"/>
      <c r="IM514" s="1641"/>
      <c r="IN514" s="1641"/>
      <c r="IO514" s="1641"/>
      <c r="IP514" s="1641"/>
      <c r="IQ514" s="1641"/>
      <c r="IR514" s="1641"/>
      <c r="IS514" s="1641"/>
      <c r="IT514" s="1641"/>
      <c r="IU514" s="1641"/>
      <c r="IV514" s="1641"/>
      <c r="IW514" s="1641"/>
      <c r="IX514" s="1641"/>
      <c r="IY514" s="1641"/>
      <c r="IZ514" s="1641"/>
      <c r="JA514" s="1641"/>
      <c r="JB514" s="1641"/>
      <c r="JC514" s="1641"/>
      <c r="JD514" s="1641"/>
      <c r="JE514" s="1641"/>
      <c r="JF514" s="1641"/>
      <c r="JG514" s="1641"/>
      <c r="JH514" s="1641"/>
      <c r="JI514" s="1641"/>
      <c r="JJ514" s="1641"/>
      <c r="JK514" s="1641"/>
      <c r="JL514" s="1641"/>
      <c r="JM514" s="1641"/>
      <c r="JN514" s="1641"/>
      <c r="JO514" s="1641"/>
      <c r="JP514" s="1641"/>
      <c r="JQ514" s="1641"/>
      <c r="JR514" s="1641"/>
      <c r="JS514" s="1641"/>
      <c r="JT514" s="1641"/>
      <c r="JU514" s="1641"/>
      <c r="JV514" s="1641"/>
      <c r="JW514" s="1641"/>
      <c r="JX514" s="1641"/>
      <c r="JY514" s="1641"/>
      <c r="JZ514" s="1641"/>
      <c r="KA514" s="1641"/>
      <c r="KB514" s="1641"/>
      <c r="KC514" s="1641"/>
      <c r="KD514" s="1641"/>
      <c r="KE514" s="1641"/>
      <c r="KF514" s="1641"/>
      <c r="KG514" s="1641"/>
      <c r="KH514" s="1641"/>
      <c r="KI514" s="1641"/>
      <c r="KJ514" s="1641"/>
      <c r="KK514" s="1641"/>
      <c r="KL514" s="1641"/>
      <c r="KM514" s="1641"/>
      <c r="KN514" s="1641"/>
      <c r="KO514" s="1641"/>
      <c r="KP514" s="1641"/>
      <c r="KQ514" s="1641"/>
      <c r="KR514" s="1641"/>
      <c r="KS514" s="1641"/>
      <c r="KT514" s="1641"/>
      <c r="KU514" s="1641"/>
      <c r="KV514" s="1641"/>
      <c r="KW514" s="1641"/>
      <c r="KX514" s="1641"/>
      <c r="KY514" s="1641"/>
      <c r="KZ514" s="1641"/>
      <c r="LA514" s="1641"/>
      <c r="LB514" s="1641"/>
      <c r="LC514" s="1641"/>
      <c r="LD514" s="1641"/>
      <c r="LE514" s="1641"/>
      <c r="LF514" s="1641"/>
      <c r="LG514" s="1641"/>
      <c r="LH514" s="1641"/>
      <c r="LI514" s="1641"/>
      <c r="LJ514" s="1641"/>
      <c r="LK514" s="1641"/>
      <c r="LL514" s="1641"/>
      <c r="LM514" s="1641"/>
      <c r="LN514" s="1641"/>
      <c r="LO514" s="1641"/>
      <c r="LP514" s="1641"/>
      <c r="LQ514" s="1641"/>
      <c r="LR514" s="1641"/>
      <c r="LS514" s="1641"/>
      <c r="LT514" s="1641"/>
      <c r="LU514" s="1641"/>
      <c r="LV514" s="1641"/>
      <c r="LW514" s="1641"/>
      <c r="LX514" s="1641"/>
      <c r="LY514" s="1641"/>
      <c r="LZ514" s="1641"/>
      <c r="MA514" s="1641"/>
      <c r="MB514" s="1641"/>
      <c r="MC514" s="1641"/>
      <c r="MD514" s="1641"/>
      <c r="ME514" s="1641"/>
      <c r="MF514" s="1641"/>
      <c r="MG514" s="1641"/>
      <c r="MH514" s="1641"/>
      <c r="MI514" s="1641"/>
      <c r="MJ514" s="1641"/>
      <c r="MK514" s="1641"/>
      <c r="ML514" s="1641"/>
      <c r="MM514" s="1641"/>
      <c r="MN514" s="1641"/>
      <c r="MO514" s="1641"/>
      <c r="MP514" s="1641"/>
      <c r="MQ514" s="1641"/>
      <c r="MR514" s="1641"/>
      <c r="MS514" s="1641"/>
      <c r="MT514" s="1641"/>
      <c r="MU514" s="1641"/>
      <c r="MV514" s="1641"/>
      <c r="MW514" s="1641"/>
      <c r="MX514" s="1641"/>
      <c r="MY514" s="1641"/>
      <c r="MZ514" s="1641"/>
      <c r="NA514" s="1641"/>
      <c r="NB514" s="1641"/>
      <c r="NC514" s="1641"/>
      <c r="ND514" s="1641"/>
      <c r="NE514" s="1641"/>
      <c r="NF514" s="1641"/>
      <c r="NG514" s="1641"/>
      <c r="NH514" s="1641"/>
      <c r="NI514" s="1641"/>
      <c r="NJ514" s="1641"/>
      <c r="NK514" s="1641"/>
      <c r="NL514" s="1641"/>
      <c r="NM514" s="1641"/>
      <c r="NN514" s="1641"/>
      <c r="OZ514" s="1640">
        <v>57</v>
      </c>
    </row>
    <row r="515" spans="1:416" ht="14.7" customHeight="1">
      <c r="A515" s="360" t="s">
        <v>688</v>
      </c>
      <c r="B515" s="360" t="s">
        <v>498</v>
      </c>
      <c r="K515" s="2744" t="s">
        <v>4530</v>
      </c>
      <c r="O515" s="2542" t="str">
        <f>'Part V-Revenues &amp; Expenses'!O62</f>
        <v>Income Averaging</v>
      </c>
      <c r="P515" s="2542"/>
      <c r="S515" s="1639" t="str">
        <f>B515</f>
        <v>UNIT SUMMARY</v>
      </c>
      <c r="T515" s="1639"/>
      <c r="U515" s="1639"/>
      <c r="V515" s="1639"/>
      <c r="AY515" s="358"/>
      <c r="BD515" s="358"/>
      <c r="LF515" s="1640"/>
      <c r="LK515" s="1640"/>
      <c r="LP515" s="1640"/>
      <c r="LU515" s="1640"/>
      <c r="LV515" s="1640"/>
      <c r="LW515" s="1640"/>
      <c r="LX515" s="1640"/>
      <c r="LY515" s="1640"/>
      <c r="LZ515" s="1640"/>
      <c r="MA515" s="1640"/>
      <c r="MB515" s="1640"/>
      <c r="MC515" s="1640"/>
      <c r="MD515" s="1640"/>
      <c r="ME515" s="1640"/>
      <c r="MF515" s="1640"/>
      <c r="MG515" s="1640"/>
      <c r="MH515" s="1640"/>
      <c r="MI515" s="1640"/>
      <c r="MJ515" s="1640"/>
      <c r="MK515" s="1640"/>
      <c r="ML515" s="1640"/>
      <c r="MM515" s="1640"/>
      <c r="MN515" s="1640"/>
      <c r="MO515" s="1640"/>
      <c r="MP515" s="1640"/>
      <c r="MW515" s="360"/>
      <c r="MX515" s="360"/>
      <c r="NN515" s="360"/>
      <c r="OZ515" s="1784">
        <v>58</v>
      </c>
    </row>
    <row r="516" spans="1:416" ht="14.25" customHeight="1">
      <c r="A516" s="360"/>
      <c r="B516" s="360"/>
      <c r="K516" s="1711" t="s">
        <v>4531</v>
      </c>
      <c r="O516" s="2542" t="str">
        <f>'Part V-Revenues &amp; Expenses'!O63</f>
        <v>N/a</v>
      </c>
      <c r="P516" s="2542"/>
      <c r="S516" s="360"/>
      <c r="T516" s="360"/>
      <c r="U516" s="2706"/>
      <c r="AY516" s="358"/>
      <c r="BD516" s="358"/>
      <c r="LF516" s="1640"/>
      <c r="LK516" s="1640"/>
      <c r="LP516" s="1640"/>
      <c r="LU516" s="1640"/>
      <c r="LV516" s="1640"/>
      <c r="LW516" s="1640"/>
      <c r="LX516" s="1640"/>
      <c r="LY516" s="1640"/>
      <c r="LZ516" s="1640"/>
      <c r="MA516" s="1640"/>
      <c r="MB516" s="1640"/>
      <c r="MC516" s="1640"/>
      <c r="MD516" s="1640"/>
      <c r="ME516" s="1640"/>
      <c r="MF516" s="1640"/>
      <c r="MG516" s="1640"/>
      <c r="MH516" s="1640"/>
      <c r="MI516" s="1640"/>
      <c r="MJ516" s="1640"/>
      <c r="MK516" s="1640"/>
      <c r="ML516" s="1640"/>
      <c r="MM516" s="1640"/>
      <c r="MN516" s="1640"/>
      <c r="MO516" s="1640"/>
      <c r="MP516" s="1640"/>
      <c r="MW516" s="360"/>
      <c r="MX516" s="360"/>
      <c r="NN516" s="360"/>
      <c r="OZ516" s="1784">
        <v>59</v>
      </c>
    </row>
    <row r="517" spans="1:416" ht="14.7" customHeight="1">
      <c r="A517" s="360"/>
      <c r="B517" s="360" t="s">
        <v>4385</v>
      </c>
      <c r="H517" s="356" t="s">
        <v>974</v>
      </c>
      <c r="K517" s="2745" t="s">
        <v>525</v>
      </c>
      <c r="L517" s="1786" t="s">
        <v>499</v>
      </c>
      <c r="M517" s="1786" t="s">
        <v>500</v>
      </c>
      <c r="N517" s="1786" t="s">
        <v>501</v>
      </c>
      <c r="O517" s="1786" t="s">
        <v>502</v>
      </c>
      <c r="P517" s="1786" t="s">
        <v>503</v>
      </c>
      <c r="S517" s="360" t="s">
        <v>1705</v>
      </c>
      <c r="T517" s="360"/>
      <c r="U517" s="2706"/>
      <c r="AR517" s="1786"/>
      <c r="AS517" s="1786"/>
      <c r="AT517" s="1786"/>
      <c r="AU517" s="1786"/>
      <c r="AV517" s="1786"/>
      <c r="AW517" s="1786"/>
      <c r="AY517" s="358"/>
      <c r="BB517" s="1786"/>
      <c r="BD517" s="358"/>
      <c r="LF517" s="1640"/>
      <c r="LK517" s="1640"/>
      <c r="LP517" s="1640"/>
      <c r="LU517" s="1640"/>
      <c r="LV517" s="1640"/>
      <c r="LW517" s="1640"/>
      <c r="LX517" s="1640"/>
      <c r="LY517" s="1640"/>
      <c r="LZ517" s="1640"/>
      <c r="MA517" s="1640"/>
      <c r="MB517" s="1640"/>
      <c r="MC517" s="1640"/>
      <c r="MD517" s="1640"/>
      <c r="ME517" s="1640"/>
      <c r="MF517" s="1640"/>
      <c r="MG517" s="1640"/>
      <c r="MH517" s="1640"/>
      <c r="MI517" s="1640"/>
      <c r="MJ517" s="1640"/>
      <c r="MK517" s="1640"/>
      <c r="ML517" s="1640"/>
      <c r="MM517" s="1640"/>
      <c r="MN517" s="1640"/>
      <c r="MO517" s="1640"/>
      <c r="MP517" s="1640"/>
      <c r="MW517" s="360"/>
      <c r="MX517" s="360"/>
      <c r="NN517" s="360"/>
      <c r="OZ517" s="1640">
        <v>60</v>
      </c>
    </row>
    <row r="518" spans="1:416" ht="15" customHeight="1">
      <c r="A518" s="2746" t="s">
        <v>3941</v>
      </c>
      <c r="B518" s="2746"/>
      <c r="C518" s="358" t="s">
        <v>1068</v>
      </c>
      <c r="D518" s="358"/>
      <c r="E518" s="358"/>
      <c r="F518" s="358"/>
      <c r="H518" s="1409" t="s">
        <v>3554</v>
      </c>
      <c r="I518" s="361"/>
      <c r="K518" s="2747">
        <f>X511</f>
        <v>0</v>
      </c>
      <c r="L518" s="2747">
        <f>Y511</f>
        <v>8</v>
      </c>
      <c r="M518" s="2747">
        <f>Z511</f>
        <v>24</v>
      </c>
      <c r="N518" s="2747">
        <f>AA511</f>
        <v>0</v>
      </c>
      <c r="O518" s="2747">
        <f>AB511</f>
        <v>0</v>
      </c>
      <c r="P518" s="2747">
        <f t="shared" ref="P518:P529" si="379">SUM(K518:O518)</f>
        <v>32</v>
      </c>
      <c r="Q518" s="2547" t="s">
        <v>3098</v>
      </c>
      <c r="R518" s="1769"/>
      <c r="S518" s="2647"/>
      <c r="T518" s="2647"/>
      <c r="U518" s="2647"/>
      <c r="V518" s="2647"/>
      <c r="W518" s="2647"/>
      <c r="X518" s="358"/>
      <c r="AA518" s="358"/>
      <c r="AB518" s="361"/>
      <c r="AC518" s="358"/>
      <c r="AF518" s="358"/>
      <c r="AG518" s="361"/>
      <c r="AH518" s="358"/>
      <c r="AK518" s="358"/>
      <c r="AL518" s="361"/>
      <c r="AM518" s="358"/>
      <c r="AP518" s="358"/>
      <c r="AQ518" s="361"/>
      <c r="AR518" s="362"/>
      <c r="AS518" s="362"/>
      <c r="AT518" s="362"/>
      <c r="AU518" s="362"/>
      <c r="AV518" s="362"/>
      <c r="AW518" s="362"/>
      <c r="AX518" s="361"/>
      <c r="AY518" s="358"/>
      <c r="BB518" s="362"/>
      <c r="BC518" s="361"/>
      <c r="BD518" s="358"/>
      <c r="LF518" s="1640"/>
      <c r="LK518" s="1640"/>
      <c r="LP518" s="1640"/>
      <c r="LU518" s="1640"/>
      <c r="LV518" s="1640"/>
      <c r="LW518" s="1640"/>
      <c r="LX518" s="1640"/>
      <c r="LY518" s="1640"/>
      <c r="LZ518" s="1640"/>
      <c r="MA518" s="1640"/>
      <c r="MB518" s="1640"/>
      <c r="MC518" s="1640"/>
      <c r="MD518" s="1640"/>
      <c r="ME518" s="1640"/>
      <c r="MF518" s="1640"/>
      <c r="MG518" s="1640"/>
      <c r="MH518" s="1640"/>
      <c r="MI518" s="1640"/>
      <c r="MJ518" s="1640"/>
      <c r="MK518" s="1640"/>
      <c r="ML518" s="1640"/>
      <c r="MM518" s="1640"/>
      <c r="MN518" s="1640"/>
      <c r="MO518" s="1640"/>
      <c r="MP518" s="1640"/>
      <c r="MW518" s="360"/>
      <c r="MX518" s="360"/>
      <c r="NN518" s="360"/>
      <c r="OZ518" s="1784">
        <v>61</v>
      </c>
    </row>
    <row r="519" spans="1:416" ht="15" customHeight="1">
      <c r="A519" s="2746"/>
      <c r="B519" s="2746"/>
      <c r="C519" s="358"/>
      <c r="D519" s="358"/>
      <c r="E519" s="358"/>
      <c r="F519" s="358"/>
      <c r="H519" s="1409" t="s">
        <v>3555</v>
      </c>
      <c r="I519" s="361"/>
      <c r="K519" s="2747">
        <f>AC511</f>
        <v>0</v>
      </c>
      <c r="L519" s="2747">
        <f>AD511</f>
        <v>0</v>
      </c>
      <c r="M519" s="2747">
        <f>AE511</f>
        <v>0</v>
      </c>
      <c r="N519" s="2747">
        <f>AF511</f>
        <v>0</v>
      </c>
      <c r="O519" s="2747">
        <f>AG511</f>
        <v>0</v>
      </c>
      <c r="P519" s="2747">
        <f t="shared" si="379"/>
        <v>0</v>
      </c>
      <c r="Q519" s="2547"/>
      <c r="R519" s="1769"/>
      <c r="S519" s="2647"/>
      <c r="T519" s="2647"/>
      <c r="U519" s="2647"/>
      <c r="V519" s="2647"/>
      <c r="W519" s="2647"/>
      <c r="X519" s="358"/>
      <c r="AA519" s="358"/>
      <c r="AB519" s="361"/>
      <c r="AC519" s="358"/>
      <c r="AF519" s="358"/>
      <c r="AG519" s="361"/>
      <c r="AH519" s="358"/>
      <c r="AK519" s="358"/>
      <c r="AL519" s="361"/>
      <c r="AM519" s="358"/>
      <c r="AP519" s="358"/>
      <c r="AQ519" s="361"/>
      <c r="AR519" s="362"/>
      <c r="AS519" s="362"/>
      <c r="AT519" s="362"/>
      <c r="AU519" s="362"/>
      <c r="AV519" s="362"/>
      <c r="AW519" s="362"/>
      <c r="AX519" s="361"/>
      <c r="AY519" s="358"/>
      <c r="BB519" s="362"/>
      <c r="BC519" s="361"/>
      <c r="BD519" s="358"/>
      <c r="LF519" s="1640"/>
      <c r="LK519" s="1640"/>
      <c r="LP519" s="1640"/>
      <c r="LU519" s="1640"/>
      <c r="LV519" s="1640"/>
      <c r="LW519" s="1640"/>
      <c r="LX519" s="1640"/>
      <c r="LY519" s="1640"/>
      <c r="LZ519" s="1640"/>
      <c r="MA519" s="1640"/>
      <c r="MB519" s="1640"/>
      <c r="MC519" s="1640"/>
      <c r="MD519" s="1640"/>
      <c r="ME519" s="1640"/>
      <c r="MF519" s="1640"/>
      <c r="MG519" s="1640"/>
      <c r="MH519" s="1640"/>
      <c r="MI519" s="1640"/>
      <c r="MJ519" s="1640"/>
      <c r="MK519" s="1640"/>
      <c r="ML519" s="1640"/>
      <c r="MM519" s="1640"/>
      <c r="MN519" s="1640"/>
      <c r="MO519" s="1640"/>
      <c r="MP519" s="1640"/>
      <c r="MW519" s="360"/>
      <c r="MX519" s="360"/>
      <c r="NN519" s="360"/>
      <c r="OZ519" s="1784">
        <v>62</v>
      </c>
    </row>
    <row r="520" spans="1:416" ht="15" customHeight="1">
      <c r="A520" s="2746"/>
      <c r="B520" s="2746"/>
      <c r="C520" s="358"/>
      <c r="D520" s="358"/>
      <c r="E520" s="358"/>
      <c r="F520" s="358"/>
      <c r="H520" s="1409" t="s">
        <v>1080</v>
      </c>
      <c r="I520" s="361"/>
      <c r="K520" s="2747">
        <f>AH511</f>
        <v>0</v>
      </c>
      <c r="L520" s="2747">
        <f>AI511</f>
        <v>24</v>
      </c>
      <c r="M520" s="2747">
        <f>AJ511</f>
        <v>72</v>
      </c>
      <c r="N520" s="2747">
        <f>AK511</f>
        <v>0</v>
      </c>
      <c r="O520" s="2747">
        <f>AL511</f>
        <v>0</v>
      </c>
      <c r="P520" s="2747">
        <f t="shared" si="379"/>
        <v>96</v>
      </c>
      <c r="Q520" s="2547"/>
      <c r="R520" s="1769"/>
      <c r="S520" s="2647"/>
      <c r="T520" s="2647"/>
      <c r="U520" s="2647"/>
      <c r="V520" s="2647"/>
      <c r="W520" s="2647"/>
      <c r="X520" s="358"/>
      <c r="AA520" s="358"/>
      <c r="AB520" s="361"/>
      <c r="AC520" s="358"/>
      <c r="AF520" s="358"/>
      <c r="AG520" s="361"/>
      <c r="AH520" s="358"/>
      <c r="AK520" s="358"/>
      <c r="AL520" s="361"/>
      <c r="AM520" s="358"/>
      <c r="AP520" s="358"/>
      <c r="AQ520" s="361"/>
      <c r="AR520" s="362"/>
      <c r="AS520" s="362"/>
      <c r="AT520" s="362"/>
      <c r="AU520" s="362"/>
      <c r="AV520" s="362"/>
      <c r="AW520" s="362"/>
      <c r="AX520" s="361"/>
      <c r="AY520" s="358"/>
      <c r="BB520" s="362"/>
      <c r="BC520" s="361"/>
      <c r="BD520" s="358"/>
      <c r="LF520" s="1640"/>
      <c r="LK520" s="1640"/>
      <c r="LP520" s="1640"/>
      <c r="LU520" s="1640"/>
      <c r="LV520" s="1640"/>
      <c r="LW520" s="1640"/>
      <c r="LX520" s="1640"/>
      <c r="LY520" s="1640"/>
      <c r="LZ520" s="1640"/>
      <c r="MA520" s="1640"/>
      <c r="MB520" s="1640"/>
      <c r="MC520" s="1640"/>
      <c r="MD520" s="1640"/>
      <c r="ME520" s="1640"/>
      <c r="MF520" s="1640"/>
      <c r="MG520" s="1640"/>
      <c r="MH520" s="1640"/>
      <c r="MI520" s="1640"/>
      <c r="MJ520" s="1640"/>
      <c r="MK520" s="1640"/>
      <c r="ML520" s="1640"/>
      <c r="MM520" s="1640"/>
      <c r="MN520" s="1640"/>
      <c r="MO520" s="1640"/>
      <c r="MP520" s="1640"/>
      <c r="MW520" s="360"/>
      <c r="MX520" s="360"/>
      <c r="NN520" s="360"/>
      <c r="OZ520" s="1784">
        <v>63</v>
      </c>
    </row>
    <row r="521" spans="1:416" ht="15" customHeight="1">
      <c r="A521" s="2746"/>
      <c r="B521" s="2746"/>
      <c r="C521" s="358"/>
      <c r="D521" s="358"/>
      <c r="E521" s="358"/>
      <c r="F521" s="358"/>
      <c r="H521" s="1409" t="s">
        <v>112</v>
      </c>
      <c r="I521" s="361"/>
      <c r="K521" s="2747">
        <f>AM511</f>
        <v>0</v>
      </c>
      <c r="L521" s="2747">
        <f>AN511</f>
        <v>4</v>
      </c>
      <c r="M521" s="2747">
        <f>AO511</f>
        <v>12</v>
      </c>
      <c r="N521" s="2747">
        <f>AP511</f>
        <v>0</v>
      </c>
      <c r="O521" s="2747">
        <f>AQ511</f>
        <v>0</v>
      </c>
      <c r="P521" s="2747">
        <f t="shared" si="379"/>
        <v>16</v>
      </c>
      <c r="Q521" s="2547"/>
      <c r="R521" s="1769"/>
      <c r="S521" s="2647"/>
      <c r="T521" s="2647"/>
      <c r="U521" s="2647"/>
      <c r="V521" s="2647"/>
      <c r="W521" s="2647"/>
      <c r="X521" s="358"/>
      <c r="AA521" s="358"/>
      <c r="AB521" s="361"/>
      <c r="AC521" s="358"/>
      <c r="AF521" s="358"/>
      <c r="AG521" s="361"/>
      <c r="AH521" s="358"/>
      <c r="AK521" s="358"/>
      <c r="AL521" s="361"/>
      <c r="AM521" s="358"/>
      <c r="AP521" s="358"/>
      <c r="AQ521" s="361"/>
      <c r="AR521" s="362"/>
      <c r="AS521" s="362"/>
      <c r="AT521" s="362"/>
      <c r="AU521" s="362"/>
      <c r="AV521" s="362"/>
      <c r="AW521" s="362"/>
      <c r="AX521" s="361"/>
      <c r="AY521" s="358"/>
      <c r="BB521" s="362"/>
      <c r="BC521" s="361"/>
      <c r="BD521" s="358"/>
      <c r="LF521" s="1640"/>
      <c r="LK521" s="1640"/>
      <c r="LP521" s="1640"/>
      <c r="LU521" s="1640"/>
      <c r="LV521" s="1640"/>
      <c r="LW521" s="1640"/>
      <c r="LX521" s="1640"/>
      <c r="LY521" s="1640"/>
      <c r="LZ521" s="1640"/>
      <c r="MA521" s="1640"/>
      <c r="MB521" s="1640"/>
      <c r="MC521" s="1640"/>
      <c r="MD521" s="1640"/>
      <c r="ME521" s="1640"/>
      <c r="MF521" s="1640"/>
      <c r="MG521" s="1640"/>
      <c r="MH521" s="1640"/>
      <c r="MI521" s="1640"/>
      <c r="MJ521" s="1640"/>
      <c r="MK521" s="1640"/>
      <c r="ML521" s="1640"/>
      <c r="MM521" s="1640"/>
      <c r="MN521" s="1640"/>
      <c r="MO521" s="1640"/>
      <c r="MP521" s="1640"/>
      <c r="MW521" s="360"/>
      <c r="MX521" s="360"/>
      <c r="NN521" s="360"/>
      <c r="OZ521" s="1784">
        <v>64</v>
      </c>
    </row>
    <row r="522" spans="1:416" ht="15" customHeight="1">
      <c r="A522" s="2746"/>
      <c r="B522" s="2746"/>
      <c r="C522" s="358"/>
      <c r="D522" s="358"/>
      <c r="E522" s="358"/>
      <c r="F522" s="358"/>
      <c r="H522" s="1409" t="s">
        <v>3556</v>
      </c>
      <c r="I522" s="361"/>
      <c r="K522" s="2747">
        <f>AR511</f>
        <v>0</v>
      </c>
      <c r="L522" s="2747">
        <f>AS511</f>
        <v>0</v>
      </c>
      <c r="M522" s="2747">
        <f>AT511</f>
        <v>0</v>
      </c>
      <c r="N522" s="2747">
        <f>AU511</f>
        <v>0</v>
      </c>
      <c r="O522" s="2747">
        <f>AV511</f>
        <v>0</v>
      </c>
      <c r="P522" s="2747">
        <f t="shared" si="379"/>
        <v>0</v>
      </c>
      <c r="Q522" s="2547"/>
      <c r="R522" s="1769"/>
      <c r="S522" s="2647"/>
      <c r="T522" s="2647"/>
      <c r="U522" s="2647"/>
      <c r="V522" s="2647"/>
      <c r="W522" s="2647"/>
      <c r="X522" s="358"/>
      <c r="AA522" s="358"/>
      <c r="AB522" s="361"/>
      <c r="AC522" s="358"/>
      <c r="AF522" s="358"/>
      <c r="AG522" s="361"/>
      <c r="AH522" s="358"/>
      <c r="AK522" s="358"/>
      <c r="AL522" s="361"/>
      <c r="AM522" s="358"/>
      <c r="AP522" s="358"/>
      <c r="AQ522" s="361"/>
      <c r="AR522" s="362"/>
      <c r="AS522" s="362"/>
      <c r="AT522" s="362"/>
      <c r="AU522" s="362"/>
      <c r="AV522" s="362"/>
      <c r="AW522" s="362"/>
      <c r="AX522" s="361"/>
      <c r="AY522" s="358"/>
      <c r="BB522" s="362"/>
      <c r="BC522" s="361"/>
      <c r="BD522" s="358"/>
      <c r="LF522" s="1640"/>
      <c r="LK522" s="1640"/>
      <c r="LP522" s="1640"/>
      <c r="LU522" s="1640"/>
      <c r="LV522" s="1640"/>
      <c r="LW522" s="1640"/>
      <c r="LX522" s="1640"/>
      <c r="LY522" s="1640"/>
      <c r="LZ522" s="1640"/>
      <c r="MA522" s="1640"/>
      <c r="MB522" s="1640"/>
      <c r="MC522" s="1640"/>
      <c r="MD522" s="1640"/>
      <c r="ME522" s="1640"/>
      <c r="MF522" s="1640"/>
      <c r="MG522" s="1640"/>
      <c r="MH522" s="1640"/>
      <c r="MI522" s="1640"/>
      <c r="MJ522" s="1640"/>
      <c r="MK522" s="1640"/>
      <c r="ML522" s="1640"/>
      <c r="MM522" s="1640"/>
      <c r="MN522" s="1640"/>
      <c r="MO522" s="1640"/>
      <c r="MP522" s="1640"/>
      <c r="MW522" s="360"/>
      <c r="MX522" s="360"/>
      <c r="NN522" s="360"/>
      <c r="OZ522" s="1784">
        <v>65</v>
      </c>
    </row>
    <row r="523" spans="1:416" ht="15" customHeight="1">
      <c r="A523" s="2746"/>
      <c r="B523" s="2746"/>
      <c r="C523" s="358"/>
      <c r="D523" s="358"/>
      <c r="E523" s="358"/>
      <c r="F523" s="358"/>
      <c r="H523" s="1409" t="s">
        <v>3557</v>
      </c>
      <c r="I523" s="361"/>
      <c r="K523" s="2747">
        <f>AW511</f>
        <v>0</v>
      </c>
      <c r="L523" s="2747">
        <f>AX511</f>
        <v>4</v>
      </c>
      <c r="M523" s="2747">
        <f>AY511</f>
        <v>12</v>
      </c>
      <c r="N523" s="2747">
        <f>AZ511</f>
        <v>0</v>
      </c>
      <c r="O523" s="2747">
        <f>BA511</f>
        <v>0</v>
      </c>
      <c r="P523" s="2747">
        <f t="shared" si="379"/>
        <v>16</v>
      </c>
      <c r="Q523" s="2547"/>
      <c r="R523" s="1769"/>
      <c r="S523" s="2647"/>
      <c r="T523" s="2647"/>
      <c r="U523" s="2647"/>
      <c r="V523" s="2647"/>
      <c r="W523" s="2647"/>
      <c r="X523" s="358"/>
      <c r="AA523" s="358"/>
      <c r="AB523" s="361"/>
      <c r="AC523" s="358"/>
      <c r="AF523" s="358"/>
      <c r="AG523" s="361"/>
      <c r="AH523" s="358"/>
      <c r="AK523" s="358"/>
      <c r="AL523" s="361"/>
      <c r="AM523" s="358"/>
      <c r="AP523" s="358"/>
      <c r="AQ523" s="361"/>
      <c r="AR523" s="362"/>
      <c r="AS523" s="362"/>
      <c r="AT523" s="362"/>
      <c r="AU523" s="362"/>
      <c r="AV523" s="362"/>
      <c r="AW523" s="362"/>
      <c r="AX523" s="361"/>
      <c r="AY523" s="358"/>
      <c r="BB523" s="362"/>
      <c r="BC523" s="361"/>
      <c r="BD523" s="358"/>
      <c r="LF523" s="1640"/>
      <c r="LK523" s="1640"/>
      <c r="LP523" s="1640"/>
      <c r="LU523" s="1640"/>
      <c r="LV523" s="1640"/>
      <c r="LW523" s="1640"/>
      <c r="LX523" s="1640"/>
      <c r="LY523" s="1640"/>
      <c r="LZ523" s="1640"/>
      <c r="MA523" s="1640"/>
      <c r="MB523" s="1640"/>
      <c r="MC523" s="1640"/>
      <c r="MD523" s="1640"/>
      <c r="ME523" s="1640"/>
      <c r="MF523" s="1640"/>
      <c r="MG523" s="1640"/>
      <c r="MH523" s="1640"/>
      <c r="MI523" s="1640"/>
      <c r="MJ523" s="1640"/>
      <c r="MK523" s="1640"/>
      <c r="ML523" s="1640"/>
      <c r="MM523" s="1640"/>
      <c r="MN523" s="1640"/>
      <c r="MO523" s="1640"/>
      <c r="MP523" s="1640"/>
      <c r="MW523" s="360"/>
      <c r="MX523" s="360"/>
      <c r="NN523" s="360"/>
      <c r="OZ523" s="1784">
        <v>66</v>
      </c>
    </row>
    <row r="524" spans="1:416" ht="15" customHeight="1">
      <c r="A524" s="2746"/>
      <c r="B524" s="2746"/>
      <c r="C524" s="1639"/>
      <c r="D524" s="358"/>
      <c r="E524" s="358"/>
      <c r="F524" s="358"/>
      <c r="H524" s="1409" t="s">
        <v>3558</v>
      </c>
      <c r="I524" s="361"/>
      <c r="K524" s="2747">
        <f>BB511</f>
        <v>0</v>
      </c>
      <c r="L524" s="2747">
        <f>BC511</f>
        <v>0</v>
      </c>
      <c r="M524" s="2747">
        <f>BD511</f>
        <v>0</v>
      </c>
      <c r="N524" s="2747">
        <f>BE511</f>
        <v>0</v>
      </c>
      <c r="O524" s="2747">
        <f>BF511</f>
        <v>0</v>
      </c>
      <c r="P524" s="2747">
        <f t="shared" si="379"/>
        <v>0</v>
      </c>
      <c r="Q524" s="2547"/>
      <c r="R524" s="1769"/>
      <c r="S524" s="2647"/>
      <c r="T524" s="2647"/>
      <c r="U524" s="2647"/>
      <c r="V524" s="2647"/>
      <c r="W524" s="2647"/>
      <c r="X524" s="1639"/>
      <c r="AA524" s="358"/>
      <c r="AB524" s="361"/>
      <c r="AC524" s="1639"/>
      <c r="AF524" s="358"/>
      <c r="AG524" s="361"/>
      <c r="AH524" s="1639"/>
      <c r="AK524" s="358"/>
      <c r="AL524" s="361"/>
      <c r="AM524" s="1639"/>
      <c r="AP524" s="358"/>
      <c r="AQ524" s="361"/>
      <c r="AR524" s="362"/>
      <c r="AS524" s="362"/>
      <c r="AT524" s="362"/>
      <c r="AU524" s="362"/>
      <c r="AV524" s="362"/>
      <c r="AW524" s="362"/>
      <c r="AX524" s="361"/>
      <c r="AY524" s="358"/>
      <c r="BB524" s="362"/>
      <c r="BC524" s="361"/>
      <c r="BD524" s="358"/>
      <c r="LF524" s="1640"/>
      <c r="LK524" s="1640"/>
      <c r="LP524" s="1640"/>
      <c r="LU524" s="1640"/>
      <c r="LV524" s="1640"/>
      <c r="LW524" s="1640"/>
      <c r="LX524" s="1640"/>
      <c r="LY524" s="1640"/>
      <c r="LZ524" s="1640"/>
      <c r="MA524" s="1640"/>
      <c r="MB524" s="1640"/>
      <c r="MC524" s="1640"/>
      <c r="MD524" s="1640"/>
      <c r="ME524" s="1640"/>
      <c r="MF524" s="1640"/>
      <c r="MG524" s="1640"/>
      <c r="MH524" s="1640"/>
      <c r="MI524" s="1640"/>
      <c r="MJ524" s="1640"/>
      <c r="MK524" s="1640"/>
      <c r="ML524" s="1640"/>
      <c r="MM524" s="1640"/>
      <c r="MN524" s="1640"/>
      <c r="MO524" s="1640"/>
      <c r="MP524" s="1640"/>
      <c r="MW524" s="360"/>
      <c r="MX524" s="360"/>
      <c r="NN524" s="360"/>
      <c r="OZ524" s="1640">
        <v>67</v>
      </c>
    </row>
    <row r="525" spans="1:416" ht="15" customHeight="1">
      <c r="A525" s="2746"/>
      <c r="B525" s="2746"/>
      <c r="C525" s="1409" t="s">
        <v>3640</v>
      </c>
      <c r="D525" s="358"/>
      <c r="E525" s="358"/>
      <c r="F525" s="358"/>
      <c r="H525" s="359"/>
      <c r="I525" s="790"/>
      <c r="K525" s="2747">
        <f>SUM(K518:K524)</f>
        <v>0</v>
      </c>
      <c r="L525" s="2747">
        <f>SUM(L518:L524)</f>
        <v>40</v>
      </c>
      <c r="M525" s="2747">
        <f>SUM(M518:M524)</f>
        <v>120</v>
      </c>
      <c r="N525" s="2747">
        <f>SUM(N518:N524)</f>
        <v>0</v>
      </c>
      <c r="O525" s="2747">
        <f>SUM(O518:O524)</f>
        <v>0</v>
      </c>
      <c r="P525" s="2747">
        <f t="shared" si="379"/>
        <v>160</v>
      </c>
      <c r="Q525" s="2547"/>
      <c r="S525" s="2647"/>
      <c r="T525" s="2647"/>
      <c r="U525" s="2647"/>
      <c r="V525" s="2647"/>
      <c r="W525" s="2647"/>
      <c r="X525" s="1639"/>
      <c r="AA525" s="358"/>
      <c r="AB525" s="361"/>
      <c r="AC525" s="1639"/>
      <c r="AF525" s="358"/>
      <c r="AG525" s="361"/>
      <c r="AH525" s="1639"/>
      <c r="AK525" s="358"/>
      <c r="AL525" s="361"/>
      <c r="AM525" s="1639"/>
      <c r="AP525" s="358"/>
      <c r="AQ525" s="361"/>
      <c r="AR525" s="362"/>
      <c r="AS525" s="362"/>
      <c r="AT525" s="362"/>
      <c r="AU525" s="362"/>
      <c r="AV525" s="362"/>
      <c r="AW525" s="362"/>
      <c r="AX525" s="361"/>
      <c r="AY525" s="358"/>
      <c r="BB525" s="362"/>
      <c r="BC525" s="361"/>
      <c r="BD525" s="358"/>
      <c r="LF525" s="1640"/>
      <c r="LK525" s="1640"/>
      <c r="LP525" s="1640"/>
      <c r="LU525" s="1640"/>
      <c r="LV525" s="1640"/>
      <c r="LW525" s="1640"/>
      <c r="LX525" s="1640"/>
      <c r="LY525" s="1640"/>
      <c r="LZ525" s="1640"/>
      <c r="MA525" s="1640"/>
      <c r="MB525" s="1640"/>
      <c r="MC525" s="1640"/>
      <c r="MD525" s="1640"/>
      <c r="ME525" s="1640"/>
      <c r="MF525" s="1640"/>
      <c r="MG525" s="1640"/>
      <c r="MH525" s="1640"/>
      <c r="MI525" s="1640"/>
      <c r="MJ525" s="1640"/>
      <c r="MK525" s="1640"/>
      <c r="ML525" s="1640"/>
      <c r="MM525" s="1640"/>
      <c r="MN525" s="1640"/>
      <c r="MO525" s="1640"/>
      <c r="MP525" s="1640"/>
      <c r="MW525" s="360"/>
      <c r="MX525" s="360"/>
      <c r="NN525" s="360"/>
      <c r="OZ525" s="1784">
        <v>68</v>
      </c>
    </row>
    <row r="526" spans="1:416" ht="15" customHeight="1">
      <c r="A526" s="2746"/>
      <c r="B526" s="2746"/>
      <c r="D526" s="358"/>
      <c r="E526" s="358"/>
      <c r="F526" s="358"/>
      <c r="H526" s="1409" t="s">
        <v>290</v>
      </c>
      <c r="I526" s="361"/>
      <c r="K526" s="2747">
        <f>BG511</f>
        <v>0</v>
      </c>
      <c r="L526" s="2747">
        <f>BH511</f>
        <v>0</v>
      </c>
      <c r="M526" s="2747">
        <f>BI511</f>
        <v>0</v>
      </c>
      <c r="N526" s="2747">
        <f>BJ511</f>
        <v>0</v>
      </c>
      <c r="O526" s="2747">
        <f>BK511</f>
        <v>0</v>
      </c>
      <c r="P526" s="2747">
        <f t="shared" si="379"/>
        <v>0</v>
      </c>
      <c r="S526" s="2647"/>
      <c r="T526" s="2647"/>
      <c r="U526" s="2647"/>
      <c r="V526" s="2647"/>
      <c r="W526" s="2647"/>
      <c r="X526" s="358"/>
      <c r="AA526" s="358"/>
      <c r="AB526" s="361"/>
      <c r="AC526" s="358"/>
      <c r="AF526" s="358"/>
      <c r="AG526" s="361"/>
      <c r="AH526" s="358"/>
      <c r="AK526" s="358"/>
      <c r="AL526" s="361"/>
      <c r="AM526" s="358"/>
      <c r="AP526" s="358"/>
      <c r="AQ526" s="361"/>
      <c r="AR526" s="362"/>
      <c r="AS526" s="362"/>
      <c r="AT526" s="362"/>
      <c r="AU526" s="362"/>
      <c r="AV526" s="362"/>
      <c r="AW526" s="362"/>
      <c r="AX526" s="790"/>
      <c r="AY526" s="358"/>
      <c r="BB526" s="362"/>
      <c r="BC526" s="790"/>
      <c r="BD526" s="358"/>
      <c r="LF526" s="1640"/>
      <c r="LK526" s="1640"/>
      <c r="LP526" s="1640"/>
      <c r="LU526" s="1640"/>
      <c r="LV526" s="1640"/>
      <c r="LW526" s="1640"/>
      <c r="LX526" s="1640"/>
      <c r="LY526" s="1640"/>
      <c r="LZ526" s="1640"/>
      <c r="MA526" s="1640"/>
      <c r="MB526" s="1640"/>
      <c r="MC526" s="1640"/>
      <c r="MD526" s="1640"/>
      <c r="ME526" s="1640"/>
      <c r="MF526" s="1640"/>
      <c r="MG526" s="1640"/>
      <c r="MH526" s="1640"/>
      <c r="MI526" s="1640"/>
      <c r="MJ526" s="1640"/>
      <c r="MK526" s="1640"/>
      <c r="ML526" s="1640"/>
      <c r="MM526" s="1640"/>
      <c r="MN526" s="1640"/>
      <c r="MO526" s="1640"/>
      <c r="MP526" s="1640"/>
      <c r="MW526" s="360"/>
      <c r="MX526" s="360"/>
      <c r="NN526" s="360"/>
      <c r="OZ526" s="1784">
        <v>69</v>
      </c>
    </row>
    <row r="527" spans="1:416" ht="15" customHeight="1">
      <c r="A527" s="2746"/>
      <c r="B527" s="2746"/>
      <c r="C527" s="2748" t="s">
        <v>1069</v>
      </c>
      <c r="D527" s="2748"/>
      <c r="E527" s="2748"/>
      <c r="F527" s="2748"/>
      <c r="G527" s="2749"/>
      <c r="H527" s="2750"/>
      <c r="I527" s="2751"/>
      <c r="J527" s="2749"/>
      <c r="K527" s="2752">
        <f>SUM(K525:K526)</f>
        <v>0</v>
      </c>
      <c r="L527" s="2752">
        <f>SUM(L525:L526)</f>
        <v>40</v>
      </c>
      <c r="M527" s="2752">
        <f>SUM(M525:M526)</f>
        <v>120</v>
      </c>
      <c r="N527" s="2752">
        <f>SUM(N525:N526)</f>
        <v>0</v>
      </c>
      <c r="O527" s="2752">
        <f>SUM(O525:O526)</f>
        <v>0</v>
      </c>
      <c r="P527" s="2752">
        <f t="shared" si="379"/>
        <v>160</v>
      </c>
      <c r="S527" s="2647"/>
      <c r="T527" s="2647"/>
      <c r="U527" s="2647"/>
      <c r="V527" s="2647"/>
      <c r="W527" s="2647"/>
      <c r="X527" s="358"/>
      <c r="AA527" s="358"/>
      <c r="AB527" s="361"/>
      <c r="AC527" s="358"/>
      <c r="AF527" s="358"/>
      <c r="AG527" s="361"/>
      <c r="AH527" s="358"/>
      <c r="AK527" s="358"/>
      <c r="AL527" s="361"/>
      <c r="AM527" s="358"/>
      <c r="AP527" s="358"/>
      <c r="AQ527" s="361"/>
      <c r="AR527" s="362"/>
      <c r="AS527" s="362"/>
      <c r="AT527" s="362"/>
      <c r="AU527" s="362"/>
      <c r="AV527" s="362"/>
      <c r="AW527" s="362"/>
      <c r="AX527" s="790"/>
      <c r="AY527" s="358"/>
      <c r="BB527" s="362"/>
      <c r="BC527" s="790"/>
      <c r="BD527" s="358"/>
      <c r="LF527" s="1640"/>
      <c r="LK527" s="1640"/>
      <c r="LP527" s="1640"/>
      <c r="LU527" s="1640"/>
      <c r="LV527" s="1640"/>
      <c r="LW527" s="1640"/>
      <c r="LX527" s="1640"/>
      <c r="LY527" s="1640"/>
      <c r="LZ527" s="1640"/>
      <c r="MA527" s="1640"/>
      <c r="MB527" s="1640"/>
      <c r="MC527" s="1640"/>
      <c r="MD527" s="1640"/>
      <c r="ME527" s="1640"/>
      <c r="MF527" s="1640"/>
      <c r="MG527" s="1640"/>
      <c r="MH527" s="1640"/>
      <c r="MI527" s="1640"/>
      <c r="MJ527" s="1640"/>
      <c r="MK527" s="1640"/>
      <c r="ML527" s="1640"/>
      <c r="MM527" s="1640"/>
      <c r="MN527" s="1640"/>
      <c r="MO527" s="1640"/>
      <c r="MP527" s="1640"/>
      <c r="MW527" s="360"/>
      <c r="MX527" s="360"/>
      <c r="NN527" s="360"/>
      <c r="OZ527" s="1784">
        <v>70</v>
      </c>
    </row>
    <row r="528" spans="1:416" ht="15" customHeight="1">
      <c r="A528" s="2746"/>
      <c r="B528" s="2746"/>
      <c r="D528" s="358"/>
      <c r="E528" s="358"/>
      <c r="F528" s="358"/>
      <c r="H528" s="1409" t="s">
        <v>2302</v>
      </c>
      <c r="I528" s="361"/>
      <c r="K528" s="2747">
        <f>FM511</f>
        <v>0</v>
      </c>
      <c r="L528" s="2747">
        <f>FN511</f>
        <v>0</v>
      </c>
      <c r="M528" s="2747">
        <f>FO511</f>
        <v>0</v>
      </c>
      <c r="N528" s="2747">
        <f>FP511</f>
        <v>0</v>
      </c>
      <c r="O528" s="2747">
        <f>FQ511</f>
        <v>0</v>
      </c>
      <c r="P528" s="2747">
        <f t="shared" si="379"/>
        <v>0</v>
      </c>
      <c r="Q528" s="2547" t="s">
        <v>3099</v>
      </c>
      <c r="S528" s="2647"/>
      <c r="T528" s="2647"/>
      <c r="U528" s="2647"/>
      <c r="V528" s="2647"/>
      <c r="W528" s="2647"/>
      <c r="X528" s="358"/>
      <c r="AA528" s="358"/>
      <c r="AB528" s="361"/>
      <c r="AC528" s="358"/>
      <c r="AF528" s="358"/>
      <c r="AG528" s="361"/>
      <c r="AH528" s="358"/>
      <c r="AK528" s="358"/>
      <c r="AL528" s="361"/>
      <c r="AM528" s="358"/>
      <c r="AP528" s="358"/>
      <c r="AQ528" s="361"/>
      <c r="AR528" s="362"/>
      <c r="AS528" s="362"/>
      <c r="AT528" s="362"/>
      <c r="AU528" s="362"/>
      <c r="AV528" s="362"/>
      <c r="AW528" s="362"/>
      <c r="AX528" s="361"/>
      <c r="AY528" s="358"/>
      <c r="BB528" s="362"/>
      <c r="BC528" s="361"/>
      <c r="BD528" s="358"/>
      <c r="LF528" s="1640"/>
      <c r="LK528" s="1640"/>
      <c r="LP528" s="1640"/>
      <c r="LU528" s="1640"/>
      <c r="LV528" s="1640"/>
      <c r="LW528" s="1640"/>
      <c r="LX528" s="1640"/>
      <c r="LY528" s="1640"/>
      <c r="LZ528" s="1640"/>
      <c r="MA528" s="1640"/>
      <c r="MB528" s="1640"/>
      <c r="MC528" s="1640"/>
      <c r="MD528" s="1640"/>
      <c r="ME528" s="1640"/>
      <c r="MF528" s="1640"/>
      <c r="MG528" s="1640"/>
      <c r="MH528" s="1640"/>
      <c r="MI528" s="1640"/>
      <c r="MJ528" s="1640"/>
      <c r="MK528" s="1640"/>
      <c r="ML528" s="1640"/>
      <c r="MM528" s="1640"/>
      <c r="MN528" s="1640"/>
      <c r="MO528" s="1640"/>
      <c r="MP528" s="1640"/>
      <c r="MW528" s="360"/>
      <c r="MX528" s="360"/>
      <c r="NN528" s="360"/>
      <c r="OZ528" s="1784">
        <v>71</v>
      </c>
    </row>
    <row r="529" spans="1:416" ht="15" customHeight="1">
      <c r="A529" s="2746"/>
      <c r="B529" s="2746"/>
      <c r="C529" s="1639" t="s">
        <v>1662</v>
      </c>
      <c r="D529" s="358"/>
      <c r="E529" s="358"/>
      <c r="F529" s="358"/>
      <c r="H529" s="1409"/>
      <c r="I529" s="361"/>
      <c r="K529" s="2753">
        <f>SUM(K527:K528)</f>
        <v>0</v>
      </c>
      <c r="L529" s="2753">
        <f>SUM(L527:L528)</f>
        <v>40</v>
      </c>
      <c r="M529" s="2753">
        <f>SUM(M527:M528)</f>
        <v>120</v>
      </c>
      <c r="N529" s="2753">
        <f>SUM(N527:N528)</f>
        <v>0</v>
      </c>
      <c r="O529" s="2753">
        <f>SUM(O527:O528)</f>
        <v>0</v>
      </c>
      <c r="P529" s="2753">
        <f t="shared" si="379"/>
        <v>160</v>
      </c>
      <c r="S529" s="2647"/>
      <c r="T529" s="2647"/>
      <c r="U529" s="2647"/>
      <c r="V529" s="2647"/>
      <c r="W529" s="2647"/>
      <c r="X529" s="358"/>
      <c r="AA529" s="358"/>
      <c r="AB529" s="361"/>
      <c r="AC529" s="358"/>
      <c r="AF529" s="358"/>
      <c r="AG529" s="361"/>
      <c r="AH529" s="358"/>
      <c r="AK529" s="358"/>
      <c r="AL529" s="361"/>
      <c r="AM529" s="358"/>
      <c r="AP529" s="358"/>
      <c r="AQ529" s="361"/>
      <c r="AR529" s="362"/>
      <c r="AS529" s="362"/>
      <c r="AT529" s="362"/>
      <c r="AU529" s="362"/>
      <c r="AV529" s="362"/>
      <c r="AW529" s="362"/>
      <c r="AY529" s="358"/>
      <c r="BB529" s="362"/>
      <c r="BD529" s="358"/>
      <c r="LF529" s="1640"/>
      <c r="LK529" s="1640"/>
      <c r="LP529" s="1640"/>
      <c r="LU529" s="1640"/>
      <c r="LV529" s="1640"/>
      <c r="LW529" s="1640"/>
      <c r="LX529" s="1640"/>
      <c r="LY529" s="1640"/>
      <c r="LZ529" s="1640"/>
      <c r="MA529" s="1640"/>
      <c r="MB529" s="1640"/>
      <c r="MC529" s="1640"/>
      <c r="MD529" s="1640"/>
      <c r="ME529" s="1640"/>
      <c r="MF529" s="1640"/>
      <c r="MG529" s="1640"/>
      <c r="MH529" s="1640"/>
      <c r="MI529" s="1640"/>
      <c r="MJ529" s="1640"/>
      <c r="MK529" s="1640"/>
      <c r="ML529" s="1640"/>
      <c r="MM529" s="1640"/>
      <c r="MN529" s="1640"/>
      <c r="MO529" s="1640"/>
      <c r="MP529" s="1640"/>
      <c r="MW529" s="360"/>
      <c r="MX529" s="360"/>
      <c r="NN529" s="360"/>
      <c r="OZ529" s="1784">
        <v>72</v>
      </c>
    </row>
    <row r="530" spans="1:416" ht="16.2" customHeight="1">
      <c r="A530" s="2746"/>
      <c r="B530" s="2746"/>
      <c r="C530" s="2754"/>
      <c r="D530" s="2754"/>
      <c r="E530" s="2754"/>
      <c r="F530" s="2754"/>
      <c r="G530" s="2754"/>
      <c r="H530" s="2746"/>
      <c r="I530" s="2754"/>
      <c r="J530" s="2754"/>
      <c r="K530" s="2754"/>
      <c r="L530" s="2754"/>
      <c r="M530" s="2754"/>
      <c r="N530" s="2754"/>
      <c r="O530" s="2754"/>
      <c r="P530" s="2754"/>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LF530" s="1640"/>
      <c r="LK530" s="1640"/>
      <c r="LP530" s="1640"/>
      <c r="LU530" s="1640"/>
      <c r="LV530" s="1640"/>
      <c r="LW530" s="1640"/>
      <c r="LX530" s="1640"/>
      <c r="LY530" s="1640"/>
      <c r="LZ530" s="1640"/>
      <c r="MA530" s="1640"/>
      <c r="MB530" s="1640"/>
      <c r="MC530" s="1640"/>
      <c r="MD530" s="1640"/>
      <c r="ME530" s="1640"/>
      <c r="MF530" s="1640"/>
      <c r="MG530" s="1640"/>
      <c r="MH530" s="1640"/>
      <c r="MI530" s="1640"/>
      <c r="MJ530" s="1640"/>
      <c r="MK530" s="1640"/>
      <c r="ML530" s="1640"/>
      <c r="MM530" s="1640"/>
      <c r="MN530" s="1640"/>
      <c r="MO530" s="1640"/>
      <c r="MP530" s="1640"/>
      <c r="MW530" s="360"/>
      <c r="MX530" s="360"/>
      <c r="NN530" s="360"/>
      <c r="OZ530" s="2468">
        <v>73</v>
      </c>
    </row>
    <row r="531" spans="1:416" ht="12" customHeight="1">
      <c r="A531" s="2746"/>
      <c r="B531" s="2746"/>
      <c r="C531" s="2754" t="s">
        <v>3649</v>
      </c>
      <c r="D531" s="2754"/>
      <c r="E531" s="2754"/>
      <c r="F531" s="2754"/>
      <c r="G531" s="2754"/>
      <c r="H531" s="2746"/>
      <c r="I531" s="2754"/>
      <c r="J531" s="2754"/>
      <c r="K531" s="2754"/>
      <c r="L531" s="2754"/>
      <c r="M531" s="2754"/>
      <c r="N531" s="2754"/>
      <c r="O531" s="2754"/>
      <c r="P531" s="2754"/>
      <c r="S531" s="2411" t="str">
        <f>C531</f>
        <v xml:space="preserve">Income Limit Distribution among Bedroom Sizes </v>
      </c>
      <c r="U531" s="2711"/>
      <c r="X531" s="358"/>
      <c r="AA531" s="358"/>
      <c r="AB531" s="361"/>
      <c r="AC531" s="358"/>
      <c r="AF531" s="358"/>
      <c r="AG531" s="361"/>
      <c r="AH531" s="358"/>
      <c r="AK531" s="358"/>
      <c r="AL531" s="361"/>
      <c r="AM531" s="358"/>
      <c r="AP531" s="358"/>
      <c r="AQ531" s="361"/>
      <c r="AR531" s="358"/>
      <c r="AS531" s="358"/>
      <c r="AT531" s="358"/>
      <c r="AU531" s="358"/>
      <c r="AV531" s="358"/>
      <c r="AW531" s="358"/>
      <c r="AY531" s="358"/>
      <c r="BB531" s="358"/>
      <c r="BD531" s="358"/>
      <c r="LF531" s="1640"/>
      <c r="LK531" s="1640"/>
      <c r="LP531" s="1640"/>
      <c r="LU531" s="1640"/>
      <c r="LV531" s="1640"/>
      <c r="LW531" s="1640"/>
      <c r="LX531" s="1640"/>
      <c r="LY531" s="1640"/>
      <c r="LZ531" s="1640"/>
      <c r="MA531" s="1640"/>
      <c r="MB531" s="1640"/>
      <c r="MC531" s="1640"/>
      <c r="MD531" s="1640"/>
      <c r="ME531" s="1640"/>
      <c r="MF531" s="1640"/>
      <c r="MG531" s="1640"/>
      <c r="MH531" s="1640"/>
      <c r="MI531" s="1640"/>
      <c r="MJ531" s="1640"/>
      <c r="MK531" s="1640"/>
      <c r="ML531" s="1640"/>
      <c r="MM531" s="1640"/>
      <c r="MN531" s="1640"/>
      <c r="MO531" s="1640"/>
      <c r="MP531" s="1640"/>
      <c r="MW531" s="360"/>
      <c r="MX531" s="360"/>
      <c r="NN531" s="360"/>
      <c r="OZ531" s="1784">
        <v>74</v>
      </c>
    </row>
    <row r="532" spans="1:416" ht="13.2" customHeight="1">
      <c r="A532" s="2746"/>
      <c r="B532" s="2746"/>
      <c r="C532" s="2754"/>
      <c r="D532" s="2754"/>
      <c r="E532" s="2754"/>
      <c r="F532" s="2754"/>
      <c r="H532" s="1409" t="s">
        <v>3554</v>
      </c>
      <c r="I532" s="361"/>
      <c r="J532" s="2755"/>
      <c r="K532" s="2756" t="str">
        <f t="shared" ref="K532:P532" si="380">IF(OR(K518=0,K529=0),"",K518/K529)</f>
        <v/>
      </c>
      <c r="L532" s="2756">
        <f t="shared" si="380"/>
        <v>0.2</v>
      </c>
      <c r="M532" s="2756">
        <f t="shared" si="380"/>
        <v>0.2</v>
      </c>
      <c r="N532" s="2756" t="str">
        <f t="shared" si="380"/>
        <v/>
      </c>
      <c r="O532" s="2756" t="str">
        <f t="shared" si="380"/>
        <v/>
      </c>
      <c r="P532" s="2756">
        <f t="shared" si="380"/>
        <v>0.2</v>
      </c>
      <c r="Q532" s="1769" t="s">
        <v>3935</v>
      </c>
      <c r="S532" s="2647"/>
      <c r="T532" s="2647"/>
      <c r="U532" s="2647"/>
      <c r="V532" s="2647"/>
      <c r="W532" s="2647"/>
      <c r="OZ532" s="1640">
        <v>75</v>
      </c>
    </row>
    <row r="533" spans="1:416">
      <c r="A533" s="2746"/>
      <c r="B533" s="2746"/>
      <c r="C533" s="358"/>
      <c r="H533" s="1409" t="s">
        <v>5144</v>
      </c>
      <c r="I533" s="361"/>
      <c r="J533" s="358"/>
      <c r="K533" s="2757" t="str">
        <f>IF(OR(K518=0,P532="",K529=0),"",P532*K529)</f>
        <v/>
      </c>
      <c r="L533" s="2757">
        <f>IF(OR(L518=0,P532="",L529=0),"",P532*L529)</f>
        <v>8</v>
      </c>
      <c r="M533" s="2757">
        <f>IF(OR(M518=0,P532="",M529=0),"",P532*M529)</f>
        <v>24</v>
      </c>
      <c r="N533" s="2757" t="str">
        <f>IF(OR(N518=0,P532="",N529=0),"",P532*N529)</f>
        <v/>
      </c>
      <c r="O533" s="2757" t="str">
        <f>IF(OR(O518=0,P532="",O529=0),"",P532*O529)</f>
        <v/>
      </c>
      <c r="P533" s="2757">
        <f>IF(OR(P532="",P529=0),"",P532*P529)</f>
        <v>32</v>
      </c>
      <c r="S533" s="2647"/>
      <c r="T533" s="2647"/>
      <c r="U533" s="2647"/>
      <c r="V533" s="2647"/>
      <c r="W533" s="2647"/>
      <c r="OZ533" s="1784">
        <v>76</v>
      </c>
    </row>
    <row r="534" spans="1:416">
      <c r="A534" s="2746"/>
      <c r="B534" s="2746"/>
      <c r="C534" s="358"/>
      <c r="G534" s="2738"/>
      <c r="H534" s="1409" t="s">
        <v>5145</v>
      </c>
      <c r="I534" s="361"/>
      <c r="J534" s="358"/>
      <c r="K534" s="2757" t="str">
        <f t="shared" ref="K534:P534" si="381">IF(OR(K533="",K518=0),"", K518-K533)</f>
        <v/>
      </c>
      <c r="L534" s="2757">
        <f t="shared" si="381"/>
        <v>0</v>
      </c>
      <c r="M534" s="2757">
        <f t="shared" si="381"/>
        <v>0</v>
      </c>
      <c r="N534" s="2757" t="str">
        <f t="shared" si="381"/>
        <v/>
      </c>
      <c r="O534" s="2757" t="str">
        <f t="shared" si="381"/>
        <v/>
      </c>
      <c r="P534" s="2757">
        <f t="shared" si="381"/>
        <v>0</v>
      </c>
      <c r="S534" s="2647"/>
      <c r="T534" s="2647"/>
      <c r="U534" s="2647"/>
      <c r="V534" s="2647"/>
      <c r="W534" s="2647"/>
      <c r="OZ534" s="1784">
        <v>77</v>
      </c>
    </row>
    <row r="535" spans="1:416" ht="12.75" customHeight="1">
      <c r="A535" s="2746"/>
      <c r="B535" s="2746"/>
      <c r="C535" s="358"/>
      <c r="D535" s="358" t="s">
        <v>5146</v>
      </c>
      <c r="E535" s="358"/>
      <c r="F535" s="358"/>
      <c r="H535" s="1409" t="s">
        <v>3555</v>
      </c>
      <c r="I535" s="361"/>
      <c r="J535" s="358"/>
      <c r="K535" s="2756" t="str">
        <f t="shared" ref="K535:P535" si="382">IF(OR(K519=0,K529=0),"",K519/K529)</f>
        <v/>
      </c>
      <c r="L535" s="2756" t="str">
        <f t="shared" si="382"/>
        <v/>
      </c>
      <c r="M535" s="2756" t="str">
        <f t="shared" si="382"/>
        <v/>
      </c>
      <c r="N535" s="2756" t="str">
        <f t="shared" si="382"/>
        <v/>
      </c>
      <c r="O535" s="2756" t="str">
        <f t="shared" si="382"/>
        <v/>
      </c>
      <c r="P535" s="2756" t="str">
        <f t="shared" si="382"/>
        <v/>
      </c>
      <c r="S535" s="2647"/>
      <c r="T535" s="2647"/>
      <c r="U535" s="2647"/>
      <c r="V535" s="2647"/>
      <c r="W535" s="2647"/>
      <c r="OZ535" s="1640">
        <v>78</v>
      </c>
    </row>
    <row r="536" spans="1:416">
      <c r="C536" s="358"/>
      <c r="D536" s="358"/>
      <c r="E536" s="358"/>
      <c r="F536" s="358"/>
      <c r="H536" s="1409" t="s">
        <v>5144</v>
      </c>
      <c r="I536" s="361"/>
      <c r="J536" s="358"/>
      <c r="K536" s="2757" t="str">
        <f>IF(OR(K519=0,P535="",K529=0),"",P535*K529)</f>
        <v/>
      </c>
      <c r="L536" s="2757" t="str">
        <f>IF(OR(L519=0,P535="",L529=0),"",P535*L529)</f>
        <v/>
      </c>
      <c r="M536" s="2757" t="str">
        <f>IF(OR(M519=0,P535="",M529=0),"",P535*M529)</f>
        <v/>
      </c>
      <c r="N536" s="2757" t="str">
        <f>IF(OR(N519=0,P535="",N529=0),"",P535*N529)</f>
        <v/>
      </c>
      <c r="O536" s="2757" t="str">
        <f>IF(OR(O519=0,P535="",O529=0),"",P535*O529)</f>
        <v/>
      </c>
      <c r="P536" s="2757" t="str">
        <f>IF(OR(P535="",P529=0),"",P535*P529)</f>
        <v/>
      </c>
      <c r="S536" s="2647"/>
      <c r="T536" s="2647"/>
      <c r="U536" s="2647"/>
      <c r="V536" s="2647"/>
      <c r="W536" s="2647"/>
      <c r="OZ536" s="1784">
        <v>79</v>
      </c>
    </row>
    <row r="537" spans="1:416">
      <c r="C537" s="358"/>
      <c r="D537" s="358"/>
      <c r="E537" s="358"/>
      <c r="F537" s="358"/>
      <c r="G537" s="2738"/>
      <c r="H537" s="1409" t="s">
        <v>5145</v>
      </c>
      <c r="I537" s="361"/>
      <c r="J537" s="358"/>
      <c r="K537" s="2757" t="str">
        <f t="shared" ref="K537:P537" si="383">IF(OR(K536="",K519=0),"", K519-K536)</f>
        <v/>
      </c>
      <c r="L537" s="2757" t="str">
        <f t="shared" si="383"/>
        <v/>
      </c>
      <c r="M537" s="2757" t="str">
        <f t="shared" si="383"/>
        <v/>
      </c>
      <c r="N537" s="2757" t="str">
        <f t="shared" si="383"/>
        <v/>
      </c>
      <c r="O537" s="2757" t="str">
        <f t="shared" si="383"/>
        <v/>
      </c>
      <c r="P537" s="2757" t="str">
        <f t="shared" si="383"/>
        <v/>
      </c>
      <c r="S537" s="2647"/>
      <c r="T537" s="2647"/>
      <c r="U537" s="2647"/>
      <c r="V537" s="2647"/>
      <c r="W537" s="2647"/>
      <c r="OZ537" s="1784">
        <v>80</v>
      </c>
    </row>
    <row r="538" spans="1:416">
      <c r="C538" s="360" t="s">
        <v>3933</v>
      </c>
      <c r="D538" s="358"/>
      <c r="E538" s="358"/>
      <c r="F538" s="358"/>
      <c r="H538" s="1409" t="s">
        <v>1080</v>
      </c>
      <c r="I538" s="361"/>
      <c r="J538" s="358"/>
      <c r="K538" s="2756" t="str">
        <f t="shared" ref="K538:P538" si="384">IF(OR(K520=0,K529=0),"",K520/K529)</f>
        <v/>
      </c>
      <c r="L538" s="2756">
        <f t="shared" si="384"/>
        <v>0.6</v>
      </c>
      <c r="M538" s="2756">
        <f t="shared" si="384"/>
        <v>0.6</v>
      </c>
      <c r="N538" s="2756" t="str">
        <f t="shared" si="384"/>
        <v/>
      </c>
      <c r="O538" s="2756" t="str">
        <f t="shared" si="384"/>
        <v/>
      </c>
      <c r="P538" s="2756">
        <f t="shared" si="384"/>
        <v>0.6</v>
      </c>
      <c r="S538" s="2647"/>
      <c r="T538" s="2647"/>
      <c r="U538" s="2647"/>
      <c r="V538" s="2647"/>
      <c r="W538" s="2647"/>
      <c r="OZ538" s="1784">
        <v>81</v>
      </c>
    </row>
    <row r="539" spans="1:416" ht="15.75" customHeight="1">
      <c r="C539" s="360"/>
      <c r="D539" s="358"/>
      <c r="E539" s="358"/>
      <c r="F539" s="358"/>
      <c r="H539" s="1409" t="s">
        <v>5144</v>
      </c>
      <c r="I539" s="361"/>
      <c r="J539" s="358"/>
      <c r="K539" s="2757" t="str">
        <f>IF(OR(K520=0,P538="",K529=0),"",P538*K529)</f>
        <v/>
      </c>
      <c r="L539" s="2757">
        <f>IF(OR(L520=0,P538="",L529=0),"",P538*L529)</f>
        <v>24</v>
      </c>
      <c r="M539" s="2757">
        <f>IF(OR(M520=0,P538="",M529=0),"",P538*M529)</f>
        <v>72</v>
      </c>
      <c r="N539" s="2757" t="str">
        <f>IF(OR(N520=0,P538="",N529=0),"",P538*N529)</f>
        <v/>
      </c>
      <c r="O539" s="2757" t="str">
        <f>IF(OR(O520=0,P538="",O529=0),"",P538*O529)</f>
        <v/>
      </c>
      <c r="P539" s="2757">
        <f>IF(OR(P538="",P529=0),"",P538*P529)</f>
        <v>96</v>
      </c>
      <c r="S539" s="2647"/>
      <c r="T539" s="2647"/>
      <c r="U539" s="2647"/>
      <c r="V539" s="2647"/>
      <c r="W539" s="2647"/>
      <c r="OZ539" s="1784">
        <v>82</v>
      </c>
    </row>
    <row r="540" spans="1:416" ht="15.75" customHeight="1">
      <c r="C540" s="360"/>
      <c r="D540" s="358"/>
      <c r="E540" s="358"/>
      <c r="F540" s="358"/>
      <c r="G540" s="2738"/>
      <c r="H540" s="1409" t="s">
        <v>5145</v>
      </c>
      <c r="I540" s="361"/>
      <c r="J540" s="358"/>
      <c r="K540" s="2757" t="str">
        <f t="shared" ref="K540:P540" si="385">IF(OR(K539="",K520=0),"", K520-K539)</f>
        <v/>
      </c>
      <c r="L540" s="2757">
        <f t="shared" si="385"/>
        <v>0</v>
      </c>
      <c r="M540" s="2757">
        <f t="shared" si="385"/>
        <v>0</v>
      </c>
      <c r="N540" s="2757" t="str">
        <f t="shared" si="385"/>
        <v/>
      </c>
      <c r="O540" s="2757" t="str">
        <f t="shared" si="385"/>
        <v/>
      </c>
      <c r="P540" s="2757">
        <f t="shared" si="385"/>
        <v>0</v>
      </c>
      <c r="OZ540" s="1784">
        <v>83</v>
      </c>
    </row>
    <row r="541" spans="1:416">
      <c r="C541" s="360" t="s">
        <v>3933</v>
      </c>
      <c r="D541" s="360"/>
      <c r="E541" s="360"/>
      <c r="H541" s="1409" t="s">
        <v>112</v>
      </c>
      <c r="I541" s="361"/>
      <c r="J541" s="358"/>
      <c r="K541" s="2756" t="str">
        <f t="shared" ref="K541:P541" si="386">IF(OR(K521=0,K529=0),"",K521/K529)</f>
        <v/>
      </c>
      <c r="L541" s="2756">
        <f t="shared" si="386"/>
        <v>0.1</v>
      </c>
      <c r="M541" s="2756">
        <f t="shared" si="386"/>
        <v>0.1</v>
      </c>
      <c r="N541" s="2756" t="str">
        <f t="shared" si="386"/>
        <v/>
      </c>
      <c r="O541" s="2756" t="str">
        <f t="shared" si="386"/>
        <v/>
      </c>
      <c r="P541" s="2756">
        <f t="shared" si="386"/>
        <v>0.1</v>
      </c>
      <c r="OZ541" s="2468">
        <v>84</v>
      </c>
    </row>
    <row r="542" spans="1:416">
      <c r="C542" s="360"/>
      <c r="D542" s="360"/>
      <c r="E542" s="360"/>
      <c r="H542" s="1409" t="s">
        <v>5144</v>
      </c>
      <c r="I542" s="361"/>
      <c r="J542" s="358"/>
      <c r="K542" s="2757" t="str">
        <f>IF(OR(K521=0,P541="",K529=0),"",P541*K529)</f>
        <v/>
      </c>
      <c r="L542" s="2757">
        <f>IF(OR(L521=0,P541="",L529=0),"",P541*L529)</f>
        <v>4</v>
      </c>
      <c r="M542" s="2757">
        <f>IF(OR(M521=0,P541="",M529=0),"",P541*M529)</f>
        <v>12</v>
      </c>
      <c r="N542" s="2757" t="str">
        <f>IF(OR(N521=0,P541="",N529=0),"",P541*N529)</f>
        <v/>
      </c>
      <c r="O542" s="2757" t="str">
        <f>IF(OR(O521=0,P541="",O529=0),"",P541*O529)</f>
        <v/>
      </c>
      <c r="P542" s="2757">
        <f>IF(OR(P541="",P529=0),"",P541*P529)</f>
        <v>16</v>
      </c>
      <c r="OZ542" s="1784">
        <v>85</v>
      </c>
    </row>
    <row r="543" spans="1:416">
      <c r="C543" s="360"/>
      <c r="D543" s="360"/>
      <c r="E543" s="360"/>
      <c r="G543" s="2738"/>
      <c r="H543" s="1409" t="s">
        <v>5145</v>
      </c>
      <c r="I543" s="361"/>
      <c r="J543" s="358"/>
      <c r="K543" s="2757" t="str">
        <f t="shared" ref="K543:P543" si="387">IF(OR(K542="",K521=0),"", K521-K542)</f>
        <v/>
      </c>
      <c r="L543" s="2757">
        <f t="shared" si="387"/>
        <v>0</v>
      </c>
      <c r="M543" s="2757">
        <f t="shared" si="387"/>
        <v>0</v>
      </c>
      <c r="N543" s="2757" t="str">
        <f t="shared" si="387"/>
        <v/>
      </c>
      <c r="O543" s="2757" t="str">
        <f t="shared" si="387"/>
        <v/>
      </c>
      <c r="P543" s="2757">
        <f t="shared" si="387"/>
        <v>0</v>
      </c>
      <c r="OZ543" s="1640">
        <v>86</v>
      </c>
    </row>
    <row r="544" spans="1:416">
      <c r="C544" s="360" t="s">
        <v>3933</v>
      </c>
      <c r="D544" s="360"/>
      <c r="E544" s="360"/>
      <c r="H544" s="1409" t="s">
        <v>3556</v>
      </c>
      <c r="I544" s="361"/>
      <c r="J544" s="358"/>
      <c r="K544" s="2756" t="str">
        <f t="shared" ref="K544:P544" si="388">IF(OR(K522=0,K529=0),"",K522/K529)</f>
        <v/>
      </c>
      <c r="L544" s="2756" t="str">
        <f t="shared" si="388"/>
        <v/>
      </c>
      <c r="M544" s="2756" t="str">
        <f t="shared" si="388"/>
        <v/>
      </c>
      <c r="N544" s="2756" t="str">
        <f t="shared" si="388"/>
        <v/>
      </c>
      <c r="O544" s="2756" t="str">
        <f t="shared" si="388"/>
        <v/>
      </c>
      <c r="P544" s="2756" t="str">
        <f t="shared" si="388"/>
        <v/>
      </c>
      <c r="OZ544" s="1784">
        <v>87</v>
      </c>
    </row>
    <row r="545" spans="1:416">
      <c r="C545" s="360"/>
      <c r="H545" s="1409" t="s">
        <v>5144</v>
      </c>
      <c r="I545" s="361"/>
      <c r="J545" s="358"/>
      <c r="K545" s="2757" t="str">
        <f>IF(OR(K522=0,P544="",K529=0),"",P544*K529)</f>
        <v/>
      </c>
      <c r="L545" s="2757" t="str">
        <f>IF(OR(L522=0,P544="",L529=0),"",P544*L529)</f>
        <v/>
      </c>
      <c r="M545" s="2757" t="str">
        <f>IF(OR(M522=0,P544="",M529=0),"",P544*M529)</f>
        <v/>
      </c>
      <c r="N545" s="2757" t="str">
        <f>IF(OR(N522=0,P544="",N529=0),"",P544*N529)</f>
        <v/>
      </c>
      <c r="O545" s="2757" t="str">
        <f>IF(OR(O522=0,P544="",O529=0),"",P544*O529)</f>
        <v/>
      </c>
      <c r="P545" s="2757" t="str">
        <f>IF(OR(P544="",P529=0),"",P544*P529)</f>
        <v/>
      </c>
      <c r="OZ545" s="1784">
        <v>88</v>
      </c>
    </row>
    <row r="546" spans="1:416">
      <c r="C546" s="360"/>
      <c r="G546" s="2738"/>
      <c r="H546" s="1409" t="s">
        <v>5145</v>
      </c>
      <c r="I546" s="361"/>
      <c r="J546" s="358"/>
      <c r="K546" s="2757" t="str">
        <f t="shared" ref="K546:P546" si="389">IF(OR(K545="",K522=0),"", K522-K545)</f>
        <v/>
      </c>
      <c r="L546" s="2757" t="str">
        <f t="shared" si="389"/>
        <v/>
      </c>
      <c r="M546" s="2757" t="str">
        <f t="shared" si="389"/>
        <v/>
      </c>
      <c r="N546" s="2757" t="str">
        <f t="shared" si="389"/>
        <v/>
      </c>
      <c r="O546" s="2757" t="str">
        <f t="shared" si="389"/>
        <v/>
      </c>
      <c r="P546" s="2757" t="str">
        <f t="shared" si="389"/>
        <v/>
      </c>
      <c r="OZ546" s="1640">
        <v>89</v>
      </c>
    </row>
    <row r="547" spans="1:416">
      <c r="C547" s="360" t="s">
        <v>3933</v>
      </c>
      <c r="H547" s="1409" t="s">
        <v>3557</v>
      </c>
      <c r="I547" s="361"/>
      <c r="J547" s="358"/>
      <c r="K547" s="2756" t="str">
        <f t="shared" ref="K547:P547" si="390">IF(OR(K523=0,K529=0),"",K523/K529)</f>
        <v/>
      </c>
      <c r="L547" s="2756">
        <f t="shared" si="390"/>
        <v>0.1</v>
      </c>
      <c r="M547" s="2756">
        <f t="shared" si="390"/>
        <v>0.1</v>
      </c>
      <c r="N547" s="2756" t="str">
        <f t="shared" si="390"/>
        <v/>
      </c>
      <c r="O547" s="2756" t="str">
        <f t="shared" si="390"/>
        <v/>
      </c>
      <c r="P547" s="2756">
        <f t="shared" si="390"/>
        <v>0.1</v>
      </c>
      <c r="OZ547" s="1784">
        <v>90</v>
      </c>
    </row>
    <row r="548" spans="1:416">
      <c r="C548" s="360"/>
      <c r="H548" s="1409" t="s">
        <v>5144</v>
      </c>
      <c r="I548" s="361"/>
      <c r="J548" s="358"/>
      <c r="K548" s="2757" t="str">
        <f>IF(OR(K523=0,P547="",K529=0),"",P547*K529)</f>
        <v/>
      </c>
      <c r="L548" s="2757">
        <f>IF(OR(L523=0,P547="",L529=0),"",P547*L529)</f>
        <v>4</v>
      </c>
      <c r="M548" s="2757">
        <f>IF(OR(M523=0,P547="",M529=0),"",P547*M529)</f>
        <v>12</v>
      </c>
      <c r="N548" s="2757" t="str">
        <f>IF(OR(N523=0,P547="",N529=0),"",P547*N529)</f>
        <v/>
      </c>
      <c r="O548" s="2757" t="str">
        <f>IF(OR(O523=0,P547="",O529=0),"",P547*O529)</f>
        <v/>
      </c>
      <c r="P548" s="2757">
        <f>IF(OR(P547="",P529=0),"",P547*P529)</f>
        <v>16</v>
      </c>
      <c r="OZ548" s="1784">
        <v>91</v>
      </c>
    </row>
    <row r="549" spans="1:416">
      <c r="C549" s="360"/>
      <c r="G549" s="2738"/>
      <c r="H549" s="1409" t="s">
        <v>5145</v>
      </c>
      <c r="I549" s="361"/>
      <c r="J549" s="358"/>
      <c r="K549" s="2757" t="str">
        <f t="shared" ref="K549:P549" si="391">IF(OR(K548="",K523=0),"", K523-K548)</f>
        <v/>
      </c>
      <c r="L549" s="2757">
        <f t="shared" si="391"/>
        <v>0</v>
      </c>
      <c r="M549" s="2757">
        <f t="shared" si="391"/>
        <v>0</v>
      </c>
      <c r="N549" s="2757" t="str">
        <f t="shared" si="391"/>
        <v/>
      </c>
      <c r="O549" s="2757" t="str">
        <f t="shared" si="391"/>
        <v/>
      </c>
      <c r="P549" s="2757">
        <f t="shared" si="391"/>
        <v>0</v>
      </c>
      <c r="OZ549" s="1784">
        <v>92</v>
      </c>
    </row>
    <row r="550" spans="1:416">
      <c r="C550" s="360" t="s">
        <v>3933</v>
      </c>
      <c r="H550" s="1409" t="s">
        <v>3558</v>
      </c>
      <c r="I550" s="361"/>
      <c r="J550" s="358"/>
      <c r="K550" s="2756" t="str">
        <f t="shared" ref="K550:P550" si="392">IF(OR(K524=0,K529=0),"",K524/K529)</f>
        <v/>
      </c>
      <c r="L550" s="2756" t="str">
        <f t="shared" si="392"/>
        <v/>
      </c>
      <c r="M550" s="2756" t="str">
        <f t="shared" si="392"/>
        <v/>
      </c>
      <c r="N550" s="2756" t="str">
        <f t="shared" si="392"/>
        <v/>
      </c>
      <c r="O550" s="2756" t="str">
        <f t="shared" si="392"/>
        <v/>
      </c>
      <c r="P550" s="2756" t="str">
        <f t="shared" si="392"/>
        <v/>
      </c>
      <c r="OZ550" s="1784">
        <v>93</v>
      </c>
    </row>
    <row r="551" spans="1:416">
      <c r="C551" s="360"/>
      <c r="D551" s="360"/>
      <c r="E551" s="360"/>
      <c r="H551" s="1409" t="s">
        <v>5144</v>
      </c>
      <c r="I551" s="361"/>
      <c r="J551" s="358"/>
      <c r="K551" s="2757" t="str">
        <f>IF(OR(K524=0,P550="",K529=0),"",P550*K529)</f>
        <v/>
      </c>
      <c r="L551" s="2757" t="str">
        <f>IF(OR(L524=0,P550="",L529=0),"",P550*L529)</f>
        <v/>
      </c>
      <c r="M551" s="2757" t="str">
        <f>IF(OR(M524=0,P550="",M529=0),"",P550*M529)</f>
        <v/>
      </c>
      <c r="N551" s="2757" t="str">
        <f>IF(OR(N524=0,P550="",N529=0),"",P550*N529)</f>
        <v/>
      </c>
      <c r="O551" s="2757" t="str">
        <f>IF(OR(O524=0,P550="",O529=0),"",P550*O529)</f>
        <v/>
      </c>
      <c r="P551" s="2757" t="str">
        <f>IF(OR(P550="",P529=0),"",P550*P529)</f>
        <v/>
      </c>
      <c r="OZ551" s="1784">
        <v>94</v>
      </c>
    </row>
    <row r="552" spans="1:416">
      <c r="C552" s="360"/>
      <c r="D552" s="360"/>
      <c r="E552" s="360"/>
      <c r="G552" s="2738"/>
      <c r="H552" s="1409" t="s">
        <v>5145</v>
      </c>
      <c r="I552" s="361"/>
      <c r="J552" s="358"/>
      <c r="K552" s="2757" t="str">
        <f t="shared" ref="K552:P552" si="393">IF(OR(K551="",K524=0),"", K524-K551)</f>
        <v/>
      </c>
      <c r="L552" s="2757" t="str">
        <f t="shared" si="393"/>
        <v/>
      </c>
      <c r="M552" s="2757" t="str">
        <f t="shared" si="393"/>
        <v/>
      </c>
      <c r="N552" s="2757" t="str">
        <f t="shared" si="393"/>
        <v/>
      </c>
      <c r="O552" s="2757" t="str">
        <f t="shared" si="393"/>
        <v/>
      </c>
      <c r="P552" s="2757" t="str">
        <f t="shared" si="393"/>
        <v/>
      </c>
      <c r="OZ552" s="2468">
        <v>95</v>
      </c>
    </row>
    <row r="553" spans="1:416" ht="12" customHeight="1">
      <c r="A553" s="2746"/>
      <c r="B553" s="2746"/>
      <c r="C553" s="358"/>
      <c r="D553" s="358"/>
      <c r="E553" s="358"/>
      <c r="F553" s="358"/>
      <c r="H553" s="1409"/>
      <c r="I553" s="361"/>
      <c r="K553" s="2758"/>
      <c r="L553" s="2758"/>
      <c r="M553" s="2758"/>
      <c r="N553" s="2758"/>
      <c r="O553" s="2758"/>
      <c r="P553" s="2758"/>
      <c r="U553" s="2711"/>
      <c r="X553" s="358"/>
      <c r="AA553" s="358"/>
      <c r="AB553" s="361"/>
      <c r="AC553" s="358"/>
      <c r="AF553" s="358"/>
      <c r="AG553" s="361"/>
      <c r="AH553" s="358"/>
      <c r="AK553" s="358"/>
      <c r="AL553" s="361"/>
      <c r="AM553" s="358"/>
      <c r="AP553" s="358"/>
      <c r="AQ553" s="361"/>
      <c r="AR553" s="358"/>
      <c r="AS553" s="358"/>
      <c r="AT553" s="358"/>
      <c r="AU553" s="358"/>
      <c r="AV553" s="358"/>
      <c r="AW553" s="358"/>
      <c r="AY553" s="358"/>
      <c r="BB553" s="358"/>
      <c r="BD553" s="358"/>
      <c r="LF553" s="1640"/>
      <c r="LK553" s="1640"/>
      <c r="LP553" s="1640"/>
      <c r="LU553" s="1640"/>
      <c r="LV553" s="1640"/>
      <c r="LW553" s="1640"/>
      <c r="LX553" s="1640"/>
      <c r="LY553" s="1640"/>
      <c r="LZ553" s="1640"/>
      <c r="MA553" s="1640"/>
      <c r="MB553" s="1640"/>
      <c r="MC553" s="1640"/>
      <c r="MD553" s="1640"/>
      <c r="ME553" s="1640"/>
      <c r="MF553" s="1640"/>
      <c r="MG553" s="1640"/>
      <c r="MH553" s="1640"/>
      <c r="MI553" s="1640"/>
      <c r="MJ553" s="1640"/>
      <c r="MK553" s="1640"/>
      <c r="ML553" s="1640"/>
      <c r="MM553" s="1640"/>
      <c r="MN553" s="1640"/>
      <c r="MO553" s="1640"/>
      <c r="MP553" s="1640"/>
      <c r="MW553" s="360"/>
      <c r="MX553" s="360"/>
      <c r="NN553" s="360"/>
      <c r="OZ553" s="1784">
        <v>96</v>
      </c>
    </row>
    <row r="554" spans="1:416" ht="9" customHeight="1">
      <c r="A554" s="2746"/>
      <c r="B554" s="2746"/>
      <c r="C554" s="358"/>
      <c r="D554" s="358"/>
      <c r="E554" s="358"/>
      <c r="F554" s="358"/>
      <c r="H554" s="1409"/>
      <c r="I554" s="361"/>
      <c r="K554" s="2758"/>
      <c r="L554" s="2758"/>
      <c r="M554" s="2758"/>
      <c r="N554" s="2758"/>
      <c r="O554" s="2758"/>
      <c r="P554" s="2758"/>
      <c r="S554" s="2411" t="str">
        <f>C555</f>
        <v>PBRA-Assisted</v>
      </c>
      <c r="U554" s="2711"/>
      <c r="X554" s="358"/>
      <c r="AA554" s="358"/>
      <c r="AB554" s="361"/>
      <c r="AC554" s="358"/>
      <c r="AF554" s="358"/>
      <c r="AG554" s="361"/>
      <c r="AH554" s="358"/>
      <c r="AK554" s="358"/>
      <c r="AL554" s="361"/>
      <c r="AM554" s="358"/>
      <c r="AP554" s="358"/>
      <c r="AQ554" s="361"/>
      <c r="AR554" s="358"/>
      <c r="AS554" s="358"/>
      <c r="AT554" s="358"/>
      <c r="AU554" s="358"/>
      <c r="AV554" s="358"/>
      <c r="AW554" s="358"/>
      <c r="AY554" s="358"/>
      <c r="BB554" s="358"/>
      <c r="BD554" s="358"/>
      <c r="LF554" s="1640"/>
      <c r="LK554" s="1640"/>
      <c r="LP554" s="1640"/>
      <c r="LU554" s="1640"/>
      <c r="LV554" s="1640"/>
      <c r="LW554" s="1640"/>
      <c r="LX554" s="1640"/>
      <c r="LY554" s="1640"/>
      <c r="LZ554" s="1640"/>
      <c r="MA554" s="1640"/>
      <c r="MB554" s="1640"/>
      <c r="MC554" s="1640"/>
      <c r="MD554" s="1640"/>
      <c r="ME554" s="1640"/>
      <c r="MF554" s="1640"/>
      <c r="MG554" s="1640"/>
      <c r="MH554" s="1640"/>
      <c r="MI554" s="1640"/>
      <c r="MJ554" s="1640"/>
      <c r="MK554" s="1640"/>
      <c r="ML554" s="1640"/>
      <c r="MM554" s="1640"/>
      <c r="MN554" s="1640"/>
      <c r="MO554" s="1640"/>
      <c r="MP554" s="1640"/>
      <c r="MW554" s="360"/>
      <c r="MX554" s="360"/>
      <c r="NN554" s="360"/>
      <c r="OZ554" s="1640">
        <v>97</v>
      </c>
    </row>
    <row r="555" spans="1:416" ht="15" customHeight="1">
      <c r="A555" s="2746"/>
      <c r="B555" s="2746"/>
      <c r="C555" s="358" t="s">
        <v>874</v>
      </c>
      <c r="D555" s="358"/>
      <c r="E555" s="1409"/>
      <c r="F555" s="358"/>
      <c r="H555" s="1409" t="s">
        <v>3554</v>
      </c>
      <c r="I555" s="361"/>
      <c r="K555" s="2759">
        <f>CP511</f>
        <v>0</v>
      </c>
      <c r="L555" s="2759">
        <f>CQ511</f>
        <v>8</v>
      </c>
      <c r="M555" s="2759">
        <f>CR511</f>
        <v>24</v>
      </c>
      <c r="N555" s="2759">
        <f>CS511</f>
        <v>0</v>
      </c>
      <c r="O555" s="2759">
        <f>CT511</f>
        <v>0</v>
      </c>
      <c r="P555" s="2747">
        <f t="shared" ref="P555:P562" si="394">SUM(K555:O555)</f>
        <v>32</v>
      </c>
      <c r="S555" s="2647"/>
      <c r="T555" s="2647"/>
      <c r="U555" s="2647"/>
      <c r="V555" s="2647"/>
      <c r="W555" s="2647"/>
      <c r="X555" s="358"/>
      <c r="AA555" s="358"/>
      <c r="AB555" s="361"/>
      <c r="AC555" s="358"/>
      <c r="AF555" s="358"/>
      <c r="AG555" s="361"/>
      <c r="AH555" s="358"/>
      <c r="AK555" s="358"/>
      <c r="AL555" s="361"/>
      <c r="AM555" s="358"/>
      <c r="AP555" s="358"/>
      <c r="AQ555" s="361"/>
      <c r="AR555" s="362"/>
      <c r="AS555" s="362"/>
      <c r="AT555" s="362"/>
      <c r="AU555" s="362"/>
      <c r="AV555" s="362"/>
      <c r="AW555" s="362"/>
      <c r="AX555" s="361"/>
      <c r="AY555" s="358"/>
      <c r="BB555" s="362"/>
      <c r="BC555" s="361"/>
      <c r="BD555" s="358"/>
      <c r="LF555" s="1640"/>
      <c r="LK555" s="1640"/>
      <c r="LP555" s="1640"/>
      <c r="LU555" s="1640"/>
      <c r="LV555" s="1640"/>
      <c r="LW555" s="1640"/>
      <c r="LX555" s="1640"/>
      <c r="LY555" s="1640"/>
      <c r="LZ555" s="1640"/>
      <c r="MA555" s="1640"/>
      <c r="MB555" s="1640"/>
      <c r="MC555" s="1640"/>
      <c r="MD555" s="1640"/>
      <c r="ME555" s="1640"/>
      <c r="MF555" s="1640"/>
      <c r="MG555" s="1640"/>
      <c r="MH555" s="1640"/>
      <c r="MI555" s="1640"/>
      <c r="MJ555" s="1640"/>
      <c r="MK555" s="1640"/>
      <c r="ML555" s="1640"/>
      <c r="MM555" s="1640"/>
      <c r="MN555" s="1640"/>
      <c r="MO555" s="1640"/>
      <c r="MP555" s="1640"/>
      <c r="MW555" s="360"/>
      <c r="MX555" s="360"/>
      <c r="NN555" s="360"/>
      <c r="OZ555" s="1784">
        <v>98</v>
      </c>
    </row>
    <row r="556" spans="1:416" ht="15" customHeight="1">
      <c r="A556" s="2746"/>
      <c r="B556" s="2746"/>
      <c r="C556" s="361" t="s">
        <v>2303</v>
      </c>
      <c r="D556" s="358"/>
      <c r="E556" s="1409"/>
      <c r="F556" s="358"/>
      <c r="H556" s="1409" t="s">
        <v>3555</v>
      </c>
      <c r="I556" s="361"/>
      <c r="K556" s="2747">
        <f>CK511</f>
        <v>0</v>
      </c>
      <c r="L556" s="2747">
        <f>CL511</f>
        <v>0</v>
      </c>
      <c r="M556" s="2747">
        <f>CM511</f>
        <v>0</v>
      </c>
      <c r="N556" s="2747">
        <f>CN511</f>
        <v>0</v>
      </c>
      <c r="O556" s="2747">
        <f>CO511</f>
        <v>0</v>
      </c>
      <c r="P556" s="2747">
        <f t="shared" si="394"/>
        <v>0</v>
      </c>
      <c r="S556" s="2647"/>
      <c r="T556" s="2647"/>
      <c r="U556" s="2647"/>
      <c r="V556" s="2647"/>
      <c r="W556" s="2647"/>
      <c r="X556" s="358"/>
      <c r="AA556" s="358"/>
      <c r="AB556" s="361"/>
      <c r="AC556" s="358"/>
      <c r="AF556" s="358"/>
      <c r="AG556" s="361"/>
      <c r="AH556" s="358"/>
      <c r="AK556" s="358"/>
      <c r="AL556" s="361"/>
      <c r="AM556" s="358"/>
      <c r="AP556" s="358"/>
      <c r="AQ556" s="361"/>
      <c r="AR556" s="362"/>
      <c r="AS556" s="362"/>
      <c r="AT556" s="362"/>
      <c r="AU556" s="362"/>
      <c r="AV556" s="362"/>
      <c r="AW556" s="362"/>
      <c r="AX556" s="361"/>
      <c r="AY556" s="358"/>
      <c r="BB556" s="362"/>
      <c r="BC556" s="361"/>
      <c r="BD556" s="358"/>
      <c r="LF556" s="1640"/>
      <c r="LK556" s="1640"/>
      <c r="LP556" s="1640"/>
      <c r="LU556" s="1640"/>
      <c r="LV556" s="1640"/>
      <c r="LW556" s="1640"/>
      <c r="LX556" s="1640"/>
      <c r="LY556" s="1640"/>
      <c r="LZ556" s="1640"/>
      <c r="MA556" s="1640"/>
      <c r="MB556" s="1640"/>
      <c r="MC556" s="1640"/>
      <c r="MD556" s="1640"/>
      <c r="ME556" s="1640"/>
      <c r="MF556" s="1640"/>
      <c r="MG556" s="1640"/>
      <c r="MH556" s="1640"/>
      <c r="MI556" s="1640"/>
      <c r="MJ556" s="1640"/>
      <c r="MK556" s="1640"/>
      <c r="ML556" s="1640"/>
      <c r="MM556" s="1640"/>
      <c r="MN556" s="1640"/>
      <c r="MO556" s="1640"/>
      <c r="MP556" s="1640"/>
      <c r="MW556" s="360"/>
      <c r="MX556" s="360"/>
      <c r="NN556" s="360"/>
      <c r="OZ556" s="1784">
        <v>99</v>
      </c>
    </row>
    <row r="557" spans="1:416" ht="14.4" customHeight="1">
      <c r="A557" s="2746"/>
      <c r="B557" s="2746"/>
      <c r="C557" s="358"/>
      <c r="D557" s="358"/>
      <c r="E557" s="1409"/>
      <c r="F557" s="358"/>
      <c r="H557" s="1409" t="s">
        <v>1080</v>
      </c>
      <c r="I557" s="361"/>
      <c r="K557" s="2747">
        <f>CF511</f>
        <v>0</v>
      </c>
      <c r="L557" s="2747">
        <f>CG511</f>
        <v>0</v>
      </c>
      <c r="M557" s="2747">
        <f>CH511</f>
        <v>0</v>
      </c>
      <c r="N557" s="2747">
        <f>CI511</f>
        <v>0</v>
      </c>
      <c r="O557" s="2747">
        <f>CJ511</f>
        <v>0</v>
      </c>
      <c r="P557" s="2747">
        <f t="shared" si="394"/>
        <v>0</v>
      </c>
      <c r="S557" s="2647"/>
      <c r="T557" s="2647"/>
      <c r="U557" s="2647"/>
      <c r="V557" s="2647"/>
      <c r="W557" s="2647"/>
      <c r="X557" s="358"/>
      <c r="AA557" s="358"/>
      <c r="AB557" s="361"/>
      <c r="AC557" s="358"/>
      <c r="AF557" s="358"/>
      <c r="AG557" s="361"/>
      <c r="AH557" s="358"/>
      <c r="AK557" s="358"/>
      <c r="AL557" s="361"/>
      <c r="AM557" s="358"/>
      <c r="AP557" s="358"/>
      <c r="AQ557" s="361"/>
      <c r="AR557" s="362"/>
      <c r="AS557" s="362"/>
      <c r="AT557" s="362"/>
      <c r="AU557" s="362"/>
      <c r="AV557" s="362"/>
      <c r="AW557" s="362"/>
      <c r="AX557" s="361"/>
      <c r="AY557" s="358"/>
      <c r="BB557" s="362"/>
      <c r="BC557" s="361"/>
      <c r="BD557" s="358"/>
      <c r="LF557" s="1640"/>
      <c r="LK557" s="1640"/>
      <c r="LP557" s="1640"/>
      <c r="LU557" s="1640"/>
      <c r="LV557" s="1640"/>
      <c r="LW557" s="1640"/>
      <c r="LX557" s="1640"/>
      <c r="LY557" s="1640"/>
      <c r="LZ557" s="1640"/>
      <c r="MA557" s="1640"/>
      <c r="MB557" s="1640"/>
      <c r="MC557" s="1640"/>
      <c r="MD557" s="1640"/>
      <c r="ME557" s="1640"/>
      <c r="MF557" s="1640"/>
      <c r="MG557" s="1640"/>
      <c r="MH557" s="1640"/>
      <c r="MI557" s="1640"/>
      <c r="MJ557" s="1640"/>
      <c r="MK557" s="1640"/>
      <c r="ML557" s="1640"/>
      <c r="MM557" s="1640"/>
      <c r="MN557" s="1640"/>
      <c r="MO557" s="1640"/>
      <c r="MP557" s="1640"/>
      <c r="MW557" s="360"/>
      <c r="MX557" s="360"/>
      <c r="NN557" s="360"/>
      <c r="OZ557" s="1640">
        <v>100</v>
      </c>
    </row>
    <row r="558" spans="1:416" ht="15" customHeight="1">
      <c r="A558" s="2746"/>
      <c r="B558" s="2746"/>
      <c r="C558" s="358"/>
      <c r="D558" s="358"/>
      <c r="E558" s="1409"/>
      <c r="F558" s="358"/>
      <c r="H558" s="1409" t="s">
        <v>112</v>
      </c>
      <c r="I558" s="361"/>
      <c r="K558" s="2747">
        <f>CA511</f>
        <v>0</v>
      </c>
      <c r="L558" s="2747">
        <f>CB511</f>
        <v>0</v>
      </c>
      <c r="M558" s="2747">
        <f>CC511</f>
        <v>0</v>
      </c>
      <c r="N558" s="2747">
        <f>CD511</f>
        <v>0</v>
      </c>
      <c r="O558" s="2747">
        <f>CE511</f>
        <v>0</v>
      </c>
      <c r="P558" s="2747">
        <f t="shared" si="394"/>
        <v>0</v>
      </c>
      <c r="S558" s="2647"/>
      <c r="T558" s="2647"/>
      <c r="U558" s="2647"/>
      <c r="V558" s="2647"/>
      <c r="W558" s="2647"/>
      <c r="X558" s="358"/>
      <c r="AA558" s="358"/>
      <c r="AB558" s="361"/>
      <c r="AC558" s="358"/>
      <c r="AF558" s="358"/>
      <c r="AG558" s="361"/>
      <c r="AH558" s="358"/>
      <c r="AK558" s="358"/>
      <c r="AL558" s="361"/>
      <c r="AM558" s="358"/>
      <c r="AP558" s="358"/>
      <c r="AQ558" s="361"/>
      <c r="AR558" s="362"/>
      <c r="AS558" s="362"/>
      <c r="AT558" s="362"/>
      <c r="AU558" s="362"/>
      <c r="AV558" s="362"/>
      <c r="AW558" s="362"/>
      <c r="AX558" s="361"/>
      <c r="AY558" s="358"/>
      <c r="BB558" s="362"/>
      <c r="BC558" s="361"/>
      <c r="BD558" s="358"/>
      <c r="LF558" s="1640"/>
      <c r="LK558" s="1640"/>
      <c r="LP558" s="1640"/>
      <c r="LU558" s="1640"/>
      <c r="LV558" s="1640"/>
      <c r="LW558" s="1640"/>
      <c r="LX558" s="1640"/>
      <c r="LY558" s="1640"/>
      <c r="LZ558" s="1640"/>
      <c r="MA558" s="1640"/>
      <c r="MB558" s="1640"/>
      <c r="MC558" s="1640"/>
      <c r="MD558" s="1640"/>
      <c r="ME558" s="1640"/>
      <c r="MF558" s="1640"/>
      <c r="MG558" s="1640"/>
      <c r="MH558" s="1640"/>
      <c r="MI558" s="1640"/>
      <c r="MJ558" s="1640"/>
      <c r="MK558" s="1640"/>
      <c r="ML558" s="1640"/>
      <c r="MM558" s="1640"/>
      <c r="MN558" s="1640"/>
      <c r="MO558" s="1640"/>
      <c r="MP558" s="1640"/>
      <c r="MW558" s="360"/>
      <c r="MX558" s="360"/>
      <c r="NN558" s="360"/>
      <c r="OZ558" s="1784">
        <v>101</v>
      </c>
    </row>
    <row r="559" spans="1:416" ht="15" customHeight="1">
      <c r="A559" s="2746"/>
      <c r="B559" s="2746"/>
      <c r="C559" s="358"/>
      <c r="D559" s="358"/>
      <c r="E559" s="1409"/>
      <c r="F559" s="358"/>
      <c r="H559" s="1409" t="s">
        <v>3556</v>
      </c>
      <c r="I559" s="361"/>
      <c r="K559" s="2747">
        <f>BV511</f>
        <v>0</v>
      </c>
      <c r="L559" s="2747">
        <f>BW511</f>
        <v>0</v>
      </c>
      <c r="M559" s="2747">
        <f>BX511</f>
        <v>0</v>
      </c>
      <c r="N559" s="2747">
        <f>BY511</f>
        <v>0</v>
      </c>
      <c r="O559" s="2747">
        <f>BZ511</f>
        <v>0</v>
      </c>
      <c r="P559" s="2747">
        <f t="shared" si="394"/>
        <v>0</v>
      </c>
      <c r="S559" s="2647"/>
      <c r="T559" s="2647"/>
      <c r="U559" s="2647"/>
      <c r="V559" s="2647"/>
      <c r="W559" s="2647"/>
      <c r="X559" s="358"/>
      <c r="AA559" s="358"/>
      <c r="AB559" s="361"/>
      <c r="AC559" s="358"/>
      <c r="AF559" s="358"/>
      <c r="AG559" s="361"/>
      <c r="AH559" s="358"/>
      <c r="AK559" s="358"/>
      <c r="AL559" s="361"/>
      <c r="AM559" s="358"/>
      <c r="AP559" s="358"/>
      <c r="AQ559" s="361"/>
      <c r="AR559" s="362"/>
      <c r="AS559" s="362"/>
      <c r="AT559" s="362"/>
      <c r="AU559" s="362"/>
      <c r="AV559" s="362"/>
      <c r="AW559" s="362"/>
      <c r="AX559" s="361"/>
      <c r="AY559" s="358"/>
      <c r="BB559" s="362"/>
      <c r="BC559" s="361"/>
      <c r="BD559" s="358"/>
      <c r="LF559" s="1640"/>
      <c r="LK559" s="1640"/>
      <c r="LP559" s="1640"/>
      <c r="LU559" s="1640"/>
      <c r="LV559" s="1640"/>
      <c r="LW559" s="1640"/>
      <c r="LX559" s="1640"/>
      <c r="LY559" s="1640"/>
      <c r="LZ559" s="1640"/>
      <c r="MA559" s="1640"/>
      <c r="MB559" s="1640"/>
      <c r="MC559" s="1640"/>
      <c r="MD559" s="1640"/>
      <c r="ME559" s="1640"/>
      <c r="MF559" s="1640"/>
      <c r="MG559" s="1640"/>
      <c r="MH559" s="1640"/>
      <c r="MI559" s="1640"/>
      <c r="MJ559" s="1640"/>
      <c r="MK559" s="1640"/>
      <c r="ML559" s="1640"/>
      <c r="MM559" s="1640"/>
      <c r="MN559" s="1640"/>
      <c r="MO559" s="1640"/>
      <c r="MP559" s="1640"/>
      <c r="MW559" s="360"/>
      <c r="MX559" s="360"/>
      <c r="NN559" s="360"/>
      <c r="OZ559" s="1784">
        <v>102</v>
      </c>
    </row>
    <row r="560" spans="1:416" ht="15" customHeight="1">
      <c r="A560" s="1536"/>
      <c r="B560" s="1536"/>
      <c r="C560" s="358"/>
      <c r="D560" s="358"/>
      <c r="E560" s="1409"/>
      <c r="F560" s="358"/>
      <c r="H560" s="1409" t="s">
        <v>3557</v>
      </c>
      <c r="I560" s="361"/>
      <c r="K560" s="2747">
        <f>BQ511</f>
        <v>0</v>
      </c>
      <c r="L560" s="2747">
        <f>BR511</f>
        <v>4</v>
      </c>
      <c r="M560" s="2747">
        <f>BS511</f>
        <v>12</v>
      </c>
      <c r="N560" s="2747">
        <f>BT511</f>
        <v>0</v>
      </c>
      <c r="O560" s="2747">
        <f>BU511</f>
        <v>0</v>
      </c>
      <c r="P560" s="2747">
        <f t="shared" si="394"/>
        <v>16</v>
      </c>
      <c r="S560" s="2647"/>
      <c r="T560" s="2647"/>
      <c r="U560" s="2647"/>
      <c r="V560" s="2647"/>
      <c r="W560" s="2647"/>
      <c r="X560" s="358"/>
      <c r="AA560" s="358"/>
      <c r="AB560" s="361"/>
      <c r="AC560" s="358"/>
      <c r="AF560" s="358"/>
      <c r="AG560" s="361"/>
      <c r="AH560" s="358"/>
      <c r="AK560" s="358"/>
      <c r="AL560" s="361"/>
      <c r="AM560" s="358"/>
      <c r="AP560" s="358"/>
      <c r="AQ560" s="361"/>
      <c r="AR560" s="362"/>
      <c r="AS560" s="362"/>
      <c r="AT560" s="362"/>
      <c r="AU560" s="362"/>
      <c r="AV560" s="362"/>
      <c r="AW560" s="362"/>
      <c r="AX560" s="361"/>
      <c r="AY560" s="358"/>
      <c r="BB560" s="362"/>
      <c r="BC560" s="361"/>
      <c r="BD560" s="358"/>
      <c r="LF560" s="1640"/>
      <c r="LK560" s="1640"/>
      <c r="LP560" s="1640"/>
      <c r="LU560" s="1640"/>
      <c r="LV560" s="1640"/>
      <c r="LW560" s="1640"/>
      <c r="LX560" s="1640"/>
      <c r="LY560" s="1640"/>
      <c r="LZ560" s="1640"/>
      <c r="MA560" s="1640"/>
      <c r="MB560" s="1640"/>
      <c r="MC560" s="1640"/>
      <c r="MD560" s="1640"/>
      <c r="ME560" s="1640"/>
      <c r="MF560" s="1640"/>
      <c r="MG560" s="1640"/>
      <c r="MH560" s="1640"/>
      <c r="MI560" s="1640"/>
      <c r="MJ560" s="1640"/>
      <c r="MK560" s="1640"/>
      <c r="ML560" s="1640"/>
      <c r="MM560" s="1640"/>
      <c r="MN560" s="1640"/>
      <c r="MO560" s="1640"/>
      <c r="MP560" s="1640"/>
      <c r="MW560" s="360"/>
      <c r="MX560" s="360"/>
      <c r="NN560" s="360"/>
      <c r="OZ560" s="1784">
        <v>103</v>
      </c>
    </row>
    <row r="561" spans="1:416" ht="15" customHeight="1">
      <c r="A561" s="1536"/>
      <c r="B561" s="1536"/>
      <c r="D561" s="358"/>
      <c r="E561" s="1409"/>
      <c r="F561" s="358"/>
      <c r="H561" s="1409" t="s">
        <v>3558</v>
      </c>
      <c r="I561" s="361"/>
      <c r="K561" s="2759">
        <f>BL511</f>
        <v>0</v>
      </c>
      <c r="L561" s="2759">
        <f>BM511</f>
        <v>0</v>
      </c>
      <c r="M561" s="2759">
        <f>BN511</f>
        <v>0</v>
      </c>
      <c r="N561" s="2759">
        <f>BO511</f>
        <v>0</v>
      </c>
      <c r="O561" s="2759">
        <f>BP511</f>
        <v>0</v>
      </c>
      <c r="P561" s="2747">
        <f t="shared" si="394"/>
        <v>0</v>
      </c>
      <c r="S561" s="2647"/>
      <c r="T561" s="2647"/>
      <c r="U561" s="2647"/>
      <c r="V561" s="2647"/>
      <c r="W561" s="2647"/>
      <c r="X561" s="361"/>
      <c r="AA561" s="358"/>
      <c r="AB561" s="361"/>
      <c r="AC561" s="361"/>
      <c r="AF561" s="358"/>
      <c r="AG561" s="361"/>
      <c r="AH561" s="361"/>
      <c r="AK561" s="358"/>
      <c r="AL561" s="361"/>
      <c r="AM561" s="361"/>
      <c r="AP561" s="358"/>
      <c r="AQ561" s="361"/>
      <c r="AR561" s="362"/>
      <c r="AS561" s="362"/>
      <c r="AT561" s="362"/>
      <c r="AU561" s="362"/>
      <c r="AV561" s="362"/>
      <c r="AW561" s="362"/>
      <c r="AX561" s="361"/>
      <c r="AY561" s="358"/>
      <c r="BB561" s="362"/>
      <c r="BC561" s="361"/>
      <c r="BD561" s="358"/>
      <c r="LF561" s="1640"/>
      <c r="LK561" s="1640"/>
      <c r="LP561" s="1640"/>
      <c r="LU561" s="1640"/>
      <c r="LV561" s="1640"/>
      <c r="LW561" s="1640"/>
      <c r="LX561" s="1640"/>
      <c r="LY561" s="1640"/>
      <c r="LZ561" s="1640"/>
      <c r="MA561" s="1640"/>
      <c r="MB561" s="1640"/>
      <c r="MC561" s="1640"/>
      <c r="MD561" s="1640"/>
      <c r="ME561" s="1640"/>
      <c r="MF561" s="1640"/>
      <c r="MG561" s="1640"/>
      <c r="MH561" s="1640"/>
      <c r="MI561" s="1640"/>
      <c r="MJ561" s="1640"/>
      <c r="MK561" s="1640"/>
      <c r="ML561" s="1640"/>
      <c r="MM561" s="1640"/>
      <c r="MN561" s="1640"/>
      <c r="MO561" s="1640"/>
      <c r="MP561" s="1640"/>
      <c r="MW561" s="360"/>
      <c r="MX561" s="360"/>
      <c r="NN561" s="360"/>
      <c r="OZ561" s="1784">
        <v>104</v>
      </c>
    </row>
    <row r="562" spans="1:416" ht="15" customHeight="1">
      <c r="A562" s="1536"/>
      <c r="B562" s="1536"/>
      <c r="C562" s="1639"/>
      <c r="D562" s="358"/>
      <c r="E562" s="1409"/>
      <c r="F562" s="358"/>
      <c r="H562" s="1536" t="s">
        <v>503</v>
      </c>
      <c r="I562" s="2733"/>
      <c r="K562" s="2753">
        <f>SUM(K555:K561)</f>
        <v>0</v>
      </c>
      <c r="L562" s="2753">
        <f>SUM(L555:L561)</f>
        <v>12</v>
      </c>
      <c r="M562" s="2753">
        <f>SUM(M555:M561)</f>
        <v>36</v>
      </c>
      <c r="N562" s="2753">
        <f>SUM(N555:N561)</f>
        <v>0</v>
      </c>
      <c r="O562" s="2753">
        <f>SUM(O555:O561)</f>
        <v>0</v>
      </c>
      <c r="P562" s="2753">
        <f t="shared" si="394"/>
        <v>48</v>
      </c>
      <c r="S562" s="2647"/>
      <c r="T562" s="2647"/>
      <c r="U562" s="2647"/>
      <c r="V562" s="2647"/>
      <c r="W562" s="2647"/>
      <c r="X562" s="1639"/>
      <c r="AA562" s="358"/>
      <c r="AB562" s="361"/>
      <c r="AC562" s="1639"/>
      <c r="AF562" s="358"/>
      <c r="AG562" s="361"/>
      <c r="AH562" s="1639"/>
      <c r="AK562" s="358"/>
      <c r="AL562" s="361"/>
      <c r="AM562" s="1639"/>
      <c r="AP562" s="358"/>
      <c r="AQ562" s="361"/>
      <c r="AR562" s="362"/>
      <c r="AS562" s="362"/>
      <c r="AT562" s="362"/>
      <c r="AU562" s="362"/>
      <c r="AV562" s="362"/>
      <c r="AW562" s="362"/>
      <c r="AX562" s="361"/>
      <c r="AY562" s="358"/>
      <c r="BB562" s="362"/>
      <c r="BC562" s="361"/>
      <c r="BD562" s="358"/>
      <c r="LF562" s="1640"/>
      <c r="LK562" s="1640"/>
      <c r="LP562" s="1640"/>
      <c r="LU562" s="1640"/>
      <c r="LV562" s="1640"/>
      <c r="LW562" s="1640"/>
      <c r="LX562" s="1640"/>
      <c r="LY562" s="1640"/>
      <c r="LZ562" s="1640"/>
      <c r="MA562" s="1640"/>
      <c r="MB562" s="1640"/>
      <c r="MC562" s="1640"/>
      <c r="MD562" s="1640"/>
      <c r="ME562" s="1640"/>
      <c r="MF562" s="1640"/>
      <c r="MG562" s="1640"/>
      <c r="MH562" s="1640"/>
      <c r="MI562" s="1640"/>
      <c r="MJ562" s="1640"/>
      <c r="MK562" s="1640"/>
      <c r="ML562" s="1640"/>
      <c r="MM562" s="1640"/>
      <c r="MN562" s="1640"/>
      <c r="MO562" s="1640"/>
      <c r="MP562" s="1640"/>
      <c r="MW562" s="360"/>
      <c r="MX562" s="360"/>
      <c r="NN562" s="360"/>
      <c r="OZ562" s="1640">
        <v>105</v>
      </c>
    </row>
    <row r="563" spans="1:416" ht="5.0999999999999996" customHeight="1">
      <c r="A563" s="1536"/>
      <c r="B563" s="1536"/>
      <c r="C563" s="358"/>
      <c r="D563" s="358"/>
      <c r="E563" s="358"/>
      <c r="F563" s="358"/>
      <c r="H563" s="1409"/>
      <c r="I563" s="361"/>
      <c r="K563" s="2758"/>
      <c r="L563" s="2758"/>
      <c r="M563" s="2758"/>
      <c r="N563" s="2758"/>
      <c r="O563" s="2758"/>
      <c r="P563" s="2758"/>
      <c r="U563" s="2711"/>
      <c r="X563" s="358"/>
      <c r="AA563" s="358"/>
      <c r="AB563" s="361"/>
      <c r="AC563" s="358"/>
      <c r="AF563" s="358"/>
      <c r="AG563" s="361"/>
      <c r="AH563" s="358"/>
      <c r="AK563" s="358"/>
      <c r="AL563" s="361"/>
      <c r="AM563" s="358"/>
      <c r="AP563" s="358"/>
      <c r="AQ563" s="361"/>
      <c r="AR563" s="358"/>
      <c r="AS563" s="358"/>
      <c r="AT563" s="358"/>
      <c r="AU563" s="358"/>
      <c r="AV563" s="358"/>
      <c r="AW563" s="358"/>
      <c r="AY563" s="358"/>
      <c r="BB563" s="358"/>
      <c r="BD563" s="358"/>
      <c r="LF563" s="1640"/>
      <c r="LK563" s="1640"/>
      <c r="LP563" s="1640"/>
      <c r="LU563" s="1640"/>
      <c r="LV563" s="1640"/>
      <c r="LW563" s="1640"/>
      <c r="LX563" s="1640"/>
      <c r="LY563" s="1640"/>
      <c r="LZ563" s="1640"/>
      <c r="MA563" s="1640"/>
      <c r="MB563" s="1640"/>
      <c r="MC563" s="1640"/>
      <c r="MD563" s="1640"/>
      <c r="ME563" s="1640"/>
      <c r="MF563" s="1640"/>
      <c r="MG563" s="1640"/>
      <c r="MH563" s="1640"/>
      <c r="MI563" s="1640"/>
      <c r="MJ563" s="1640"/>
      <c r="MK563" s="1640"/>
      <c r="ML563" s="1640"/>
      <c r="MM563" s="1640"/>
      <c r="MN563" s="1640"/>
      <c r="MO563" s="1640"/>
      <c r="MP563" s="1640"/>
      <c r="MW563" s="360"/>
      <c r="MX563" s="360"/>
      <c r="NN563" s="360"/>
      <c r="OZ563" s="1784">
        <v>106</v>
      </c>
    </row>
    <row r="564" spans="1:416" ht="14.7" customHeight="1">
      <c r="A564" s="360" t="s">
        <v>688</v>
      </c>
      <c r="B564" s="360" t="s">
        <v>5147</v>
      </c>
      <c r="H564" s="359"/>
      <c r="L564" s="2634" t="str">
        <f>O515</f>
        <v>Income Averaging</v>
      </c>
      <c r="M564" s="2634"/>
      <c r="N564" s="2634"/>
      <c r="O564" s="2634"/>
      <c r="S564" s="1639" t="str">
        <f>B564</f>
        <v>UNIT SUMMARY (Continued)</v>
      </c>
      <c r="T564" s="1639"/>
      <c r="U564" s="1639"/>
      <c r="V564" s="1639"/>
      <c r="AY564" s="358"/>
      <c r="BD564" s="358"/>
      <c r="LF564" s="1640"/>
      <c r="LK564" s="1640"/>
      <c r="LP564" s="1640"/>
      <c r="LU564" s="1640"/>
      <c r="LV564" s="1640"/>
      <c r="LW564" s="1640"/>
      <c r="LX564" s="1640"/>
      <c r="LY564" s="1640"/>
      <c r="LZ564" s="1640"/>
      <c r="MA564" s="1640"/>
      <c r="MB564" s="1640"/>
      <c r="MC564" s="1640"/>
      <c r="MD564" s="1640"/>
      <c r="ME564" s="1640"/>
      <c r="MF564" s="1640"/>
      <c r="MG564" s="1640"/>
      <c r="MH564" s="1640"/>
      <c r="MI564" s="1640"/>
      <c r="MJ564" s="1640"/>
      <c r="MK564" s="1640"/>
      <c r="ML564" s="1640"/>
      <c r="MM564" s="1640"/>
      <c r="MN564" s="1640"/>
      <c r="MO564" s="1640"/>
      <c r="MP564" s="1640"/>
      <c r="MW564" s="360"/>
      <c r="MX564" s="360"/>
      <c r="NN564" s="360"/>
      <c r="OZ564" s="1784">
        <v>107</v>
      </c>
    </row>
    <row r="565" spans="1:416" ht="9" customHeight="1">
      <c r="A565" s="360"/>
      <c r="B565" s="360"/>
      <c r="H565" s="359"/>
      <c r="S565" s="2411" t="str">
        <f>C566</f>
        <v>PHA Operating Subsidy-Assisted</v>
      </c>
      <c r="T565" s="360"/>
      <c r="U565" s="2706"/>
      <c r="AY565" s="358"/>
      <c r="BD565" s="358"/>
      <c r="LF565" s="1640"/>
      <c r="LK565" s="1640"/>
      <c r="LP565" s="1640"/>
      <c r="LU565" s="1640"/>
      <c r="LV565" s="1640"/>
      <c r="LW565" s="1640"/>
      <c r="LX565" s="1640"/>
      <c r="LY565" s="1640"/>
      <c r="LZ565" s="1640"/>
      <c r="MA565" s="1640"/>
      <c r="MB565" s="1640"/>
      <c r="MC565" s="1640"/>
      <c r="MD565" s="1640"/>
      <c r="ME565" s="1640"/>
      <c r="MF565" s="1640"/>
      <c r="MG565" s="1640"/>
      <c r="MH565" s="1640"/>
      <c r="MI565" s="1640"/>
      <c r="MJ565" s="1640"/>
      <c r="MK565" s="1640"/>
      <c r="ML565" s="1640"/>
      <c r="MM565" s="1640"/>
      <c r="MN565" s="1640"/>
      <c r="MO565" s="1640"/>
      <c r="MP565" s="1640"/>
      <c r="MW565" s="360"/>
      <c r="MX565" s="360"/>
      <c r="NN565" s="360"/>
      <c r="OZ565" s="1784">
        <v>108</v>
      </c>
    </row>
    <row r="566" spans="1:416" ht="13.5" customHeight="1">
      <c r="A566" s="1536"/>
      <c r="B566" s="1536"/>
      <c r="C566" s="2647" t="s">
        <v>831</v>
      </c>
      <c r="D566" s="2647"/>
      <c r="E566" s="2647"/>
      <c r="F566" s="358"/>
      <c r="H566" s="1409" t="s">
        <v>3554</v>
      </c>
      <c r="I566" s="361"/>
      <c r="K566" s="2759">
        <f>DY511</f>
        <v>0</v>
      </c>
      <c r="L566" s="2759">
        <f>DZ511</f>
        <v>0</v>
      </c>
      <c r="M566" s="2759">
        <f>EA511</f>
        <v>0</v>
      </c>
      <c r="N566" s="2759">
        <f>EB511</f>
        <v>0</v>
      </c>
      <c r="O566" s="2759">
        <f>EC511</f>
        <v>0</v>
      </c>
      <c r="P566" s="2747">
        <f t="shared" ref="P566:P573" si="395">SUM(K566:O566)</f>
        <v>0</v>
      </c>
      <c r="S566" s="2647"/>
      <c r="T566" s="2647"/>
      <c r="U566" s="2647"/>
      <c r="V566" s="2647"/>
      <c r="W566" s="2647"/>
      <c r="X566" s="358"/>
      <c r="AA566" s="358"/>
      <c r="AB566" s="361"/>
      <c r="AC566" s="358"/>
      <c r="AF566" s="358"/>
      <c r="AG566" s="361"/>
      <c r="AH566" s="358"/>
      <c r="AK566" s="358"/>
      <c r="AL566" s="361"/>
      <c r="AM566" s="358"/>
      <c r="AP566" s="358"/>
      <c r="AQ566" s="361"/>
      <c r="AR566" s="362"/>
      <c r="AS566" s="362"/>
      <c r="AT566" s="362"/>
      <c r="AU566" s="362"/>
      <c r="AV566" s="362"/>
      <c r="AW566" s="362"/>
      <c r="AX566" s="361"/>
      <c r="AY566" s="358"/>
      <c r="BB566" s="362"/>
      <c r="BC566" s="361"/>
      <c r="BD566" s="358"/>
      <c r="LF566" s="1640"/>
      <c r="LK566" s="1640"/>
      <c r="LP566" s="1640"/>
      <c r="LU566" s="1640"/>
      <c r="LV566" s="1640"/>
      <c r="LW566" s="1640"/>
      <c r="LX566" s="1640"/>
      <c r="LY566" s="1640"/>
      <c r="LZ566" s="1640"/>
      <c r="MA566" s="1640"/>
      <c r="MB566" s="1640"/>
      <c r="MC566" s="1640"/>
      <c r="MD566" s="1640"/>
      <c r="ME566" s="1640"/>
      <c r="MF566" s="1640"/>
      <c r="MG566" s="1640"/>
      <c r="MH566" s="1640"/>
      <c r="MI566" s="1640"/>
      <c r="MJ566" s="1640"/>
      <c r="MK566" s="1640"/>
      <c r="ML566" s="1640"/>
      <c r="MM566" s="1640"/>
      <c r="MN566" s="1640"/>
      <c r="MO566" s="1640"/>
      <c r="MP566" s="1640"/>
      <c r="MW566" s="360"/>
      <c r="MX566" s="360"/>
      <c r="NN566" s="360"/>
      <c r="OZ566" s="1784">
        <v>109</v>
      </c>
    </row>
    <row r="567" spans="1:416" ht="13.5" customHeight="1">
      <c r="A567" s="1536"/>
      <c r="B567" s="1536"/>
      <c r="C567" s="361" t="s">
        <v>2303</v>
      </c>
      <c r="D567" s="2647"/>
      <c r="E567" s="2647"/>
      <c r="F567" s="358"/>
      <c r="H567" s="1409" t="s">
        <v>3555</v>
      </c>
      <c r="I567" s="361"/>
      <c r="K567" s="2747">
        <f>DT511</f>
        <v>0</v>
      </c>
      <c r="L567" s="2747">
        <f>DU511</f>
        <v>0</v>
      </c>
      <c r="M567" s="2747">
        <f>DV511</f>
        <v>0</v>
      </c>
      <c r="N567" s="2747">
        <f>DW511</f>
        <v>0</v>
      </c>
      <c r="O567" s="2747">
        <f>DX511</f>
        <v>0</v>
      </c>
      <c r="P567" s="2747">
        <f t="shared" si="395"/>
        <v>0</v>
      </c>
      <c r="S567" s="2647"/>
      <c r="T567" s="2647"/>
      <c r="U567" s="2647"/>
      <c r="V567" s="2647"/>
      <c r="W567" s="2647"/>
      <c r="X567" s="358"/>
      <c r="AA567" s="358"/>
      <c r="AB567" s="361"/>
      <c r="AC567" s="358"/>
      <c r="AF567" s="358"/>
      <c r="AG567" s="361"/>
      <c r="AH567" s="358"/>
      <c r="AK567" s="358"/>
      <c r="AL567" s="361"/>
      <c r="AM567" s="358"/>
      <c r="AP567" s="358"/>
      <c r="AQ567" s="361"/>
      <c r="AR567" s="362"/>
      <c r="AS567" s="362"/>
      <c r="AT567" s="362"/>
      <c r="AU567" s="362"/>
      <c r="AV567" s="362"/>
      <c r="AW567" s="362"/>
      <c r="AX567" s="361"/>
      <c r="AY567" s="358"/>
      <c r="BB567" s="362"/>
      <c r="BC567" s="361"/>
      <c r="BD567" s="358"/>
      <c r="LF567" s="1640"/>
      <c r="LK567" s="1640"/>
      <c r="LP567" s="1640"/>
      <c r="LU567" s="1640"/>
      <c r="LV567" s="1640"/>
      <c r="LW567" s="1640"/>
      <c r="LX567" s="1640"/>
      <c r="LY567" s="1640"/>
      <c r="LZ567" s="1640"/>
      <c r="MA567" s="1640"/>
      <c r="MB567" s="1640"/>
      <c r="MC567" s="1640"/>
      <c r="MD567" s="1640"/>
      <c r="ME567" s="1640"/>
      <c r="MF567" s="1640"/>
      <c r="MG567" s="1640"/>
      <c r="MH567" s="1640"/>
      <c r="MI567" s="1640"/>
      <c r="MJ567" s="1640"/>
      <c r="MK567" s="1640"/>
      <c r="ML567" s="1640"/>
      <c r="MM567" s="1640"/>
      <c r="MN567" s="1640"/>
      <c r="MO567" s="1640"/>
      <c r="MP567" s="1640"/>
      <c r="MW567" s="360"/>
      <c r="MX567" s="360"/>
      <c r="NN567" s="360"/>
      <c r="OZ567" s="1784">
        <v>110</v>
      </c>
    </row>
    <row r="568" spans="1:416" ht="13.5" customHeight="1">
      <c r="A568" s="1536"/>
      <c r="B568" s="1536"/>
      <c r="C568" s="2647"/>
      <c r="D568" s="2647"/>
      <c r="E568" s="2647"/>
      <c r="F568" s="358"/>
      <c r="H568" s="1409" t="s">
        <v>1080</v>
      </c>
      <c r="I568" s="361"/>
      <c r="K568" s="2747">
        <f>DO511</f>
        <v>0</v>
      </c>
      <c r="L568" s="2747">
        <f>DP511</f>
        <v>0</v>
      </c>
      <c r="M568" s="2747">
        <f>DQ511</f>
        <v>0</v>
      </c>
      <c r="N568" s="2747">
        <f>DR511</f>
        <v>0</v>
      </c>
      <c r="O568" s="2747">
        <f>DS511</f>
        <v>0</v>
      </c>
      <c r="P568" s="2747">
        <f t="shared" si="395"/>
        <v>0</v>
      </c>
      <c r="S568" s="2647"/>
      <c r="T568" s="2647"/>
      <c r="U568" s="2647"/>
      <c r="V568" s="2647"/>
      <c r="W568" s="2647"/>
      <c r="X568" s="358"/>
      <c r="AA568" s="358"/>
      <c r="AB568" s="361"/>
      <c r="AC568" s="358"/>
      <c r="AF568" s="358"/>
      <c r="AG568" s="361"/>
      <c r="AH568" s="358"/>
      <c r="AK568" s="358"/>
      <c r="AL568" s="361"/>
      <c r="AM568" s="358"/>
      <c r="AP568" s="358"/>
      <c r="AQ568" s="361"/>
      <c r="AR568" s="362"/>
      <c r="AS568" s="362"/>
      <c r="AT568" s="362"/>
      <c r="AU568" s="362"/>
      <c r="AV568" s="362"/>
      <c r="AW568" s="362"/>
      <c r="AX568" s="361"/>
      <c r="AY568" s="358"/>
      <c r="BB568" s="362"/>
      <c r="BC568" s="361"/>
      <c r="BD568" s="358"/>
      <c r="LF568" s="1640"/>
      <c r="LK568" s="1640"/>
      <c r="LP568" s="1640"/>
      <c r="LU568" s="1640"/>
      <c r="LV568" s="1640"/>
      <c r="LW568" s="1640"/>
      <c r="LX568" s="1640"/>
      <c r="LY568" s="1640"/>
      <c r="LZ568" s="1640"/>
      <c r="MA568" s="1640"/>
      <c r="MB568" s="1640"/>
      <c r="MC568" s="1640"/>
      <c r="MD568" s="1640"/>
      <c r="ME568" s="1640"/>
      <c r="MF568" s="1640"/>
      <c r="MG568" s="1640"/>
      <c r="MH568" s="1640"/>
      <c r="MI568" s="1640"/>
      <c r="MJ568" s="1640"/>
      <c r="MK568" s="1640"/>
      <c r="ML568" s="1640"/>
      <c r="MM568" s="1640"/>
      <c r="MN568" s="1640"/>
      <c r="MO568" s="1640"/>
      <c r="MP568" s="1640"/>
      <c r="MW568" s="360"/>
      <c r="MX568" s="360"/>
      <c r="NN568" s="360"/>
      <c r="OZ568" s="2468">
        <v>111</v>
      </c>
    </row>
    <row r="569" spans="1:416" ht="13.5" customHeight="1">
      <c r="A569" s="1536"/>
      <c r="B569" s="1536"/>
      <c r="C569" s="2647"/>
      <c r="D569" s="2647"/>
      <c r="E569" s="2647"/>
      <c r="F569" s="358"/>
      <c r="H569" s="1409" t="s">
        <v>112</v>
      </c>
      <c r="I569" s="361"/>
      <c r="K569" s="2747">
        <f>DJ511</f>
        <v>0</v>
      </c>
      <c r="L569" s="2747">
        <f>DK511</f>
        <v>0</v>
      </c>
      <c r="M569" s="2747">
        <f>DL511</f>
        <v>0</v>
      </c>
      <c r="N569" s="2747">
        <f>DM511</f>
        <v>0</v>
      </c>
      <c r="O569" s="2747">
        <f>DN511</f>
        <v>0</v>
      </c>
      <c r="P569" s="2747">
        <f t="shared" si="395"/>
        <v>0</v>
      </c>
      <c r="S569" s="2647"/>
      <c r="T569" s="2647"/>
      <c r="U569" s="2647"/>
      <c r="V569" s="2647"/>
      <c r="W569" s="2647"/>
      <c r="X569" s="358"/>
      <c r="AA569" s="358"/>
      <c r="AB569" s="361"/>
      <c r="AC569" s="358"/>
      <c r="AF569" s="358"/>
      <c r="AG569" s="361"/>
      <c r="AH569" s="358"/>
      <c r="AK569" s="358"/>
      <c r="AL569" s="361"/>
      <c r="AM569" s="358"/>
      <c r="AP569" s="358"/>
      <c r="AQ569" s="361"/>
      <c r="AR569" s="362"/>
      <c r="AS569" s="362"/>
      <c r="AT569" s="362"/>
      <c r="AU569" s="362"/>
      <c r="AV569" s="362"/>
      <c r="AW569" s="362"/>
      <c r="AX569" s="361"/>
      <c r="AY569" s="358"/>
      <c r="BB569" s="362"/>
      <c r="BC569" s="361"/>
      <c r="BD569" s="358"/>
      <c r="LF569" s="1640"/>
      <c r="LK569" s="1640"/>
      <c r="LP569" s="1640"/>
      <c r="LU569" s="1640"/>
      <c r="LV569" s="1640"/>
      <c r="LW569" s="1640"/>
      <c r="LX569" s="1640"/>
      <c r="LY569" s="1640"/>
      <c r="LZ569" s="1640"/>
      <c r="MA569" s="1640"/>
      <c r="MB569" s="1640"/>
      <c r="MC569" s="1640"/>
      <c r="MD569" s="1640"/>
      <c r="ME569" s="1640"/>
      <c r="MF569" s="1640"/>
      <c r="MG569" s="1640"/>
      <c r="MH569" s="1640"/>
      <c r="MI569" s="1640"/>
      <c r="MJ569" s="1640"/>
      <c r="MK569" s="1640"/>
      <c r="ML569" s="1640"/>
      <c r="MM569" s="1640"/>
      <c r="MN569" s="1640"/>
      <c r="MO569" s="1640"/>
      <c r="MP569" s="1640"/>
      <c r="MW569" s="360"/>
      <c r="MX569" s="360"/>
      <c r="NN569" s="360"/>
      <c r="OZ569" s="1784">
        <v>112</v>
      </c>
    </row>
    <row r="570" spans="1:416" ht="13.5" customHeight="1">
      <c r="A570" s="1536"/>
      <c r="B570" s="1536"/>
      <c r="C570" s="2647"/>
      <c r="D570" s="2647"/>
      <c r="E570" s="2647"/>
      <c r="F570" s="358"/>
      <c r="H570" s="1409" t="s">
        <v>3556</v>
      </c>
      <c r="I570" s="361"/>
      <c r="K570" s="2747">
        <f>DE511</f>
        <v>0</v>
      </c>
      <c r="L570" s="2747">
        <f>DF511</f>
        <v>0</v>
      </c>
      <c r="M570" s="2747">
        <f>DG511</f>
        <v>0</v>
      </c>
      <c r="N570" s="2747">
        <f>DH511</f>
        <v>0</v>
      </c>
      <c r="O570" s="2747">
        <f>DI511</f>
        <v>0</v>
      </c>
      <c r="P570" s="2747">
        <f t="shared" si="395"/>
        <v>0</v>
      </c>
      <c r="S570" s="2647"/>
      <c r="T570" s="2647"/>
      <c r="U570" s="2647"/>
      <c r="V570" s="2647"/>
      <c r="W570" s="2647"/>
      <c r="X570" s="358"/>
      <c r="AA570" s="358"/>
      <c r="AB570" s="361"/>
      <c r="AC570" s="358"/>
      <c r="AF570" s="358"/>
      <c r="AG570" s="361"/>
      <c r="AH570" s="358"/>
      <c r="AK570" s="358"/>
      <c r="AL570" s="361"/>
      <c r="AM570" s="358"/>
      <c r="AP570" s="358"/>
      <c r="AQ570" s="361"/>
      <c r="AR570" s="362"/>
      <c r="AS570" s="362"/>
      <c r="AT570" s="362"/>
      <c r="AU570" s="362"/>
      <c r="AV570" s="362"/>
      <c r="AW570" s="362"/>
      <c r="AX570" s="361"/>
      <c r="AY570" s="358"/>
      <c r="BB570" s="362"/>
      <c r="BC570" s="361"/>
      <c r="BD570" s="358"/>
      <c r="LF570" s="1640"/>
      <c r="LK570" s="1640"/>
      <c r="LP570" s="1640"/>
      <c r="LU570" s="1640"/>
      <c r="LV570" s="1640"/>
      <c r="LW570" s="1640"/>
      <c r="LX570" s="1640"/>
      <c r="LY570" s="1640"/>
      <c r="LZ570" s="1640"/>
      <c r="MA570" s="1640"/>
      <c r="MB570" s="1640"/>
      <c r="MC570" s="1640"/>
      <c r="MD570" s="1640"/>
      <c r="ME570" s="1640"/>
      <c r="MF570" s="1640"/>
      <c r="MG570" s="1640"/>
      <c r="MH570" s="1640"/>
      <c r="MI570" s="1640"/>
      <c r="MJ570" s="1640"/>
      <c r="MK570" s="1640"/>
      <c r="ML570" s="1640"/>
      <c r="MM570" s="1640"/>
      <c r="MN570" s="1640"/>
      <c r="MO570" s="1640"/>
      <c r="MP570" s="1640"/>
      <c r="MW570" s="360"/>
      <c r="MX570" s="360"/>
      <c r="NN570" s="360"/>
      <c r="OZ570" s="1640">
        <v>113</v>
      </c>
    </row>
    <row r="571" spans="1:416" ht="13.5" customHeight="1">
      <c r="A571" s="1536"/>
      <c r="B571" s="1536"/>
      <c r="C571" s="2647"/>
      <c r="D571" s="2647"/>
      <c r="E571" s="2647"/>
      <c r="F571" s="358"/>
      <c r="H571" s="1409" t="s">
        <v>3557</v>
      </c>
      <c r="I571" s="361"/>
      <c r="K571" s="2747">
        <f>CZ511</f>
        <v>0</v>
      </c>
      <c r="L571" s="2747">
        <f>DA511</f>
        <v>0</v>
      </c>
      <c r="M571" s="2747">
        <f>DB511</f>
        <v>0</v>
      </c>
      <c r="N571" s="2747">
        <f>DC511</f>
        <v>0</v>
      </c>
      <c r="O571" s="2747">
        <f>DD511</f>
        <v>0</v>
      </c>
      <c r="P571" s="2747">
        <f t="shared" si="395"/>
        <v>0</v>
      </c>
      <c r="S571" s="2647"/>
      <c r="T571" s="2647"/>
      <c r="U571" s="2647"/>
      <c r="V571" s="2647"/>
      <c r="W571" s="2647"/>
      <c r="X571" s="358"/>
      <c r="AA571" s="358"/>
      <c r="AB571" s="361"/>
      <c r="AC571" s="358"/>
      <c r="AF571" s="358"/>
      <c r="AG571" s="361"/>
      <c r="AH571" s="358"/>
      <c r="AK571" s="358"/>
      <c r="AL571" s="361"/>
      <c r="AM571" s="358"/>
      <c r="AP571" s="358"/>
      <c r="AQ571" s="361"/>
      <c r="AR571" s="362"/>
      <c r="AS571" s="362"/>
      <c r="AT571" s="362"/>
      <c r="AU571" s="362"/>
      <c r="AV571" s="362"/>
      <c r="AW571" s="362"/>
      <c r="AX571" s="361"/>
      <c r="AY571" s="358"/>
      <c r="BB571" s="362"/>
      <c r="BC571" s="361"/>
      <c r="BD571" s="358"/>
      <c r="LF571" s="1640"/>
      <c r="LK571" s="1640"/>
      <c r="LP571" s="1640"/>
      <c r="LU571" s="1640"/>
      <c r="LV571" s="1640"/>
      <c r="LW571" s="1640"/>
      <c r="LX571" s="1640"/>
      <c r="LY571" s="1640"/>
      <c r="LZ571" s="1640"/>
      <c r="MA571" s="1640"/>
      <c r="MB571" s="1640"/>
      <c r="MC571" s="1640"/>
      <c r="MD571" s="1640"/>
      <c r="ME571" s="1640"/>
      <c r="MF571" s="1640"/>
      <c r="MG571" s="1640"/>
      <c r="MH571" s="1640"/>
      <c r="MI571" s="1640"/>
      <c r="MJ571" s="1640"/>
      <c r="MK571" s="1640"/>
      <c r="ML571" s="1640"/>
      <c r="MM571" s="1640"/>
      <c r="MN571" s="1640"/>
      <c r="MO571" s="1640"/>
      <c r="MP571" s="1640"/>
      <c r="MW571" s="360"/>
      <c r="MX571" s="360"/>
      <c r="NN571" s="360"/>
      <c r="OZ571" s="1784">
        <v>114</v>
      </c>
    </row>
    <row r="572" spans="1:416" ht="13.5" customHeight="1">
      <c r="A572" s="1536"/>
      <c r="B572" s="1536"/>
      <c r="C572" s="2647"/>
      <c r="D572" s="2647"/>
      <c r="E572" s="2647"/>
      <c r="F572" s="358"/>
      <c r="H572" s="1409" t="s">
        <v>3558</v>
      </c>
      <c r="I572" s="361"/>
      <c r="K572" s="2759">
        <f>CU511</f>
        <v>0</v>
      </c>
      <c r="L572" s="2759">
        <f>CV511</f>
        <v>0</v>
      </c>
      <c r="M572" s="2759">
        <f>CW511</f>
        <v>0</v>
      </c>
      <c r="N572" s="2759">
        <f>CX511</f>
        <v>0</v>
      </c>
      <c r="O572" s="2759">
        <f>CY511</f>
        <v>0</v>
      </c>
      <c r="P572" s="2747">
        <f t="shared" si="395"/>
        <v>0</v>
      </c>
      <c r="S572" s="2647"/>
      <c r="T572" s="2647"/>
      <c r="U572" s="2647"/>
      <c r="V572" s="2647"/>
      <c r="W572" s="2647"/>
      <c r="X572" s="361"/>
      <c r="AA572" s="358"/>
      <c r="AB572" s="361"/>
      <c r="AC572" s="361"/>
      <c r="AF572" s="358"/>
      <c r="AG572" s="361"/>
      <c r="AH572" s="361"/>
      <c r="AK572" s="358"/>
      <c r="AL572" s="361"/>
      <c r="AM572" s="361"/>
      <c r="AP572" s="358"/>
      <c r="AQ572" s="361"/>
      <c r="AR572" s="362"/>
      <c r="AS572" s="362"/>
      <c r="AT572" s="362"/>
      <c r="AU572" s="362"/>
      <c r="AV572" s="362"/>
      <c r="AW572" s="362"/>
      <c r="AX572" s="361"/>
      <c r="AY572" s="358"/>
      <c r="BB572" s="362"/>
      <c r="BC572" s="361"/>
      <c r="BD572" s="358"/>
      <c r="LF572" s="1640"/>
      <c r="LK572" s="1640"/>
      <c r="LP572" s="1640"/>
      <c r="LU572" s="1640"/>
      <c r="LV572" s="1640"/>
      <c r="LW572" s="1640"/>
      <c r="LX572" s="1640"/>
      <c r="LY572" s="1640"/>
      <c r="LZ572" s="1640"/>
      <c r="MA572" s="1640"/>
      <c r="MB572" s="1640"/>
      <c r="MC572" s="1640"/>
      <c r="MD572" s="1640"/>
      <c r="ME572" s="1640"/>
      <c r="MF572" s="1640"/>
      <c r="MG572" s="1640"/>
      <c r="MH572" s="1640"/>
      <c r="MI572" s="1640"/>
      <c r="MJ572" s="1640"/>
      <c r="MK572" s="1640"/>
      <c r="ML572" s="1640"/>
      <c r="MM572" s="1640"/>
      <c r="MN572" s="1640"/>
      <c r="MO572" s="1640"/>
      <c r="MP572" s="1640"/>
      <c r="MW572" s="360"/>
      <c r="MX572" s="360"/>
      <c r="NN572" s="360"/>
      <c r="OZ572" s="1784">
        <v>115</v>
      </c>
    </row>
    <row r="573" spans="1:416" ht="15" customHeight="1">
      <c r="A573" s="1536"/>
      <c r="B573" s="1536"/>
      <c r="D573" s="358"/>
      <c r="E573" s="1409"/>
      <c r="F573" s="358"/>
      <c r="H573" s="1536" t="s">
        <v>503</v>
      </c>
      <c r="I573" s="2733"/>
      <c r="K573" s="2753">
        <f>SUM(K566:K572)</f>
        <v>0</v>
      </c>
      <c r="L573" s="2753">
        <f>SUM(L566:L572)</f>
        <v>0</v>
      </c>
      <c r="M573" s="2753">
        <f>SUM(M566:M572)</f>
        <v>0</v>
      </c>
      <c r="N573" s="2753">
        <f>SUM(N566:N572)</f>
        <v>0</v>
      </c>
      <c r="O573" s="2753">
        <f>SUM(O566:O572)</f>
        <v>0</v>
      </c>
      <c r="P573" s="2753">
        <f t="shared" si="395"/>
        <v>0</v>
      </c>
      <c r="S573" s="2647"/>
      <c r="T573" s="2647"/>
      <c r="U573" s="2647"/>
      <c r="V573" s="2647"/>
      <c r="W573" s="2647"/>
      <c r="X573" s="1639"/>
      <c r="AA573" s="358"/>
      <c r="AB573" s="361"/>
      <c r="AC573" s="1639"/>
      <c r="AF573" s="358"/>
      <c r="AG573" s="361"/>
      <c r="AH573" s="1639"/>
      <c r="AK573" s="358"/>
      <c r="AL573" s="361"/>
      <c r="AM573" s="1639"/>
      <c r="AP573" s="358"/>
      <c r="AQ573" s="361"/>
      <c r="AR573" s="362"/>
      <c r="AS573" s="362"/>
      <c r="AT573" s="362"/>
      <c r="AU573" s="362"/>
      <c r="AV573" s="362"/>
      <c r="AW573" s="362"/>
      <c r="AX573" s="361"/>
      <c r="AY573" s="358"/>
      <c r="BB573" s="362"/>
      <c r="BC573" s="361"/>
      <c r="BD573" s="358"/>
      <c r="LF573" s="1640"/>
      <c r="LK573" s="1640"/>
      <c r="LP573" s="1640"/>
      <c r="LU573" s="1640"/>
      <c r="LV573" s="1640"/>
      <c r="LW573" s="1640"/>
      <c r="LX573" s="1640"/>
      <c r="LY573" s="1640"/>
      <c r="LZ573" s="1640"/>
      <c r="MA573" s="1640"/>
      <c r="MB573" s="1640"/>
      <c r="MC573" s="1640"/>
      <c r="MD573" s="1640"/>
      <c r="ME573" s="1640"/>
      <c r="MF573" s="1640"/>
      <c r="MG573" s="1640"/>
      <c r="MH573" s="1640"/>
      <c r="MI573" s="1640"/>
      <c r="MJ573" s="1640"/>
      <c r="MK573" s="1640"/>
      <c r="ML573" s="1640"/>
      <c r="MM573" s="1640"/>
      <c r="MN573" s="1640"/>
      <c r="MO573" s="1640"/>
      <c r="MP573" s="1640"/>
      <c r="MW573" s="360"/>
      <c r="MX573" s="360"/>
      <c r="NN573" s="360"/>
      <c r="OZ573" s="1640">
        <v>116</v>
      </c>
    </row>
    <row r="574" spans="1:416" ht="9" customHeight="1">
      <c r="A574" s="360"/>
      <c r="B574" s="360"/>
      <c r="H574" s="359"/>
      <c r="S574" s="2411" t="str">
        <f>C575</f>
        <v>PBV</v>
      </c>
      <c r="T574" s="360"/>
      <c r="U574" s="2706"/>
      <c r="AY574" s="358"/>
      <c r="BD574" s="358"/>
      <c r="LF574" s="1640"/>
      <c r="LK574" s="1640"/>
      <c r="LP574" s="1640"/>
      <c r="LU574" s="1640"/>
      <c r="LV574" s="1640"/>
      <c r="LW574" s="1640"/>
      <c r="LX574" s="1640"/>
      <c r="LY574" s="1640"/>
      <c r="LZ574" s="1640"/>
      <c r="MA574" s="1640"/>
      <c r="MB574" s="1640"/>
      <c r="MC574" s="1640"/>
      <c r="MD574" s="1640"/>
      <c r="ME574" s="1640"/>
      <c r="MF574" s="1640"/>
      <c r="MG574" s="1640"/>
      <c r="MH574" s="1640"/>
      <c r="MI574" s="1640"/>
      <c r="MJ574" s="1640"/>
      <c r="MK574" s="1640"/>
      <c r="ML574" s="1640"/>
      <c r="MM574" s="1640"/>
      <c r="MN574" s="1640"/>
      <c r="MO574" s="1640"/>
      <c r="MP574" s="1640"/>
      <c r="MW574" s="360"/>
      <c r="MX574" s="360"/>
      <c r="NN574" s="360"/>
      <c r="OZ574" s="1784">
        <v>117</v>
      </c>
    </row>
    <row r="575" spans="1:416" ht="13.5" customHeight="1">
      <c r="A575" s="1536"/>
      <c r="B575" s="1536"/>
      <c r="C575" s="2647" t="s">
        <v>5039</v>
      </c>
      <c r="D575" s="2647"/>
      <c r="E575" s="2647"/>
      <c r="F575" s="358"/>
      <c r="H575" s="1409" t="s">
        <v>3554</v>
      </c>
      <c r="I575" s="361"/>
      <c r="K575" s="2759">
        <f>ED511</f>
        <v>0</v>
      </c>
      <c r="L575" s="2759">
        <f>EE511</f>
        <v>0</v>
      </c>
      <c r="M575" s="2759">
        <f>EF511</f>
        <v>0</v>
      </c>
      <c r="N575" s="2759">
        <f>EG511</f>
        <v>0</v>
      </c>
      <c r="O575" s="2759">
        <f>EH511</f>
        <v>0</v>
      </c>
      <c r="P575" s="2747">
        <f t="shared" ref="P575:P582" si="396">SUM(K575:O575)</f>
        <v>0</v>
      </c>
      <c r="S575" s="2647"/>
      <c r="T575" s="2647"/>
      <c r="U575" s="2647"/>
      <c r="V575" s="2647"/>
      <c r="W575" s="2647"/>
      <c r="X575" s="358"/>
      <c r="AA575" s="358"/>
      <c r="AB575" s="361"/>
      <c r="AC575" s="358"/>
      <c r="AF575" s="358"/>
      <c r="AG575" s="361"/>
      <c r="AH575" s="358"/>
      <c r="AK575" s="358"/>
      <c r="AL575" s="361"/>
      <c r="AM575" s="358"/>
      <c r="AP575" s="358"/>
      <c r="AQ575" s="361"/>
      <c r="AR575" s="362"/>
      <c r="AS575" s="362"/>
      <c r="AT575" s="362"/>
      <c r="AU575" s="362"/>
      <c r="AV575" s="362"/>
      <c r="AW575" s="362"/>
      <c r="AX575" s="361"/>
      <c r="AY575" s="358"/>
      <c r="BB575" s="362"/>
      <c r="BC575" s="361"/>
      <c r="BD575" s="358"/>
      <c r="LF575" s="1640"/>
      <c r="LK575" s="1640"/>
      <c r="LP575" s="1640"/>
      <c r="LU575" s="1640"/>
      <c r="LV575" s="1640"/>
      <c r="LW575" s="1640"/>
      <c r="LX575" s="1640"/>
      <c r="LY575" s="1640"/>
      <c r="LZ575" s="1640"/>
      <c r="MA575" s="1640"/>
      <c r="MB575" s="1640"/>
      <c r="MC575" s="1640"/>
      <c r="MD575" s="1640"/>
      <c r="ME575" s="1640"/>
      <c r="MF575" s="1640"/>
      <c r="MG575" s="1640"/>
      <c r="MH575" s="1640"/>
      <c r="MI575" s="1640"/>
      <c r="MJ575" s="1640"/>
      <c r="MK575" s="1640"/>
      <c r="ML575" s="1640"/>
      <c r="MM575" s="1640"/>
      <c r="MN575" s="1640"/>
      <c r="MO575" s="1640"/>
      <c r="MP575" s="1640"/>
      <c r="MW575" s="360"/>
      <c r="MX575" s="360"/>
      <c r="NN575" s="360"/>
      <c r="OZ575" s="1784">
        <v>118</v>
      </c>
    </row>
    <row r="576" spans="1:416" ht="13.5" customHeight="1">
      <c r="A576" s="1536"/>
      <c r="B576" s="1536"/>
      <c r="C576" s="361" t="s">
        <v>2303</v>
      </c>
      <c r="D576" s="2647"/>
      <c r="E576" s="2647"/>
      <c r="F576" s="358"/>
      <c r="H576" s="1409" t="s">
        <v>3555</v>
      </c>
      <c r="I576" s="361"/>
      <c r="K576" s="2747">
        <f>EI511</f>
        <v>0</v>
      </c>
      <c r="L576" s="2747">
        <f>EJ511</f>
        <v>0</v>
      </c>
      <c r="M576" s="2747">
        <f>EK511</f>
        <v>0</v>
      </c>
      <c r="N576" s="2747">
        <f>EL511</f>
        <v>0</v>
      </c>
      <c r="O576" s="2747">
        <f>EM511</f>
        <v>0</v>
      </c>
      <c r="P576" s="2747">
        <f t="shared" si="396"/>
        <v>0</v>
      </c>
      <c r="S576" s="2647"/>
      <c r="T576" s="2647"/>
      <c r="U576" s="2647"/>
      <c r="V576" s="2647"/>
      <c r="W576" s="2647"/>
      <c r="X576" s="358"/>
      <c r="AA576" s="358"/>
      <c r="AB576" s="361"/>
      <c r="AC576" s="358"/>
      <c r="AF576" s="358"/>
      <c r="AG576" s="361"/>
      <c r="AH576" s="358"/>
      <c r="AK576" s="358"/>
      <c r="AL576" s="361"/>
      <c r="AM576" s="358"/>
      <c r="AP576" s="358"/>
      <c r="AQ576" s="361"/>
      <c r="AR576" s="362"/>
      <c r="AS576" s="362"/>
      <c r="AT576" s="362"/>
      <c r="AU576" s="362"/>
      <c r="AV576" s="362"/>
      <c r="AW576" s="362"/>
      <c r="AX576" s="361"/>
      <c r="AY576" s="358"/>
      <c r="BB576" s="362"/>
      <c r="BC576" s="361"/>
      <c r="BD576" s="358"/>
      <c r="LF576" s="1640"/>
      <c r="LK576" s="1640"/>
      <c r="LP576" s="1640"/>
      <c r="LU576" s="1640"/>
      <c r="LV576" s="1640"/>
      <c r="LW576" s="1640"/>
      <c r="LX576" s="1640"/>
      <c r="LY576" s="1640"/>
      <c r="LZ576" s="1640"/>
      <c r="MA576" s="1640"/>
      <c r="MB576" s="1640"/>
      <c r="MC576" s="1640"/>
      <c r="MD576" s="1640"/>
      <c r="ME576" s="1640"/>
      <c r="MF576" s="1640"/>
      <c r="MG576" s="1640"/>
      <c r="MH576" s="1640"/>
      <c r="MI576" s="1640"/>
      <c r="MJ576" s="1640"/>
      <c r="MK576" s="1640"/>
      <c r="ML576" s="1640"/>
      <c r="MM576" s="1640"/>
      <c r="MN576" s="1640"/>
      <c r="MO576" s="1640"/>
      <c r="MP576" s="1640"/>
      <c r="MW576" s="360"/>
      <c r="MX576" s="360"/>
      <c r="NN576" s="360"/>
      <c r="OZ576" s="1784">
        <v>119</v>
      </c>
    </row>
    <row r="577" spans="1:416" ht="13.5" customHeight="1">
      <c r="A577" s="1536"/>
      <c r="B577" s="1536"/>
      <c r="C577" s="2647"/>
      <c r="D577" s="2647"/>
      <c r="E577" s="2647"/>
      <c r="F577" s="358"/>
      <c r="H577" s="1409" t="s">
        <v>1080</v>
      </c>
      <c r="I577" s="361"/>
      <c r="K577" s="2747">
        <f>EN511</f>
        <v>0</v>
      </c>
      <c r="L577" s="2747">
        <f>EO511</f>
        <v>0</v>
      </c>
      <c r="M577" s="2747">
        <f>EP511</f>
        <v>0</v>
      </c>
      <c r="N577" s="2747">
        <f>EQ511</f>
        <v>0</v>
      </c>
      <c r="O577" s="2747">
        <f>ER511</f>
        <v>0</v>
      </c>
      <c r="P577" s="2747">
        <f t="shared" si="396"/>
        <v>0</v>
      </c>
      <c r="S577" s="2647"/>
      <c r="T577" s="2647"/>
      <c r="U577" s="2647"/>
      <c r="V577" s="2647"/>
      <c r="W577" s="2647"/>
      <c r="X577" s="358"/>
      <c r="AA577" s="358"/>
      <c r="AB577" s="361"/>
      <c r="AC577" s="358"/>
      <c r="AF577" s="358"/>
      <c r="AG577" s="361"/>
      <c r="AH577" s="358"/>
      <c r="AK577" s="358"/>
      <c r="AL577" s="361"/>
      <c r="AM577" s="358"/>
      <c r="AP577" s="358"/>
      <c r="AQ577" s="361"/>
      <c r="AR577" s="362"/>
      <c r="AS577" s="362"/>
      <c r="AT577" s="362"/>
      <c r="AU577" s="362"/>
      <c r="AV577" s="362"/>
      <c r="AW577" s="362"/>
      <c r="AX577" s="361"/>
      <c r="AY577" s="358"/>
      <c r="BB577" s="362"/>
      <c r="BC577" s="361"/>
      <c r="BD577" s="358"/>
      <c r="LF577" s="1640"/>
      <c r="LK577" s="1640"/>
      <c r="LP577" s="1640"/>
      <c r="LU577" s="1640"/>
      <c r="LV577" s="1640"/>
      <c r="LW577" s="1640"/>
      <c r="LX577" s="1640"/>
      <c r="LY577" s="1640"/>
      <c r="LZ577" s="1640"/>
      <c r="MA577" s="1640"/>
      <c r="MB577" s="1640"/>
      <c r="MC577" s="1640"/>
      <c r="MD577" s="1640"/>
      <c r="ME577" s="1640"/>
      <c r="MF577" s="1640"/>
      <c r="MG577" s="1640"/>
      <c r="MH577" s="1640"/>
      <c r="MI577" s="1640"/>
      <c r="MJ577" s="1640"/>
      <c r="MK577" s="1640"/>
      <c r="ML577" s="1640"/>
      <c r="MM577" s="1640"/>
      <c r="MN577" s="1640"/>
      <c r="MO577" s="1640"/>
      <c r="MP577" s="1640"/>
      <c r="MW577" s="360"/>
      <c r="MX577" s="360"/>
      <c r="NN577" s="360"/>
      <c r="OZ577" s="1784">
        <v>120</v>
      </c>
    </row>
    <row r="578" spans="1:416" ht="13.5" customHeight="1">
      <c r="A578" s="1536"/>
      <c r="B578" s="1536"/>
      <c r="C578" s="2647"/>
      <c r="D578" s="2647"/>
      <c r="E578" s="2647"/>
      <c r="F578" s="358"/>
      <c r="H578" s="1409" t="s">
        <v>112</v>
      </c>
      <c r="I578" s="361"/>
      <c r="K578" s="2747">
        <f>ES511</f>
        <v>0</v>
      </c>
      <c r="L578" s="2747">
        <f>ET511</f>
        <v>0</v>
      </c>
      <c r="M578" s="2747">
        <f>EU511</f>
        <v>0</v>
      </c>
      <c r="N578" s="2747">
        <f>EV511</f>
        <v>0</v>
      </c>
      <c r="O578" s="2747">
        <f>EW511</f>
        <v>0</v>
      </c>
      <c r="P578" s="2747">
        <f t="shared" si="396"/>
        <v>0</v>
      </c>
      <c r="S578" s="2647"/>
      <c r="T578" s="2647"/>
      <c r="U578" s="2647"/>
      <c r="V578" s="2647"/>
      <c r="W578" s="2647"/>
      <c r="X578" s="358"/>
      <c r="AA578" s="358"/>
      <c r="AB578" s="361"/>
      <c r="AC578" s="358"/>
      <c r="AF578" s="358"/>
      <c r="AG578" s="361"/>
      <c r="AH578" s="358"/>
      <c r="AK578" s="358"/>
      <c r="AL578" s="361"/>
      <c r="AM578" s="358"/>
      <c r="AP578" s="358"/>
      <c r="AQ578" s="361"/>
      <c r="AR578" s="362"/>
      <c r="AS578" s="362"/>
      <c r="AT578" s="362"/>
      <c r="AU578" s="362"/>
      <c r="AV578" s="362"/>
      <c r="AW578" s="362"/>
      <c r="AX578" s="361"/>
      <c r="AY578" s="358"/>
      <c r="BB578" s="362"/>
      <c r="BC578" s="361"/>
      <c r="BD578" s="358"/>
      <c r="LF578" s="1640"/>
      <c r="LK578" s="1640"/>
      <c r="LP578" s="1640"/>
      <c r="LU578" s="1640"/>
      <c r="LV578" s="1640"/>
      <c r="LW578" s="1640"/>
      <c r="LX578" s="1640"/>
      <c r="LY578" s="1640"/>
      <c r="LZ578" s="1640"/>
      <c r="MA578" s="1640"/>
      <c r="MB578" s="1640"/>
      <c r="MC578" s="1640"/>
      <c r="MD578" s="1640"/>
      <c r="ME578" s="1640"/>
      <c r="MF578" s="1640"/>
      <c r="MG578" s="1640"/>
      <c r="MH578" s="1640"/>
      <c r="MI578" s="1640"/>
      <c r="MJ578" s="1640"/>
      <c r="MK578" s="1640"/>
      <c r="ML578" s="1640"/>
      <c r="MM578" s="1640"/>
      <c r="MN578" s="1640"/>
      <c r="MO578" s="1640"/>
      <c r="MP578" s="1640"/>
      <c r="MW578" s="360"/>
      <c r="MX578" s="360"/>
      <c r="NN578" s="360"/>
      <c r="OZ578" s="1784">
        <v>121</v>
      </c>
    </row>
    <row r="579" spans="1:416" ht="13.5" customHeight="1">
      <c r="A579" s="1536"/>
      <c r="B579" s="1536"/>
      <c r="C579" s="2647"/>
      <c r="D579" s="2647"/>
      <c r="E579" s="2647"/>
      <c r="F579" s="358"/>
      <c r="H579" s="1409" t="s">
        <v>3556</v>
      </c>
      <c r="I579" s="361"/>
      <c r="K579" s="2747">
        <f>EX511</f>
        <v>0</v>
      </c>
      <c r="L579" s="2747">
        <f>EY511</f>
        <v>0</v>
      </c>
      <c r="M579" s="2747">
        <f>EZ511</f>
        <v>0</v>
      </c>
      <c r="N579" s="2747">
        <f>FA511</f>
        <v>0</v>
      </c>
      <c r="O579" s="2747">
        <f>FB511</f>
        <v>0</v>
      </c>
      <c r="P579" s="2747">
        <f t="shared" si="396"/>
        <v>0</v>
      </c>
      <c r="S579" s="2647"/>
      <c r="T579" s="2647"/>
      <c r="U579" s="2647"/>
      <c r="V579" s="2647"/>
      <c r="W579" s="2647"/>
      <c r="X579" s="358"/>
      <c r="AA579" s="358"/>
      <c r="AB579" s="361"/>
      <c r="AC579" s="358"/>
      <c r="AF579" s="358"/>
      <c r="AG579" s="361"/>
      <c r="AH579" s="358"/>
      <c r="AK579" s="358"/>
      <c r="AL579" s="361"/>
      <c r="AM579" s="358"/>
      <c r="AP579" s="358"/>
      <c r="AQ579" s="361"/>
      <c r="AR579" s="362"/>
      <c r="AS579" s="362"/>
      <c r="AT579" s="362"/>
      <c r="AU579" s="362"/>
      <c r="AV579" s="362"/>
      <c r="AW579" s="362"/>
      <c r="AX579" s="361"/>
      <c r="AY579" s="358"/>
      <c r="BB579" s="362"/>
      <c r="BC579" s="361"/>
      <c r="BD579" s="358"/>
      <c r="LF579" s="1640"/>
      <c r="LK579" s="1640"/>
      <c r="LP579" s="1640"/>
      <c r="LU579" s="1640"/>
      <c r="LV579" s="1640"/>
      <c r="LW579" s="1640"/>
      <c r="LX579" s="1640"/>
      <c r="LY579" s="1640"/>
      <c r="LZ579" s="1640"/>
      <c r="MA579" s="1640"/>
      <c r="MB579" s="1640"/>
      <c r="MC579" s="1640"/>
      <c r="MD579" s="1640"/>
      <c r="ME579" s="1640"/>
      <c r="MF579" s="1640"/>
      <c r="MG579" s="1640"/>
      <c r="MH579" s="1640"/>
      <c r="MI579" s="1640"/>
      <c r="MJ579" s="1640"/>
      <c r="MK579" s="1640"/>
      <c r="ML579" s="1640"/>
      <c r="MM579" s="1640"/>
      <c r="MN579" s="1640"/>
      <c r="MO579" s="1640"/>
      <c r="MP579" s="1640"/>
      <c r="MW579" s="360"/>
      <c r="MX579" s="360"/>
      <c r="NN579" s="360"/>
      <c r="OZ579" s="2468">
        <v>122</v>
      </c>
    </row>
    <row r="580" spans="1:416" ht="13.5" customHeight="1">
      <c r="A580" s="1536"/>
      <c r="B580" s="1536"/>
      <c r="C580" s="2647"/>
      <c r="D580" s="2647"/>
      <c r="E580" s="2647"/>
      <c r="F580" s="358"/>
      <c r="H580" s="1409" t="s">
        <v>3557</v>
      </c>
      <c r="I580" s="361"/>
      <c r="K580" s="2747">
        <f>FC511</f>
        <v>0</v>
      </c>
      <c r="L580" s="2747">
        <f>FD511</f>
        <v>0</v>
      </c>
      <c r="M580" s="2747">
        <f>FE511</f>
        <v>0</v>
      </c>
      <c r="N580" s="2747">
        <f>FF511</f>
        <v>0</v>
      </c>
      <c r="O580" s="2747">
        <f>FG511</f>
        <v>0</v>
      </c>
      <c r="P580" s="2747">
        <f t="shared" si="396"/>
        <v>0</v>
      </c>
      <c r="S580" s="2647"/>
      <c r="T580" s="2647"/>
      <c r="U580" s="2647"/>
      <c r="V580" s="2647"/>
      <c r="W580" s="2647"/>
      <c r="X580" s="358"/>
      <c r="AA580" s="358"/>
      <c r="AB580" s="361"/>
      <c r="AC580" s="358"/>
      <c r="AF580" s="358"/>
      <c r="AG580" s="361"/>
      <c r="AH580" s="358"/>
      <c r="AK580" s="358"/>
      <c r="AL580" s="361"/>
      <c r="AM580" s="358"/>
      <c r="AP580" s="358"/>
      <c r="AQ580" s="361"/>
      <c r="AR580" s="362"/>
      <c r="AS580" s="362"/>
      <c r="AT580" s="362"/>
      <c r="AU580" s="362"/>
      <c r="AV580" s="362"/>
      <c r="AW580" s="362"/>
      <c r="AX580" s="361"/>
      <c r="AY580" s="358"/>
      <c r="BB580" s="362"/>
      <c r="BC580" s="361"/>
      <c r="BD580" s="358"/>
      <c r="LF580" s="1640"/>
      <c r="LK580" s="1640"/>
      <c r="LP580" s="1640"/>
      <c r="LU580" s="1640"/>
      <c r="LV580" s="1640"/>
      <c r="LW580" s="1640"/>
      <c r="LX580" s="1640"/>
      <c r="LY580" s="1640"/>
      <c r="LZ580" s="1640"/>
      <c r="MA580" s="1640"/>
      <c r="MB580" s="1640"/>
      <c r="MC580" s="1640"/>
      <c r="MD580" s="1640"/>
      <c r="ME580" s="1640"/>
      <c r="MF580" s="1640"/>
      <c r="MG580" s="1640"/>
      <c r="MH580" s="1640"/>
      <c r="MI580" s="1640"/>
      <c r="MJ580" s="1640"/>
      <c r="MK580" s="1640"/>
      <c r="ML580" s="1640"/>
      <c r="MM580" s="1640"/>
      <c r="MN580" s="1640"/>
      <c r="MO580" s="1640"/>
      <c r="MP580" s="1640"/>
      <c r="MW580" s="360"/>
      <c r="MX580" s="360"/>
      <c r="NN580" s="360"/>
      <c r="OZ580" s="1784">
        <v>123</v>
      </c>
    </row>
    <row r="581" spans="1:416" ht="13.5" customHeight="1">
      <c r="A581" s="1536"/>
      <c r="B581" s="1536"/>
      <c r="C581" s="2647"/>
      <c r="D581" s="2647"/>
      <c r="E581" s="2647"/>
      <c r="F581" s="358"/>
      <c r="H581" s="1409" t="s">
        <v>3558</v>
      </c>
      <c r="I581" s="361"/>
      <c r="K581" s="2759">
        <f>FH511</f>
        <v>0</v>
      </c>
      <c r="L581" s="2759">
        <f>FI511</f>
        <v>0</v>
      </c>
      <c r="M581" s="2759">
        <f>FJ511</f>
        <v>0</v>
      </c>
      <c r="N581" s="2759">
        <f>FK511</f>
        <v>0</v>
      </c>
      <c r="O581" s="2759">
        <f>FL511</f>
        <v>0</v>
      </c>
      <c r="P581" s="2747">
        <f t="shared" si="396"/>
        <v>0</v>
      </c>
      <c r="S581" s="2647"/>
      <c r="T581" s="2647"/>
      <c r="U581" s="2647"/>
      <c r="V581" s="2647"/>
      <c r="W581" s="2647"/>
      <c r="X581" s="361"/>
      <c r="AA581" s="358"/>
      <c r="AB581" s="361"/>
      <c r="AC581" s="361"/>
      <c r="AF581" s="358"/>
      <c r="AG581" s="361"/>
      <c r="AH581" s="361"/>
      <c r="AK581" s="358"/>
      <c r="AL581" s="361"/>
      <c r="AM581" s="361"/>
      <c r="AP581" s="358"/>
      <c r="AQ581" s="361"/>
      <c r="AR581" s="362"/>
      <c r="AS581" s="362"/>
      <c r="AT581" s="362"/>
      <c r="AU581" s="362"/>
      <c r="AV581" s="362"/>
      <c r="AW581" s="362"/>
      <c r="AX581" s="361"/>
      <c r="AY581" s="358"/>
      <c r="BB581" s="362"/>
      <c r="BC581" s="361"/>
      <c r="BD581" s="358"/>
      <c r="LF581" s="1640"/>
      <c r="LK581" s="1640"/>
      <c r="LP581" s="1640"/>
      <c r="LU581" s="1640"/>
      <c r="LV581" s="1640"/>
      <c r="LW581" s="1640"/>
      <c r="LX581" s="1640"/>
      <c r="LY581" s="1640"/>
      <c r="LZ581" s="1640"/>
      <c r="MA581" s="1640"/>
      <c r="MB581" s="1640"/>
      <c r="MC581" s="1640"/>
      <c r="MD581" s="1640"/>
      <c r="ME581" s="1640"/>
      <c r="MF581" s="1640"/>
      <c r="MG581" s="1640"/>
      <c r="MH581" s="1640"/>
      <c r="MI581" s="1640"/>
      <c r="MJ581" s="1640"/>
      <c r="MK581" s="1640"/>
      <c r="ML581" s="1640"/>
      <c r="MM581" s="1640"/>
      <c r="MN581" s="1640"/>
      <c r="MO581" s="1640"/>
      <c r="MP581" s="1640"/>
      <c r="MW581" s="360"/>
      <c r="MX581" s="360"/>
      <c r="NN581" s="360"/>
      <c r="OZ581" s="1640">
        <v>124</v>
      </c>
    </row>
    <row r="582" spans="1:416" ht="15" customHeight="1">
      <c r="A582" s="1536"/>
      <c r="B582" s="1536"/>
      <c r="D582" s="358"/>
      <c r="E582" s="1409"/>
      <c r="F582" s="358"/>
      <c r="H582" s="1536" t="s">
        <v>503</v>
      </c>
      <c r="I582" s="2733"/>
      <c r="K582" s="2753">
        <f>SUM(K575:K581)</f>
        <v>0</v>
      </c>
      <c r="L582" s="2753">
        <f>SUM(L575:L581)</f>
        <v>0</v>
      </c>
      <c r="M582" s="2753">
        <f>SUM(M575:M581)</f>
        <v>0</v>
      </c>
      <c r="N582" s="2753">
        <f>SUM(N575:N581)</f>
        <v>0</v>
      </c>
      <c r="O582" s="2753">
        <f>SUM(O575:O581)</f>
        <v>0</v>
      </c>
      <c r="P582" s="2753">
        <f t="shared" si="396"/>
        <v>0</v>
      </c>
      <c r="S582" s="2647"/>
      <c r="T582" s="2647"/>
      <c r="U582" s="2647"/>
      <c r="V582" s="2647"/>
      <c r="W582" s="2647"/>
      <c r="X582" s="1639"/>
      <c r="AA582" s="358"/>
      <c r="AB582" s="361"/>
      <c r="AC582" s="1639"/>
      <c r="AF582" s="358"/>
      <c r="AG582" s="361"/>
      <c r="AH582" s="1639"/>
      <c r="AK582" s="358"/>
      <c r="AL582" s="361"/>
      <c r="AM582" s="1639"/>
      <c r="AP582" s="358"/>
      <c r="AQ582" s="361"/>
      <c r="AR582" s="362"/>
      <c r="AS582" s="362"/>
      <c r="AT582" s="362"/>
      <c r="AU582" s="362"/>
      <c r="AV582" s="362"/>
      <c r="AW582" s="362"/>
      <c r="AX582" s="361"/>
      <c r="AY582" s="358"/>
      <c r="BB582" s="362"/>
      <c r="BC582" s="361"/>
      <c r="BD582" s="358"/>
      <c r="LF582" s="1640"/>
      <c r="LK582" s="1640"/>
      <c r="LP582" s="1640"/>
      <c r="LU582" s="1640"/>
      <c r="LV582" s="1640"/>
      <c r="LW582" s="1640"/>
      <c r="LX582" s="1640"/>
      <c r="LY582" s="1640"/>
      <c r="LZ582" s="1640"/>
      <c r="MA582" s="1640"/>
      <c r="MB582" s="1640"/>
      <c r="MC582" s="1640"/>
      <c r="MD582" s="1640"/>
      <c r="ME582" s="1640"/>
      <c r="MF582" s="1640"/>
      <c r="MG582" s="1640"/>
      <c r="MH582" s="1640"/>
      <c r="MI582" s="1640"/>
      <c r="MJ582" s="1640"/>
      <c r="MK582" s="1640"/>
      <c r="ML582" s="1640"/>
      <c r="MM582" s="1640"/>
      <c r="MN582" s="1640"/>
      <c r="MO582" s="1640"/>
      <c r="MP582" s="1640"/>
      <c r="MW582" s="360"/>
      <c r="MX582" s="360"/>
      <c r="NN582" s="360"/>
      <c r="OZ582" s="1784">
        <v>125</v>
      </c>
    </row>
    <row r="583" spans="1:416" ht="9" customHeight="1">
      <c r="A583" s="1536"/>
      <c r="B583" s="1536"/>
      <c r="D583" s="358"/>
      <c r="E583" s="1409"/>
      <c r="F583" s="358"/>
      <c r="H583" s="1409"/>
      <c r="I583" s="361"/>
      <c r="K583" s="2758"/>
      <c r="L583" s="2758"/>
      <c r="M583" s="2758"/>
      <c r="N583" s="2758"/>
      <c r="O583" s="2758"/>
      <c r="P583" s="2758"/>
      <c r="S583" s="2411" t="str">
        <f>C584</f>
        <v>Type of Construction Activity</v>
      </c>
      <c r="U583" s="2711"/>
      <c r="X583" s="358"/>
      <c r="AA583" s="358"/>
      <c r="AB583" s="361"/>
      <c r="AC583" s="358"/>
      <c r="AF583" s="358"/>
      <c r="AG583" s="361"/>
      <c r="AH583" s="358"/>
      <c r="AK583" s="358"/>
      <c r="AL583" s="361"/>
      <c r="AM583" s="358"/>
      <c r="AP583" s="358"/>
      <c r="AQ583" s="361"/>
      <c r="AR583" s="358"/>
      <c r="AS583" s="358"/>
      <c r="AT583" s="358"/>
      <c r="AU583" s="358"/>
      <c r="AV583" s="358"/>
      <c r="AW583" s="358"/>
      <c r="AY583" s="358"/>
      <c r="BB583" s="358"/>
      <c r="BD583" s="358"/>
      <c r="LF583" s="1640"/>
      <c r="LK583" s="1640"/>
      <c r="LP583" s="1640"/>
      <c r="LU583" s="1640"/>
      <c r="LV583" s="1640"/>
      <c r="LW583" s="1640"/>
      <c r="LX583" s="1640"/>
      <c r="LY583" s="1640"/>
      <c r="LZ583" s="1640"/>
      <c r="MA583" s="1640"/>
      <c r="MB583" s="1640"/>
      <c r="MC583" s="1640"/>
      <c r="MD583" s="1640"/>
      <c r="ME583" s="1640"/>
      <c r="MF583" s="1640"/>
      <c r="MG583" s="1640"/>
      <c r="MH583" s="1640"/>
      <c r="MI583" s="1640"/>
      <c r="MJ583" s="1640"/>
      <c r="MK583" s="1640"/>
      <c r="ML583" s="1640"/>
      <c r="MM583" s="1640"/>
      <c r="MN583" s="1640"/>
      <c r="MO583" s="1640"/>
      <c r="MP583" s="1640"/>
      <c r="MW583" s="360"/>
      <c r="MX583" s="360"/>
      <c r="NN583" s="360"/>
      <c r="OZ583" s="1784">
        <v>126</v>
      </c>
    </row>
    <row r="584" spans="1:416" ht="12.9" customHeight="1">
      <c r="A584" s="1536"/>
      <c r="B584" s="1536"/>
      <c r="C584" s="2647" t="s">
        <v>35</v>
      </c>
      <c r="D584" s="2647"/>
      <c r="E584" s="1409" t="s">
        <v>4799</v>
      </c>
      <c r="F584" s="358"/>
      <c r="H584" s="1409" t="s">
        <v>1341</v>
      </c>
      <c r="I584" s="361"/>
      <c r="K584" s="2747">
        <f>HP511</f>
        <v>0</v>
      </c>
      <c r="L584" s="2747">
        <f>HQ511</f>
        <v>0</v>
      </c>
      <c r="M584" s="2747">
        <f>HR511</f>
        <v>0</v>
      </c>
      <c r="N584" s="2747">
        <f>HS511</f>
        <v>0</v>
      </c>
      <c r="O584" s="2747">
        <f>HT511</f>
        <v>0</v>
      </c>
      <c r="P584" s="2747">
        <f t="shared" ref="P584:P594" si="397">SUM(K584:O584)</f>
        <v>0</v>
      </c>
      <c r="S584" s="2647"/>
      <c r="T584" s="2647"/>
      <c r="U584" s="2647"/>
      <c r="V584" s="2647"/>
      <c r="W584" s="2647"/>
      <c r="X584" s="358"/>
      <c r="AA584" s="358"/>
      <c r="AB584" s="361"/>
      <c r="AC584" s="358"/>
      <c r="AF584" s="358"/>
      <c r="AG584" s="361"/>
      <c r="AH584" s="358"/>
      <c r="AK584" s="358"/>
      <c r="AL584" s="361"/>
      <c r="AM584" s="358"/>
      <c r="AP584" s="358"/>
      <c r="AQ584" s="361"/>
      <c r="AR584" s="362"/>
      <c r="AS584" s="362"/>
      <c r="AT584" s="362"/>
      <c r="AU584" s="362"/>
      <c r="AV584" s="362"/>
      <c r="AW584" s="362"/>
      <c r="BB584" s="362"/>
      <c r="MW584" s="360"/>
      <c r="MX584" s="360"/>
      <c r="NN584" s="360"/>
      <c r="OZ584" s="1640">
        <v>127</v>
      </c>
    </row>
    <row r="585" spans="1:416" ht="12.9" customHeight="1">
      <c r="A585" s="1536"/>
      <c r="B585" s="1536"/>
      <c r="C585" s="2647"/>
      <c r="D585" s="2647"/>
      <c r="E585" s="1409"/>
      <c r="F585" s="358"/>
      <c r="H585" s="1409" t="s">
        <v>290</v>
      </c>
      <c r="I585" s="361"/>
      <c r="K585" s="2747">
        <f>HU511</f>
        <v>0</v>
      </c>
      <c r="L585" s="2747">
        <f>HV511</f>
        <v>0</v>
      </c>
      <c r="M585" s="2747">
        <f>HW511</f>
        <v>0</v>
      </c>
      <c r="N585" s="2747">
        <f>HX511</f>
        <v>0</v>
      </c>
      <c r="O585" s="2747">
        <f>HY511</f>
        <v>0</v>
      </c>
      <c r="P585" s="2747">
        <f t="shared" si="397"/>
        <v>0</v>
      </c>
      <c r="S585" s="2647"/>
      <c r="T585" s="2647"/>
      <c r="U585" s="2647"/>
      <c r="V585" s="2647"/>
      <c r="W585" s="2647"/>
      <c r="X585" s="358"/>
      <c r="AA585" s="358"/>
      <c r="AB585" s="361"/>
      <c r="AC585" s="358"/>
      <c r="AF585" s="358"/>
      <c r="AG585" s="361"/>
      <c r="AH585" s="358"/>
      <c r="AK585" s="358"/>
      <c r="AL585" s="361"/>
      <c r="AM585" s="358"/>
      <c r="AP585" s="358"/>
      <c r="AQ585" s="361"/>
      <c r="AR585" s="362"/>
      <c r="AS585" s="362"/>
      <c r="AT585" s="362"/>
      <c r="AU585" s="362"/>
      <c r="AV585" s="362"/>
      <c r="AW585" s="362"/>
      <c r="AX585" s="790"/>
      <c r="AY585" s="358"/>
      <c r="BB585" s="362"/>
      <c r="BC585" s="790"/>
      <c r="BD585" s="358"/>
      <c r="LF585" s="1640"/>
      <c r="LK585" s="1640"/>
      <c r="LP585" s="1640"/>
      <c r="LU585" s="1640"/>
      <c r="LV585" s="1640"/>
      <c r="LW585" s="1640"/>
      <c r="LX585" s="1640"/>
      <c r="LY585" s="1640"/>
      <c r="LZ585" s="1640"/>
      <c r="MA585" s="1640"/>
      <c r="MB585" s="1640"/>
      <c r="MC585" s="1640"/>
      <c r="MD585" s="1640"/>
      <c r="ME585" s="1640"/>
      <c r="MF585" s="1640"/>
      <c r="MG585" s="1640"/>
      <c r="MH585" s="1640"/>
      <c r="MI585" s="1640"/>
      <c r="MJ585" s="1640"/>
      <c r="MK585" s="1640"/>
      <c r="ML585" s="1640"/>
      <c r="MM585" s="1640"/>
      <c r="MN585" s="1640"/>
      <c r="MO585" s="1640"/>
      <c r="MP585" s="1640"/>
      <c r="MW585" s="360"/>
      <c r="MX585" s="360"/>
      <c r="NN585" s="360"/>
      <c r="OZ585" s="1784">
        <v>128</v>
      </c>
    </row>
    <row r="586" spans="1:416" ht="14.25" customHeight="1">
      <c r="A586" s="1536"/>
      <c r="B586" s="1536"/>
      <c r="C586" s="2647"/>
      <c r="D586" s="2647"/>
      <c r="E586" s="1409"/>
      <c r="F586" s="358"/>
      <c r="H586" s="1536" t="s">
        <v>29</v>
      </c>
      <c r="I586" s="2601" t="s">
        <v>4804</v>
      </c>
      <c r="J586" s="2760">
        <f>IF(P529=0,0,P586/P529)</f>
        <v>0</v>
      </c>
      <c r="K586" s="2753">
        <f>SUM(K584:K585)+HZ511</f>
        <v>0</v>
      </c>
      <c r="L586" s="2753">
        <f>SUM(L584:L585)+IA511</f>
        <v>0</v>
      </c>
      <c r="M586" s="2753">
        <f>SUM(M584:M585)+IB511</f>
        <v>0</v>
      </c>
      <c r="N586" s="2753">
        <f>SUM(N584:N585)+IC511</f>
        <v>0</v>
      </c>
      <c r="O586" s="2753">
        <f>SUM(O584:O585)+ID511</f>
        <v>0</v>
      </c>
      <c r="P586" s="2753">
        <f t="shared" si="397"/>
        <v>0</v>
      </c>
      <c r="S586" s="2647"/>
      <c r="T586" s="2647"/>
      <c r="U586" s="2647"/>
      <c r="V586" s="2647"/>
      <c r="W586" s="2647"/>
      <c r="X586" s="1639"/>
      <c r="AA586" s="358"/>
      <c r="AB586" s="361"/>
      <c r="AC586" s="1639"/>
      <c r="AF586" s="358"/>
      <c r="AG586" s="361"/>
      <c r="AH586" s="1639"/>
      <c r="AK586" s="358"/>
      <c r="AL586" s="361"/>
      <c r="AM586" s="1639"/>
      <c r="AP586" s="358"/>
      <c r="AQ586" s="361"/>
      <c r="AR586" s="362"/>
      <c r="AS586" s="362"/>
      <c r="AT586" s="362"/>
      <c r="AU586" s="362"/>
      <c r="AV586" s="362"/>
      <c r="AW586" s="362"/>
      <c r="AX586" s="361"/>
      <c r="AY586" s="358"/>
      <c r="BB586" s="362"/>
      <c r="BC586" s="361"/>
      <c r="BD586" s="358"/>
      <c r="LF586" s="1640"/>
      <c r="LK586" s="1640"/>
      <c r="LP586" s="1640"/>
      <c r="LU586" s="1640"/>
      <c r="LV586" s="1640"/>
      <c r="LW586" s="1640"/>
      <c r="LX586" s="1640"/>
      <c r="LY586" s="1640"/>
      <c r="LZ586" s="1640"/>
      <c r="MA586" s="1640"/>
      <c r="MB586" s="1640"/>
      <c r="MC586" s="1640"/>
      <c r="MD586" s="1640"/>
      <c r="ME586" s="1640"/>
      <c r="MF586" s="1640"/>
      <c r="MG586" s="1640"/>
      <c r="MH586" s="1640"/>
      <c r="MI586" s="1640"/>
      <c r="MJ586" s="1640"/>
      <c r="MK586" s="1640"/>
      <c r="ML586" s="1640"/>
      <c r="MM586" s="1640"/>
      <c r="MN586" s="1640"/>
      <c r="MO586" s="1640"/>
      <c r="MP586" s="1640"/>
      <c r="MW586" s="360"/>
      <c r="MX586" s="360"/>
      <c r="NN586" s="360"/>
      <c r="OZ586" s="1784">
        <v>129</v>
      </c>
    </row>
    <row r="587" spans="1:416" ht="12.9" customHeight="1">
      <c r="A587" s="1536"/>
      <c r="B587" s="1536"/>
      <c r="C587" s="2647"/>
      <c r="D587" s="2647"/>
      <c r="E587" s="1409" t="s">
        <v>1977</v>
      </c>
      <c r="F587" s="358"/>
      <c r="H587" s="1409" t="s">
        <v>1341</v>
      </c>
      <c r="I587" s="361"/>
      <c r="K587" s="2747">
        <f>IE511</f>
        <v>0</v>
      </c>
      <c r="L587" s="2747">
        <f>IF511</f>
        <v>0</v>
      </c>
      <c r="M587" s="2747">
        <f>IG511</f>
        <v>0</v>
      </c>
      <c r="N587" s="2747">
        <f>IH511</f>
        <v>0</v>
      </c>
      <c r="O587" s="2747">
        <f>II511</f>
        <v>0</v>
      </c>
      <c r="P587" s="2747">
        <f t="shared" si="397"/>
        <v>0</v>
      </c>
      <c r="S587" s="2647"/>
      <c r="T587" s="2647"/>
      <c r="U587" s="2647"/>
      <c r="V587" s="2647"/>
      <c r="W587" s="2647"/>
      <c r="X587" s="358"/>
      <c r="AA587" s="358"/>
      <c r="AB587" s="361"/>
      <c r="AC587" s="358"/>
      <c r="AF587" s="358"/>
      <c r="AG587" s="361"/>
      <c r="AH587" s="358"/>
      <c r="AK587" s="358"/>
      <c r="AL587" s="361"/>
      <c r="AM587" s="358"/>
      <c r="AP587" s="358"/>
      <c r="AQ587" s="361"/>
      <c r="AR587" s="362"/>
      <c r="AS587" s="362"/>
      <c r="AT587" s="362"/>
      <c r="AU587" s="362"/>
      <c r="AV587" s="362"/>
      <c r="AW587" s="362"/>
      <c r="BB587" s="362"/>
      <c r="MW587" s="360"/>
      <c r="MX587" s="360"/>
      <c r="NN587" s="360"/>
      <c r="OZ587" s="1784">
        <v>130</v>
      </c>
    </row>
    <row r="588" spans="1:416" ht="12.9" customHeight="1">
      <c r="A588" s="1536"/>
      <c r="B588" s="1536"/>
      <c r="C588" s="2647"/>
      <c r="D588" s="2647"/>
      <c r="E588" s="1409"/>
      <c r="F588" s="358"/>
      <c r="H588" s="1409" t="s">
        <v>290</v>
      </c>
      <c r="I588" s="361"/>
      <c r="K588" s="2747">
        <f>IJ511</f>
        <v>0</v>
      </c>
      <c r="L588" s="2747">
        <f>IK511</f>
        <v>0</v>
      </c>
      <c r="M588" s="2747">
        <f>IL511</f>
        <v>0</v>
      </c>
      <c r="N588" s="2747">
        <f>IM511</f>
        <v>0</v>
      </c>
      <c r="O588" s="2747">
        <f>IN511</f>
        <v>0</v>
      </c>
      <c r="P588" s="2747">
        <f t="shared" si="397"/>
        <v>0</v>
      </c>
      <c r="S588" s="2647"/>
      <c r="T588" s="2647"/>
      <c r="U588" s="2647"/>
      <c r="V588" s="2647"/>
      <c r="W588" s="2647"/>
      <c r="X588" s="358"/>
      <c r="AA588" s="358"/>
      <c r="AB588" s="361"/>
      <c r="AC588" s="358"/>
      <c r="AF588" s="358"/>
      <c r="AG588" s="361"/>
      <c r="AH588" s="358"/>
      <c r="AK588" s="358"/>
      <c r="AL588" s="361"/>
      <c r="AM588" s="358"/>
      <c r="AP588" s="358"/>
      <c r="AQ588" s="361"/>
      <c r="AR588" s="362"/>
      <c r="AS588" s="362"/>
      <c r="AT588" s="362"/>
      <c r="AU588" s="362"/>
      <c r="AV588" s="362"/>
      <c r="AW588" s="362"/>
      <c r="AX588" s="790"/>
      <c r="AY588" s="358"/>
      <c r="BB588" s="362"/>
      <c r="BC588" s="790"/>
      <c r="BD588" s="358"/>
      <c r="LF588" s="1640"/>
      <c r="LK588" s="1640"/>
      <c r="LP588" s="1640"/>
      <c r="LU588" s="1640"/>
      <c r="LV588" s="1640"/>
      <c r="LW588" s="1640"/>
      <c r="LX588" s="1640"/>
      <c r="LY588" s="1640"/>
      <c r="LZ588" s="1640"/>
      <c r="MA588" s="1640"/>
      <c r="MB588" s="1640"/>
      <c r="MC588" s="1640"/>
      <c r="MD588" s="1640"/>
      <c r="ME588" s="1640"/>
      <c r="MF588" s="1640"/>
      <c r="MG588" s="1640"/>
      <c r="MH588" s="1640"/>
      <c r="MI588" s="1640"/>
      <c r="MJ588" s="1640"/>
      <c r="MK588" s="1640"/>
      <c r="ML588" s="1640"/>
      <c r="MM588" s="1640"/>
      <c r="MN588" s="1640"/>
      <c r="MO588" s="1640"/>
      <c r="MP588" s="1640"/>
      <c r="MW588" s="360"/>
      <c r="MX588" s="360"/>
      <c r="NN588" s="360"/>
      <c r="OZ588" s="1784">
        <v>131</v>
      </c>
    </row>
    <row r="589" spans="1:416" ht="14.25" customHeight="1">
      <c r="A589" s="1536"/>
      <c r="B589" s="1536"/>
      <c r="C589" s="2647"/>
      <c r="D589" s="2647"/>
      <c r="E589" s="1409"/>
      <c r="F589" s="358"/>
      <c r="H589" s="1536" t="s">
        <v>29</v>
      </c>
      <c r="I589" s="2601" t="s">
        <v>4804</v>
      </c>
      <c r="J589" s="2760">
        <f>IF(P529=0,0,P589/P529)</f>
        <v>0</v>
      </c>
      <c r="K589" s="2753">
        <f>SUM(K587:K588)+IO511</f>
        <v>0</v>
      </c>
      <c r="L589" s="2753">
        <f>SUM(L587:L588)+IP511</f>
        <v>0</v>
      </c>
      <c r="M589" s="2753">
        <f>SUM(M587:M588)+IQ511</f>
        <v>0</v>
      </c>
      <c r="N589" s="2753">
        <f>SUM(N587:N588)+IR511</f>
        <v>0</v>
      </c>
      <c r="O589" s="2753">
        <f>SUM(O587:O588)+IS511</f>
        <v>0</v>
      </c>
      <c r="P589" s="2753">
        <f t="shared" si="397"/>
        <v>0</v>
      </c>
      <c r="S589" s="2647"/>
      <c r="T589" s="2647"/>
      <c r="U589" s="2647"/>
      <c r="V589" s="2647"/>
      <c r="W589" s="2647"/>
      <c r="X589" s="1639"/>
      <c r="AA589" s="358"/>
      <c r="AB589" s="361"/>
      <c r="AC589" s="1639"/>
      <c r="AF589" s="358"/>
      <c r="AG589" s="361"/>
      <c r="AH589" s="1639"/>
      <c r="AK589" s="358"/>
      <c r="AL589" s="361"/>
      <c r="AM589" s="1639"/>
      <c r="AP589" s="358"/>
      <c r="AQ589" s="361"/>
      <c r="AR589" s="362"/>
      <c r="AS589" s="362"/>
      <c r="AT589" s="362"/>
      <c r="AU589" s="362"/>
      <c r="AV589" s="362"/>
      <c r="AW589" s="362"/>
      <c r="AX589" s="361"/>
      <c r="AY589" s="358"/>
      <c r="BB589" s="362"/>
      <c r="BC589" s="361"/>
      <c r="BD589" s="358"/>
      <c r="LF589" s="1640"/>
      <c r="LK589" s="1640"/>
      <c r="LP589" s="1640"/>
      <c r="LU589" s="1640"/>
      <c r="LV589" s="1640"/>
      <c r="LW589" s="1640"/>
      <c r="LX589" s="1640"/>
      <c r="LY589" s="1640"/>
      <c r="LZ589" s="1640"/>
      <c r="MA589" s="1640"/>
      <c r="MB589" s="1640"/>
      <c r="MC589" s="1640"/>
      <c r="MD589" s="1640"/>
      <c r="ME589" s="1640"/>
      <c r="MF589" s="1640"/>
      <c r="MG589" s="1640"/>
      <c r="MH589" s="1640"/>
      <c r="MI589" s="1640"/>
      <c r="MJ589" s="1640"/>
      <c r="MK589" s="1640"/>
      <c r="ML589" s="1640"/>
      <c r="MM589" s="1640"/>
      <c r="MN589" s="1640"/>
      <c r="MO589" s="1640"/>
      <c r="MP589" s="1640"/>
      <c r="MW589" s="360"/>
      <c r="MX589" s="360"/>
      <c r="NN589" s="360"/>
      <c r="OZ589" s="1640">
        <v>132</v>
      </c>
    </row>
    <row r="590" spans="1:416" ht="12.9" customHeight="1">
      <c r="A590" s="1536"/>
      <c r="B590" s="1536"/>
      <c r="C590" s="2596"/>
      <c r="D590" s="358"/>
      <c r="E590" s="2596" t="s">
        <v>1335</v>
      </c>
      <c r="F590" s="2596"/>
      <c r="H590" s="1409" t="s">
        <v>1341</v>
      </c>
      <c r="I590" s="361"/>
      <c r="K590" s="2747">
        <f>IT511</f>
        <v>0</v>
      </c>
      <c r="L590" s="2747">
        <f>IU511</f>
        <v>40</v>
      </c>
      <c r="M590" s="2747">
        <f>IV511</f>
        <v>120</v>
      </c>
      <c r="N590" s="2747">
        <f>IW511</f>
        <v>0</v>
      </c>
      <c r="O590" s="2747">
        <f>IX511</f>
        <v>0</v>
      </c>
      <c r="P590" s="2747">
        <f t="shared" si="397"/>
        <v>160</v>
      </c>
      <c r="S590" s="2647"/>
      <c r="T590" s="2647"/>
      <c r="U590" s="2647"/>
      <c r="V590" s="2647"/>
      <c r="W590" s="2647"/>
      <c r="X590" s="358"/>
      <c r="AA590" s="358"/>
      <c r="AB590" s="361"/>
      <c r="AC590" s="358"/>
      <c r="AF590" s="358"/>
      <c r="AG590" s="361"/>
      <c r="AH590" s="358"/>
      <c r="AK590" s="358"/>
      <c r="AL590" s="361"/>
      <c r="AM590" s="358"/>
      <c r="AP590" s="358"/>
      <c r="AQ590" s="361"/>
      <c r="AR590" s="362"/>
      <c r="AS590" s="362"/>
      <c r="AT590" s="362"/>
      <c r="AU590" s="362"/>
      <c r="AV590" s="362"/>
      <c r="AW590" s="362"/>
      <c r="BB590" s="362"/>
      <c r="MW590" s="360"/>
      <c r="MX590" s="360"/>
      <c r="NN590" s="360"/>
      <c r="OZ590" s="1784">
        <v>133</v>
      </c>
    </row>
    <row r="591" spans="1:416" ht="12.9" customHeight="1">
      <c r="A591" s="1536"/>
      <c r="B591" s="1536"/>
      <c r="C591" s="2596"/>
      <c r="D591" s="358"/>
      <c r="E591" s="2596"/>
      <c r="F591" s="2596"/>
      <c r="H591" s="1409" t="s">
        <v>290</v>
      </c>
      <c r="I591" s="361"/>
      <c r="K591" s="2747">
        <f>IY511</f>
        <v>0</v>
      </c>
      <c r="L591" s="2747">
        <f>IZ511</f>
        <v>0</v>
      </c>
      <c r="M591" s="2747">
        <f>JA511</f>
        <v>0</v>
      </c>
      <c r="N591" s="2747">
        <f>JB511</f>
        <v>0</v>
      </c>
      <c r="O591" s="2747">
        <f>JC511</f>
        <v>0</v>
      </c>
      <c r="P591" s="2747">
        <f t="shared" si="397"/>
        <v>0</v>
      </c>
      <c r="S591" s="2647"/>
      <c r="T591" s="2647"/>
      <c r="U591" s="2647"/>
      <c r="V591" s="2647"/>
      <c r="W591" s="2647"/>
      <c r="X591" s="358"/>
      <c r="AA591" s="358"/>
      <c r="AB591" s="361"/>
      <c r="AC591" s="358"/>
      <c r="AF591" s="358"/>
      <c r="AG591" s="361"/>
      <c r="AH591" s="358"/>
      <c r="AK591" s="358"/>
      <c r="AL591" s="361"/>
      <c r="AM591" s="358"/>
      <c r="AP591" s="358"/>
      <c r="AQ591" s="361"/>
      <c r="AR591" s="362"/>
      <c r="AS591" s="362"/>
      <c r="AT591" s="362"/>
      <c r="AU591" s="362"/>
      <c r="AV591" s="362"/>
      <c r="AW591" s="362"/>
      <c r="AX591" s="790"/>
      <c r="AY591" s="358"/>
      <c r="BB591" s="362"/>
      <c r="BC591" s="790"/>
      <c r="BD591" s="358"/>
      <c r="LF591" s="1640"/>
      <c r="LK591" s="1640"/>
      <c r="LP591" s="1640"/>
      <c r="LU591" s="1640"/>
      <c r="LV591" s="1640"/>
      <c r="LW591" s="1640"/>
      <c r="LX591" s="1640"/>
      <c r="LY591" s="1640"/>
      <c r="LZ591" s="1640"/>
      <c r="MA591" s="1640"/>
      <c r="MB591" s="1640"/>
      <c r="MC591" s="1640"/>
      <c r="MD591" s="1640"/>
      <c r="ME591" s="1640"/>
      <c r="MF591" s="1640"/>
      <c r="MG591" s="1640"/>
      <c r="MH591" s="1640"/>
      <c r="MI591" s="1640"/>
      <c r="MJ591" s="1640"/>
      <c r="MK591" s="1640"/>
      <c r="ML591" s="1640"/>
      <c r="MM591" s="1640"/>
      <c r="MN591" s="1640"/>
      <c r="MO591" s="1640"/>
      <c r="MP591" s="1640"/>
      <c r="MW591" s="360"/>
      <c r="MX591" s="360"/>
      <c r="NN591" s="360"/>
      <c r="OZ591" s="1784">
        <v>134</v>
      </c>
    </row>
    <row r="592" spans="1:416" ht="14.25" customHeight="1">
      <c r="A592" s="1536"/>
      <c r="B592" s="1536"/>
      <c r="C592" s="2596"/>
      <c r="D592" s="358"/>
      <c r="E592" s="1409"/>
      <c r="F592" s="358"/>
      <c r="H592" s="1536" t="s">
        <v>29</v>
      </c>
      <c r="I592" s="2601" t="s">
        <v>4804</v>
      </c>
      <c r="J592" s="2760">
        <f>IF(P529=0,0,P592/P529)</f>
        <v>1</v>
      </c>
      <c r="K592" s="2753">
        <f>SUM(K590:K591)+JD511</f>
        <v>0</v>
      </c>
      <c r="L592" s="2753">
        <f>SUM(L590:L591)+JE511</f>
        <v>40</v>
      </c>
      <c r="M592" s="2753">
        <f>SUM(M590:M591)+JF511</f>
        <v>120</v>
      </c>
      <c r="N592" s="2753">
        <f>SUM(N590:N591)+JG511</f>
        <v>0</v>
      </c>
      <c r="O592" s="2753">
        <f>SUM(O590:O591)+JH511</f>
        <v>0</v>
      </c>
      <c r="P592" s="2753">
        <f t="shared" si="397"/>
        <v>160</v>
      </c>
      <c r="S592" s="2647"/>
      <c r="T592" s="2647"/>
      <c r="U592" s="2647"/>
      <c r="V592" s="2647"/>
      <c r="W592" s="2647"/>
      <c r="X592" s="1639"/>
      <c r="AA592" s="358"/>
      <c r="AB592" s="361"/>
      <c r="AC592" s="1639"/>
      <c r="AF592" s="358"/>
      <c r="AG592" s="361"/>
      <c r="AH592" s="1639"/>
      <c r="AK592" s="358"/>
      <c r="AL592" s="361"/>
      <c r="AM592" s="1639"/>
      <c r="AP592" s="358"/>
      <c r="AQ592" s="361"/>
      <c r="AR592" s="362"/>
      <c r="AS592" s="362"/>
      <c r="AT592" s="362"/>
      <c r="AU592" s="362"/>
      <c r="AV592" s="362"/>
      <c r="AW592" s="362"/>
      <c r="AX592" s="361"/>
      <c r="AY592" s="358"/>
      <c r="BB592" s="362"/>
      <c r="BC592" s="361"/>
      <c r="BD592" s="358"/>
      <c r="LF592" s="1640"/>
      <c r="LK592" s="1640"/>
      <c r="LP592" s="1640"/>
      <c r="LU592" s="1640"/>
      <c r="LV592" s="1640"/>
      <c r="LW592" s="1640"/>
      <c r="LX592" s="1640"/>
      <c r="LY592" s="1640"/>
      <c r="LZ592" s="1640"/>
      <c r="MA592" s="1640"/>
      <c r="MB592" s="1640"/>
      <c r="MC592" s="1640"/>
      <c r="MD592" s="1640"/>
      <c r="ME592" s="1640"/>
      <c r="MF592" s="1640"/>
      <c r="MG592" s="1640"/>
      <c r="MH592" s="1640"/>
      <c r="MI592" s="1640"/>
      <c r="MJ592" s="1640"/>
      <c r="MK592" s="1640"/>
      <c r="ML592" s="1640"/>
      <c r="MM592" s="1640"/>
      <c r="MN592" s="1640"/>
      <c r="MO592" s="1640"/>
      <c r="MP592" s="1640"/>
      <c r="MW592" s="360"/>
      <c r="MX592" s="360"/>
      <c r="NN592" s="360"/>
      <c r="OZ592" s="1784">
        <v>135</v>
      </c>
    </row>
    <row r="593" spans="1:416" ht="14.25" customHeight="1">
      <c r="A593" s="1536"/>
      <c r="B593" s="1536"/>
      <c r="C593" s="2596"/>
      <c r="D593" s="358"/>
      <c r="E593" s="1409" t="s">
        <v>4800</v>
      </c>
      <c r="F593" s="358"/>
      <c r="G593" s="2547"/>
      <c r="H593" s="359"/>
      <c r="K593" s="2747">
        <f>'Part V-Revenues &amp; Expenses'!K140</f>
        <v>0</v>
      </c>
      <c r="L593" s="2747">
        <f>'Part V-Revenues &amp; Expenses'!L140</f>
        <v>0</v>
      </c>
      <c r="M593" s="2747">
        <f>'Part V-Revenues &amp; Expenses'!M140</f>
        <v>0</v>
      </c>
      <c r="N593" s="2747">
        <f>'Part V-Revenues &amp; Expenses'!N140</f>
        <v>0</v>
      </c>
      <c r="O593" s="2747">
        <f>'Part V-Revenues &amp; Expenses'!O140</f>
        <v>0</v>
      </c>
      <c r="P593" s="2747">
        <f t="shared" si="397"/>
        <v>0</v>
      </c>
      <c r="S593" s="2647"/>
      <c r="T593" s="2647"/>
      <c r="U593" s="2647"/>
      <c r="V593" s="2647"/>
      <c r="W593" s="2647"/>
      <c r="X593" s="358"/>
      <c r="AA593" s="358"/>
      <c r="AB593" s="361"/>
      <c r="AC593" s="358"/>
      <c r="AF593" s="358"/>
      <c r="AG593" s="361"/>
      <c r="AH593" s="358"/>
      <c r="AK593" s="358"/>
      <c r="AL593" s="361"/>
      <c r="AM593" s="358"/>
      <c r="AP593" s="358"/>
      <c r="AQ593" s="361"/>
      <c r="AR593" s="362"/>
      <c r="AS593" s="362"/>
      <c r="AT593" s="362"/>
      <c r="AU593" s="362"/>
      <c r="AV593" s="362"/>
      <c r="AW593" s="362"/>
      <c r="AX593" s="790"/>
      <c r="AY593" s="358"/>
      <c r="BB593" s="362"/>
      <c r="BC593" s="790"/>
      <c r="BD593" s="358"/>
      <c r="LF593" s="1640"/>
      <c r="LK593" s="1640"/>
      <c r="LP593" s="1640"/>
      <c r="LU593" s="1640"/>
      <c r="LV593" s="1640"/>
      <c r="LW593" s="1640"/>
      <c r="LX593" s="1640"/>
      <c r="LY593" s="1640"/>
      <c r="LZ593" s="1640"/>
      <c r="MA593" s="1640"/>
      <c r="MB593" s="1640"/>
      <c r="MC593" s="1640"/>
      <c r="MD593" s="1640"/>
      <c r="ME593" s="1640"/>
      <c r="MF593" s="1640"/>
      <c r="MG593" s="1640"/>
      <c r="MH593" s="1640"/>
      <c r="MI593" s="1640"/>
      <c r="MJ593" s="1640"/>
      <c r="MK593" s="1640"/>
      <c r="ML593" s="1640"/>
      <c r="MM593" s="1640"/>
      <c r="MN593" s="1640"/>
      <c r="MO593" s="1640"/>
      <c r="MP593" s="1640"/>
      <c r="MW593" s="360"/>
      <c r="MX593" s="360"/>
      <c r="NN593" s="360"/>
      <c r="OZ593" s="1784">
        <v>136</v>
      </c>
    </row>
    <row r="594" spans="1:416" ht="14.25" customHeight="1">
      <c r="A594" s="2710" t="str">
        <f>IF(AND('Part III-A-Uses of Funds'!$T$180="Yes",'Part VIII Scoring Criteria'!$O$340&gt;0,P594&lt;1),"SHOW HISTORIC UNITS HERE &gt;&gt;&gt;&gt;","")</f>
        <v/>
      </c>
      <c r="B594" s="2710"/>
      <c r="C594" s="2710"/>
      <c r="D594" s="2710"/>
      <c r="E594" s="1409" t="s">
        <v>5113</v>
      </c>
      <c r="F594" s="358"/>
      <c r="G594" s="2547"/>
      <c r="H594" s="359"/>
      <c r="K594" s="2747">
        <f>'Part V-Revenues &amp; Expenses'!K141</f>
        <v>0</v>
      </c>
      <c r="L594" s="2747">
        <f>'Part V-Revenues &amp; Expenses'!L141</f>
        <v>0</v>
      </c>
      <c r="M594" s="2747">
        <f>'Part V-Revenues &amp; Expenses'!M141</f>
        <v>0</v>
      </c>
      <c r="N594" s="2747">
        <f>'Part V-Revenues &amp; Expenses'!N141</f>
        <v>0</v>
      </c>
      <c r="O594" s="2747">
        <f>'Part V-Revenues &amp; Expenses'!O141</f>
        <v>0</v>
      </c>
      <c r="P594" s="2747">
        <f t="shared" si="397"/>
        <v>0</v>
      </c>
      <c r="S594" s="2647"/>
      <c r="T594" s="2647"/>
      <c r="U594" s="2647"/>
      <c r="V594" s="2647"/>
      <c r="W594" s="2647"/>
      <c r="X594" s="358"/>
      <c r="AA594" s="358"/>
      <c r="AB594" s="361"/>
      <c r="AC594" s="358"/>
      <c r="AF594" s="358"/>
      <c r="AG594" s="361"/>
      <c r="AH594" s="358"/>
      <c r="AK594" s="358"/>
      <c r="AL594" s="361"/>
      <c r="AM594" s="358"/>
      <c r="AP594" s="358"/>
      <c r="AQ594" s="361"/>
      <c r="AR594" s="362"/>
      <c r="AS594" s="362"/>
      <c r="AT594" s="362"/>
      <c r="AU594" s="362"/>
      <c r="AV594" s="362"/>
      <c r="AW594" s="362"/>
      <c r="AX594" s="790"/>
      <c r="AY594" s="358"/>
      <c r="BB594" s="362"/>
      <c r="BC594" s="790"/>
      <c r="BD594" s="358"/>
      <c r="LF594" s="1640"/>
      <c r="LK594" s="1640"/>
      <c r="LP594" s="1640"/>
      <c r="LU594" s="1640"/>
      <c r="LV594" s="1640"/>
      <c r="LW594" s="1640"/>
      <c r="LX594" s="1640"/>
      <c r="LY594" s="1640"/>
      <c r="LZ594" s="1640"/>
      <c r="MA594" s="1640"/>
      <c r="MB594" s="1640"/>
      <c r="MC594" s="1640"/>
      <c r="MD594" s="1640"/>
      <c r="ME594" s="1640"/>
      <c r="MF594" s="1640"/>
      <c r="MG594" s="1640"/>
      <c r="MH594" s="1640"/>
      <c r="MI594" s="1640"/>
      <c r="MJ594" s="1640"/>
      <c r="MK594" s="1640"/>
      <c r="ML594" s="1640"/>
      <c r="MM594" s="1640"/>
      <c r="MN594" s="1640"/>
      <c r="MO594" s="1640"/>
      <c r="MP594" s="1640"/>
      <c r="MW594" s="360"/>
      <c r="MX594" s="360"/>
      <c r="NN594" s="360"/>
      <c r="OZ594" s="1784">
        <v>137</v>
      </c>
    </row>
    <row r="595" spans="1:416" ht="9" customHeight="1">
      <c r="A595" s="2761"/>
      <c r="B595" s="2761"/>
      <c r="C595" s="2761"/>
      <c r="D595" s="2761"/>
      <c r="E595" s="1409"/>
      <c r="F595" s="358"/>
      <c r="G595" s="2547"/>
      <c r="H595" s="359"/>
      <c r="K595" s="361"/>
      <c r="L595" s="361"/>
      <c r="M595" s="361"/>
      <c r="N595" s="361"/>
      <c r="O595" s="361"/>
      <c r="P595" s="361"/>
      <c r="S595" s="2647"/>
      <c r="T595" s="2647"/>
      <c r="U595" s="2647"/>
      <c r="V595" s="2647"/>
      <c r="W595" s="2647"/>
      <c r="X595" s="358"/>
      <c r="AA595" s="358"/>
      <c r="AB595" s="361"/>
      <c r="AC595" s="358"/>
      <c r="AF595" s="358"/>
      <c r="AG595" s="361"/>
      <c r="AH595" s="358"/>
      <c r="AK595" s="358"/>
      <c r="AL595" s="361"/>
      <c r="AM595" s="358"/>
      <c r="AP595" s="358"/>
      <c r="AQ595" s="361"/>
      <c r="AR595" s="362"/>
      <c r="AS595" s="362"/>
      <c r="AT595" s="362"/>
      <c r="AU595" s="362"/>
      <c r="AV595" s="362"/>
      <c r="AW595" s="362"/>
      <c r="AX595" s="790"/>
      <c r="AY595" s="358"/>
      <c r="BB595" s="362"/>
      <c r="BC595" s="790"/>
      <c r="BD595" s="358"/>
      <c r="LF595" s="1640"/>
      <c r="LK595" s="1640"/>
      <c r="LP595" s="1640"/>
      <c r="LU595" s="1640"/>
      <c r="LV595" s="1640"/>
      <c r="LW595" s="1640"/>
      <c r="LX595" s="1640"/>
      <c r="LY595" s="1640"/>
      <c r="LZ595" s="1640"/>
      <c r="MA595" s="1640"/>
      <c r="MB595" s="1640"/>
      <c r="MC595" s="1640"/>
      <c r="MD595" s="1640"/>
      <c r="ME595" s="1640"/>
      <c r="MF595" s="1640"/>
      <c r="MG595" s="1640"/>
      <c r="MH595" s="1640"/>
      <c r="MI595" s="1640"/>
      <c r="MJ595" s="1640"/>
      <c r="MK595" s="1640"/>
      <c r="ML595" s="1640"/>
      <c r="MM595" s="1640"/>
      <c r="MN595" s="1640"/>
      <c r="MO595" s="1640"/>
      <c r="MP595" s="1640"/>
      <c r="MW595" s="360"/>
      <c r="MX595" s="360"/>
      <c r="NN595" s="360"/>
      <c r="OZ595" s="2468">
        <v>138</v>
      </c>
    </row>
    <row r="596" spans="1:416" ht="13.5" customHeight="1">
      <c r="A596" s="2761"/>
      <c r="B596" s="2761"/>
      <c r="C596" s="2761"/>
      <c r="D596" s="2761"/>
      <c r="E596" s="1409" t="s">
        <v>2924</v>
      </c>
      <c r="F596" s="358"/>
      <c r="G596" s="2547"/>
      <c r="H596" s="359"/>
      <c r="K596" s="2747">
        <f>K605+K609+K613+K615+K617+K619</f>
        <v>0</v>
      </c>
      <c r="L596" s="2747">
        <f>L605+L609+L613+L615+L617+L619</f>
        <v>0</v>
      </c>
      <c r="M596" s="2747">
        <f>M605+M609+M613+M615+M617+M619</f>
        <v>0</v>
      </c>
      <c r="N596" s="2747">
        <f>N605+N609+N613+N615+N617+N619</f>
        <v>0</v>
      </c>
      <c r="O596" s="2747">
        <f>O605+O609+O613+O615+O617+O619</f>
        <v>0</v>
      </c>
      <c r="P596" s="2747">
        <f>SUM(K596:O596)</f>
        <v>0</v>
      </c>
      <c r="S596" s="2647"/>
      <c r="T596" s="2647"/>
      <c r="U596" s="2647"/>
      <c r="V596" s="2647"/>
      <c r="W596" s="2647"/>
      <c r="X596" s="358"/>
      <c r="AA596" s="358"/>
      <c r="AB596" s="361"/>
      <c r="AC596" s="358"/>
      <c r="AF596" s="358"/>
      <c r="AG596" s="361"/>
      <c r="AH596" s="358"/>
      <c r="AK596" s="358"/>
      <c r="AL596" s="361"/>
      <c r="AM596" s="358"/>
      <c r="AP596" s="358"/>
      <c r="AQ596" s="361"/>
      <c r="AR596" s="362"/>
      <c r="AS596" s="362"/>
      <c r="AT596" s="362"/>
      <c r="AU596" s="362"/>
      <c r="AV596" s="362"/>
      <c r="AW596" s="362"/>
      <c r="AX596" s="790"/>
      <c r="AY596" s="358"/>
      <c r="BB596" s="362"/>
      <c r="BC596" s="790"/>
      <c r="BD596" s="358"/>
      <c r="LF596" s="1640"/>
      <c r="LK596" s="1640"/>
      <c r="LP596" s="1640"/>
      <c r="LU596" s="1640"/>
      <c r="LV596" s="1640"/>
      <c r="LW596" s="1640"/>
      <c r="LX596" s="1640"/>
      <c r="LY596" s="1640"/>
      <c r="LZ596" s="1640"/>
      <c r="MA596" s="1640"/>
      <c r="MB596" s="1640"/>
      <c r="MC596" s="1640"/>
      <c r="MD596" s="1640"/>
      <c r="ME596" s="1640"/>
      <c r="MF596" s="1640"/>
      <c r="MG596" s="1640"/>
      <c r="MH596" s="1640"/>
      <c r="MI596" s="1640"/>
      <c r="MJ596" s="1640"/>
      <c r="MK596" s="1640"/>
      <c r="ML596" s="1640"/>
      <c r="MM596" s="1640"/>
      <c r="MN596" s="1640"/>
      <c r="MO596" s="1640"/>
      <c r="MP596" s="1640"/>
      <c r="MW596" s="360"/>
      <c r="MX596" s="360"/>
      <c r="NN596" s="360"/>
      <c r="OZ596" s="1784">
        <v>139</v>
      </c>
    </row>
    <row r="597" spans="1:416" ht="14.25" customHeight="1">
      <c r="D597" s="358"/>
      <c r="E597" s="1409"/>
      <c r="F597" s="358"/>
      <c r="G597" s="2547"/>
      <c r="H597" s="359"/>
      <c r="K597" s="2758"/>
      <c r="L597" s="2758"/>
      <c r="M597" s="2758"/>
      <c r="N597" s="2758"/>
      <c r="O597" s="2758"/>
      <c r="P597" s="2758"/>
      <c r="U597" s="2711"/>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LF597" s="1640"/>
      <c r="LK597" s="1640"/>
      <c r="LP597" s="1640"/>
      <c r="LU597" s="1640"/>
      <c r="LV597" s="1640"/>
      <c r="LW597" s="1640"/>
      <c r="LX597" s="1640"/>
      <c r="LY597" s="1640"/>
      <c r="LZ597" s="1640"/>
      <c r="MA597" s="1640"/>
      <c r="MB597" s="1640"/>
      <c r="MC597" s="1640"/>
      <c r="MD597" s="1640"/>
      <c r="ME597" s="1640"/>
      <c r="MF597" s="1640"/>
      <c r="MG597" s="1640"/>
      <c r="MH597" s="1640"/>
      <c r="MI597" s="1640"/>
      <c r="MJ597" s="1640"/>
      <c r="MK597" s="1640"/>
      <c r="ML597" s="1640"/>
      <c r="MM597" s="1640"/>
      <c r="MN597" s="1640"/>
      <c r="MO597" s="1640"/>
      <c r="MP597" s="1640"/>
      <c r="MW597" s="360"/>
      <c r="MX597" s="360"/>
      <c r="NN597" s="360"/>
      <c r="OZ597" s="1640">
        <v>140</v>
      </c>
    </row>
    <row r="598" spans="1:416" ht="13.5" customHeight="1">
      <c r="C598" s="2647" t="s">
        <v>4798</v>
      </c>
      <c r="D598" s="2647"/>
      <c r="E598" s="1409" t="s">
        <v>4746</v>
      </c>
      <c r="F598" s="358"/>
      <c r="G598" s="2547"/>
      <c r="H598" s="359"/>
      <c r="K598" s="2762">
        <f>'Part V-Revenues &amp; Expenses'!K145</f>
        <v>0</v>
      </c>
      <c r="L598" s="358" t="s">
        <v>4801</v>
      </c>
      <c r="M598" s="2547"/>
      <c r="N598" s="359"/>
      <c r="S598" s="2411"/>
      <c r="U598" s="2711"/>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LF598" s="1640"/>
      <c r="LK598" s="1640"/>
      <c r="LP598" s="1640"/>
      <c r="LU598" s="1640"/>
      <c r="LV598" s="1640"/>
      <c r="LW598" s="1640"/>
      <c r="LX598" s="1640"/>
      <c r="LY598" s="1640"/>
      <c r="LZ598" s="1640"/>
      <c r="MA598" s="1640"/>
      <c r="MB598" s="1640"/>
      <c r="MC598" s="1640"/>
      <c r="MD598" s="1640"/>
      <c r="ME598" s="1640"/>
      <c r="MF598" s="1640"/>
      <c r="MG598" s="1640"/>
      <c r="MH598" s="1640"/>
      <c r="MI598" s="1640"/>
      <c r="MJ598" s="1640"/>
      <c r="MK598" s="1640"/>
      <c r="ML598" s="1640"/>
      <c r="MM598" s="1640"/>
      <c r="MN598" s="1640"/>
      <c r="MO598" s="1640"/>
      <c r="MP598" s="1640"/>
      <c r="MW598" s="360"/>
      <c r="MX598" s="360"/>
      <c r="NN598" s="360"/>
      <c r="OZ598" s="1784">
        <v>141</v>
      </c>
    </row>
    <row r="599" spans="1:416" ht="13.5" customHeight="1">
      <c r="C599" s="2647"/>
      <c r="D599" s="2647"/>
      <c r="E599" s="1409"/>
      <c r="K599" s="2762">
        <f>'Part V-Revenues &amp; Expenses'!K146</f>
        <v>0</v>
      </c>
      <c r="L599" s="2647" t="s">
        <v>4802</v>
      </c>
      <c r="M599" s="2647"/>
      <c r="N599" s="2647"/>
      <c r="O599" s="2647"/>
      <c r="P599" s="2647"/>
      <c r="S599" s="2411"/>
      <c r="U599" s="2711"/>
      <c r="X599" s="358"/>
      <c r="AA599" s="358"/>
      <c r="AB599" s="361"/>
      <c r="AC599" s="358"/>
      <c r="AF599" s="358"/>
      <c r="AG599" s="361"/>
      <c r="AH599" s="358"/>
      <c r="AK599" s="358"/>
      <c r="AL599" s="361"/>
      <c r="AM599" s="358"/>
      <c r="AP599" s="358"/>
      <c r="AQ599" s="361"/>
      <c r="AR599" s="358"/>
      <c r="AS599" s="358"/>
      <c r="AT599" s="358"/>
      <c r="AU599" s="358"/>
      <c r="AV599" s="358"/>
      <c r="AW599" s="358"/>
      <c r="AY599" s="358"/>
      <c r="BB599" s="358"/>
      <c r="BD599" s="358"/>
      <c r="LF599" s="1640"/>
      <c r="LK599" s="1640"/>
      <c r="LP599" s="1640"/>
      <c r="LU599" s="1640"/>
      <c r="LV599" s="1640"/>
      <c r="LW599" s="1640"/>
      <c r="LX599" s="1640"/>
      <c r="LY599" s="1640"/>
      <c r="LZ599" s="1640"/>
      <c r="MA599" s="1640"/>
      <c r="MB599" s="1640"/>
      <c r="MC599" s="1640"/>
      <c r="MD599" s="1640"/>
      <c r="ME599" s="1640"/>
      <c r="MF599" s="1640"/>
      <c r="MG599" s="1640"/>
      <c r="MH599" s="1640"/>
      <c r="MI599" s="1640"/>
      <c r="MJ599" s="1640"/>
      <c r="MK599" s="1640"/>
      <c r="ML599" s="1640"/>
      <c r="MM599" s="1640"/>
      <c r="MN599" s="1640"/>
      <c r="MO599" s="1640"/>
      <c r="MP599" s="1640"/>
      <c r="MW599" s="360"/>
      <c r="MX599" s="360"/>
      <c r="NN599" s="360"/>
      <c r="OZ599" s="1784">
        <v>142</v>
      </c>
    </row>
    <row r="600" spans="1:416" ht="14.25" customHeight="1">
      <c r="C600" s="2647"/>
      <c r="D600" s="2647"/>
      <c r="E600" s="1409"/>
      <c r="K600" s="2758"/>
      <c r="L600" s="2647"/>
      <c r="M600" s="2647"/>
      <c r="N600" s="2647"/>
      <c r="O600" s="2647"/>
      <c r="P600" s="2647"/>
      <c r="S600" s="2411"/>
      <c r="U600" s="2711"/>
      <c r="X600" s="358"/>
      <c r="AA600" s="358"/>
      <c r="AB600" s="361"/>
      <c r="AC600" s="358"/>
      <c r="AF600" s="358"/>
      <c r="AG600" s="361"/>
      <c r="AH600" s="358"/>
      <c r="AK600" s="358"/>
      <c r="AL600" s="361"/>
      <c r="AM600" s="358"/>
      <c r="AP600" s="358"/>
      <c r="AQ600" s="361"/>
      <c r="AR600" s="358"/>
      <c r="AS600" s="358"/>
      <c r="AT600" s="358"/>
      <c r="AU600" s="358"/>
      <c r="AV600" s="358"/>
      <c r="AW600" s="358"/>
      <c r="AY600" s="358"/>
      <c r="BB600" s="358"/>
      <c r="BD600" s="358"/>
      <c r="LF600" s="1640"/>
      <c r="LK600" s="1640"/>
      <c r="LP600" s="1640"/>
      <c r="LU600" s="1640"/>
      <c r="LV600" s="1640"/>
      <c r="LW600" s="1640"/>
      <c r="LX600" s="1640"/>
      <c r="LY600" s="1640"/>
      <c r="LZ600" s="1640"/>
      <c r="MA600" s="1640"/>
      <c r="MB600" s="1640"/>
      <c r="MC600" s="1640"/>
      <c r="MD600" s="1640"/>
      <c r="ME600" s="1640"/>
      <c r="MF600" s="1640"/>
      <c r="MG600" s="1640"/>
      <c r="MH600" s="1640"/>
      <c r="MI600" s="1640"/>
      <c r="MJ600" s="1640"/>
      <c r="MK600" s="1640"/>
      <c r="ML600" s="1640"/>
      <c r="MM600" s="1640"/>
      <c r="MN600" s="1640"/>
      <c r="MO600" s="1640"/>
      <c r="MP600" s="1640"/>
      <c r="MW600" s="360"/>
      <c r="MX600" s="360"/>
      <c r="NN600" s="360"/>
      <c r="OZ600" s="1640">
        <v>143</v>
      </c>
    </row>
    <row r="601" spans="1:416" ht="3" customHeight="1">
      <c r="C601" s="2763"/>
      <c r="D601" s="2763"/>
      <c r="E601" s="1409"/>
      <c r="K601" s="2758"/>
      <c r="L601" s="2763"/>
      <c r="M601" s="2763"/>
      <c r="N601" s="2763"/>
      <c r="O601" s="2763"/>
      <c r="P601" s="2763"/>
      <c r="S601" s="2411"/>
      <c r="U601" s="2711"/>
      <c r="X601" s="358"/>
      <c r="AA601" s="358"/>
      <c r="AB601" s="361"/>
      <c r="AC601" s="358"/>
      <c r="AF601" s="358"/>
      <c r="AG601" s="361"/>
      <c r="AH601" s="358"/>
      <c r="AK601" s="358"/>
      <c r="AL601" s="361"/>
      <c r="AM601" s="358"/>
      <c r="AP601" s="358"/>
      <c r="AQ601" s="361"/>
      <c r="AR601" s="358"/>
      <c r="AS601" s="358"/>
      <c r="AT601" s="358"/>
      <c r="AU601" s="358"/>
      <c r="AV601" s="358"/>
      <c r="AW601" s="358"/>
      <c r="AY601" s="358"/>
      <c r="BB601" s="358"/>
      <c r="BD601" s="358"/>
      <c r="LF601" s="1640"/>
      <c r="LK601" s="1640"/>
      <c r="LP601" s="1640"/>
      <c r="LU601" s="1640"/>
      <c r="LV601" s="1640"/>
      <c r="LW601" s="1640"/>
      <c r="LX601" s="1640"/>
      <c r="LY601" s="1640"/>
      <c r="LZ601" s="1640"/>
      <c r="MA601" s="1640"/>
      <c r="MB601" s="1640"/>
      <c r="MC601" s="1640"/>
      <c r="MD601" s="1640"/>
      <c r="ME601" s="1640"/>
      <c r="MF601" s="1640"/>
      <c r="MG601" s="1640"/>
      <c r="MH601" s="1640"/>
      <c r="MI601" s="1640"/>
      <c r="MJ601" s="1640"/>
      <c r="MK601" s="1640"/>
      <c r="ML601" s="1640"/>
      <c r="MM601" s="1640"/>
      <c r="MN601" s="1640"/>
      <c r="MO601" s="1640"/>
      <c r="MP601" s="1640"/>
      <c r="MW601" s="360"/>
      <c r="MX601" s="360"/>
      <c r="NN601" s="360"/>
      <c r="OZ601" s="1784">
        <v>144</v>
      </c>
    </row>
    <row r="602" spans="1:416" ht="14.25" customHeight="1">
      <c r="A602" s="360" t="s">
        <v>688</v>
      </c>
      <c r="B602" s="360" t="s">
        <v>5147</v>
      </c>
      <c r="H602" s="359"/>
      <c r="L602" s="2634">
        <f>$O$58</f>
        <v>0</v>
      </c>
      <c r="M602" s="2634"/>
      <c r="N602" s="2634"/>
      <c r="O602" s="2634"/>
      <c r="P602" s="2758"/>
      <c r="S602" s="2411" t="str">
        <f>C603</f>
        <v xml:space="preserve">Building Type: (for Utility Allowance, Monitoring Fees, etc)
</v>
      </c>
      <c r="U602" s="2711"/>
      <c r="X602" s="358"/>
      <c r="AA602" s="358"/>
      <c r="AB602" s="361"/>
      <c r="AC602" s="358"/>
      <c r="AF602" s="358"/>
      <c r="AG602" s="361"/>
      <c r="AH602" s="358"/>
      <c r="AK602" s="358"/>
      <c r="AL602" s="361"/>
      <c r="AM602" s="358"/>
      <c r="AP602" s="358"/>
      <c r="AQ602" s="361"/>
      <c r="AR602" s="358"/>
      <c r="AS602" s="358"/>
      <c r="AT602" s="358"/>
      <c r="AU602" s="358"/>
      <c r="AV602" s="358"/>
      <c r="AW602" s="358"/>
      <c r="AY602" s="358"/>
      <c r="BB602" s="358"/>
      <c r="BD602" s="358"/>
      <c r="LF602" s="1640"/>
      <c r="LK602" s="1640"/>
      <c r="LP602" s="1640"/>
      <c r="LU602" s="1640"/>
      <c r="LV602" s="1640"/>
      <c r="LW602" s="1640"/>
      <c r="LX602" s="1640"/>
      <c r="LY602" s="1640"/>
      <c r="LZ602" s="1640"/>
      <c r="MA602" s="1640"/>
      <c r="MB602" s="1640"/>
      <c r="MC602" s="1640"/>
      <c r="MD602" s="1640"/>
      <c r="ME602" s="1640"/>
      <c r="MF602" s="1640"/>
      <c r="MG602" s="1640"/>
      <c r="MH602" s="1640"/>
      <c r="MI602" s="1640"/>
      <c r="MJ602" s="1640"/>
      <c r="MK602" s="1640"/>
      <c r="ML602" s="1640"/>
      <c r="MM602" s="1640"/>
      <c r="MN602" s="1640"/>
      <c r="MO602" s="1640"/>
      <c r="MP602" s="1640"/>
      <c r="MW602" s="360"/>
      <c r="MX602" s="360"/>
      <c r="NN602" s="360"/>
      <c r="OZ602" s="1784">
        <v>145</v>
      </c>
    </row>
    <row r="603" spans="1:416" ht="14.25" customHeight="1">
      <c r="C603" s="2647" t="s">
        <v>5148</v>
      </c>
      <c r="D603" s="2647"/>
      <c r="E603" s="1409" t="s">
        <v>36</v>
      </c>
      <c r="F603" s="358"/>
      <c r="G603" s="2547"/>
      <c r="H603" s="359"/>
      <c r="K603" s="2753">
        <f t="shared" ref="K603:P603" si="398">SUM(K604:K611)</f>
        <v>0</v>
      </c>
      <c r="L603" s="2753">
        <f t="shared" si="398"/>
        <v>40</v>
      </c>
      <c r="M603" s="2753">
        <f t="shared" si="398"/>
        <v>120</v>
      </c>
      <c r="N603" s="2753">
        <f t="shared" si="398"/>
        <v>0</v>
      </c>
      <c r="O603" s="2753">
        <f t="shared" si="398"/>
        <v>0</v>
      </c>
      <c r="P603" s="2753">
        <f t="shared" si="398"/>
        <v>160</v>
      </c>
      <c r="S603" s="2647"/>
      <c r="T603" s="2647"/>
      <c r="U603" s="2647"/>
      <c r="V603" s="2647"/>
      <c r="W603" s="2647"/>
      <c r="X603" s="358"/>
      <c r="AA603" s="358"/>
      <c r="AB603" s="361"/>
      <c r="AC603" s="358"/>
      <c r="AF603" s="358"/>
      <c r="AG603" s="361"/>
      <c r="AH603" s="358"/>
      <c r="AK603" s="358"/>
      <c r="AL603" s="361"/>
      <c r="AM603" s="358"/>
      <c r="AP603" s="358"/>
      <c r="AQ603" s="361"/>
      <c r="AR603" s="362"/>
      <c r="AS603" s="362"/>
      <c r="AT603" s="362"/>
      <c r="AU603" s="362"/>
      <c r="AV603" s="362"/>
      <c r="AW603" s="362"/>
      <c r="BB603" s="362"/>
      <c r="MW603" s="360"/>
      <c r="MX603" s="360"/>
      <c r="NN603" s="360"/>
      <c r="OZ603" s="1784">
        <v>146</v>
      </c>
    </row>
    <row r="604" spans="1:416" ht="14.25" customHeight="1">
      <c r="C604" s="2647"/>
      <c r="D604" s="2647"/>
      <c r="E604" s="1409"/>
      <c r="F604" s="358"/>
      <c r="H604" s="2764" t="s">
        <v>4183</v>
      </c>
      <c r="I604" s="1769"/>
      <c r="K604" s="2747">
        <f>LB511</f>
        <v>0</v>
      </c>
      <c r="L604" s="2747">
        <f>LC511</f>
        <v>0</v>
      </c>
      <c r="M604" s="2747">
        <f>LD511</f>
        <v>0</v>
      </c>
      <c r="N604" s="2747">
        <f>LE511</f>
        <v>0</v>
      </c>
      <c r="O604" s="2747">
        <f>LF511</f>
        <v>0</v>
      </c>
      <c r="P604" s="2747">
        <f t="shared" ref="P604:P619" si="399">SUM(K604:O604)</f>
        <v>0</v>
      </c>
      <c r="S604" s="2647"/>
      <c r="T604" s="2647"/>
      <c r="U604" s="2647"/>
      <c r="V604" s="2647"/>
      <c r="W604" s="2647"/>
      <c r="X604" s="358"/>
      <c r="AA604" s="358"/>
      <c r="AB604" s="361"/>
      <c r="AC604" s="358"/>
      <c r="AF604" s="358"/>
      <c r="AG604" s="361"/>
      <c r="AH604" s="358"/>
      <c r="AK604" s="358"/>
      <c r="AL604" s="361"/>
      <c r="AM604" s="358"/>
      <c r="AP604" s="358"/>
      <c r="AQ604" s="361"/>
      <c r="AR604" s="362"/>
      <c r="AS604" s="362"/>
      <c r="AT604" s="362"/>
      <c r="AU604" s="362"/>
      <c r="AV604" s="362"/>
      <c r="AW604" s="362"/>
      <c r="BB604" s="362"/>
      <c r="MW604" s="360"/>
      <c r="MX604" s="360"/>
      <c r="NN604" s="360"/>
      <c r="OZ604" s="1784">
        <v>147</v>
      </c>
    </row>
    <row r="605" spans="1:416" ht="14.25" customHeight="1">
      <c r="C605" s="2647"/>
      <c r="D605" s="2647"/>
      <c r="E605" s="1409"/>
      <c r="F605" s="358"/>
      <c r="H605" s="2765" t="s">
        <v>2924</v>
      </c>
      <c r="I605" s="2766"/>
      <c r="K605" s="2752">
        <f>LL511</f>
        <v>0</v>
      </c>
      <c r="L605" s="2752">
        <f>LM511</f>
        <v>0</v>
      </c>
      <c r="M605" s="2752">
        <f>LN511</f>
        <v>0</v>
      </c>
      <c r="N605" s="2752">
        <f>LO511</f>
        <v>0</v>
      </c>
      <c r="O605" s="2752">
        <f>LP511</f>
        <v>0</v>
      </c>
      <c r="P605" s="2752">
        <f t="shared" si="399"/>
        <v>0</v>
      </c>
      <c r="S605" s="2647"/>
      <c r="T605" s="2647"/>
      <c r="U605" s="2647"/>
      <c r="V605" s="2647"/>
      <c r="W605" s="2647"/>
      <c r="X605" s="358"/>
      <c r="AA605" s="358"/>
      <c r="AB605" s="361"/>
      <c r="AC605" s="358"/>
      <c r="AF605" s="358"/>
      <c r="AG605" s="361"/>
      <c r="AH605" s="358"/>
      <c r="AK605" s="358"/>
      <c r="AL605" s="361"/>
      <c r="AM605" s="358"/>
      <c r="AP605" s="358"/>
      <c r="AQ605" s="361"/>
      <c r="AR605" s="362"/>
      <c r="AS605" s="362"/>
      <c r="AT605" s="362"/>
      <c r="AU605" s="362"/>
      <c r="AV605" s="362"/>
      <c r="AW605" s="362"/>
      <c r="BB605" s="362"/>
      <c r="MW605" s="360"/>
      <c r="MX605" s="360"/>
      <c r="NN605" s="360"/>
      <c r="OZ605" s="1784">
        <v>148</v>
      </c>
    </row>
    <row r="606" spans="1:416" ht="14.25" customHeight="1">
      <c r="C606" s="2647"/>
      <c r="D606" s="2647"/>
      <c r="E606" s="1409"/>
      <c r="F606" s="358"/>
      <c r="H606" s="2764" t="s">
        <v>4370</v>
      </c>
      <c r="I606" s="1769"/>
      <c r="K606" s="2747">
        <f>LG511</f>
        <v>0</v>
      </c>
      <c r="L606" s="2747">
        <f>LH511</f>
        <v>40</v>
      </c>
      <c r="M606" s="2747">
        <f>LI511</f>
        <v>120</v>
      </c>
      <c r="N606" s="2747">
        <f>LJ511</f>
        <v>0</v>
      </c>
      <c r="O606" s="2747">
        <f>LK511</f>
        <v>0</v>
      </c>
      <c r="P606" s="2747">
        <f t="shared" si="399"/>
        <v>160</v>
      </c>
      <c r="S606" s="2647"/>
      <c r="T606" s="2647"/>
      <c r="U606" s="2647"/>
      <c r="V606" s="2647"/>
      <c r="W606" s="2647"/>
      <c r="X606" s="358"/>
      <c r="AA606" s="358"/>
      <c r="AB606" s="361"/>
      <c r="AC606" s="358"/>
      <c r="AF606" s="358"/>
      <c r="AG606" s="361"/>
      <c r="AH606" s="358"/>
      <c r="AK606" s="358"/>
      <c r="AL606" s="361"/>
      <c r="AM606" s="358"/>
      <c r="AP606" s="358"/>
      <c r="AQ606" s="361"/>
      <c r="AR606" s="362"/>
      <c r="AS606" s="362"/>
      <c r="AT606" s="362"/>
      <c r="AU606" s="362"/>
      <c r="AV606" s="362"/>
      <c r="AW606" s="362"/>
      <c r="BB606" s="362"/>
      <c r="MW606" s="360"/>
      <c r="MX606" s="360"/>
      <c r="NN606" s="360"/>
      <c r="OZ606" s="2468">
        <v>149</v>
      </c>
    </row>
    <row r="607" spans="1:416" ht="14.25" customHeight="1">
      <c r="C607" s="2647"/>
      <c r="D607" s="2647"/>
      <c r="E607" s="1409"/>
      <c r="F607" s="358"/>
      <c r="H607" s="2765" t="s">
        <v>2924</v>
      </c>
      <c r="I607" s="2766"/>
      <c r="K607" s="2752">
        <f>LQ511</f>
        <v>0</v>
      </c>
      <c r="L607" s="2752">
        <f>LR511</f>
        <v>0</v>
      </c>
      <c r="M607" s="2752">
        <f>LS511</f>
        <v>0</v>
      </c>
      <c r="N607" s="2752">
        <f>LT511</f>
        <v>0</v>
      </c>
      <c r="O607" s="2752">
        <f>LU511</f>
        <v>0</v>
      </c>
      <c r="P607" s="2752">
        <f t="shared" si="399"/>
        <v>0</v>
      </c>
      <c r="S607" s="2647"/>
      <c r="T607" s="2647"/>
      <c r="U607" s="2647"/>
      <c r="V607" s="2647"/>
      <c r="W607" s="2647"/>
      <c r="X607" s="358"/>
      <c r="AA607" s="358"/>
      <c r="AB607" s="361"/>
      <c r="AC607" s="358"/>
      <c r="AF607" s="358"/>
      <c r="AG607" s="361"/>
      <c r="AH607" s="358"/>
      <c r="AK607" s="358"/>
      <c r="AL607" s="361"/>
      <c r="AM607" s="358"/>
      <c r="AP607" s="358"/>
      <c r="AQ607" s="361"/>
      <c r="AR607" s="362"/>
      <c r="AS607" s="362"/>
      <c r="AT607" s="362"/>
      <c r="AU607" s="362"/>
      <c r="AV607" s="362"/>
      <c r="AW607" s="362"/>
      <c r="BB607" s="362"/>
      <c r="MW607" s="360"/>
      <c r="MX607" s="360"/>
      <c r="NN607" s="360"/>
      <c r="OZ607" s="1784">
        <v>150</v>
      </c>
    </row>
    <row r="608" spans="1:416" ht="14.25" customHeight="1">
      <c r="C608" s="2647"/>
      <c r="D608" s="2647"/>
      <c r="E608" s="1409"/>
      <c r="F608" s="358"/>
      <c r="H608" s="2764" t="s">
        <v>4185</v>
      </c>
      <c r="I608" s="1769"/>
      <c r="K608" s="2747">
        <f>LV511</f>
        <v>0</v>
      </c>
      <c r="L608" s="2747">
        <f>LW511</f>
        <v>0</v>
      </c>
      <c r="M608" s="2747">
        <f>LX511</f>
        <v>0</v>
      </c>
      <c r="N608" s="2747">
        <f>LY511</f>
        <v>0</v>
      </c>
      <c r="O608" s="2747">
        <f>LZ511</f>
        <v>0</v>
      </c>
      <c r="P608" s="2747">
        <f t="shared" si="399"/>
        <v>0</v>
      </c>
      <c r="S608" s="2647"/>
      <c r="T608" s="2647"/>
      <c r="U608" s="2647"/>
      <c r="V608" s="2647"/>
      <c r="W608" s="2647"/>
      <c r="X608" s="358"/>
      <c r="AA608" s="358"/>
      <c r="AB608" s="361"/>
      <c r="AC608" s="358"/>
      <c r="AF608" s="358"/>
      <c r="AG608" s="361"/>
      <c r="AH608" s="358"/>
      <c r="AK608" s="358"/>
      <c r="AL608" s="361"/>
      <c r="AM608" s="358"/>
      <c r="AP608" s="358"/>
      <c r="AQ608" s="361"/>
      <c r="AR608" s="362"/>
      <c r="AS608" s="362"/>
      <c r="AT608" s="362"/>
      <c r="AU608" s="362"/>
      <c r="AV608" s="362"/>
      <c r="AW608" s="362"/>
      <c r="BB608" s="362"/>
      <c r="MW608" s="360"/>
      <c r="MX608" s="360"/>
      <c r="OZ608" s="1640">
        <v>151</v>
      </c>
    </row>
    <row r="609" spans="1:416" ht="14.25" customHeight="1">
      <c r="C609" s="2647"/>
      <c r="D609" s="2647"/>
      <c r="E609" s="1409"/>
      <c r="F609" s="358"/>
      <c r="H609" s="2765" t="s">
        <v>2924</v>
      </c>
      <c r="I609" s="2766"/>
      <c r="K609" s="2752">
        <f>MF511</f>
        <v>0</v>
      </c>
      <c r="L609" s="2752">
        <f>MG511</f>
        <v>0</v>
      </c>
      <c r="M609" s="2752">
        <f>MH511</f>
        <v>0</v>
      </c>
      <c r="N609" s="2752">
        <f>MI511</f>
        <v>0</v>
      </c>
      <c r="O609" s="2752">
        <f>MJ511</f>
        <v>0</v>
      </c>
      <c r="P609" s="2752">
        <f t="shared" si="399"/>
        <v>0</v>
      </c>
      <c r="S609" s="2647"/>
      <c r="T609" s="2647"/>
      <c r="U609" s="2647"/>
      <c r="V609" s="2647"/>
      <c r="W609" s="2647"/>
      <c r="X609" s="358"/>
      <c r="AA609" s="358"/>
      <c r="AB609" s="361"/>
      <c r="AC609" s="358"/>
      <c r="AF609" s="358"/>
      <c r="AG609" s="361"/>
      <c r="AH609" s="358"/>
      <c r="AK609" s="358"/>
      <c r="AL609" s="361"/>
      <c r="AM609" s="358"/>
      <c r="AP609" s="358"/>
      <c r="AQ609" s="361"/>
      <c r="AR609" s="362"/>
      <c r="AS609" s="362"/>
      <c r="AT609" s="362"/>
      <c r="AU609" s="362"/>
      <c r="AV609" s="362"/>
      <c r="AW609" s="362"/>
      <c r="BB609" s="362"/>
      <c r="MW609" s="360"/>
      <c r="MX609" s="360"/>
      <c r="OZ609" s="1784">
        <v>152</v>
      </c>
    </row>
    <row r="610" spans="1:416" ht="14.25" customHeight="1">
      <c r="C610" s="2647"/>
      <c r="D610" s="2647"/>
      <c r="E610" s="1409"/>
      <c r="F610" s="358"/>
      <c r="H610" s="2764" t="s">
        <v>4377</v>
      </c>
      <c r="I610" s="1769"/>
      <c r="K610" s="2747">
        <f>MA511</f>
        <v>0</v>
      </c>
      <c r="L610" s="2747">
        <f>MB511</f>
        <v>0</v>
      </c>
      <c r="M610" s="2747">
        <f>MC511</f>
        <v>0</v>
      </c>
      <c r="N610" s="2747">
        <f>MD511</f>
        <v>0</v>
      </c>
      <c r="O610" s="2747">
        <f>ME511</f>
        <v>0</v>
      </c>
      <c r="P610" s="2747">
        <f t="shared" si="399"/>
        <v>0</v>
      </c>
      <c r="S610" s="2647"/>
      <c r="T610" s="2647"/>
      <c r="U610" s="2647"/>
      <c r="V610" s="2647"/>
      <c r="W610" s="2647"/>
      <c r="X610" s="358"/>
      <c r="AA610" s="358"/>
      <c r="AB610" s="361"/>
      <c r="AC610" s="358"/>
      <c r="AF610" s="358"/>
      <c r="AG610" s="361"/>
      <c r="AH610" s="358"/>
      <c r="AK610" s="358"/>
      <c r="AL610" s="361"/>
      <c r="AM610" s="358"/>
      <c r="AP610" s="358"/>
      <c r="AQ610" s="361"/>
      <c r="AR610" s="362"/>
      <c r="AS610" s="362"/>
      <c r="AT610" s="362"/>
      <c r="AU610" s="362"/>
      <c r="AV610" s="362"/>
      <c r="AW610" s="362"/>
      <c r="BB610" s="362"/>
      <c r="MW610" s="360"/>
      <c r="MX610" s="360"/>
      <c r="OZ610" s="1784">
        <v>153</v>
      </c>
    </row>
    <row r="611" spans="1:416" ht="14.25" customHeight="1">
      <c r="C611" s="2647"/>
      <c r="D611" s="2647"/>
      <c r="E611" s="1409"/>
      <c r="F611" s="358"/>
      <c r="H611" s="2765" t="s">
        <v>2924</v>
      </c>
      <c r="I611" s="2766"/>
      <c r="K611" s="2752">
        <f>MK511</f>
        <v>0</v>
      </c>
      <c r="L611" s="2752">
        <f>ML511</f>
        <v>0</v>
      </c>
      <c r="M611" s="2752">
        <f>MM511</f>
        <v>0</v>
      </c>
      <c r="N611" s="2752">
        <f>MN511</f>
        <v>0</v>
      </c>
      <c r="O611" s="2752">
        <f>MO511</f>
        <v>0</v>
      </c>
      <c r="P611" s="2752">
        <f t="shared" si="399"/>
        <v>0</v>
      </c>
      <c r="S611" s="2647"/>
      <c r="T611" s="2647"/>
      <c r="U611" s="2647"/>
      <c r="V611" s="2647"/>
      <c r="W611" s="2647"/>
      <c r="X611" s="358"/>
      <c r="AA611" s="358"/>
      <c r="AB611" s="361"/>
      <c r="AC611" s="358"/>
      <c r="AF611" s="358"/>
      <c r="AG611" s="361"/>
      <c r="AH611" s="358"/>
      <c r="AK611" s="358"/>
      <c r="AL611" s="361"/>
      <c r="AM611" s="358"/>
      <c r="AP611" s="358"/>
      <c r="AQ611" s="361"/>
      <c r="AR611" s="362"/>
      <c r="AS611" s="362"/>
      <c r="AT611" s="362"/>
      <c r="AU611" s="362"/>
      <c r="AV611" s="362"/>
      <c r="AW611" s="362"/>
      <c r="BB611" s="362"/>
      <c r="MW611" s="360"/>
      <c r="MX611" s="360"/>
      <c r="OZ611" s="1640">
        <v>154</v>
      </c>
    </row>
    <row r="612" spans="1:416" ht="14.25" customHeight="1">
      <c r="C612" s="2763"/>
      <c r="D612" s="2763"/>
      <c r="E612" s="1409" t="s">
        <v>4372</v>
      </c>
      <c r="F612" s="358"/>
      <c r="H612" s="2764"/>
      <c r="I612" s="1769"/>
      <c r="K612" s="2747">
        <f>JN511</f>
        <v>0</v>
      </c>
      <c r="L612" s="2747">
        <f>JO511</f>
        <v>0</v>
      </c>
      <c r="M612" s="2747">
        <f>JP511</f>
        <v>0</v>
      </c>
      <c r="N612" s="2747">
        <f>JQ511</f>
        <v>0</v>
      </c>
      <c r="O612" s="2747">
        <f>JR511</f>
        <v>0</v>
      </c>
      <c r="P612" s="2753">
        <f t="shared" si="399"/>
        <v>0</v>
      </c>
      <c r="S612" s="2647"/>
      <c r="T612" s="2647"/>
      <c r="U612" s="2647"/>
      <c r="V612" s="2647"/>
      <c r="W612" s="2647"/>
      <c r="X612" s="358"/>
      <c r="AA612" s="358"/>
      <c r="AB612" s="361"/>
      <c r="AC612" s="358"/>
      <c r="AF612" s="358"/>
      <c r="AG612" s="361"/>
      <c r="AH612" s="358"/>
      <c r="AK612" s="358"/>
      <c r="AL612" s="361"/>
      <c r="AM612" s="358"/>
      <c r="AP612" s="358"/>
      <c r="AQ612" s="361"/>
      <c r="AR612" s="362"/>
      <c r="AS612" s="362"/>
      <c r="AT612" s="362"/>
      <c r="AU612" s="362"/>
      <c r="AV612" s="362"/>
      <c r="AW612" s="362"/>
      <c r="AX612" s="790"/>
      <c r="AY612" s="358"/>
      <c r="BB612" s="362"/>
      <c r="BC612" s="790"/>
      <c r="BD612" s="358"/>
      <c r="LF612" s="1640"/>
      <c r="LK612" s="1640"/>
      <c r="LP612" s="1640"/>
      <c r="LU612" s="1640"/>
      <c r="LV612" s="1640"/>
      <c r="LW612" s="1640"/>
      <c r="LX612" s="1640"/>
      <c r="LY612" s="1640"/>
      <c r="LZ612" s="1640"/>
      <c r="MA612" s="1640"/>
      <c r="MB612" s="1640"/>
      <c r="MC612" s="1640"/>
      <c r="MD612" s="1640"/>
      <c r="ME612" s="1640"/>
      <c r="MF612" s="1640"/>
      <c r="MG612" s="1640"/>
      <c r="MH612" s="1640"/>
      <c r="MI612" s="1640"/>
      <c r="MJ612" s="1640"/>
      <c r="MK612" s="1640"/>
      <c r="ML612" s="1640"/>
      <c r="MM612" s="1640"/>
      <c r="MN612" s="1640"/>
      <c r="MO612" s="1640"/>
      <c r="MP612" s="1640"/>
      <c r="MW612" s="360"/>
      <c r="MX612" s="360"/>
      <c r="OZ612" s="1784">
        <v>155</v>
      </c>
    </row>
    <row r="613" spans="1:416" ht="14.25" customHeight="1">
      <c r="C613" s="2763"/>
      <c r="D613" s="2763"/>
      <c r="E613" s="1409"/>
      <c r="F613" s="358"/>
      <c r="H613" s="2765" t="s">
        <v>2924</v>
      </c>
      <c r="I613" s="2766"/>
      <c r="K613" s="2752">
        <f>JS511</f>
        <v>0</v>
      </c>
      <c r="L613" s="2752">
        <f>JT511</f>
        <v>0</v>
      </c>
      <c r="M613" s="2752">
        <f>JU511</f>
        <v>0</v>
      </c>
      <c r="N613" s="2752">
        <f>JV511</f>
        <v>0</v>
      </c>
      <c r="O613" s="2752">
        <f>JW511</f>
        <v>0</v>
      </c>
      <c r="P613" s="2767">
        <f t="shared" si="399"/>
        <v>0</v>
      </c>
      <c r="S613" s="2647"/>
      <c r="T613" s="2647"/>
      <c r="U613" s="2647"/>
      <c r="V613" s="2647"/>
      <c r="W613" s="2647"/>
      <c r="X613" s="358"/>
      <c r="AA613" s="358"/>
      <c r="AB613" s="361"/>
      <c r="AC613" s="358"/>
      <c r="AF613" s="358"/>
      <c r="AG613" s="361"/>
      <c r="AH613" s="358"/>
      <c r="AK613" s="358"/>
      <c r="AL613" s="361"/>
      <c r="AM613" s="358"/>
      <c r="AP613" s="358"/>
      <c r="AQ613" s="361"/>
      <c r="AR613" s="362"/>
      <c r="AS613" s="362"/>
      <c r="AT613" s="362"/>
      <c r="AU613" s="362"/>
      <c r="AV613" s="362"/>
      <c r="AW613" s="362"/>
      <c r="AX613" s="790"/>
      <c r="AY613" s="358"/>
      <c r="BB613" s="362"/>
      <c r="BC613" s="790"/>
      <c r="BD613" s="358"/>
      <c r="LF613" s="1640"/>
      <c r="LK613" s="1640"/>
      <c r="LP613" s="1640"/>
      <c r="LU613" s="1640"/>
      <c r="LV613" s="1640"/>
      <c r="LW613" s="1640"/>
      <c r="LX613" s="1640"/>
      <c r="LY613" s="1640"/>
      <c r="LZ613" s="1640"/>
      <c r="MA613" s="1640"/>
      <c r="MB613" s="1640"/>
      <c r="MC613" s="1640"/>
      <c r="MD613" s="1640"/>
      <c r="ME613" s="1640"/>
      <c r="MF613" s="1640"/>
      <c r="MG613" s="1640"/>
      <c r="MH613" s="1640"/>
      <c r="MI613" s="1640"/>
      <c r="MJ613" s="1640"/>
      <c r="MK613" s="1640"/>
      <c r="ML613" s="1640"/>
      <c r="MM613" s="1640"/>
      <c r="MN613" s="1640"/>
      <c r="MO613" s="1640"/>
      <c r="MP613" s="1640"/>
      <c r="MW613" s="360"/>
      <c r="MX613" s="360"/>
      <c r="OZ613" s="1784">
        <v>156</v>
      </c>
    </row>
    <row r="614" spans="1:416" ht="14.25" customHeight="1">
      <c r="C614" s="2763"/>
      <c r="D614" s="2763"/>
      <c r="E614" s="1409" t="s">
        <v>4373</v>
      </c>
      <c r="F614" s="358"/>
      <c r="H614" s="2764"/>
      <c r="I614" s="1769"/>
      <c r="K614" s="2747">
        <f>KR511</f>
        <v>0</v>
      </c>
      <c r="L614" s="2747">
        <f>KS511</f>
        <v>0</v>
      </c>
      <c r="M614" s="2747">
        <f>KT511</f>
        <v>0</v>
      </c>
      <c r="N614" s="2747">
        <f>KU511</f>
        <v>0</v>
      </c>
      <c r="O614" s="2747">
        <f>KV511</f>
        <v>0</v>
      </c>
      <c r="P614" s="2753">
        <f t="shared" si="399"/>
        <v>0</v>
      </c>
      <c r="S614" s="2647"/>
      <c r="T614" s="2647"/>
      <c r="U614" s="2647"/>
      <c r="V614" s="2647"/>
      <c r="W614" s="2647"/>
      <c r="X614" s="358"/>
      <c r="AA614" s="358"/>
      <c r="AB614" s="361"/>
      <c r="AC614" s="358"/>
      <c r="AF614" s="358"/>
      <c r="AG614" s="361"/>
      <c r="AH614" s="358"/>
      <c r="AK614" s="358"/>
      <c r="AL614" s="361"/>
      <c r="AM614" s="358"/>
      <c r="AP614" s="358"/>
      <c r="AQ614" s="361"/>
      <c r="AR614" s="362"/>
      <c r="AS614" s="362"/>
      <c r="AT614" s="362"/>
      <c r="AU614" s="362"/>
      <c r="AV614" s="362"/>
      <c r="AW614" s="362"/>
      <c r="BB614" s="362"/>
      <c r="MW614" s="360"/>
      <c r="MX614" s="360"/>
      <c r="OZ614" s="1784">
        <v>157</v>
      </c>
    </row>
    <row r="615" spans="1:416" ht="14.25" customHeight="1">
      <c r="C615" s="2763"/>
      <c r="D615" s="2763"/>
      <c r="E615" s="1409"/>
      <c r="F615" s="358"/>
      <c r="H615" s="2765" t="s">
        <v>2924</v>
      </c>
      <c r="I615" s="2766"/>
      <c r="K615" s="2752">
        <f>KW511</f>
        <v>0</v>
      </c>
      <c r="L615" s="2752">
        <f>KX511</f>
        <v>0</v>
      </c>
      <c r="M615" s="2752">
        <f>KY511</f>
        <v>0</v>
      </c>
      <c r="N615" s="2752">
        <f>KZ511</f>
        <v>0</v>
      </c>
      <c r="O615" s="2752">
        <f>LA511</f>
        <v>0</v>
      </c>
      <c r="P615" s="2767">
        <f t="shared" si="399"/>
        <v>0</v>
      </c>
      <c r="S615" s="2647"/>
      <c r="T615" s="2647"/>
      <c r="U615" s="2647"/>
      <c r="V615" s="2647"/>
      <c r="W615" s="2647"/>
      <c r="X615" s="358"/>
      <c r="AA615" s="358"/>
      <c r="AB615" s="361"/>
      <c r="AC615" s="358"/>
      <c r="AF615" s="358"/>
      <c r="AG615" s="361"/>
      <c r="AH615" s="358"/>
      <c r="AK615" s="358"/>
      <c r="AL615" s="361"/>
      <c r="AM615" s="358"/>
      <c r="AP615" s="358"/>
      <c r="AQ615" s="361"/>
      <c r="AR615" s="362"/>
      <c r="AS615" s="362"/>
      <c r="AT615" s="362"/>
      <c r="AU615" s="362"/>
      <c r="AV615" s="362"/>
      <c r="AW615" s="362"/>
      <c r="BB615" s="362"/>
      <c r="MW615" s="360"/>
      <c r="MX615" s="360"/>
      <c r="OZ615" s="1784">
        <v>158</v>
      </c>
    </row>
    <row r="616" spans="1:416" ht="14.25" customHeight="1">
      <c r="C616" s="2763"/>
      <c r="D616" s="2763"/>
      <c r="E616" s="1409" t="s">
        <v>4179</v>
      </c>
      <c r="F616" s="358"/>
      <c r="H616" s="2764"/>
      <c r="I616" s="1769"/>
      <c r="K616" s="2747">
        <f>KH511</f>
        <v>0</v>
      </c>
      <c r="L616" s="2747">
        <f>KI511</f>
        <v>0</v>
      </c>
      <c r="M616" s="2747">
        <f>KJ511</f>
        <v>0</v>
      </c>
      <c r="N616" s="2747">
        <f>KK511</f>
        <v>0</v>
      </c>
      <c r="O616" s="2747">
        <f>KL511</f>
        <v>0</v>
      </c>
      <c r="P616" s="2753">
        <f t="shared" si="399"/>
        <v>0</v>
      </c>
      <c r="S616" s="2647"/>
      <c r="T616" s="2647"/>
      <c r="U616" s="2647"/>
      <c r="V616" s="2647"/>
      <c r="W616" s="2647"/>
      <c r="X616" s="358"/>
      <c r="AA616" s="358"/>
      <c r="AB616" s="361"/>
      <c r="AC616" s="358"/>
      <c r="AF616" s="358"/>
      <c r="AG616" s="361"/>
      <c r="AH616" s="358"/>
      <c r="AK616" s="358"/>
      <c r="AL616" s="361"/>
      <c r="AM616" s="358"/>
      <c r="AP616" s="358"/>
      <c r="AQ616" s="361"/>
      <c r="AR616" s="362"/>
      <c r="AS616" s="362"/>
      <c r="AT616" s="362"/>
      <c r="AU616" s="362"/>
      <c r="AV616" s="362"/>
      <c r="AW616" s="362"/>
      <c r="AX616" s="790"/>
      <c r="AY616" s="358"/>
      <c r="BB616" s="362"/>
      <c r="BC616" s="790"/>
      <c r="BD616" s="358"/>
      <c r="LF616" s="1640"/>
      <c r="LK616" s="1640"/>
      <c r="LP616" s="1640"/>
      <c r="LU616" s="1640"/>
      <c r="LV616" s="1640"/>
      <c r="LW616" s="1640"/>
      <c r="LX616" s="1640"/>
      <c r="LY616" s="1640"/>
      <c r="LZ616" s="1640"/>
      <c r="MA616" s="1640"/>
      <c r="MB616" s="1640"/>
      <c r="MC616" s="1640"/>
      <c r="MD616" s="1640"/>
      <c r="ME616" s="1640"/>
      <c r="MF616" s="1640"/>
      <c r="MG616" s="1640"/>
      <c r="MH616" s="1640"/>
      <c r="MI616" s="1640"/>
      <c r="MJ616" s="1640"/>
      <c r="MK616" s="1640"/>
      <c r="ML616" s="1640"/>
      <c r="MM616" s="1640"/>
      <c r="MN616" s="1640"/>
      <c r="MO616" s="1640"/>
      <c r="MP616" s="1640"/>
      <c r="MW616" s="360"/>
      <c r="MX616" s="360"/>
      <c r="OZ616" s="1784">
        <v>159</v>
      </c>
    </row>
    <row r="617" spans="1:416" ht="14.25" customHeight="1">
      <c r="C617" s="2763"/>
      <c r="D617" s="2763"/>
      <c r="E617" s="1409"/>
      <c r="F617" s="358"/>
      <c r="H617" s="2765" t="s">
        <v>2924</v>
      </c>
      <c r="I617" s="2766"/>
      <c r="K617" s="2752">
        <f>KM511</f>
        <v>0</v>
      </c>
      <c r="L617" s="2752">
        <f>KN511</f>
        <v>0</v>
      </c>
      <c r="M617" s="2752">
        <f>KO511</f>
        <v>0</v>
      </c>
      <c r="N617" s="2752">
        <f>KP511</f>
        <v>0</v>
      </c>
      <c r="O617" s="2752">
        <f>KQ511</f>
        <v>0</v>
      </c>
      <c r="P617" s="2767">
        <f t="shared" si="399"/>
        <v>0</v>
      </c>
      <c r="S617" s="2647"/>
      <c r="T617" s="2647"/>
      <c r="U617" s="2647"/>
      <c r="V617" s="2647"/>
      <c r="W617" s="2647"/>
      <c r="X617" s="358"/>
      <c r="AA617" s="358"/>
      <c r="AB617" s="361"/>
      <c r="AC617" s="358"/>
      <c r="AF617" s="358"/>
      <c r="AG617" s="361"/>
      <c r="AH617" s="358"/>
      <c r="AK617" s="358"/>
      <c r="AL617" s="361"/>
      <c r="AM617" s="358"/>
      <c r="AP617" s="358"/>
      <c r="AQ617" s="361"/>
      <c r="AR617" s="362"/>
      <c r="AS617" s="362"/>
      <c r="AT617" s="362"/>
      <c r="AU617" s="362"/>
      <c r="AV617" s="362"/>
      <c r="AW617" s="362"/>
      <c r="AX617" s="790"/>
      <c r="AY617" s="358"/>
      <c r="BB617" s="362"/>
      <c r="BC617" s="790"/>
      <c r="BD617" s="358"/>
      <c r="LF617" s="1640"/>
      <c r="LK617" s="1640"/>
      <c r="LP617" s="1640"/>
      <c r="LU617" s="1640"/>
      <c r="LV617" s="1640"/>
      <c r="LW617" s="1640"/>
      <c r="LX617" s="1640"/>
      <c r="LY617" s="1640"/>
      <c r="LZ617" s="1640"/>
      <c r="MA617" s="1640"/>
      <c r="MB617" s="1640"/>
      <c r="MC617" s="1640"/>
      <c r="MD617" s="1640"/>
      <c r="ME617" s="1640"/>
      <c r="MF617" s="1640"/>
      <c r="MG617" s="1640"/>
      <c r="MH617" s="1640"/>
      <c r="MI617" s="1640"/>
      <c r="MJ617" s="1640"/>
      <c r="MK617" s="1640"/>
      <c r="ML617" s="1640"/>
      <c r="MM617" s="1640"/>
      <c r="MN617" s="1640"/>
      <c r="MO617" s="1640"/>
      <c r="MP617" s="1640"/>
      <c r="MW617" s="360"/>
      <c r="MX617" s="360"/>
      <c r="OZ617" s="1640">
        <v>160</v>
      </c>
    </row>
    <row r="618" spans="1:416" ht="14.25" customHeight="1">
      <c r="C618" s="2763"/>
      <c r="D618" s="2763"/>
      <c r="E618" s="359" t="s">
        <v>524</v>
      </c>
      <c r="F618" s="358"/>
      <c r="H618" s="2764"/>
      <c r="I618" s="1769"/>
      <c r="K618" s="2747">
        <f>JX511</f>
        <v>0</v>
      </c>
      <c r="L618" s="2747">
        <f>JY511</f>
        <v>0</v>
      </c>
      <c r="M618" s="2747">
        <f>JZ511</f>
        <v>0</v>
      </c>
      <c r="N618" s="2747">
        <f>KA511</f>
        <v>0</v>
      </c>
      <c r="O618" s="2747">
        <f>KB511</f>
        <v>0</v>
      </c>
      <c r="P618" s="2753">
        <f t="shared" si="399"/>
        <v>0</v>
      </c>
      <c r="S618" s="2647"/>
      <c r="T618" s="2647"/>
      <c r="U618" s="2647"/>
      <c r="V618" s="2647"/>
      <c r="W618" s="2647"/>
      <c r="X618" s="358"/>
      <c r="AA618" s="358"/>
      <c r="AB618" s="361"/>
      <c r="AC618" s="358"/>
      <c r="AF618" s="358"/>
      <c r="AG618" s="361"/>
      <c r="AH618" s="358"/>
      <c r="AK618" s="358"/>
      <c r="AL618" s="361"/>
      <c r="AM618" s="358"/>
      <c r="AP618" s="358"/>
      <c r="AQ618" s="361"/>
      <c r="AR618" s="362"/>
      <c r="AS618" s="362"/>
      <c r="AT618" s="362"/>
      <c r="AU618" s="362"/>
      <c r="AV618" s="362"/>
      <c r="AW618" s="362"/>
      <c r="BB618" s="362"/>
      <c r="MW618" s="360"/>
      <c r="MX618" s="360"/>
      <c r="OZ618" s="1784">
        <v>161</v>
      </c>
    </row>
    <row r="619" spans="1:416" ht="14.25" customHeight="1">
      <c r="C619" s="2647"/>
      <c r="D619" s="2647"/>
      <c r="E619" s="359"/>
      <c r="F619" s="358"/>
      <c r="H619" s="2765" t="s">
        <v>2924</v>
      </c>
      <c r="I619" s="2766"/>
      <c r="K619" s="2752">
        <f>KC511</f>
        <v>0</v>
      </c>
      <c r="L619" s="2752">
        <f>KD511</f>
        <v>0</v>
      </c>
      <c r="M619" s="2752">
        <f>KE511</f>
        <v>0</v>
      </c>
      <c r="N619" s="2752">
        <f>KF511</f>
        <v>0</v>
      </c>
      <c r="O619" s="2752">
        <f>KG511</f>
        <v>0</v>
      </c>
      <c r="P619" s="2767">
        <f t="shared" si="399"/>
        <v>0</v>
      </c>
      <c r="S619" s="2647"/>
      <c r="T619" s="2647"/>
      <c r="U619" s="2647"/>
      <c r="V619" s="2647"/>
      <c r="W619" s="2647"/>
      <c r="X619" s="358"/>
      <c r="AA619" s="358"/>
      <c r="AB619" s="361"/>
      <c r="AC619" s="358"/>
      <c r="AF619" s="358"/>
      <c r="AG619" s="361"/>
      <c r="AH619" s="358"/>
      <c r="AK619" s="358"/>
      <c r="AL619" s="361"/>
      <c r="AM619" s="358"/>
      <c r="AP619" s="358"/>
      <c r="AQ619" s="361"/>
      <c r="AR619" s="362"/>
      <c r="AS619" s="362"/>
      <c r="AT619" s="362"/>
      <c r="AU619" s="362"/>
      <c r="AV619" s="362"/>
      <c r="AW619" s="362"/>
      <c r="BB619" s="362"/>
      <c r="MW619" s="360"/>
      <c r="MX619" s="360"/>
      <c r="OZ619" s="1784">
        <v>162</v>
      </c>
    </row>
    <row r="620" spans="1:416" ht="12.75" customHeight="1">
      <c r="S620" s="1639"/>
      <c r="T620" s="1639"/>
      <c r="U620" s="1639"/>
      <c r="V620" s="1639"/>
      <c r="AY620" s="358"/>
      <c r="BD620" s="358"/>
      <c r="LF620" s="1640"/>
      <c r="LK620" s="1640"/>
      <c r="LP620" s="1640"/>
      <c r="LU620" s="1640"/>
      <c r="LV620" s="1640"/>
      <c r="LW620" s="1640"/>
      <c r="LX620" s="1640"/>
      <c r="LY620" s="1640"/>
      <c r="LZ620" s="1640"/>
      <c r="MA620" s="1640"/>
      <c r="MB620" s="1640"/>
      <c r="MC620" s="1640"/>
      <c r="MD620" s="1640"/>
      <c r="ME620" s="1640"/>
      <c r="MF620" s="1640"/>
      <c r="MG620" s="1640"/>
      <c r="MH620" s="1640"/>
      <c r="MI620" s="1640"/>
      <c r="MJ620" s="1640"/>
      <c r="MK620" s="1640"/>
      <c r="ML620" s="1640"/>
      <c r="MM620" s="1640"/>
      <c r="MN620" s="1640"/>
      <c r="MO620" s="1640"/>
      <c r="MP620" s="1640"/>
      <c r="MW620" s="360"/>
      <c r="MX620" s="360"/>
      <c r="OZ620" s="1784">
        <v>163</v>
      </c>
    </row>
    <row r="621" spans="1:416" ht="9" customHeight="1">
      <c r="A621" s="360"/>
      <c r="B621" s="360"/>
      <c r="H621" s="359"/>
      <c r="Q621" s="358"/>
      <c r="S621" s="1711" t="str">
        <f>C622</f>
        <v>Building Type:
(for Cost Limit purposes only - see Application Instructions for further detail)</v>
      </c>
      <c r="T621" s="360"/>
      <c r="U621" s="2706"/>
      <c r="AY621" s="358"/>
      <c r="BD621" s="358"/>
      <c r="LF621" s="1640"/>
      <c r="LK621" s="1640"/>
      <c r="LP621" s="1640"/>
      <c r="LU621" s="1640"/>
      <c r="LV621" s="1640"/>
      <c r="LW621" s="1640"/>
      <c r="LX621" s="1640"/>
      <c r="LY621" s="1640"/>
      <c r="LZ621" s="1640"/>
      <c r="MA621" s="1640"/>
      <c r="MB621" s="1640"/>
      <c r="MC621" s="1640"/>
      <c r="MD621" s="1640"/>
      <c r="ME621" s="1640"/>
      <c r="MF621" s="1640"/>
      <c r="MG621" s="1640"/>
      <c r="MH621" s="1640"/>
      <c r="MI621" s="1640"/>
      <c r="MJ621" s="1640"/>
      <c r="MK621" s="1640"/>
      <c r="ML621" s="1640"/>
      <c r="MM621" s="1640"/>
      <c r="MN621" s="1640"/>
      <c r="MO621" s="1640"/>
      <c r="MP621" s="1640"/>
      <c r="MW621" s="360"/>
      <c r="MX621" s="360"/>
      <c r="OZ621" s="1784">
        <v>164</v>
      </c>
    </row>
    <row r="622" spans="1:416" ht="14.25" customHeight="1">
      <c r="C622" s="2647" t="s">
        <v>5149</v>
      </c>
      <c r="D622" s="2647"/>
      <c r="E622" s="1409" t="s">
        <v>2919</v>
      </c>
      <c r="F622" s="2547"/>
      <c r="H622" s="2764"/>
      <c r="I622" s="1769"/>
      <c r="K622" s="2747">
        <f t="shared" ref="K622:O623" si="400">K612+K616+K618</f>
        <v>0</v>
      </c>
      <c r="L622" s="2747">
        <f t="shared" si="400"/>
        <v>0</v>
      </c>
      <c r="M622" s="2747">
        <f t="shared" si="400"/>
        <v>0</v>
      </c>
      <c r="N622" s="2747">
        <f t="shared" si="400"/>
        <v>0</v>
      </c>
      <c r="O622" s="2747">
        <f t="shared" si="400"/>
        <v>0</v>
      </c>
      <c r="P622" s="2753">
        <f t="shared" ref="P622:P629" si="401">SUM(K622:O622)</f>
        <v>0</v>
      </c>
      <c r="S622" s="2647"/>
      <c r="T622" s="2647"/>
      <c r="U622" s="2647"/>
      <c r="V622" s="2647"/>
      <c r="W622" s="2647"/>
      <c r="X622" s="358"/>
      <c r="AA622" s="358"/>
      <c r="AB622" s="361"/>
      <c r="AC622" s="358"/>
      <c r="AF622" s="358"/>
      <c r="AG622" s="361"/>
      <c r="AH622" s="358"/>
      <c r="AK622" s="358"/>
      <c r="AL622" s="361"/>
      <c r="AM622" s="358"/>
      <c r="AP622" s="358"/>
      <c r="AQ622" s="361"/>
      <c r="AR622" s="362"/>
      <c r="AS622" s="362"/>
      <c r="AT622" s="362"/>
      <c r="AU622" s="362"/>
      <c r="AV622" s="362"/>
      <c r="AW622" s="362"/>
      <c r="BB622" s="362"/>
      <c r="MW622" s="360"/>
      <c r="MX622" s="360"/>
      <c r="OZ622" s="1784">
        <v>165</v>
      </c>
    </row>
    <row r="623" spans="1:416" ht="14.25" customHeight="1">
      <c r="C623" s="2647"/>
      <c r="D623" s="2647"/>
      <c r="E623" s="1409"/>
      <c r="F623" s="2547"/>
      <c r="H623" s="2765" t="s">
        <v>2924</v>
      </c>
      <c r="I623" s="2766"/>
      <c r="K623" s="2752">
        <f t="shared" si="400"/>
        <v>0</v>
      </c>
      <c r="L623" s="2752">
        <f t="shared" si="400"/>
        <v>0</v>
      </c>
      <c r="M623" s="2752">
        <f t="shared" si="400"/>
        <v>0</v>
      </c>
      <c r="N623" s="2752">
        <f t="shared" si="400"/>
        <v>0</v>
      </c>
      <c r="O623" s="2752">
        <f t="shared" si="400"/>
        <v>0</v>
      </c>
      <c r="P623" s="2767">
        <f t="shared" si="401"/>
        <v>0</v>
      </c>
      <c r="S623" s="2647"/>
      <c r="T623" s="2647"/>
      <c r="U623" s="2647"/>
      <c r="V623" s="2647"/>
      <c r="W623" s="2647"/>
      <c r="X623" s="358"/>
      <c r="AA623" s="358"/>
      <c r="AB623" s="361"/>
      <c r="AC623" s="358"/>
      <c r="AF623" s="358"/>
      <c r="AG623" s="361"/>
      <c r="AH623" s="358"/>
      <c r="AK623" s="358"/>
      <c r="AL623" s="361"/>
      <c r="AM623" s="358"/>
      <c r="AP623" s="358"/>
      <c r="AQ623" s="361"/>
      <c r="AR623" s="362"/>
      <c r="AS623" s="362"/>
      <c r="AT623" s="362"/>
      <c r="AU623" s="362"/>
      <c r="AV623" s="362"/>
      <c r="AW623" s="362"/>
      <c r="BB623" s="362"/>
      <c r="MW623" s="360"/>
      <c r="MX623" s="360"/>
      <c r="OZ623" s="2468">
        <v>166</v>
      </c>
    </row>
    <row r="624" spans="1:416" ht="14.25" customHeight="1">
      <c r="C624" s="2647"/>
      <c r="D624" s="2647"/>
      <c r="E624" s="1409" t="s">
        <v>2920</v>
      </c>
      <c r="F624" s="2547"/>
      <c r="H624" s="2411"/>
      <c r="I624" s="2547"/>
      <c r="K624" s="2747">
        <f t="shared" ref="K624:O625" si="402">K614</f>
        <v>0</v>
      </c>
      <c r="L624" s="2747">
        <f t="shared" si="402"/>
        <v>0</v>
      </c>
      <c r="M624" s="2747">
        <f t="shared" si="402"/>
        <v>0</v>
      </c>
      <c r="N624" s="2747">
        <f t="shared" si="402"/>
        <v>0</v>
      </c>
      <c r="O624" s="2747">
        <f t="shared" si="402"/>
        <v>0</v>
      </c>
      <c r="P624" s="2753">
        <f t="shared" si="401"/>
        <v>0</v>
      </c>
      <c r="S624" s="2647"/>
      <c r="T624" s="2647"/>
      <c r="U624" s="2647"/>
      <c r="V624" s="2647"/>
      <c r="W624" s="2647"/>
      <c r="X624" s="358"/>
      <c r="AA624" s="358"/>
      <c r="AB624" s="361"/>
      <c r="AC624" s="358"/>
      <c r="AF624" s="358"/>
      <c r="AG624" s="361"/>
      <c r="AH624" s="358"/>
      <c r="AK624" s="358"/>
      <c r="AL624" s="361"/>
      <c r="AM624" s="358"/>
      <c r="AP624" s="358"/>
      <c r="AQ624" s="361"/>
      <c r="AR624" s="362"/>
      <c r="AS624" s="362"/>
      <c r="AT624" s="362"/>
      <c r="AU624" s="362"/>
      <c r="AV624" s="362"/>
      <c r="AW624" s="362"/>
      <c r="BB624" s="362"/>
      <c r="MW624" s="360"/>
      <c r="MX624" s="360"/>
      <c r="OZ624" s="1784">
        <v>167</v>
      </c>
    </row>
    <row r="625" spans="1:416" ht="14.25" customHeight="1">
      <c r="C625" s="2647"/>
      <c r="D625" s="2647"/>
      <c r="E625" s="1409"/>
      <c r="F625" s="2547"/>
      <c r="H625" s="2765" t="s">
        <v>2924</v>
      </c>
      <c r="I625" s="2766"/>
      <c r="K625" s="2752">
        <f t="shared" si="402"/>
        <v>0</v>
      </c>
      <c r="L625" s="2752">
        <f t="shared" si="402"/>
        <v>0</v>
      </c>
      <c r="M625" s="2752">
        <f t="shared" si="402"/>
        <v>0</v>
      </c>
      <c r="N625" s="2752">
        <f t="shared" si="402"/>
        <v>0</v>
      </c>
      <c r="O625" s="2752">
        <f t="shared" si="402"/>
        <v>0</v>
      </c>
      <c r="P625" s="2767">
        <f t="shared" si="401"/>
        <v>0</v>
      </c>
      <c r="S625" s="2647"/>
      <c r="T625" s="2647"/>
      <c r="U625" s="2647"/>
      <c r="V625" s="2647"/>
      <c r="W625" s="2647"/>
      <c r="X625" s="358"/>
      <c r="AA625" s="358"/>
      <c r="AB625" s="361"/>
      <c r="AC625" s="358"/>
      <c r="AF625" s="358"/>
      <c r="AG625" s="361"/>
      <c r="AH625" s="358"/>
      <c r="AK625" s="358"/>
      <c r="AL625" s="361"/>
      <c r="AM625" s="358"/>
      <c r="AP625" s="358"/>
      <c r="AQ625" s="361"/>
      <c r="AR625" s="362"/>
      <c r="AS625" s="362"/>
      <c r="AT625" s="362"/>
      <c r="AU625" s="362"/>
      <c r="AV625" s="362"/>
      <c r="AW625" s="362"/>
      <c r="BB625" s="362"/>
      <c r="MW625" s="360"/>
      <c r="MX625" s="360"/>
      <c r="OZ625" s="1640">
        <v>168</v>
      </c>
    </row>
    <row r="626" spans="1:416" ht="14.25" customHeight="1">
      <c r="C626" s="2647"/>
      <c r="D626" s="2647"/>
      <c r="E626" s="1409" t="s">
        <v>2921</v>
      </c>
      <c r="F626" s="2547"/>
      <c r="H626" s="2764"/>
      <c r="I626" s="1769"/>
      <c r="K626" s="2747">
        <f t="shared" ref="K626:O629" si="403">K604+K608</f>
        <v>0</v>
      </c>
      <c r="L626" s="2747">
        <f t="shared" si="403"/>
        <v>0</v>
      </c>
      <c r="M626" s="2747">
        <f t="shared" si="403"/>
        <v>0</v>
      </c>
      <c r="N626" s="2747">
        <f t="shared" si="403"/>
        <v>0</v>
      </c>
      <c r="O626" s="2747">
        <f t="shared" si="403"/>
        <v>0</v>
      </c>
      <c r="P626" s="2753">
        <f t="shared" si="401"/>
        <v>0</v>
      </c>
      <c r="S626" s="2647"/>
      <c r="T626" s="2647"/>
      <c r="U626" s="2647"/>
      <c r="V626" s="2647"/>
      <c r="W626" s="2647"/>
      <c r="X626" s="358"/>
      <c r="AA626" s="358"/>
      <c r="AB626" s="361"/>
      <c r="AC626" s="358"/>
      <c r="AF626" s="358"/>
      <c r="AG626" s="361"/>
      <c r="AH626" s="358"/>
      <c r="AK626" s="358"/>
      <c r="AL626" s="361"/>
      <c r="AM626" s="358"/>
      <c r="AP626" s="358"/>
      <c r="AQ626" s="361"/>
      <c r="AR626" s="362"/>
      <c r="AS626" s="362"/>
      <c r="AT626" s="362"/>
      <c r="AU626" s="362"/>
      <c r="AV626" s="362"/>
      <c r="AW626" s="362"/>
      <c r="BB626" s="362"/>
      <c r="MW626" s="360"/>
      <c r="MX626" s="360"/>
      <c r="OZ626" s="1784">
        <v>169</v>
      </c>
    </row>
    <row r="627" spans="1:416" ht="14.25" customHeight="1">
      <c r="C627" s="2647"/>
      <c r="D627" s="2647"/>
      <c r="E627" s="1409"/>
      <c r="F627" s="2547"/>
      <c r="H627" s="2765" t="s">
        <v>2924</v>
      </c>
      <c r="I627" s="2766"/>
      <c r="K627" s="2752">
        <f t="shared" si="403"/>
        <v>0</v>
      </c>
      <c r="L627" s="2752">
        <f t="shared" si="403"/>
        <v>0</v>
      </c>
      <c r="M627" s="2752">
        <f t="shared" si="403"/>
        <v>0</v>
      </c>
      <c r="N627" s="2752">
        <f t="shared" si="403"/>
        <v>0</v>
      </c>
      <c r="O627" s="2752">
        <f t="shared" si="403"/>
        <v>0</v>
      </c>
      <c r="P627" s="2767">
        <f t="shared" si="401"/>
        <v>0</v>
      </c>
      <c r="S627" s="2647"/>
      <c r="T627" s="2647"/>
      <c r="U627" s="2647"/>
      <c r="V627" s="2647"/>
      <c r="W627" s="2647"/>
      <c r="X627" s="358"/>
      <c r="AA627" s="358"/>
      <c r="AB627" s="361"/>
      <c r="AC627" s="358"/>
      <c r="AF627" s="358"/>
      <c r="AG627" s="361"/>
      <c r="AH627" s="358"/>
      <c r="AK627" s="358"/>
      <c r="AL627" s="361"/>
      <c r="AM627" s="358"/>
      <c r="AP627" s="358"/>
      <c r="AQ627" s="361"/>
      <c r="AR627" s="362"/>
      <c r="AS627" s="362"/>
      <c r="AT627" s="362"/>
      <c r="AU627" s="362"/>
      <c r="AV627" s="362"/>
      <c r="AW627" s="362"/>
      <c r="BB627" s="362"/>
      <c r="MW627" s="360"/>
      <c r="MX627" s="360"/>
      <c r="OZ627" s="1784">
        <v>170</v>
      </c>
    </row>
    <row r="628" spans="1:416" ht="14.25" customHeight="1">
      <c r="C628" s="2647"/>
      <c r="D628" s="2647"/>
      <c r="E628" s="1409" t="s">
        <v>2922</v>
      </c>
      <c r="F628" s="2547"/>
      <c r="H628" s="2764"/>
      <c r="I628" s="1769"/>
      <c r="K628" s="2747">
        <f t="shared" si="403"/>
        <v>0</v>
      </c>
      <c r="L628" s="2747">
        <f t="shared" si="403"/>
        <v>40</v>
      </c>
      <c r="M628" s="2747">
        <f t="shared" si="403"/>
        <v>120</v>
      </c>
      <c r="N628" s="2747">
        <f t="shared" si="403"/>
        <v>0</v>
      </c>
      <c r="O628" s="2747">
        <f t="shared" si="403"/>
        <v>0</v>
      </c>
      <c r="P628" s="2753">
        <f t="shared" si="401"/>
        <v>160</v>
      </c>
      <c r="S628" s="2647"/>
      <c r="T628" s="2647"/>
      <c r="U628" s="2647"/>
      <c r="V628" s="2647"/>
      <c r="W628" s="2647"/>
      <c r="X628" s="358"/>
      <c r="AA628" s="358"/>
      <c r="AB628" s="361"/>
      <c r="AC628" s="358"/>
      <c r="AF628" s="358"/>
      <c r="AG628" s="361"/>
      <c r="AH628" s="358"/>
      <c r="AK628" s="358"/>
      <c r="AL628" s="361"/>
      <c r="AM628" s="358"/>
      <c r="AP628" s="358"/>
      <c r="AQ628" s="361"/>
      <c r="AR628" s="362"/>
      <c r="AS628" s="362"/>
      <c r="AT628" s="362"/>
      <c r="AU628" s="362"/>
      <c r="AV628" s="362"/>
      <c r="AW628" s="362"/>
      <c r="BB628" s="362"/>
      <c r="MW628" s="360"/>
      <c r="MX628" s="360"/>
      <c r="OZ628" s="1640">
        <v>171</v>
      </c>
    </row>
    <row r="629" spans="1:416" ht="14.25" customHeight="1">
      <c r="C629" s="358"/>
      <c r="D629" s="358"/>
      <c r="E629" s="402"/>
      <c r="F629" s="2547"/>
      <c r="H629" s="2765" t="s">
        <v>2924</v>
      </c>
      <c r="I629" s="2766"/>
      <c r="K629" s="2752">
        <f t="shared" si="403"/>
        <v>0</v>
      </c>
      <c r="L629" s="2752">
        <f t="shared" si="403"/>
        <v>0</v>
      </c>
      <c r="M629" s="2752">
        <f t="shared" si="403"/>
        <v>0</v>
      </c>
      <c r="N629" s="2752">
        <f t="shared" si="403"/>
        <v>0</v>
      </c>
      <c r="O629" s="2752">
        <f t="shared" si="403"/>
        <v>0</v>
      </c>
      <c r="P629" s="2767">
        <f t="shared" si="401"/>
        <v>0</v>
      </c>
      <c r="Q629" s="356" t="s">
        <v>5150</v>
      </c>
      <c r="S629" s="2647"/>
      <c r="T629" s="2647"/>
      <c r="U629" s="2647"/>
      <c r="V629" s="2647"/>
      <c r="W629" s="2647"/>
      <c r="X629" s="358"/>
      <c r="AA629" s="358"/>
      <c r="AB629" s="361"/>
      <c r="AC629" s="358"/>
      <c r="AF629" s="358"/>
      <c r="AG629" s="361"/>
      <c r="AH629" s="358"/>
      <c r="AK629" s="358"/>
      <c r="AL629" s="361"/>
      <c r="AM629" s="358"/>
      <c r="AP629" s="358"/>
      <c r="AQ629" s="361"/>
      <c r="AR629" s="362"/>
      <c r="AS629" s="362"/>
      <c r="AT629" s="362"/>
      <c r="AU629" s="362"/>
      <c r="AV629" s="362"/>
      <c r="AW629" s="362"/>
      <c r="BB629" s="362"/>
      <c r="MW629" s="360"/>
      <c r="MX629" s="360"/>
      <c r="OZ629" s="1784">
        <v>172</v>
      </c>
    </row>
    <row r="630" spans="1:416" ht="12" customHeight="1">
      <c r="A630" s="1536"/>
      <c r="B630" s="1536"/>
      <c r="D630" s="358"/>
      <c r="E630" s="1409"/>
      <c r="F630" s="358"/>
      <c r="H630" s="361"/>
      <c r="I630" s="361"/>
      <c r="K630" s="2758"/>
      <c r="L630" s="2758"/>
      <c r="M630" s="2758"/>
      <c r="N630" s="2758"/>
      <c r="O630" s="2758"/>
      <c r="P630" s="2758"/>
      <c r="S630" s="377"/>
      <c r="U630" s="2711"/>
      <c r="X630" s="358"/>
      <c r="AA630" s="358"/>
      <c r="AB630" s="361"/>
      <c r="AC630" s="358"/>
      <c r="AF630" s="358"/>
      <c r="AG630" s="361"/>
      <c r="AH630" s="358"/>
      <c r="AK630" s="358"/>
      <c r="AL630" s="361"/>
      <c r="AM630" s="358"/>
      <c r="AP630" s="358"/>
      <c r="AQ630" s="361"/>
      <c r="AR630" s="358"/>
      <c r="AS630" s="358"/>
      <c r="AT630" s="358"/>
      <c r="AU630" s="358"/>
      <c r="AV630" s="358"/>
      <c r="AW630" s="358"/>
      <c r="AY630" s="358"/>
      <c r="BB630" s="358"/>
      <c r="BD630" s="358"/>
      <c r="LF630" s="1640"/>
      <c r="LK630" s="1640"/>
      <c r="LP630" s="1640"/>
      <c r="LU630" s="1640"/>
      <c r="LV630" s="1640"/>
      <c r="LW630" s="1640"/>
      <c r="LX630" s="1640"/>
      <c r="LY630" s="1640"/>
      <c r="LZ630" s="1640"/>
      <c r="MA630" s="1640"/>
      <c r="MB630" s="1640"/>
      <c r="MC630" s="1640"/>
      <c r="MD630" s="1640"/>
      <c r="ME630" s="1640"/>
      <c r="MF630" s="1640"/>
      <c r="MG630" s="1640"/>
      <c r="MH630" s="1640"/>
      <c r="MI630" s="1640"/>
      <c r="MJ630" s="1640"/>
      <c r="MK630" s="1640"/>
      <c r="ML630" s="1640"/>
      <c r="MM630" s="1640"/>
      <c r="MN630" s="1640"/>
      <c r="MO630" s="1640"/>
      <c r="MP630" s="1640"/>
      <c r="MW630" s="360"/>
      <c r="MX630" s="360"/>
      <c r="OZ630" s="1784">
        <v>173</v>
      </c>
    </row>
    <row r="631" spans="1:416" ht="12" customHeight="1">
      <c r="A631" s="360"/>
      <c r="B631" s="360" t="s">
        <v>4386</v>
      </c>
      <c r="C631" s="358"/>
      <c r="D631" s="358"/>
      <c r="E631" s="358"/>
      <c r="F631" s="358"/>
      <c r="H631" s="1769"/>
      <c r="I631" s="1769"/>
      <c r="K631" s="2768"/>
      <c r="L631" s="2768"/>
      <c r="M631" s="2768"/>
      <c r="N631" s="2768"/>
      <c r="O631" s="2768"/>
      <c r="P631" s="2768"/>
      <c r="S631" s="1711" t="str">
        <f>B631</f>
        <v>UNIT SQUARE FOOTAGE</v>
      </c>
      <c r="T631" s="1711"/>
      <c r="U631" s="1711"/>
      <c r="X631" s="358"/>
      <c r="AA631" s="358"/>
      <c r="AB631" s="361"/>
      <c r="AC631" s="358"/>
      <c r="AF631" s="358"/>
      <c r="AG631" s="361"/>
      <c r="AH631" s="358"/>
      <c r="AK631" s="358"/>
      <c r="AL631" s="361"/>
      <c r="AM631" s="358"/>
      <c r="AP631" s="358"/>
      <c r="AQ631" s="361"/>
      <c r="AR631" s="358"/>
      <c r="AS631" s="358"/>
      <c r="AT631" s="358"/>
      <c r="AU631" s="358"/>
      <c r="AV631" s="358"/>
      <c r="AW631" s="358"/>
      <c r="AY631" s="358"/>
      <c r="BB631" s="358"/>
      <c r="BD631" s="358"/>
      <c r="LF631" s="1640"/>
      <c r="LK631" s="1640"/>
      <c r="LP631" s="1640"/>
      <c r="LU631" s="1640"/>
      <c r="LV631" s="1640"/>
      <c r="LW631" s="1640"/>
      <c r="LX631" s="1640"/>
      <c r="LY631" s="1640"/>
      <c r="LZ631" s="1640"/>
      <c r="MA631" s="1640"/>
      <c r="MB631" s="1640"/>
      <c r="MC631" s="1640"/>
      <c r="MD631" s="1640"/>
      <c r="ME631" s="1640"/>
      <c r="MF631" s="1640"/>
      <c r="MG631" s="1640"/>
      <c r="MH631" s="1640"/>
      <c r="MI631" s="1640"/>
      <c r="MJ631" s="1640"/>
      <c r="MK631" s="1640"/>
      <c r="ML631" s="1640"/>
      <c r="MM631" s="1640"/>
      <c r="MN631" s="1640"/>
      <c r="MO631" s="1640"/>
      <c r="MP631" s="1640"/>
      <c r="MW631" s="360"/>
      <c r="MX631" s="360"/>
      <c r="OZ631" s="1784">
        <v>174</v>
      </c>
    </row>
    <row r="632" spans="1:416" ht="14.25" customHeight="1">
      <c r="C632" s="358" t="s">
        <v>1976</v>
      </c>
      <c r="D632" s="358"/>
      <c r="E632" s="358"/>
      <c r="F632" s="358"/>
      <c r="H632" s="359" t="s">
        <v>3554</v>
      </c>
      <c r="I632" s="790"/>
      <c r="K632" s="2759">
        <f>FR511</f>
        <v>0</v>
      </c>
      <c r="L632" s="2759">
        <f>FS511</f>
        <v>5608</v>
      </c>
      <c r="M632" s="2759">
        <f>FT511</f>
        <v>23304</v>
      </c>
      <c r="N632" s="2759">
        <f>FU511</f>
        <v>0</v>
      </c>
      <c r="O632" s="2759">
        <f>FV511</f>
        <v>0</v>
      </c>
      <c r="P632" s="2769">
        <f t="shared" ref="P632:P638" si="404">SUM(K632:O632)</f>
        <v>28912</v>
      </c>
      <c r="Q632" s="2757">
        <f t="shared" ref="Q632:Q638" si="405">IF(OR(P518=0,P518=""),"",P632/P518)</f>
        <v>903.5</v>
      </c>
      <c r="S632" s="2647"/>
      <c r="T632" s="2647"/>
      <c r="U632" s="2647"/>
      <c r="V632" s="2647"/>
      <c r="W632" s="2647"/>
      <c r="X632" s="358"/>
      <c r="AA632" s="358"/>
      <c r="AB632" s="361"/>
      <c r="AC632" s="358"/>
      <c r="AF632" s="358"/>
      <c r="AG632" s="361"/>
      <c r="AH632" s="358"/>
      <c r="AK632" s="358"/>
      <c r="AL632" s="361"/>
      <c r="AM632" s="358"/>
      <c r="AP632" s="358"/>
      <c r="AQ632" s="361"/>
      <c r="AR632" s="362"/>
      <c r="AS632" s="362"/>
      <c r="AT632" s="362"/>
      <c r="AU632" s="362"/>
      <c r="AV632" s="362"/>
      <c r="AW632" s="362"/>
      <c r="AY632" s="358"/>
      <c r="BB632" s="362"/>
      <c r="BD632" s="358"/>
      <c r="LF632" s="1640"/>
      <c r="LK632" s="1640"/>
      <c r="LP632" s="1640"/>
      <c r="LU632" s="1640"/>
      <c r="LV632" s="1640"/>
      <c r="LW632" s="1640"/>
      <c r="LX632" s="1640"/>
      <c r="LY632" s="1640"/>
      <c r="LZ632" s="1640"/>
      <c r="MA632" s="1640"/>
      <c r="MB632" s="1640"/>
      <c r="MC632" s="1640"/>
      <c r="MD632" s="1640"/>
      <c r="ME632" s="1640"/>
      <c r="MF632" s="1640"/>
      <c r="MG632" s="1640"/>
      <c r="MH632" s="1640"/>
      <c r="MI632" s="1640"/>
      <c r="MJ632" s="1640"/>
      <c r="MK632" s="1640"/>
      <c r="ML632" s="1640"/>
      <c r="MM632" s="1640"/>
      <c r="MN632" s="1640"/>
      <c r="MO632" s="1640"/>
      <c r="MP632" s="1640"/>
      <c r="MW632" s="360"/>
      <c r="MX632" s="360"/>
      <c r="OZ632" s="1784">
        <v>175</v>
      </c>
    </row>
    <row r="633" spans="1:416" ht="14.25" customHeight="1">
      <c r="C633" s="358"/>
      <c r="D633" s="358"/>
      <c r="E633" s="358"/>
      <c r="F633" s="358"/>
      <c r="H633" s="2764" t="s">
        <v>3555</v>
      </c>
      <c r="I633" s="1769"/>
      <c r="K633" s="2769">
        <f>FW511</f>
        <v>0</v>
      </c>
      <c r="L633" s="2769">
        <f>FX511</f>
        <v>0</v>
      </c>
      <c r="M633" s="2769">
        <f>FY511</f>
        <v>0</v>
      </c>
      <c r="N633" s="2769">
        <f>FZ511</f>
        <v>0</v>
      </c>
      <c r="O633" s="2769">
        <f>GA511</f>
        <v>0</v>
      </c>
      <c r="P633" s="2769">
        <f t="shared" si="404"/>
        <v>0</v>
      </c>
      <c r="Q633" s="2757" t="str">
        <f t="shared" si="405"/>
        <v/>
      </c>
      <c r="S633" s="2647"/>
      <c r="T633" s="2647"/>
      <c r="U633" s="2647"/>
      <c r="V633" s="2647"/>
      <c r="W633" s="2647"/>
      <c r="X633" s="358"/>
      <c r="AA633" s="358"/>
      <c r="AB633" s="361"/>
      <c r="AC633" s="358"/>
      <c r="AF633" s="358"/>
      <c r="AG633" s="361"/>
      <c r="AH633" s="358"/>
      <c r="AK633" s="358"/>
      <c r="AL633" s="361"/>
      <c r="AM633" s="358"/>
      <c r="AP633" s="358"/>
      <c r="AQ633" s="361"/>
      <c r="AR633" s="362"/>
      <c r="AS633" s="362"/>
      <c r="AT633" s="362"/>
      <c r="AU633" s="362"/>
      <c r="AV633" s="362"/>
      <c r="AW633" s="362"/>
      <c r="AY633" s="358"/>
      <c r="BB633" s="362"/>
      <c r="BD633" s="358"/>
      <c r="LF633" s="1640"/>
      <c r="LK633" s="1640"/>
      <c r="LP633" s="1640"/>
      <c r="LU633" s="1640"/>
      <c r="LV633" s="1640"/>
      <c r="LW633" s="1640"/>
      <c r="LX633" s="1640"/>
      <c r="LY633" s="1640"/>
      <c r="LZ633" s="1640"/>
      <c r="MA633" s="1640"/>
      <c r="MB633" s="1640"/>
      <c r="MC633" s="1640"/>
      <c r="MD633" s="1640"/>
      <c r="ME633" s="1640"/>
      <c r="MF633" s="1640"/>
      <c r="MG633" s="1640"/>
      <c r="MH633" s="1640"/>
      <c r="MI633" s="1640"/>
      <c r="MJ633" s="1640"/>
      <c r="MK633" s="1640"/>
      <c r="ML633" s="1640"/>
      <c r="MM633" s="1640"/>
      <c r="MN633" s="1640"/>
      <c r="MO633" s="1640"/>
      <c r="MP633" s="1640"/>
      <c r="MW633" s="360"/>
      <c r="MX633" s="360"/>
      <c r="OZ633" s="1784">
        <v>176</v>
      </c>
    </row>
    <row r="634" spans="1:416" ht="14.25" customHeight="1">
      <c r="C634" s="358"/>
      <c r="D634" s="358"/>
      <c r="E634" s="358"/>
      <c r="F634" s="358"/>
      <c r="H634" s="2764" t="s">
        <v>1080</v>
      </c>
      <c r="I634" s="1769"/>
      <c r="K634" s="2769">
        <f>GB511</f>
        <v>0</v>
      </c>
      <c r="L634" s="2769">
        <f>GC511</f>
        <v>16824</v>
      </c>
      <c r="M634" s="2769">
        <f>GD511</f>
        <v>69912</v>
      </c>
      <c r="N634" s="2769">
        <f>GE511</f>
        <v>0</v>
      </c>
      <c r="O634" s="2769">
        <f>GF511</f>
        <v>0</v>
      </c>
      <c r="P634" s="2769">
        <f t="shared" si="404"/>
        <v>86736</v>
      </c>
      <c r="Q634" s="2757">
        <f t="shared" si="405"/>
        <v>903.5</v>
      </c>
      <c r="S634" s="2647"/>
      <c r="T634" s="2647"/>
      <c r="U634" s="2647"/>
      <c r="V634" s="2647"/>
      <c r="W634" s="2647"/>
      <c r="X634" s="358"/>
      <c r="AA634" s="358"/>
      <c r="AB634" s="361"/>
      <c r="AC634" s="358"/>
      <c r="AF634" s="358"/>
      <c r="AG634" s="361"/>
      <c r="AH634" s="358"/>
      <c r="AK634" s="358"/>
      <c r="AL634" s="361"/>
      <c r="AM634" s="358"/>
      <c r="AP634" s="358"/>
      <c r="AQ634" s="361"/>
      <c r="AR634" s="362"/>
      <c r="AS634" s="362"/>
      <c r="AT634" s="362"/>
      <c r="AU634" s="362"/>
      <c r="AV634" s="362"/>
      <c r="AW634" s="362"/>
      <c r="AY634" s="358"/>
      <c r="BB634" s="362"/>
      <c r="BD634" s="358"/>
      <c r="LF634" s="1640"/>
      <c r="LK634" s="1640"/>
      <c r="LP634" s="1640"/>
      <c r="LU634" s="1640"/>
      <c r="LV634" s="1640"/>
      <c r="LW634" s="1640"/>
      <c r="LX634" s="1640"/>
      <c r="LY634" s="1640"/>
      <c r="LZ634" s="1640"/>
      <c r="MA634" s="1640"/>
      <c r="MB634" s="1640"/>
      <c r="MC634" s="1640"/>
      <c r="MD634" s="1640"/>
      <c r="ME634" s="1640"/>
      <c r="MF634" s="1640"/>
      <c r="MG634" s="1640"/>
      <c r="MH634" s="1640"/>
      <c r="MI634" s="1640"/>
      <c r="MJ634" s="1640"/>
      <c r="MK634" s="1640"/>
      <c r="ML634" s="1640"/>
      <c r="MM634" s="1640"/>
      <c r="MN634" s="1640"/>
      <c r="MO634" s="1640"/>
      <c r="MP634" s="1640"/>
      <c r="MW634" s="360"/>
      <c r="MX634" s="360"/>
      <c r="OZ634" s="2468">
        <v>177</v>
      </c>
    </row>
    <row r="635" spans="1:416" ht="14.25" customHeight="1">
      <c r="C635" s="358"/>
      <c r="D635" s="358"/>
      <c r="E635" s="358"/>
      <c r="F635" s="358"/>
      <c r="H635" s="2764" t="s">
        <v>112</v>
      </c>
      <c r="I635" s="1769"/>
      <c r="K635" s="2769">
        <f>GG511</f>
        <v>0</v>
      </c>
      <c r="L635" s="2769">
        <f>GH511</f>
        <v>2804</v>
      </c>
      <c r="M635" s="2769">
        <f>GI511</f>
        <v>11652</v>
      </c>
      <c r="N635" s="2769">
        <f>GJ511</f>
        <v>0</v>
      </c>
      <c r="O635" s="2769">
        <f>GK511</f>
        <v>0</v>
      </c>
      <c r="P635" s="2769">
        <f t="shared" si="404"/>
        <v>14456</v>
      </c>
      <c r="Q635" s="2757">
        <f t="shared" si="405"/>
        <v>903.5</v>
      </c>
      <c r="S635" s="2647"/>
      <c r="T635" s="2647"/>
      <c r="U635" s="2647"/>
      <c r="V635" s="2647"/>
      <c r="W635" s="2647"/>
      <c r="X635" s="358"/>
      <c r="AA635" s="358"/>
      <c r="AB635" s="361"/>
      <c r="AC635" s="358"/>
      <c r="AF635" s="358"/>
      <c r="AG635" s="361"/>
      <c r="AH635" s="358"/>
      <c r="AK635" s="358"/>
      <c r="AL635" s="361"/>
      <c r="AM635" s="358"/>
      <c r="AP635" s="358"/>
      <c r="AQ635" s="361"/>
      <c r="AR635" s="362"/>
      <c r="AS635" s="362"/>
      <c r="AT635" s="362"/>
      <c r="AU635" s="362"/>
      <c r="AV635" s="362"/>
      <c r="AW635" s="362"/>
      <c r="AY635" s="358"/>
      <c r="BB635" s="362"/>
      <c r="BD635" s="358"/>
      <c r="LF635" s="1640"/>
      <c r="LK635" s="1640"/>
      <c r="LP635" s="1640"/>
      <c r="LU635" s="1640"/>
      <c r="LV635" s="1640"/>
      <c r="LW635" s="1640"/>
      <c r="LX635" s="1640"/>
      <c r="LY635" s="1640"/>
      <c r="LZ635" s="1640"/>
      <c r="MA635" s="1640"/>
      <c r="MB635" s="1640"/>
      <c r="MC635" s="1640"/>
      <c r="MD635" s="1640"/>
      <c r="ME635" s="1640"/>
      <c r="MF635" s="1640"/>
      <c r="MG635" s="1640"/>
      <c r="MH635" s="1640"/>
      <c r="MI635" s="1640"/>
      <c r="MJ635" s="1640"/>
      <c r="MK635" s="1640"/>
      <c r="ML635" s="1640"/>
      <c r="MM635" s="1640"/>
      <c r="MN635" s="1640"/>
      <c r="MO635" s="1640"/>
      <c r="MP635" s="1640"/>
      <c r="MW635" s="360"/>
      <c r="MX635" s="360"/>
      <c r="OZ635" s="1784">
        <v>178</v>
      </c>
    </row>
    <row r="636" spans="1:416" ht="14.25" customHeight="1">
      <c r="C636" s="358"/>
      <c r="D636" s="358"/>
      <c r="E636" s="358"/>
      <c r="F636" s="358"/>
      <c r="H636" s="2764" t="s">
        <v>3556</v>
      </c>
      <c r="I636" s="1769"/>
      <c r="K636" s="2769">
        <f>GL511</f>
        <v>0</v>
      </c>
      <c r="L636" s="2769">
        <f>GM511</f>
        <v>0</v>
      </c>
      <c r="M636" s="2769">
        <f>GN511</f>
        <v>0</v>
      </c>
      <c r="N636" s="2769">
        <f>GO511</f>
        <v>0</v>
      </c>
      <c r="O636" s="2769">
        <f>GP511</f>
        <v>0</v>
      </c>
      <c r="P636" s="2769">
        <f t="shared" si="404"/>
        <v>0</v>
      </c>
      <c r="Q636" s="2757" t="str">
        <f t="shared" si="405"/>
        <v/>
      </c>
      <c r="S636" s="2647"/>
      <c r="T636" s="2647"/>
      <c r="U636" s="2647"/>
      <c r="V636" s="2647"/>
      <c r="W636" s="2647"/>
      <c r="X636" s="358"/>
      <c r="AA636" s="358"/>
      <c r="AB636" s="361"/>
      <c r="AC636" s="358"/>
      <c r="AF636" s="358"/>
      <c r="AG636" s="361"/>
      <c r="AH636" s="358"/>
      <c r="AK636" s="358"/>
      <c r="AL636" s="361"/>
      <c r="AM636" s="358"/>
      <c r="AP636" s="358"/>
      <c r="AQ636" s="361"/>
      <c r="AR636" s="362"/>
      <c r="AS636" s="362"/>
      <c r="AT636" s="362"/>
      <c r="AU636" s="362"/>
      <c r="AV636" s="362"/>
      <c r="AW636" s="362"/>
      <c r="AY636" s="358"/>
      <c r="BB636" s="362"/>
      <c r="BD636" s="358"/>
      <c r="LF636" s="1640"/>
      <c r="LK636" s="1640"/>
      <c r="LP636" s="1640"/>
      <c r="LU636" s="1640"/>
      <c r="LV636" s="1640"/>
      <c r="LW636" s="1640"/>
      <c r="LX636" s="1640"/>
      <c r="LY636" s="1640"/>
      <c r="LZ636" s="1640"/>
      <c r="MA636" s="1640"/>
      <c r="MB636" s="1640"/>
      <c r="MC636" s="1640"/>
      <c r="MD636" s="1640"/>
      <c r="ME636" s="1640"/>
      <c r="MF636" s="1640"/>
      <c r="MG636" s="1640"/>
      <c r="MH636" s="1640"/>
      <c r="MI636" s="1640"/>
      <c r="MJ636" s="1640"/>
      <c r="MK636" s="1640"/>
      <c r="ML636" s="1640"/>
      <c r="MM636" s="1640"/>
      <c r="MN636" s="1640"/>
      <c r="MO636" s="1640"/>
      <c r="MP636" s="1640"/>
      <c r="MW636" s="360"/>
      <c r="MX636" s="360"/>
      <c r="OZ636" s="1640">
        <v>179</v>
      </c>
    </row>
    <row r="637" spans="1:416" ht="14.25" customHeight="1">
      <c r="C637" s="358"/>
      <c r="D637" s="358"/>
      <c r="E637" s="358"/>
      <c r="F637" s="358"/>
      <c r="H637" s="2764" t="s">
        <v>3557</v>
      </c>
      <c r="I637" s="1769"/>
      <c r="K637" s="2769">
        <f>GQ511</f>
        <v>0</v>
      </c>
      <c r="L637" s="2769">
        <f>GR511</f>
        <v>2804</v>
      </c>
      <c r="M637" s="2769">
        <f>GS511</f>
        <v>11652</v>
      </c>
      <c r="N637" s="2769">
        <f>GT511</f>
        <v>0</v>
      </c>
      <c r="O637" s="2769">
        <f>GU511</f>
        <v>0</v>
      </c>
      <c r="P637" s="2769">
        <f t="shared" si="404"/>
        <v>14456</v>
      </c>
      <c r="Q637" s="2757">
        <f t="shared" si="405"/>
        <v>903.5</v>
      </c>
      <c r="S637" s="2647"/>
      <c r="T637" s="2647"/>
      <c r="U637" s="2647"/>
      <c r="V637" s="2647"/>
      <c r="W637" s="2647"/>
      <c r="X637" s="358"/>
      <c r="AA637" s="358"/>
      <c r="AB637" s="361"/>
      <c r="AC637" s="358"/>
      <c r="AF637" s="358"/>
      <c r="AG637" s="361"/>
      <c r="AH637" s="358"/>
      <c r="AK637" s="358"/>
      <c r="AL637" s="361"/>
      <c r="AM637" s="358"/>
      <c r="AP637" s="358"/>
      <c r="AQ637" s="361"/>
      <c r="AR637" s="362"/>
      <c r="AS637" s="362"/>
      <c r="AT637" s="362"/>
      <c r="AU637" s="362"/>
      <c r="AV637" s="362"/>
      <c r="AW637" s="362"/>
      <c r="AY637" s="358"/>
      <c r="BB637" s="362"/>
      <c r="BD637" s="358"/>
      <c r="LF637" s="1640"/>
      <c r="LK637" s="1640"/>
      <c r="LP637" s="1640"/>
      <c r="LU637" s="1640"/>
      <c r="LV637" s="1640"/>
      <c r="LW637" s="1640"/>
      <c r="LX637" s="1640"/>
      <c r="LY637" s="1640"/>
      <c r="LZ637" s="1640"/>
      <c r="MA637" s="1640"/>
      <c r="MB637" s="1640"/>
      <c r="MC637" s="1640"/>
      <c r="MD637" s="1640"/>
      <c r="ME637" s="1640"/>
      <c r="MF637" s="1640"/>
      <c r="MG637" s="1640"/>
      <c r="MH637" s="1640"/>
      <c r="MI637" s="1640"/>
      <c r="MJ637" s="1640"/>
      <c r="MK637" s="1640"/>
      <c r="ML637" s="1640"/>
      <c r="MM637" s="1640"/>
      <c r="MN637" s="1640"/>
      <c r="MO637" s="1640"/>
      <c r="MP637" s="1640"/>
      <c r="MW637" s="360"/>
      <c r="MX637" s="360"/>
      <c r="OZ637" s="1784">
        <v>180</v>
      </c>
    </row>
    <row r="638" spans="1:416" ht="14.25" customHeight="1">
      <c r="C638" s="1639"/>
      <c r="D638" s="358"/>
      <c r="E638" s="358"/>
      <c r="F638" s="358"/>
      <c r="H638" s="359" t="s">
        <v>3558</v>
      </c>
      <c r="I638" s="790"/>
      <c r="K638" s="2759">
        <f>GV511</f>
        <v>0</v>
      </c>
      <c r="L638" s="2759">
        <f>GW511</f>
        <v>0</v>
      </c>
      <c r="M638" s="2759">
        <f>GX511</f>
        <v>0</v>
      </c>
      <c r="N638" s="2759">
        <f>GY511</f>
        <v>0</v>
      </c>
      <c r="O638" s="2759">
        <f>GZ511</f>
        <v>0</v>
      </c>
      <c r="P638" s="2769">
        <f t="shared" si="404"/>
        <v>0</v>
      </c>
      <c r="Q638" s="2757" t="str">
        <f t="shared" si="405"/>
        <v/>
      </c>
      <c r="S638" s="2647"/>
      <c r="T638" s="2647"/>
      <c r="U638" s="2647"/>
      <c r="V638" s="2647"/>
      <c r="W638" s="2647"/>
      <c r="X638" s="1639"/>
      <c r="AA638" s="358"/>
      <c r="AB638" s="361"/>
      <c r="AC638" s="1639"/>
      <c r="AF638" s="358"/>
      <c r="AG638" s="361"/>
      <c r="AH638" s="1639"/>
      <c r="AK638" s="358"/>
      <c r="AL638" s="361"/>
      <c r="AM638" s="1639"/>
      <c r="AP638" s="358"/>
      <c r="AQ638" s="361"/>
      <c r="AR638" s="362"/>
      <c r="AS638" s="362"/>
      <c r="AT638" s="362"/>
      <c r="AU638" s="362"/>
      <c r="AV638" s="362"/>
      <c r="AW638" s="362"/>
      <c r="AX638" s="358"/>
      <c r="AY638" s="358"/>
      <c r="BB638" s="362"/>
      <c r="BC638" s="358"/>
      <c r="BD638" s="358"/>
      <c r="LF638" s="1640"/>
      <c r="LK638" s="1640"/>
      <c r="LP638" s="1640"/>
      <c r="LU638" s="1640"/>
      <c r="LV638" s="1640"/>
      <c r="LW638" s="1640"/>
      <c r="LX638" s="1640"/>
      <c r="LY638" s="1640"/>
      <c r="LZ638" s="1640"/>
      <c r="MA638" s="1640"/>
      <c r="MB638" s="1640"/>
      <c r="MC638" s="1640"/>
      <c r="MD638" s="1640"/>
      <c r="ME638" s="1640"/>
      <c r="MF638" s="1640"/>
      <c r="MG638" s="1640"/>
      <c r="MH638" s="1640"/>
      <c r="MI638" s="1640"/>
      <c r="MJ638" s="1640"/>
      <c r="MK638" s="1640"/>
      <c r="ML638" s="1640"/>
      <c r="MM638" s="1640"/>
      <c r="MN638" s="1640"/>
      <c r="MO638" s="1640"/>
      <c r="MP638" s="1640"/>
      <c r="MW638" s="360"/>
      <c r="MX638" s="360"/>
      <c r="OZ638" s="1784">
        <v>181</v>
      </c>
    </row>
    <row r="639" spans="1:416" ht="14.25" customHeight="1">
      <c r="C639" s="1639"/>
      <c r="D639" s="358"/>
      <c r="E639" s="358"/>
      <c r="F639" s="358"/>
      <c r="H639" s="2765" t="s">
        <v>3639</v>
      </c>
      <c r="I639" s="2766"/>
      <c r="J639" s="2749"/>
      <c r="K639" s="2770">
        <f>SUM(K632:K638)</f>
        <v>0</v>
      </c>
      <c r="L639" s="2770">
        <f>SUM(L632:L638)</f>
        <v>28040</v>
      </c>
      <c r="M639" s="2770">
        <f>SUM(M632:M638)</f>
        <v>116520</v>
      </c>
      <c r="N639" s="2770">
        <f>SUM(N632:N638)</f>
        <v>0</v>
      </c>
      <c r="O639" s="2770">
        <f>SUM(O632:O638)</f>
        <v>0</v>
      </c>
      <c r="P639" s="2770">
        <f>SUM(K639:O639)</f>
        <v>144560</v>
      </c>
      <c r="S639" s="2647"/>
      <c r="T639" s="2647"/>
      <c r="U639" s="2647"/>
      <c r="V639" s="2647"/>
      <c r="W639" s="2647"/>
      <c r="X639" s="1639"/>
      <c r="AA639" s="358"/>
      <c r="AB639" s="361"/>
      <c r="AC639" s="1639"/>
      <c r="AF639" s="358"/>
      <c r="AG639" s="361"/>
      <c r="AH639" s="1639"/>
      <c r="AK639" s="358"/>
      <c r="AL639" s="361"/>
      <c r="AM639" s="1639"/>
      <c r="AP639" s="358"/>
      <c r="AQ639" s="361"/>
      <c r="AR639" s="362"/>
      <c r="AS639" s="362"/>
      <c r="AT639" s="362"/>
      <c r="AU639" s="362"/>
      <c r="AV639" s="362"/>
      <c r="AW639" s="362"/>
      <c r="AX639" s="358"/>
      <c r="AY639" s="358"/>
      <c r="BB639" s="362"/>
      <c r="BC639" s="358"/>
      <c r="BD639" s="358"/>
      <c r="LF639" s="1640"/>
      <c r="LK639" s="1640"/>
      <c r="LP639" s="1640"/>
      <c r="LU639" s="1640"/>
      <c r="LV639" s="1640"/>
      <c r="LW639" s="1640"/>
      <c r="LX639" s="1640"/>
      <c r="LY639" s="1640"/>
      <c r="LZ639" s="1640"/>
      <c r="MA639" s="1640"/>
      <c r="MB639" s="1640"/>
      <c r="MC639" s="1640"/>
      <c r="MD639" s="1640"/>
      <c r="ME639" s="1640"/>
      <c r="MF639" s="1640"/>
      <c r="MG639" s="1640"/>
      <c r="MH639" s="1640"/>
      <c r="MI639" s="1640"/>
      <c r="MJ639" s="1640"/>
      <c r="MK639" s="1640"/>
      <c r="ML639" s="1640"/>
      <c r="MM639" s="1640"/>
      <c r="MN639" s="1640"/>
      <c r="MO639" s="1640"/>
      <c r="MP639" s="1640"/>
      <c r="MW639" s="360"/>
      <c r="MX639" s="360"/>
      <c r="OZ639" s="1640">
        <v>182</v>
      </c>
    </row>
    <row r="640" spans="1:416" ht="14.25" customHeight="1">
      <c r="C640" s="358" t="s">
        <v>290</v>
      </c>
      <c r="D640" s="358"/>
      <c r="E640" s="358"/>
      <c r="F640" s="358"/>
      <c r="G640" s="358"/>
      <c r="K640" s="2769">
        <f>HA511</f>
        <v>0</v>
      </c>
      <c r="L640" s="2769">
        <f>HB511</f>
        <v>0</v>
      </c>
      <c r="M640" s="2769">
        <f>HC511</f>
        <v>0</v>
      </c>
      <c r="N640" s="2769">
        <f>HD511</f>
        <v>0</v>
      </c>
      <c r="O640" s="2769">
        <f>HE511</f>
        <v>0</v>
      </c>
      <c r="P640" s="2769">
        <f>SUM(K640:O640)</f>
        <v>0</v>
      </c>
      <c r="Q640" s="2757" t="str">
        <f>IF(OR(P526=0,P526=""),"",P640/P526)</f>
        <v/>
      </c>
      <c r="S640" s="2647"/>
      <c r="T640" s="2647"/>
      <c r="U640" s="2647"/>
      <c r="V640" s="2647"/>
      <c r="W640" s="2647"/>
      <c r="X640" s="358"/>
      <c r="AA640" s="358"/>
      <c r="AB640" s="358"/>
      <c r="AC640" s="358"/>
      <c r="AF640" s="358"/>
      <c r="AG640" s="358"/>
      <c r="AH640" s="358"/>
      <c r="AK640" s="358"/>
      <c r="AL640" s="358"/>
      <c r="AM640" s="358"/>
      <c r="AP640" s="358"/>
      <c r="AQ640" s="358"/>
      <c r="AR640" s="362"/>
      <c r="AS640" s="362"/>
      <c r="AT640" s="362"/>
      <c r="AU640" s="362"/>
      <c r="AV640" s="362"/>
      <c r="AW640" s="362"/>
      <c r="AY640" s="358"/>
      <c r="BB640" s="362"/>
      <c r="BD640" s="358"/>
      <c r="LF640" s="1640"/>
      <c r="LK640" s="1640"/>
      <c r="LP640" s="1640"/>
      <c r="LU640" s="1640"/>
      <c r="LV640" s="1640"/>
      <c r="LW640" s="1640"/>
      <c r="LX640" s="1640"/>
      <c r="LY640" s="1640"/>
      <c r="LZ640" s="1640"/>
      <c r="MA640" s="1640"/>
      <c r="MB640" s="1640"/>
      <c r="MC640" s="1640"/>
      <c r="MD640" s="1640"/>
      <c r="ME640" s="1640"/>
      <c r="MF640" s="1640"/>
      <c r="MG640" s="1640"/>
      <c r="MH640" s="1640"/>
      <c r="MI640" s="1640"/>
      <c r="MJ640" s="1640"/>
      <c r="MK640" s="1640"/>
      <c r="ML640" s="1640"/>
      <c r="MM640" s="1640"/>
      <c r="MN640" s="1640"/>
      <c r="MO640" s="1640"/>
      <c r="MP640" s="1640"/>
      <c r="MW640" s="360"/>
      <c r="MX640" s="360"/>
      <c r="OZ640" s="1784">
        <v>183</v>
      </c>
    </row>
    <row r="641" spans="1:416" ht="14.25" customHeight="1">
      <c r="C641" s="2771" t="s">
        <v>1069</v>
      </c>
      <c r="D641" s="2748"/>
      <c r="E641" s="2748"/>
      <c r="F641" s="2748"/>
      <c r="G641" s="2748"/>
      <c r="H641" s="2749"/>
      <c r="I641" s="2749"/>
      <c r="J641" s="2749"/>
      <c r="K641" s="2772">
        <f>SUM(K639:K640)</f>
        <v>0</v>
      </c>
      <c r="L641" s="2772">
        <f>SUM(L639:L640)</f>
        <v>28040</v>
      </c>
      <c r="M641" s="2772">
        <f>SUM(M639:M640)</f>
        <v>116520</v>
      </c>
      <c r="N641" s="2772">
        <f>SUM(N639:N640)</f>
        <v>0</v>
      </c>
      <c r="O641" s="2772">
        <f>SUM(O639:O640)</f>
        <v>0</v>
      </c>
      <c r="P641" s="2772">
        <f>SUM(K641:O641)</f>
        <v>144560</v>
      </c>
      <c r="S641" s="2647"/>
      <c r="T641" s="2647"/>
      <c r="U641" s="2647"/>
      <c r="V641" s="2647"/>
      <c r="W641" s="2647"/>
      <c r="X641" s="358"/>
      <c r="AA641" s="358"/>
      <c r="AB641" s="358"/>
      <c r="AC641" s="358"/>
      <c r="AF641" s="358"/>
      <c r="AG641" s="358"/>
      <c r="AH641" s="358"/>
      <c r="AK641" s="358"/>
      <c r="AL641" s="358"/>
      <c r="AM641" s="358"/>
      <c r="AP641" s="358"/>
      <c r="AQ641" s="358"/>
      <c r="AR641" s="362"/>
      <c r="AS641" s="362"/>
      <c r="AT641" s="362"/>
      <c r="AU641" s="362"/>
      <c r="AV641" s="362"/>
      <c r="AW641" s="362"/>
      <c r="AY641" s="358"/>
      <c r="BB641" s="362"/>
      <c r="BD641" s="358"/>
      <c r="LF641" s="1640"/>
      <c r="LK641" s="1640"/>
      <c r="LP641" s="1640"/>
      <c r="LU641" s="1640"/>
      <c r="LV641" s="1640"/>
      <c r="LW641" s="1640"/>
      <c r="LX641" s="1640"/>
      <c r="LY641" s="1640"/>
      <c r="LZ641" s="1640"/>
      <c r="MA641" s="1640"/>
      <c r="MB641" s="1640"/>
      <c r="MC641" s="1640"/>
      <c r="MD641" s="1640"/>
      <c r="ME641" s="1640"/>
      <c r="MF641" s="1640"/>
      <c r="MG641" s="1640"/>
      <c r="MH641" s="1640"/>
      <c r="MI641" s="1640"/>
      <c r="MJ641" s="1640"/>
      <c r="MK641" s="1640"/>
      <c r="ML641" s="1640"/>
      <c r="MM641" s="1640"/>
      <c r="MN641" s="1640"/>
      <c r="MO641" s="1640"/>
      <c r="MP641" s="1640"/>
      <c r="MW641" s="360"/>
      <c r="MX641" s="360"/>
      <c r="NN641" s="360"/>
      <c r="OZ641" s="1784">
        <v>184</v>
      </c>
    </row>
    <row r="642" spans="1:416" ht="14.25" customHeight="1">
      <c r="C642" s="358" t="s">
        <v>2302</v>
      </c>
      <c r="D642" s="358"/>
      <c r="E642" s="358"/>
      <c r="F642" s="358"/>
      <c r="G642" s="358"/>
      <c r="K642" s="2769">
        <f>HK511</f>
        <v>0</v>
      </c>
      <c r="L642" s="2769">
        <f>HL511</f>
        <v>0</v>
      </c>
      <c r="M642" s="2769">
        <f>HM511</f>
        <v>0</v>
      </c>
      <c r="N642" s="2769">
        <f>HN511</f>
        <v>0</v>
      </c>
      <c r="O642" s="2769">
        <f>HO511</f>
        <v>0</v>
      </c>
      <c r="P642" s="2769">
        <f>SUM(K642:O642)</f>
        <v>0</v>
      </c>
      <c r="Q642" s="2757" t="str">
        <f>IF(OR(P528=0,P528=""),"",P642/P528)</f>
        <v/>
      </c>
      <c r="S642" s="2647"/>
      <c r="T642" s="2647"/>
      <c r="U642" s="2647"/>
      <c r="V642" s="2647"/>
      <c r="W642" s="2647"/>
      <c r="X642" s="358"/>
      <c r="AA642" s="358"/>
      <c r="AB642" s="358"/>
      <c r="AC642" s="358"/>
      <c r="AF642" s="358"/>
      <c r="AG642" s="358"/>
      <c r="AH642" s="358"/>
      <c r="AK642" s="358"/>
      <c r="AL642" s="358"/>
      <c r="AM642" s="358"/>
      <c r="AP642" s="358"/>
      <c r="AQ642" s="358"/>
      <c r="AR642" s="362"/>
      <c r="AS642" s="362"/>
      <c r="AT642" s="362"/>
      <c r="AU642" s="362"/>
      <c r="AV642" s="362"/>
      <c r="AW642" s="362"/>
      <c r="AY642" s="358"/>
      <c r="BB642" s="362"/>
      <c r="BD642" s="358"/>
      <c r="LF642" s="1640"/>
      <c r="LK642" s="1640"/>
      <c r="LP642" s="1640"/>
      <c r="LU642" s="1640"/>
      <c r="LV642" s="1640"/>
      <c r="LW642" s="1640"/>
      <c r="LX642" s="1640"/>
      <c r="LY642" s="1640"/>
      <c r="LZ642" s="1640"/>
      <c r="MA642" s="1640"/>
      <c r="MB642" s="1640"/>
      <c r="MC642" s="1640"/>
      <c r="MD642" s="1640"/>
      <c r="ME642" s="1640"/>
      <c r="MF642" s="1640"/>
      <c r="MG642" s="1640"/>
      <c r="MH642" s="1640"/>
      <c r="MI642" s="1640"/>
      <c r="MJ642" s="1640"/>
      <c r="MK642" s="1640"/>
      <c r="ML642" s="1640"/>
      <c r="MM642" s="1640"/>
      <c r="MN642" s="1640"/>
      <c r="MO642" s="1640"/>
      <c r="MP642" s="1640"/>
      <c r="MW642" s="360"/>
      <c r="MX642" s="360"/>
      <c r="NN642" s="360"/>
      <c r="OZ642" s="1784">
        <v>185</v>
      </c>
    </row>
    <row r="643" spans="1:416" ht="14.25" customHeight="1">
      <c r="C643" s="1639" t="s">
        <v>953</v>
      </c>
      <c r="D643" s="358"/>
      <c r="E643" s="358"/>
      <c r="F643" s="358"/>
      <c r="G643" s="358"/>
      <c r="K643" s="2773">
        <f>SUM(K641:K642)</f>
        <v>0</v>
      </c>
      <c r="L643" s="2773">
        <f>SUM(L641:L642)</f>
        <v>28040</v>
      </c>
      <c r="M643" s="2773">
        <f>SUM(M641:M642)</f>
        <v>116520</v>
      </c>
      <c r="N643" s="2773">
        <f>SUM(N641:N642)</f>
        <v>0</v>
      </c>
      <c r="O643" s="2773">
        <f>SUM(O641:O642)</f>
        <v>0</v>
      </c>
      <c r="P643" s="2773">
        <f>SUM(K643:O643)</f>
        <v>144560</v>
      </c>
      <c r="S643" s="2647"/>
      <c r="T643" s="2647"/>
      <c r="U643" s="2647"/>
      <c r="V643" s="2647"/>
      <c r="W643" s="2647"/>
      <c r="X643" s="358"/>
      <c r="AA643" s="358"/>
      <c r="AB643" s="358"/>
      <c r="AC643" s="358"/>
      <c r="AF643" s="358"/>
      <c r="AG643" s="358"/>
      <c r="AH643" s="358"/>
      <c r="AK643" s="358"/>
      <c r="AL643" s="358"/>
      <c r="AM643" s="358"/>
      <c r="AP643" s="358"/>
      <c r="AQ643" s="358"/>
      <c r="AR643" s="362"/>
      <c r="AS643" s="362"/>
      <c r="AT643" s="362"/>
      <c r="AU643" s="362"/>
      <c r="AV643" s="362"/>
      <c r="AW643" s="362"/>
      <c r="AY643" s="358"/>
      <c r="BB643" s="362"/>
      <c r="BD643" s="358"/>
      <c r="LF643" s="1640"/>
      <c r="LK643" s="1640"/>
      <c r="LP643" s="1640"/>
      <c r="LU643" s="1640"/>
      <c r="LV643" s="1640"/>
      <c r="LW643" s="1640"/>
      <c r="LX643" s="1640"/>
      <c r="LY643" s="1640"/>
      <c r="LZ643" s="1640"/>
      <c r="MA643" s="1640"/>
      <c r="MB643" s="1640"/>
      <c r="MC643" s="1640"/>
      <c r="MD643" s="1640"/>
      <c r="ME643" s="1640"/>
      <c r="MF643" s="1640"/>
      <c r="MG643" s="1640"/>
      <c r="MH643" s="1640"/>
      <c r="MI643" s="1640"/>
      <c r="MJ643" s="1640"/>
      <c r="MK643" s="1640"/>
      <c r="ML643" s="1640"/>
      <c r="MM643" s="1640"/>
      <c r="MN643" s="1640"/>
      <c r="MO643" s="1640"/>
      <c r="MP643" s="1640"/>
      <c r="MW643" s="360"/>
      <c r="MX643" s="360"/>
      <c r="NN643" s="360"/>
      <c r="OZ643" s="1640">
        <v>186</v>
      </c>
    </row>
    <row r="644" spans="1:416" s="358" customFormat="1" ht="6" customHeight="1">
      <c r="LF644" s="1784"/>
      <c r="LK644" s="1784"/>
      <c r="LP644" s="1784"/>
      <c r="LU644" s="1784"/>
      <c r="LV644" s="1784"/>
      <c r="LW644" s="1784"/>
      <c r="LX644" s="1784"/>
      <c r="LY644" s="1784"/>
      <c r="LZ644" s="1784"/>
      <c r="MA644" s="1784"/>
      <c r="MB644" s="1784"/>
      <c r="MC644" s="1784"/>
      <c r="MD644" s="1784"/>
      <c r="ME644" s="1784"/>
      <c r="MF644" s="1784"/>
      <c r="MG644" s="1784"/>
      <c r="MH644" s="1784"/>
      <c r="MI644" s="1784"/>
      <c r="MJ644" s="1784"/>
      <c r="MK644" s="1784"/>
      <c r="ML644" s="1784"/>
      <c r="MM644" s="1784"/>
      <c r="MN644" s="1784"/>
      <c r="MO644" s="1784"/>
      <c r="MP644" s="1784"/>
      <c r="MW644" s="1639"/>
      <c r="NM644" s="1639"/>
      <c r="NN644" s="1639"/>
      <c r="OY644" s="356"/>
      <c r="OZ644" s="1784">
        <v>187</v>
      </c>
    </row>
    <row r="645" spans="1:416" s="358" customFormat="1" ht="14.25" customHeight="1">
      <c r="D645" s="358" t="s">
        <v>5151</v>
      </c>
      <c r="K645" s="2774" t="str">
        <f>IF(OR(K529="",K529=0),"",K643/K529)</f>
        <v/>
      </c>
      <c r="L645" s="2774">
        <f>IF(OR(L529="",L529=0),"",L643/L529)</f>
        <v>701</v>
      </c>
      <c r="M645" s="2774">
        <f>IF(OR(M529="",M529=0),"",M643/M529)</f>
        <v>971</v>
      </c>
      <c r="N645" s="2774" t="str">
        <f>IF(OR(N529="",N529=0),"",N643/N529)</f>
        <v/>
      </c>
      <c r="O645" s="2774" t="str">
        <f>IF(OR(O529="",O529=0),"",O643/O529)</f>
        <v/>
      </c>
      <c r="P645" s="2774"/>
      <c r="LF645" s="1784"/>
      <c r="LK645" s="1784"/>
      <c r="LP645" s="1784"/>
      <c r="LU645" s="1784"/>
      <c r="LV645" s="1784"/>
      <c r="LW645" s="1784"/>
      <c r="LX645" s="1784"/>
      <c r="LY645" s="1784"/>
      <c r="LZ645" s="1784"/>
      <c r="MA645" s="1784"/>
      <c r="MB645" s="1784"/>
      <c r="MC645" s="1784"/>
      <c r="MD645" s="1784"/>
      <c r="ME645" s="1784"/>
      <c r="MF645" s="1784"/>
      <c r="MG645" s="1784"/>
      <c r="MH645" s="1784"/>
      <c r="MI645" s="1784"/>
      <c r="MJ645" s="1784"/>
      <c r="MK645" s="1784"/>
      <c r="ML645" s="1784"/>
      <c r="MM645" s="1784"/>
      <c r="MN645" s="1784"/>
      <c r="MO645" s="1784"/>
      <c r="MP645" s="1784"/>
      <c r="MW645" s="1639"/>
      <c r="NM645" s="1639"/>
      <c r="NN645" s="1639"/>
      <c r="OY645" s="356"/>
      <c r="OZ645" s="1784">
        <v>188</v>
      </c>
    </row>
    <row r="646" spans="1:416" s="358" customFormat="1" ht="9" customHeight="1">
      <c r="LF646" s="1784"/>
      <c r="LK646" s="1784"/>
      <c r="LP646" s="1784"/>
      <c r="LU646" s="1784"/>
      <c r="LV646" s="1784"/>
      <c r="LW646" s="1784"/>
      <c r="LX646" s="1784"/>
      <c r="LY646" s="1784"/>
      <c r="LZ646" s="1784"/>
      <c r="MA646" s="1784"/>
      <c r="MB646" s="1784"/>
      <c r="MC646" s="1784"/>
      <c r="MD646" s="1784"/>
      <c r="ME646" s="1784"/>
      <c r="MF646" s="1784"/>
      <c r="MG646" s="1784"/>
      <c r="MH646" s="1784"/>
      <c r="MI646" s="1784"/>
      <c r="MJ646" s="1784"/>
      <c r="MK646" s="1784"/>
      <c r="ML646" s="1784"/>
      <c r="MM646" s="1784"/>
      <c r="MN646" s="1784"/>
      <c r="MO646" s="1784"/>
      <c r="MP646" s="1784"/>
      <c r="MW646" s="1639"/>
      <c r="NM646" s="1639"/>
      <c r="NN646" s="1639"/>
      <c r="OY646" s="356"/>
      <c r="OZ646" s="1784">
        <v>189</v>
      </c>
    </row>
    <row r="647" spans="1:416" s="358" customFormat="1" ht="14.1" customHeight="1">
      <c r="A647" s="360" t="s">
        <v>690</v>
      </c>
      <c r="B647" s="360" t="s">
        <v>4534</v>
      </c>
      <c r="LF647" s="1784"/>
      <c r="LK647" s="1784"/>
      <c r="LP647" s="1784"/>
      <c r="LU647" s="1784"/>
      <c r="LV647" s="1784"/>
      <c r="LW647" s="1784"/>
      <c r="LX647" s="1784"/>
      <c r="LY647" s="1784"/>
      <c r="LZ647" s="1784"/>
      <c r="MA647" s="1784"/>
      <c r="MB647" s="1784"/>
      <c r="MC647" s="1784"/>
      <c r="MD647" s="1784"/>
      <c r="ME647" s="1784"/>
      <c r="MF647" s="1784"/>
      <c r="MG647" s="1784"/>
      <c r="MH647" s="1784"/>
      <c r="MI647" s="1784"/>
      <c r="MJ647" s="1784"/>
      <c r="MK647" s="1784"/>
      <c r="ML647" s="1784"/>
      <c r="MM647" s="1784"/>
      <c r="MN647" s="1784"/>
      <c r="MO647" s="1784"/>
      <c r="MP647" s="1784"/>
      <c r="MW647" s="1639"/>
      <c r="NM647" s="1639"/>
      <c r="NN647" s="1639"/>
      <c r="OY647" s="356"/>
      <c r="OZ647" s="1784">
        <v>190</v>
      </c>
    </row>
    <row r="648" spans="1:416" s="1711" customFormat="1" ht="13.5" customHeight="1">
      <c r="A648" s="2543"/>
      <c r="C648" s="360" t="s">
        <v>5152</v>
      </c>
      <c r="I648" s="358" t="s">
        <v>5090</v>
      </c>
      <c r="K648" s="2573">
        <f>'Part V-Revenues &amp; Expenses'!K195</f>
        <v>0</v>
      </c>
      <c r="L648" s="2573"/>
      <c r="Z648" s="1524">
        <v>68</v>
      </c>
      <c r="OZ648" s="1784">
        <v>191</v>
      </c>
    </row>
    <row r="649" spans="1:416" s="1711" customFormat="1" ht="13.5" customHeight="1">
      <c r="A649" s="2543"/>
      <c r="C649" s="360"/>
      <c r="I649" s="358" t="s">
        <v>5091</v>
      </c>
      <c r="K649" s="2573">
        <f>'Part V-Revenues &amp; Expenses'!K196</f>
        <v>0</v>
      </c>
      <c r="L649" s="2573"/>
      <c r="Z649" s="1524"/>
      <c r="OZ649" s="2468">
        <v>192</v>
      </c>
    </row>
    <row r="650" spans="1:416" s="1711" customFormat="1" ht="13.35" customHeight="1">
      <c r="A650" s="2543"/>
      <c r="C650" s="360" t="s">
        <v>242</v>
      </c>
      <c r="K650" s="2573">
        <f>P643+K648+K649</f>
        <v>144560</v>
      </c>
      <c r="L650" s="2573"/>
      <c r="Z650" s="1524">
        <v>69</v>
      </c>
      <c r="OZ650" s="1784">
        <v>193</v>
      </c>
    </row>
    <row r="651" spans="1:416" s="358" customFormat="1" ht="3" customHeight="1">
      <c r="A651" s="2775"/>
      <c r="LF651" s="1784"/>
      <c r="LK651" s="1784"/>
      <c r="LP651" s="1784"/>
      <c r="LU651" s="1784"/>
      <c r="LV651" s="1784"/>
      <c r="LW651" s="1784"/>
      <c r="LX651" s="1784"/>
      <c r="LY651" s="1784"/>
      <c r="LZ651" s="1784"/>
      <c r="MA651" s="1784"/>
      <c r="MB651" s="1784"/>
      <c r="MC651" s="1784"/>
      <c r="MD651" s="1784"/>
      <c r="ME651" s="1784"/>
      <c r="MF651" s="1784"/>
      <c r="MG651" s="1784"/>
      <c r="MH651" s="1784"/>
      <c r="MI651" s="1784"/>
      <c r="MJ651" s="1784"/>
      <c r="MK651" s="1784"/>
      <c r="ML651" s="1784"/>
      <c r="MM651" s="1784"/>
      <c r="MN651" s="1784"/>
      <c r="MO651" s="1784"/>
      <c r="MP651" s="1784"/>
      <c r="MW651" s="1639"/>
      <c r="NM651" s="1639"/>
      <c r="NN651" s="1639"/>
      <c r="OY651" s="356"/>
      <c r="OZ651" s="1640">
        <v>194</v>
      </c>
    </row>
    <row r="652" spans="1:416" ht="14.1" customHeight="1">
      <c r="A652" s="360" t="s">
        <v>1661</v>
      </c>
      <c r="B652" s="360" t="s">
        <v>5153</v>
      </c>
      <c r="S652" s="360" t="s">
        <v>1705</v>
      </c>
      <c r="U652" s="358"/>
      <c r="LV652" s="1640"/>
      <c r="LW652" s="1640"/>
      <c r="LX652" s="1640"/>
      <c r="LY652" s="1640"/>
      <c r="LZ652" s="1640"/>
      <c r="MA652" s="1640"/>
      <c r="MB652" s="1640"/>
      <c r="MC652" s="1640"/>
      <c r="MD652" s="1640"/>
      <c r="ME652" s="1640"/>
      <c r="MF652" s="1640"/>
      <c r="MG652" s="1640"/>
      <c r="MH652" s="1640"/>
      <c r="MI652" s="1640"/>
      <c r="MJ652" s="1640"/>
      <c r="MK652" s="1640"/>
      <c r="ML652" s="1640"/>
      <c r="MM652" s="1640"/>
      <c r="MN652" s="1640"/>
      <c r="MO652" s="1640"/>
      <c r="MP652" s="1640"/>
      <c r="MQ652" s="1640"/>
      <c r="MX652" s="360"/>
      <c r="NN652" s="360"/>
      <c r="NO652" s="360"/>
      <c r="OZ652" s="1784">
        <v>195</v>
      </c>
    </row>
    <row r="653" spans="1:416" ht="2.25" customHeight="1">
      <c r="Q653" s="358"/>
      <c r="R653" s="358"/>
      <c r="LF653" s="1640"/>
      <c r="LK653" s="1640"/>
      <c r="LP653" s="1640"/>
      <c r="LU653" s="1640"/>
      <c r="LV653" s="1640"/>
      <c r="LW653" s="1640"/>
      <c r="LX653" s="1640"/>
      <c r="LY653" s="1640"/>
      <c r="LZ653" s="1640"/>
      <c r="MA653" s="1640"/>
      <c r="MB653" s="1640"/>
      <c r="MC653" s="1640"/>
      <c r="MD653" s="1640"/>
      <c r="ME653" s="1640"/>
      <c r="MF653" s="1640"/>
      <c r="MG653" s="1640"/>
      <c r="MH653" s="1640"/>
      <c r="MI653" s="1640"/>
      <c r="MJ653" s="1640"/>
      <c r="MK653" s="1640"/>
      <c r="ML653" s="1640"/>
      <c r="MM653" s="1640"/>
      <c r="MN653" s="1640"/>
      <c r="MO653" s="1640"/>
      <c r="MP653" s="1640"/>
      <c r="MW653" s="360"/>
      <c r="NM653" s="360"/>
      <c r="NN653" s="360"/>
      <c r="OZ653" s="1784">
        <v>196</v>
      </c>
    </row>
    <row r="654" spans="1:416" s="358" customFormat="1" ht="15.6" customHeight="1">
      <c r="B654" s="1536" t="s">
        <v>951</v>
      </c>
      <c r="C654" s="1409"/>
      <c r="D654" s="1409"/>
      <c r="E654" s="1409"/>
      <c r="F654" s="1409"/>
      <c r="G654" s="1409"/>
      <c r="H654" s="2776">
        <f>'Part V-Revenues &amp; Expenses'!H201</f>
        <v>52524.480000000003</v>
      </c>
      <c r="I654" s="2776"/>
      <c r="J654" s="2764" t="s">
        <v>5154</v>
      </c>
      <c r="M654" s="1409"/>
      <c r="N654" s="1409"/>
      <c r="O654" s="1409"/>
      <c r="P654" s="2777">
        <f>IF(M508=0,0,H654/M508)</f>
        <v>0</v>
      </c>
      <c r="Q654" s="1409"/>
      <c r="R654" s="1409"/>
      <c r="S654" s="1639" t="str">
        <f>B654</f>
        <v>Ancillary Income</v>
      </c>
      <c r="LF654" s="1784"/>
      <c r="LK654" s="1784"/>
      <c r="LP654" s="1784"/>
      <c r="LU654" s="1784"/>
      <c r="LV654" s="1784"/>
      <c r="LW654" s="1784"/>
      <c r="LX654" s="1784"/>
      <c r="LY654" s="1784"/>
      <c r="LZ654" s="1784"/>
      <c r="MA654" s="1784"/>
      <c r="MB654" s="1784"/>
      <c r="MC654" s="1784"/>
      <c r="MD654" s="1784"/>
      <c r="ME654" s="1784"/>
      <c r="MF654" s="1784"/>
      <c r="MG654" s="1784"/>
      <c r="MH654" s="1784"/>
      <c r="MI654" s="1784"/>
      <c r="MJ654" s="1784"/>
      <c r="MK654" s="1784"/>
      <c r="ML654" s="1784"/>
      <c r="MM654" s="1784"/>
      <c r="MN654" s="1784"/>
      <c r="MO654" s="1784"/>
      <c r="MP654" s="1784"/>
      <c r="MW654" s="1639"/>
      <c r="NM654" s="1639"/>
      <c r="NN654" s="1639"/>
      <c r="OZ654" s="1640">
        <v>197</v>
      </c>
    </row>
    <row r="655" spans="1:416" ht="15.6" customHeight="1">
      <c r="B655" s="2710"/>
      <c r="C655" s="359"/>
      <c r="D655" s="1409"/>
      <c r="E655" s="359"/>
      <c r="F655" s="359"/>
      <c r="G655" s="359"/>
      <c r="H655" s="359"/>
      <c r="I655" s="359"/>
      <c r="J655" s="2778"/>
      <c r="K655" s="359"/>
      <c r="L655" s="359"/>
      <c r="M655" s="359"/>
      <c r="N655" s="359"/>
      <c r="O655" s="359"/>
      <c r="P655" s="359"/>
      <c r="Q655" s="1409"/>
      <c r="R655" s="1409"/>
      <c r="LF655" s="1640"/>
      <c r="LK655" s="1640"/>
      <c r="LP655" s="1640"/>
      <c r="LU655" s="1640"/>
      <c r="LV655" s="1640"/>
      <c r="LW655" s="1640"/>
      <c r="LX655" s="1640"/>
      <c r="LY655" s="1640"/>
      <c r="LZ655" s="1640"/>
      <c r="MA655" s="1640"/>
      <c r="MB655" s="1640"/>
      <c r="MC655" s="1640"/>
      <c r="MD655" s="1640"/>
      <c r="ME655" s="1640"/>
      <c r="MF655" s="1640"/>
      <c r="MG655" s="1640"/>
      <c r="MH655" s="1640"/>
      <c r="MI655" s="1640"/>
      <c r="MJ655" s="1640"/>
      <c r="MK655" s="1640"/>
      <c r="ML655" s="1640"/>
      <c r="MM655" s="1640"/>
      <c r="MN655" s="1640"/>
      <c r="MO655" s="1640"/>
      <c r="MP655" s="1640"/>
      <c r="MW655" s="360"/>
      <c r="NM655" s="360"/>
      <c r="NN655" s="360"/>
      <c r="OY655" s="358"/>
      <c r="OZ655" s="1784">
        <v>198</v>
      </c>
    </row>
    <row r="656" spans="1:416" ht="15.6" customHeight="1">
      <c r="B656" s="2710" t="s">
        <v>1354</v>
      </c>
      <c r="C656" s="359"/>
      <c r="D656" s="359"/>
      <c r="E656" s="359"/>
      <c r="F656" s="359"/>
      <c r="G656" s="359"/>
      <c r="H656" s="359"/>
      <c r="I656" s="359"/>
      <c r="J656" s="2710"/>
      <c r="K656" s="359"/>
      <c r="L656" s="2779"/>
      <c r="M656" s="359"/>
      <c r="N656" s="359"/>
      <c r="O656" s="359"/>
      <c r="P656" s="359"/>
      <c r="Q656" s="359"/>
      <c r="S656" s="2706" t="str">
        <f>B656</f>
        <v>Other Income (OI) by Year:</v>
      </c>
      <c r="LF656" s="1640"/>
      <c r="LK656" s="1640"/>
      <c r="LP656" s="1640"/>
      <c r="LU656" s="1640"/>
      <c r="LV656" s="1640"/>
      <c r="LW656" s="1640"/>
      <c r="LX656" s="1640"/>
      <c r="LY656" s="1640"/>
      <c r="LZ656" s="1640"/>
      <c r="MA656" s="1640"/>
      <c r="MB656" s="1640"/>
      <c r="MC656" s="1640"/>
      <c r="MD656" s="1640"/>
      <c r="ME656" s="1640"/>
      <c r="MF656" s="1640"/>
      <c r="MG656" s="1640"/>
      <c r="MH656" s="1640"/>
      <c r="MI656" s="1640"/>
      <c r="MJ656" s="1640"/>
      <c r="MK656" s="1640"/>
      <c r="ML656" s="1640"/>
      <c r="MM656" s="1640"/>
      <c r="MN656" s="1640"/>
      <c r="MO656" s="1640"/>
      <c r="MP656" s="1640"/>
      <c r="MW656" s="360"/>
      <c r="NM656" s="360"/>
      <c r="NN656" s="360"/>
      <c r="OY656" s="358"/>
      <c r="OZ656" s="1784">
        <v>199</v>
      </c>
    </row>
    <row r="657" spans="2:416" ht="15.6" customHeight="1">
      <c r="B657" s="2780" t="s">
        <v>2105</v>
      </c>
      <c r="C657" s="359"/>
      <c r="D657" s="359"/>
      <c r="E657" s="359"/>
      <c r="F657" s="359"/>
      <c r="H657" s="2781">
        <v>1</v>
      </c>
      <c r="I657" s="2781">
        <v>2</v>
      </c>
      <c r="J657" s="2781">
        <v>3</v>
      </c>
      <c r="K657" s="2781">
        <v>4</v>
      </c>
      <c r="L657" s="2781">
        <v>5</v>
      </c>
      <c r="M657" s="2781">
        <v>6</v>
      </c>
      <c r="N657" s="2781">
        <v>7</v>
      </c>
      <c r="O657" s="2781">
        <v>8</v>
      </c>
      <c r="P657" s="2781">
        <v>9</v>
      </c>
      <c r="Q657" s="2781">
        <v>10</v>
      </c>
      <c r="R657" s="2782"/>
      <c r="S657" s="358" t="str">
        <f>B657</f>
        <v>Included in Mgt Fee:</v>
      </c>
      <c r="LF657" s="1640"/>
      <c r="LK657" s="1640"/>
      <c r="LP657" s="1640"/>
      <c r="LU657" s="1640"/>
      <c r="LV657" s="1640"/>
      <c r="LW657" s="1640"/>
      <c r="LX657" s="1640"/>
      <c r="LY657" s="1640"/>
      <c r="LZ657" s="1640"/>
      <c r="MA657" s="1640"/>
      <c r="MB657" s="1640"/>
      <c r="MC657" s="1640"/>
      <c r="MD657" s="1640"/>
      <c r="ME657" s="1640"/>
      <c r="MF657" s="1640"/>
      <c r="MG657" s="1640"/>
      <c r="MH657" s="1640"/>
      <c r="MI657" s="1640"/>
      <c r="MJ657" s="1640"/>
      <c r="MK657" s="1640"/>
      <c r="ML657" s="1640"/>
      <c r="MM657" s="1640"/>
      <c r="MN657" s="1640"/>
      <c r="MO657" s="1640"/>
      <c r="MP657" s="1640"/>
      <c r="MW657" s="360"/>
      <c r="NM657" s="360"/>
      <c r="NN657" s="360"/>
      <c r="OY657" s="358"/>
      <c r="OZ657" s="1784">
        <v>200</v>
      </c>
    </row>
    <row r="658" spans="2:416" ht="15.6" customHeight="1">
      <c r="B658" s="1409" t="s">
        <v>952</v>
      </c>
      <c r="C658" s="1409"/>
      <c r="D658" s="1409"/>
      <c r="E658" s="1409"/>
      <c r="F658" s="1409"/>
      <c r="H658" s="2783">
        <f>'Part V-Revenues &amp; Expenses'!H205</f>
        <v>0</v>
      </c>
      <c r="I658" s="2783">
        <f>'Part V-Revenues &amp; Expenses'!I205</f>
        <v>0</v>
      </c>
      <c r="J658" s="2783">
        <f>'Part V-Revenues &amp; Expenses'!J205</f>
        <v>0</v>
      </c>
      <c r="K658" s="2783">
        <f>'Part V-Revenues &amp; Expenses'!K205</f>
        <v>0</v>
      </c>
      <c r="L658" s="2783">
        <f>'Part V-Revenues &amp; Expenses'!L205</f>
        <v>0</v>
      </c>
      <c r="M658" s="2783">
        <f>'Part V-Revenues &amp; Expenses'!M205</f>
        <v>0</v>
      </c>
      <c r="N658" s="2783">
        <f>'Part V-Revenues &amp; Expenses'!N205</f>
        <v>0</v>
      </c>
      <c r="O658" s="2783">
        <f>'Part V-Revenues &amp; Expenses'!O205</f>
        <v>0</v>
      </c>
      <c r="P658" s="2783">
        <f>'Part V-Revenues &amp; Expenses'!P205</f>
        <v>0</v>
      </c>
      <c r="Q658" s="2783">
        <f>'Part V-Revenues &amp; Expenses'!Q205</f>
        <v>0</v>
      </c>
      <c r="R658" s="2774"/>
      <c r="S658" s="2647"/>
      <c r="T658" s="2647"/>
      <c r="U658" s="2647"/>
      <c r="V658" s="2647"/>
      <c r="W658" s="2647"/>
      <c r="LF658" s="1640"/>
      <c r="LK658" s="1640"/>
      <c r="LP658" s="1640"/>
      <c r="LU658" s="1640"/>
      <c r="LV658" s="1640"/>
      <c r="LW658" s="1640"/>
      <c r="LX658" s="1640"/>
      <c r="LY658" s="1640"/>
      <c r="LZ658" s="1640"/>
      <c r="MA658" s="1640"/>
      <c r="MB658" s="1640"/>
      <c r="MC658" s="1640"/>
      <c r="MD658" s="1640"/>
      <c r="ME658" s="1640"/>
      <c r="MF658" s="1640"/>
      <c r="MG658" s="1640"/>
      <c r="MH658" s="1640"/>
      <c r="MI658" s="1640"/>
      <c r="MJ658" s="1640"/>
      <c r="MK658" s="1640"/>
      <c r="ML658" s="1640"/>
      <c r="MM658" s="1640"/>
      <c r="MN658" s="1640"/>
      <c r="MO658" s="1640"/>
      <c r="MP658" s="1640"/>
      <c r="MW658" s="360"/>
      <c r="NM658" s="360"/>
      <c r="NN658" s="360"/>
      <c r="OZ658" s="1784">
        <v>201</v>
      </c>
    </row>
    <row r="659" spans="2:416" ht="15.6" customHeight="1">
      <c r="B659" s="1409" t="s">
        <v>689</v>
      </c>
      <c r="C659" s="1409">
        <f>'Part V-Revenues &amp; Expenses'!C206</f>
        <v>0</v>
      </c>
      <c r="D659" s="1409"/>
      <c r="E659" s="1409"/>
      <c r="F659" s="1409"/>
      <c r="H659" s="2783">
        <f>'Part V-Revenues &amp; Expenses'!H206</f>
        <v>0</v>
      </c>
      <c r="I659" s="2783">
        <f>'Part V-Revenues &amp; Expenses'!I206</f>
        <v>0</v>
      </c>
      <c r="J659" s="2783">
        <f>'Part V-Revenues &amp; Expenses'!J206</f>
        <v>0</v>
      </c>
      <c r="K659" s="2783">
        <f>'Part V-Revenues &amp; Expenses'!K206</f>
        <v>0</v>
      </c>
      <c r="L659" s="2783">
        <f>'Part V-Revenues &amp; Expenses'!L206</f>
        <v>0</v>
      </c>
      <c r="M659" s="2783">
        <f>'Part V-Revenues &amp; Expenses'!M206</f>
        <v>0</v>
      </c>
      <c r="N659" s="2783">
        <f>'Part V-Revenues &amp; Expenses'!N206</f>
        <v>0</v>
      </c>
      <c r="O659" s="2783">
        <f>'Part V-Revenues &amp; Expenses'!O206</f>
        <v>0</v>
      </c>
      <c r="P659" s="2783">
        <f>'Part V-Revenues &amp; Expenses'!P206</f>
        <v>0</v>
      </c>
      <c r="Q659" s="2783">
        <f>'Part V-Revenues &amp; Expenses'!Q206</f>
        <v>0</v>
      </c>
      <c r="R659" s="2774"/>
      <c r="S659" s="2647"/>
      <c r="T659" s="2647"/>
      <c r="U659" s="2647"/>
      <c r="V659" s="2647"/>
      <c r="W659" s="2647"/>
      <c r="LF659" s="1640"/>
      <c r="LK659" s="1640"/>
      <c r="LP659" s="1640"/>
      <c r="LU659" s="1640"/>
      <c r="LV659" s="1640"/>
      <c r="LW659" s="1640"/>
      <c r="LX659" s="1640"/>
      <c r="LY659" s="1640"/>
      <c r="LZ659" s="1640"/>
      <c r="MA659" s="1640"/>
      <c r="MB659" s="1640"/>
      <c r="MC659" s="1640"/>
      <c r="MD659" s="1640"/>
      <c r="ME659" s="1640"/>
      <c r="MF659" s="1640"/>
      <c r="MG659" s="1640"/>
      <c r="MH659" s="1640"/>
      <c r="MI659" s="1640"/>
      <c r="MJ659" s="1640"/>
      <c r="MK659" s="1640"/>
      <c r="ML659" s="1640"/>
      <c r="MM659" s="1640"/>
      <c r="MN659" s="1640"/>
      <c r="MO659" s="1640"/>
      <c r="MP659" s="1640"/>
      <c r="MW659" s="360"/>
      <c r="NM659" s="360"/>
      <c r="NN659" s="360"/>
      <c r="OZ659" s="1784">
        <v>202</v>
      </c>
    </row>
    <row r="660" spans="2:416" ht="15.6" customHeight="1">
      <c r="B660" s="1409"/>
      <c r="C660" s="1409" t="s">
        <v>869</v>
      </c>
      <c r="D660" s="1409"/>
      <c r="E660" s="1409"/>
      <c r="F660" s="1409"/>
      <c r="H660" s="2784">
        <f>SUM(H658:H659)</f>
        <v>0</v>
      </c>
      <c r="I660" s="2784">
        <f>SUM(I658:I659)</f>
        <v>0</v>
      </c>
      <c r="J660" s="2784">
        <f t="shared" ref="J660:Q660" si="406">SUM(J658:J659)</f>
        <v>0</v>
      </c>
      <c r="K660" s="2784">
        <f t="shared" si="406"/>
        <v>0</v>
      </c>
      <c r="L660" s="2784">
        <f t="shared" si="406"/>
        <v>0</v>
      </c>
      <c r="M660" s="2784">
        <f t="shared" si="406"/>
        <v>0</v>
      </c>
      <c r="N660" s="2784">
        <f t="shared" si="406"/>
        <v>0</v>
      </c>
      <c r="O660" s="2784">
        <f t="shared" si="406"/>
        <v>0</v>
      </c>
      <c r="P660" s="2784">
        <f t="shared" si="406"/>
        <v>0</v>
      </c>
      <c r="Q660" s="2784">
        <f t="shared" si="406"/>
        <v>0</v>
      </c>
      <c r="R660" s="362"/>
      <c r="S660" s="2647"/>
      <c r="T660" s="2647"/>
      <c r="U660" s="2647"/>
      <c r="V660" s="2647"/>
      <c r="W660" s="2647"/>
      <c r="LF660" s="1640"/>
      <c r="LK660" s="1640"/>
      <c r="LP660" s="1640"/>
      <c r="LU660" s="1640"/>
      <c r="LV660" s="1640"/>
      <c r="LW660" s="1640"/>
      <c r="LX660" s="1640"/>
      <c r="LY660" s="1640"/>
      <c r="LZ660" s="1640"/>
      <c r="MA660" s="1640"/>
      <c r="MB660" s="1640"/>
      <c r="MC660" s="1640"/>
      <c r="MD660" s="1640"/>
      <c r="ME660" s="1640"/>
      <c r="MF660" s="1640"/>
      <c r="MG660" s="1640"/>
      <c r="MH660" s="1640"/>
      <c r="MI660" s="1640"/>
      <c r="MJ660" s="1640"/>
      <c r="MK660" s="1640"/>
      <c r="ML660" s="1640"/>
      <c r="MM660" s="1640"/>
      <c r="MN660" s="1640"/>
      <c r="MO660" s="1640"/>
      <c r="MP660" s="1640"/>
      <c r="MW660" s="360"/>
      <c r="NM660" s="360"/>
      <c r="NN660" s="360"/>
      <c r="OY660" s="358"/>
      <c r="OZ660" s="2468">
        <v>203</v>
      </c>
    </row>
    <row r="661" spans="2:416" ht="15.6" customHeight="1">
      <c r="B661" s="2780" t="s">
        <v>5155</v>
      </c>
      <c r="C661" s="359"/>
      <c r="D661" s="359"/>
      <c r="E661" s="359"/>
      <c r="F661" s="359"/>
      <c r="H661" s="2785"/>
      <c r="I661" s="359"/>
      <c r="J661" s="359"/>
      <c r="K661" s="359"/>
      <c r="L661" s="359"/>
      <c r="M661" s="359"/>
      <c r="N661" s="359"/>
      <c r="O661" s="359"/>
      <c r="P661" s="359"/>
      <c r="Q661" s="359"/>
      <c r="S661" s="358" t="str">
        <f>B661</f>
        <v>NOT Included in Mgt Fee:</v>
      </c>
      <c r="LF661" s="1640"/>
      <c r="LK661" s="1640"/>
      <c r="LP661" s="1640"/>
      <c r="LU661" s="1640"/>
      <c r="LV661" s="1640"/>
      <c r="LW661" s="1640"/>
      <c r="LX661" s="1640"/>
      <c r="LY661" s="1640"/>
      <c r="LZ661" s="1640"/>
      <c r="MA661" s="1640"/>
      <c r="MB661" s="1640"/>
      <c r="MC661" s="1640"/>
      <c r="MD661" s="1640"/>
      <c r="ME661" s="1640"/>
      <c r="MF661" s="1640"/>
      <c r="MG661" s="1640"/>
      <c r="MH661" s="1640"/>
      <c r="MI661" s="1640"/>
      <c r="MJ661" s="1640"/>
      <c r="MK661" s="1640"/>
      <c r="ML661" s="1640"/>
      <c r="MM661" s="1640"/>
      <c r="MN661" s="1640"/>
      <c r="MO661" s="1640"/>
      <c r="MP661" s="1640"/>
      <c r="MW661" s="360"/>
      <c r="NM661" s="360"/>
      <c r="NN661" s="360"/>
      <c r="OZ661" s="1784">
        <v>204</v>
      </c>
    </row>
    <row r="662" spans="2:416" ht="15.6" customHeight="1">
      <c r="B662" s="1409" t="s">
        <v>497</v>
      </c>
      <c r="C662" s="1409"/>
      <c r="D662" s="1409"/>
      <c r="E662" s="1409"/>
      <c r="F662" s="1409"/>
      <c r="H662" s="2783">
        <f>'Part V-Revenues &amp; Expenses'!H209</f>
        <v>0</v>
      </c>
      <c r="I662" s="2783">
        <f>'Part V-Revenues &amp; Expenses'!I209</f>
        <v>0</v>
      </c>
      <c r="J662" s="2783">
        <f>'Part V-Revenues &amp; Expenses'!J209</f>
        <v>0</v>
      </c>
      <c r="K662" s="2783">
        <f>'Part V-Revenues &amp; Expenses'!K209</f>
        <v>0</v>
      </c>
      <c r="L662" s="2783">
        <f>'Part V-Revenues &amp; Expenses'!L209</f>
        <v>0</v>
      </c>
      <c r="M662" s="2783">
        <f>'Part V-Revenues &amp; Expenses'!M209</f>
        <v>0</v>
      </c>
      <c r="N662" s="2783">
        <f>'Part V-Revenues &amp; Expenses'!N209</f>
        <v>0</v>
      </c>
      <c r="O662" s="2783">
        <f>'Part V-Revenues &amp; Expenses'!O209</f>
        <v>0</v>
      </c>
      <c r="P662" s="2783">
        <f>'Part V-Revenues &amp; Expenses'!P209</f>
        <v>0</v>
      </c>
      <c r="Q662" s="2783">
        <f>'Part V-Revenues &amp; Expenses'!Q209</f>
        <v>0</v>
      </c>
      <c r="R662" s="2774"/>
      <c r="S662" s="2647"/>
      <c r="T662" s="2647"/>
      <c r="U662" s="2647"/>
      <c r="V662" s="2647"/>
      <c r="W662" s="2647"/>
      <c r="LF662" s="1640"/>
      <c r="LK662" s="1640"/>
      <c r="LP662" s="1640"/>
      <c r="LU662" s="1640"/>
      <c r="LV662" s="1640"/>
      <c r="LW662" s="1640"/>
      <c r="LX662" s="1640"/>
      <c r="LY662" s="1640"/>
      <c r="LZ662" s="1640"/>
      <c r="MA662" s="1640"/>
      <c r="MB662" s="1640"/>
      <c r="MC662" s="1640"/>
      <c r="MD662" s="1640"/>
      <c r="ME662" s="1640"/>
      <c r="MF662" s="1640"/>
      <c r="MG662" s="1640"/>
      <c r="MH662" s="1640"/>
      <c r="MI662" s="1640"/>
      <c r="MJ662" s="1640"/>
      <c r="MK662" s="1640"/>
      <c r="ML662" s="1640"/>
      <c r="MM662" s="1640"/>
      <c r="MN662" s="1640"/>
      <c r="MO662" s="1640"/>
      <c r="MP662" s="1640"/>
      <c r="MW662" s="360"/>
      <c r="NM662" s="360"/>
      <c r="NN662" s="360"/>
      <c r="OZ662" s="1640">
        <v>205</v>
      </c>
    </row>
    <row r="663" spans="2:416" ht="15.6" customHeight="1">
      <c r="B663" s="1409" t="s">
        <v>689</v>
      </c>
      <c r="C663" s="1409">
        <f>'Part V-Revenues &amp; Expenses'!C210</f>
        <v>0</v>
      </c>
      <c r="D663" s="1409"/>
      <c r="E663" s="1409"/>
      <c r="F663" s="1409"/>
      <c r="H663" s="2783">
        <f>'Part V-Revenues &amp; Expenses'!H210</f>
        <v>0</v>
      </c>
      <c r="I663" s="2783">
        <f>'Part V-Revenues &amp; Expenses'!I210</f>
        <v>0</v>
      </c>
      <c r="J663" s="2783">
        <f>'Part V-Revenues &amp; Expenses'!J210</f>
        <v>0</v>
      </c>
      <c r="K663" s="2783">
        <f>'Part V-Revenues &amp; Expenses'!K210</f>
        <v>0</v>
      </c>
      <c r="L663" s="2783">
        <f>'Part V-Revenues &amp; Expenses'!L210</f>
        <v>0</v>
      </c>
      <c r="M663" s="2783">
        <f>'Part V-Revenues &amp; Expenses'!M210</f>
        <v>0</v>
      </c>
      <c r="N663" s="2783">
        <f>'Part V-Revenues &amp; Expenses'!N210</f>
        <v>0</v>
      </c>
      <c r="O663" s="2783">
        <f>'Part V-Revenues &amp; Expenses'!O210</f>
        <v>0</v>
      </c>
      <c r="P663" s="2783">
        <f>'Part V-Revenues &amp; Expenses'!P210</f>
        <v>0</v>
      </c>
      <c r="Q663" s="2783">
        <f>'Part V-Revenues &amp; Expenses'!Q210</f>
        <v>0</v>
      </c>
      <c r="R663" s="2774"/>
      <c r="S663" s="2647"/>
      <c r="T663" s="2647"/>
      <c r="U663" s="2647"/>
      <c r="V663" s="2647"/>
      <c r="W663" s="2647"/>
      <c r="LF663" s="1640"/>
      <c r="LK663" s="1640"/>
      <c r="LP663" s="1640"/>
      <c r="LU663" s="1640"/>
      <c r="LV663" s="1640"/>
      <c r="LW663" s="1640"/>
      <c r="LX663" s="1640"/>
      <c r="LY663" s="1640"/>
      <c r="LZ663" s="1640"/>
      <c r="MA663" s="1640"/>
      <c r="MB663" s="1640"/>
      <c r="MC663" s="1640"/>
      <c r="MD663" s="1640"/>
      <c r="ME663" s="1640"/>
      <c r="MF663" s="1640"/>
      <c r="MG663" s="1640"/>
      <c r="MH663" s="1640"/>
      <c r="MI663" s="1640"/>
      <c r="MJ663" s="1640"/>
      <c r="MK663" s="1640"/>
      <c r="ML663" s="1640"/>
      <c r="MM663" s="1640"/>
      <c r="MN663" s="1640"/>
      <c r="MO663" s="1640"/>
      <c r="MP663" s="1640"/>
      <c r="MW663" s="360"/>
      <c r="NM663" s="360"/>
      <c r="NN663" s="360"/>
      <c r="OZ663" s="1784">
        <v>206</v>
      </c>
    </row>
    <row r="664" spans="2:416" ht="15.6" customHeight="1">
      <c r="B664" s="1409"/>
      <c r="C664" s="1409" t="s">
        <v>5156</v>
      </c>
      <c r="D664" s="1409"/>
      <c r="E664" s="1409"/>
      <c r="F664" s="1409"/>
      <c r="H664" s="2784">
        <f>SUM(H662:H663)</f>
        <v>0</v>
      </c>
      <c r="I664" s="2784">
        <f>SUM(I662:I663)</f>
        <v>0</v>
      </c>
      <c r="J664" s="2784">
        <f t="shared" ref="J664:Q664" si="407">SUM(J662:J663)</f>
        <v>0</v>
      </c>
      <c r="K664" s="2784">
        <f t="shared" si="407"/>
        <v>0</v>
      </c>
      <c r="L664" s="2784">
        <f t="shared" si="407"/>
        <v>0</v>
      </c>
      <c r="M664" s="2784">
        <f t="shared" si="407"/>
        <v>0</v>
      </c>
      <c r="N664" s="2784">
        <f t="shared" si="407"/>
        <v>0</v>
      </c>
      <c r="O664" s="2784">
        <f t="shared" si="407"/>
        <v>0</v>
      </c>
      <c r="P664" s="2784">
        <f t="shared" si="407"/>
        <v>0</v>
      </c>
      <c r="Q664" s="2784">
        <f t="shared" si="407"/>
        <v>0</v>
      </c>
      <c r="R664" s="362"/>
      <c r="S664" s="2647"/>
      <c r="T664" s="2647"/>
      <c r="U664" s="2647"/>
      <c r="V664" s="2647"/>
      <c r="W664" s="2647"/>
      <c r="LF664" s="1640"/>
      <c r="LK664" s="1640"/>
      <c r="LP664" s="1640"/>
      <c r="LU664" s="1640"/>
      <c r="LV664" s="1640"/>
      <c r="LW664" s="1640"/>
      <c r="LX664" s="1640"/>
      <c r="LY664" s="1640"/>
      <c r="LZ664" s="1640"/>
      <c r="MA664" s="1640"/>
      <c r="MB664" s="1640"/>
      <c r="MC664" s="1640"/>
      <c r="MD664" s="1640"/>
      <c r="ME664" s="1640"/>
      <c r="MF664" s="1640"/>
      <c r="MG664" s="1640"/>
      <c r="MH664" s="1640"/>
      <c r="MI664" s="1640"/>
      <c r="MJ664" s="1640"/>
      <c r="MK664" s="1640"/>
      <c r="ML664" s="1640"/>
      <c r="MM664" s="1640"/>
      <c r="MN664" s="1640"/>
      <c r="MO664" s="1640"/>
      <c r="MP664" s="1640"/>
      <c r="MW664" s="360"/>
      <c r="NM664" s="360"/>
      <c r="NN664" s="360"/>
      <c r="OZ664" s="1784">
        <v>207</v>
      </c>
    </row>
    <row r="665" spans="2:416" ht="15.6" customHeight="1">
      <c r="B665" s="2710"/>
      <c r="C665" s="359"/>
      <c r="D665" s="359"/>
      <c r="E665" s="359"/>
      <c r="F665" s="359"/>
      <c r="H665" s="2785"/>
      <c r="I665" s="359"/>
      <c r="J665" s="359"/>
      <c r="K665" s="359"/>
      <c r="L665" s="359"/>
      <c r="M665" s="359"/>
      <c r="N665" s="359"/>
      <c r="O665" s="359"/>
      <c r="P665" s="359"/>
      <c r="Q665" s="359"/>
      <c r="LF665" s="1640"/>
      <c r="LK665" s="1640"/>
      <c r="LP665" s="1640"/>
      <c r="LU665" s="1640"/>
      <c r="LV665" s="1640"/>
      <c r="LW665" s="1640"/>
      <c r="LX665" s="1640"/>
      <c r="LY665" s="1640"/>
      <c r="LZ665" s="1640"/>
      <c r="MA665" s="1640"/>
      <c r="MB665" s="1640"/>
      <c r="MC665" s="1640"/>
      <c r="MD665" s="1640"/>
      <c r="ME665" s="1640"/>
      <c r="MF665" s="1640"/>
      <c r="MG665" s="1640"/>
      <c r="MH665" s="1640"/>
      <c r="MI665" s="1640"/>
      <c r="MJ665" s="1640"/>
      <c r="MK665" s="1640"/>
      <c r="ML665" s="1640"/>
      <c r="MM665" s="1640"/>
      <c r="MN665" s="1640"/>
      <c r="MO665" s="1640"/>
      <c r="MP665" s="1640"/>
      <c r="MW665" s="360"/>
      <c r="NM665" s="360"/>
      <c r="NN665" s="360"/>
      <c r="OZ665" s="1640">
        <v>208</v>
      </c>
    </row>
    <row r="666" spans="2:416" ht="15.6" customHeight="1">
      <c r="B666" s="2780" t="s">
        <v>2105</v>
      </c>
      <c r="C666" s="359"/>
      <c r="D666" s="359"/>
      <c r="E666" s="359"/>
      <c r="F666" s="359"/>
      <c r="H666" s="2781">
        <v>11</v>
      </c>
      <c r="I666" s="2781">
        <v>12</v>
      </c>
      <c r="J666" s="2781">
        <v>13</v>
      </c>
      <c r="K666" s="2781">
        <v>14</v>
      </c>
      <c r="L666" s="2781">
        <v>15</v>
      </c>
      <c r="M666" s="2781">
        <v>16</v>
      </c>
      <c r="N666" s="2781">
        <v>17</v>
      </c>
      <c r="O666" s="2781">
        <v>18</v>
      </c>
      <c r="P666" s="2781">
        <v>19</v>
      </c>
      <c r="Q666" s="2781">
        <v>20</v>
      </c>
      <c r="S666" s="2734" t="s">
        <v>2401</v>
      </c>
      <c r="T666" s="358" t="str">
        <f>B666</f>
        <v>Included in Mgt Fee:</v>
      </c>
      <c r="LF666" s="1640"/>
      <c r="LK666" s="1640"/>
      <c r="LP666" s="1640"/>
      <c r="LU666" s="1640"/>
      <c r="LV666" s="1640"/>
      <c r="LW666" s="1640"/>
      <c r="LX666" s="1640"/>
      <c r="LY666" s="1640"/>
      <c r="LZ666" s="1640"/>
      <c r="MA666" s="1640"/>
      <c r="MB666" s="1640"/>
      <c r="MC666" s="1640"/>
      <c r="MD666" s="1640"/>
      <c r="ME666" s="1640"/>
      <c r="MF666" s="1640"/>
      <c r="MG666" s="1640"/>
      <c r="MH666" s="1640"/>
      <c r="MI666" s="1640"/>
      <c r="MJ666" s="1640"/>
      <c r="MK666" s="1640"/>
      <c r="ML666" s="1640"/>
      <c r="MM666" s="1640"/>
      <c r="MN666" s="1640"/>
      <c r="MO666" s="1640"/>
      <c r="MP666" s="1640"/>
      <c r="MW666" s="360"/>
      <c r="NM666" s="360"/>
      <c r="NN666" s="360"/>
      <c r="OZ666" s="1784">
        <v>209</v>
      </c>
    </row>
    <row r="667" spans="2:416" ht="15.6" customHeight="1">
      <c r="B667" s="1409" t="s">
        <v>952</v>
      </c>
      <c r="C667" s="1409"/>
      <c r="D667" s="1409"/>
      <c r="E667" s="1409"/>
      <c r="F667" s="1409"/>
      <c r="H667" s="2783">
        <f>'Part V-Revenues &amp; Expenses'!H214</f>
        <v>0</v>
      </c>
      <c r="I667" s="2783">
        <f>'Part V-Revenues &amp; Expenses'!I214</f>
        <v>0</v>
      </c>
      <c r="J667" s="2783">
        <f>'Part V-Revenues &amp; Expenses'!J214</f>
        <v>0</v>
      </c>
      <c r="K667" s="2783">
        <f>'Part V-Revenues &amp; Expenses'!K214</f>
        <v>0</v>
      </c>
      <c r="L667" s="2783">
        <f>'Part V-Revenues &amp; Expenses'!L214</f>
        <v>0</v>
      </c>
      <c r="M667" s="2783">
        <f>'Part V-Revenues &amp; Expenses'!M214</f>
        <v>0</v>
      </c>
      <c r="N667" s="2783">
        <f>'Part V-Revenues &amp; Expenses'!N214</f>
        <v>0</v>
      </c>
      <c r="O667" s="2783">
        <f>'Part V-Revenues &amp; Expenses'!O214</f>
        <v>0</v>
      </c>
      <c r="P667" s="2783">
        <f>'Part V-Revenues &amp; Expenses'!P214</f>
        <v>0</v>
      </c>
      <c r="Q667" s="2783">
        <f>'Part V-Revenues &amp; Expenses'!Q214</f>
        <v>0</v>
      </c>
      <c r="R667" s="2774"/>
      <c r="S667" s="2647"/>
      <c r="T667" s="2647"/>
      <c r="U667" s="2647"/>
      <c r="V667" s="2647"/>
      <c r="W667" s="2647"/>
      <c r="OZ667" s="1784">
        <v>210</v>
      </c>
    </row>
    <row r="668" spans="2:416" ht="15.6" customHeight="1">
      <c r="B668" s="1409" t="s">
        <v>689</v>
      </c>
      <c r="C668" s="1409">
        <f>'Part V-Revenues &amp; Expenses'!C215</f>
        <v>0</v>
      </c>
      <c r="D668" s="1409"/>
      <c r="E668" s="1409"/>
      <c r="F668" s="1409"/>
      <c r="H668" s="2783">
        <f>'Part V-Revenues &amp; Expenses'!H215</f>
        <v>0</v>
      </c>
      <c r="I668" s="2783">
        <f>'Part V-Revenues &amp; Expenses'!I215</f>
        <v>0</v>
      </c>
      <c r="J668" s="2783">
        <f>'Part V-Revenues &amp; Expenses'!J215</f>
        <v>0</v>
      </c>
      <c r="K668" s="2783">
        <f>'Part V-Revenues &amp; Expenses'!K215</f>
        <v>0</v>
      </c>
      <c r="L668" s="2783">
        <f>'Part V-Revenues &amp; Expenses'!L215</f>
        <v>0</v>
      </c>
      <c r="M668" s="2783">
        <f>'Part V-Revenues &amp; Expenses'!M215</f>
        <v>0</v>
      </c>
      <c r="N668" s="2783">
        <f>'Part V-Revenues &amp; Expenses'!N215</f>
        <v>0</v>
      </c>
      <c r="O668" s="2783">
        <f>'Part V-Revenues &amp; Expenses'!O215</f>
        <v>0</v>
      </c>
      <c r="P668" s="2783">
        <f>'Part V-Revenues &amp; Expenses'!P215</f>
        <v>0</v>
      </c>
      <c r="Q668" s="2783">
        <f>'Part V-Revenues &amp; Expenses'!Q215</f>
        <v>0</v>
      </c>
      <c r="R668" s="2774"/>
      <c r="S668" s="2647"/>
      <c r="T668" s="2647"/>
      <c r="U668" s="2647"/>
      <c r="V668" s="2647"/>
      <c r="W668" s="2647"/>
      <c r="OZ668" s="1784">
        <v>211</v>
      </c>
    </row>
    <row r="669" spans="2:416" ht="15.6" customHeight="1">
      <c r="B669" s="1409"/>
      <c r="C669" s="1409" t="s">
        <v>869</v>
      </c>
      <c r="D669" s="1409"/>
      <c r="E669" s="1409"/>
      <c r="F669" s="1409"/>
      <c r="H669" s="2784">
        <f>SUM(H667:H668)</f>
        <v>0</v>
      </c>
      <c r="I669" s="2784">
        <f>SUM(I667:I668)</f>
        <v>0</v>
      </c>
      <c r="J669" s="2784">
        <f t="shared" ref="J669:Q669" si="408">SUM(J667:J668)</f>
        <v>0</v>
      </c>
      <c r="K669" s="2784">
        <f t="shared" si="408"/>
        <v>0</v>
      </c>
      <c r="L669" s="2784">
        <f t="shared" si="408"/>
        <v>0</v>
      </c>
      <c r="M669" s="2784">
        <f t="shared" si="408"/>
        <v>0</v>
      </c>
      <c r="N669" s="2784">
        <f t="shared" si="408"/>
        <v>0</v>
      </c>
      <c r="O669" s="2784">
        <f t="shared" si="408"/>
        <v>0</v>
      </c>
      <c r="P669" s="2784">
        <f t="shared" si="408"/>
        <v>0</v>
      </c>
      <c r="Q669" s="2784">
        <f t="shared" si="408"/>
        <v>0</v>
      </c>
      <c r="R669" s="362"/>
      <c r="S669" s="2647"/>
      <c r="T669" s="2647"/>
      <c r="U669" s="2647"/>
      <c r="V669" s="2647"/>
      <c r="W669" s="2647"/>
      <c r="OZ669" s="1784">
        <v>212</v>
      </c>
    </row>
    <row r="670" spans="2:416" ht="15.6" customHeight="1">
      <c r="B670" s="2780" t="s">
        <v>5155</v>
      </c>
      <c r="C670" s="359"/>
      <c r="D670" s="359"/>
      <c r="E670" s="359"/>
      <c r="F670" s="359"/>
      <c r="H670" s="2785"/>
      <c r="I670" s="359"/>
      <c r="J670" s="359"/>
      <c r="K670" s="359"/>
      <c r="L670" s="359"/>
      <c r="M670" s="359"/>
      <c r="N670" s="359"/>
      <c r="O670" s="359"/>
      <c r="P670" s="359"/>
      <c r="Q670" s="359"/>
      <c r="S670" s="358" t="str">
        <f>B670</f>
        <v>NOT Included in Mgt Fee:</v>
      </c>
      <c r="OZ670" s="1784">
        <v>213</v>
      </c>
    </row>
    <row r="671" spans="2:416" ht="15.6" customHeight="1">
      <c r="B671" s="1409" t="s">
        <v>497</v>
      </c>
      <c r="C671" s="1409"/>
      <c r="D671" s="1409"/>
      <c r="E671" s="1409"/>
      <c r="F671" s="1409"/>
      <c r="H671" s="2783">
        <f>'Part V-Revenues &amp; Expenses'!H218</f>
        <v>0</v>
      </c>
      <c r="I671" s="2783">
        <f>'Part V-Revenues &amp; Expenses'!I218</f>
        <v>0</v>
      </c>
      <c r="J671" s="2783">
        <f>'Part V-Revenues &amp; Expenses'!J218</f>
        <v>0</v>
      </c>
      <c r="K671" s="2783">
        <f>'Part V-Revenues &amp; Expenses'!K218</f>
        <v>0</v>
      </c>
      <c r="L671" s="2783">
        <f>'Part V-Revenues &amp; Expenses'!L218</f>
        <v>0</v>
      </c>
      <c r="M671" s="2783">
        <f>'Part V-Revenues &amp; Expenses'!M218</f>
        <v>0</v>
      </c>
      <c r="N671" s="2783">
        <f>'Part V-Revenues &amp; Expenses'!N218</f>
        <v>0</v>
      </c>
      <c r="O671" s="2783">
        <f>'Part V-Revenues &amp; Expenses'!O218</f>
        <v>0</v>
      </c>
      <c r="P671" s="2783">
        <f>'Part V-Revenues &amp; Expenses'!P218</f>
        <v>0</v>
      </c>
      <c r="Q671" s="2783">
        <f>'Part V-Revenues &amp; Expenses'!Q218</f>
        <v>0</v>
      </c>
      <c r="R671" s="2774"/>
      <c r="S671" s="2647"/>
      <c r="T671" s="2647"/>
      <c r="U671" s="2647"/>
      <c r="V671" s="2647"/>
      <c r="W671" s="2647"/>
      <c r="OZ671" s="2468">
        <v>214</v>
      </c>
    </row>
    <row r="672" spans="2:416" ht="15.6" customHeight="1">
      <c r="B672" s="1409" t="s">
        <v>689</v>
      </c>
      <c r="C672" s="1409">
        <f>'Part V-Revenues &amp; Expenses'!C219</f>
        <v>0</v>
      </c>
      <c r="D672" s="1409"/>
      <c r="E672" s="1409"/>
      <c r="F672" s="1409"/>
      <c r="H672" s="2783">
        <f>'Part V-Revenues &amp; Expenses'!H219</f>
        <v>0</v>
      </c>
      <c r="I672" s="2783">
        <f>'Part V-Revenues &amp; Expenses'!I219</f>
        <v>0</v>
      </c>
      <c r="J672" s="2783">
        <f>'Part V-Revenues &amp; Expenses'!J219</f>
        <v>0</v>
      </c>
      <c r="K672" s="2783">
        <f>'Part V-Revenues &amp; Expenses'!K219</f>
        <v>0</v>
      </c>
      <c r="L672" s="2783">
        <f>'Part V-Revenues &amp; Expenses'!L219</f>
        <v>0</v>
      </c>
      <c r="M672" s="2783">
        <f>'Part V-Revenues &amp; Expenses'!M219</f>
        <v>0</v>
      </c>
      <c r="N672" s="2783">
        <f>'Part V-Revenues &amp; Expenses'!N219</f>
        <v>0</v>
      </c>
      <c r="O672" s="2783">
        <f>'Part V-Revenues &amp; Expenses'!O219</f>
        <v>0</v>
      </c>
      <c r="P672" s="2783">
        <f>'Part V-Revenues &amp; Expenses'!P219</f>
        <v>0</v>
      </c>
      <c r="Q672" s="2783">
        <f>'Part V-Revenues &amp; Expenses'!Q219</f>
        <v>0</v>
      </c>
      <c r="R672" s="2774"/>
      <c r="S672" s="2647"/>
      <c r="T672" s="2647"/>
      <c r="U672" s="2647"/>
      <c r="V672" s="2647"/>
      <c r="W672" s="2647"/>
      <c r="OZ672" s="1784">
        <v>215</v>
      </c>
    </row>
    <row r="673" spans="2:416" ht="15.6" customHeight="1">
      <c r="B673" s="1409"/>
      <c r="C673" s="1409" t="s">
        <v>5156</v>
      </c>
      <c r="D673" s="1409"/>
      <c r="E673" s="1409"/>
      <c r="F673" s="1409"/>
      <c r="H673" s="2784">
        <f>SUM(H671:H672)</f>
        <v>0</v>
      </c>
      <c r="I673" s="2784">
        <f>SUM(I671:I672)</f>
        <v>0</v>
      </c>
      <c r="J673" s="2784">
        <f t="shared" ref="J673:Q673" si="409">SUM(J671:J672)</f>
        <v>0</v>
      </c>
      <c r="K673" s="2784">
        <f t="shared" si="409"/>
        <v>0</v>
      </c>
      <c r="L673" s="2784">
        <f t="shared" si="409"/>
        <v>0</v>
      </c>
      <c r="M673" s="2784">
        <f t="shared" si="409"/>
        <v>0</v>
      </c>
      <c r="N673" s="2784">
        <f t="shared" si="409"/>
        <v>0</v>
      </c>
      <c r="O673" s="2784">
        <f t="shared" si="409"/>
        <v>0</v>
      </c>
      <c r="P673" s="2784">
        <f t="shared" si="409"/>
        <v>0</v>
      </c>
      <c r="Q673" s="2784">
        <f t="shared" si="409"/>
        <v>0</v>
      </c>
      <c r="R673" s="362"/>
      <c r="S673" s="2647"/>
      <c r="T673" s="2647"/>
      <c r="U673" s="2647"/>
      <c r="V673" s="2647"/>
      <c r="W673" s="2647"/>
      <c r="OZ673" s="1640">
        <v>216</v>
      </c>
    </row>
    <row r="674" spans="2:416" ht="15.6" customHeight="1">
      <c r="B674" s="2710"/>
      <c r="C674" s="359"/>
      <c r="D674" s="359"/>
      <c r="E674" s="359"/>
      <c r="F674" s="359"/>
      <c r="H674" s="2785"/>
      <c r="I674" s="359"/>
      <c r="J674" s="359"/>
      <c r="K674" s="359"/>
      <c r="L674" s="359"/>
      <c r="M674" s="359"/>
      <c r="N674" s="359"/>
      <c r="O674" s="359"/>
      <c r="P674" s="359"/>
      <c r="Q674" s="359"/>
      <c r="OZ674" s="1784">
        <v>217</v>
      </c>
    </row>
    <row r="675" spans="2:416" ht="15.6" customHeight="1">
      <c r="B675" s="2780" t="s">
        <v>2105</v>
      </c>
      <c r="C675" s="359"/>
      <c r="D675" s="359"/>
      <c r="E675" s="359"/>
      <c r="F675" s="359"/>
      <c r="H675" s="2781">
        <v>21</v>
      </c>
      <c r="I675" s="2781">
        <v>22</v>
      </c>
      <c r="J675" s="2781">
        <v>23</v>
      </c>
      <c r="K675" s="2781">
        <v>24</v>
      </c>
      <c r="L675" s="2781">
        <v>25</v>
      </c>
      <c r="M675" s="2781">
        <v>26</v>
      </c>
      <c r="N675" s="2781">
        <v>27</v>
      </c>
      <c r="O675" s="2781">
        <v>28</v>
      </c>
      <c r="P675" s="2781">
        <v>29</v>
      </c>
      <c r="Q675" s="2781">
        <v>30</v>
      </c>
      <c r="R675" s="2782"/>
      <c r="S675" s="2734" t="s">
        <v>2402</v>
      </c>
      <c r="T675" s="358" t="str">
        <f>B675</f>
        <v>Included in Mgt Fee:</v>
      </c>
      <c r="OZ675" s="1784">
        <v>218</v>
      </c>
    </row>
    <row r="676" spans="2:416" ht="15.6" customHeight="1">
      <c r="B676" s="1409" t="s">
        <v>952</v>
      </c>
      <c r="C676" s="1409"/>
      <c r="D676" s="1409"/>
      <c r="E676" s="1409"/>
      <c r="F676" s="1409"/>
      <c r="H676" s="2783">
        <f>'Part V-Revenues &amp; Expenses'!H223</f>
        <v>0</v>
      </c>
      <c r="I676" s="2783">
        <f>'Part V-Revenues &amp; Expenses'!I223</f>
        <v>0</v>
      </c>
      <c r="J676" s="2783">
        <f>'Part V-Revenues &amp; Expenses'!J223</f>
        <v>0</v>
      </c>
      <c r="K676" s="2783">
        <f>'Part V-Revenues &amp; Expenses'!K223</f>
        <v>0</v>
      </c>
      <c r="L676" s="2783">
        <f>'Part V-Revenues &amp; Expenses'!L223</f>
        <v>0</v>
      </c>
      <c r="M676" s="2783">
        <f>'Part V-Revenues &amp; Expenses'!M223</f>
        <v>0</v>
      </c>
      <c r="N676" s="2783">
        <f>'Part V-Revenues &amp; Expenses'!N223</f>
        <v>0</v>
      </c>
      <c r="O676" s="2783">
        <f>'Part V-Revenues &amp; Expenses'!O223</f>
        <v>0</v>
      </c>
      <c r="P676" s="2783">
        <f>'Part V-Revenues &amp; Expenses'!P223</f>
        <v>0</v>
      </c>
      <c r="Q676" s="2783">
        <f>'Part V-Revenues &amp; Expenses'!Q223</f>
        <v>0</v>
      </c>
      <c r="R676" s="2774"/>
      <c r="S676" s="2647"/>
      <c r="T676" s="2647"/>
      <c r="U676" s="2647"/>
      <c r="V676" s="2647"/>
      <c r="W676" s="2647"/>
      <c r="OZ676" s="1784">
        <v>219</v>
      </c>
    </row>
    <row r="677" spans="2:416" ht="15.6" customHeight="1">
      <c r="B677" s="1409" t="s">
        <v>689</v>
      </c>
      <c r="C677" s="1409">
        <f>'Part V-Revenues &amp; Expenses'!C224</f>
        <v>0</v>
      </c>
      <c r="D677" s="1409"/>
      <c r="E677" s="1409"/>
      <c r="F677" s="1409"/>
      <c r="H677" s="2783">
        <f>'Part V-Revenues &amp; Expenses'!H224</f>
        <v>0</v>
      </c>
      <c r="I677" s="2783">
        <f>'Part V-Revenues &amp; Expenses'!I224</f>
        <v>0</v>
      </c>
      <c r="J677" s="2783">
        <f>'Part V-Revenues &amp; Expenses'!J224</f>
        <v>0</v>
      </c>
      <c r="K677" s="2783">
        <f>'Part V-Revenues &amp; Expenses'!K224</f>
        <v>0</v>
      </c>
      <c r="L677" s="2783">
        <f>'Part V-Revenues &amp; Expenses'!L224</f>
        <v>0</v>
      </c>
      <c r="M677" s="2783">
        <f>'Part V-Revenues &amp; Expenses'!M224</f>
        <v>0</v>
      </c>
      <c r="N677" s="2783">
        <f>'Part V-Revenues &amp; Expenses'!N224</f>
        <v>0</v>
      </c>
      <c r="O677" s="2783">
        <f>'Part V-Revenues &amp; Expenses'!O224</f>
        <v>0</v>
      </c>
      <c r="P677" s="2783">
        <f>'Part V-Revenues &amp; Expenses'!P224</f>
        <v>0</v>
      </c>
      <c r="Q677" s="2783">
        <f>'Part V-Revenues &amp; Expenses'!Q224</f>
        <v>0</v>
      </c>
      <c r="R677" s="2774"/>
      <c r="S677" s="2647"/>
      <c r="T677" s="2647"/>
      <c r="U677" s="2647"/>
      <c r="V677" s="2647"/>
      <c r="W677" s="2647"/>
      <c r="OZ677" s="1784">
        <v>220</v>
      </c>
    </row>
    <row r="678" spans="2:416" ht="15.6" customHeight="1">
      <c r="B678" s="1409"/>
      <c r="C678" s="1409" t="s">
        <v>869</v>
      </c>
      <c r="D678" s="1409"/>
      <c r="E678" s="1409"/>
      <c r="F678" s="1409"/>
      <c r="H678" s="2784">
        <f>SUM(H676:H677)</f>
        <v>0</v>
      </c>
      <c r="I678" s="2784">
        <f>SUM(I676:I677)</f>
        <v>0</v>
      </c>
      <c r="J678" s="2784">
        <f t="shared" ref="J678:Q678" si="410">SUM(J676:J677)</f>
        <v>0</v>
      </c>
      <c r="K678" s="2784">
        <f t="shared" si="410"/>
        <v>0</v>
      </c>
      <c r="L678" s="2784">
        <f t="shared" si="410"/>
        <v>0</v>
      </c>
      <c r="M678" s="2784">
        <f t="shared" si="410"/>
        <v>0</v>
      </c>
      <c r="N678" s="2784">
        <f t="shared" si="410"/>
        <v>0</v>
      </c>
      <c r="O678" s="2784">
        <f t="shared" si="410"/>
        <v>0</v>
      </c>
      <c r="P678" s="2784">
        <f t="shared" si="410"/>
        <v>0</v>
      </c>
      <c r="Q678" s="2784">
        <f t="shared" si="410"/>
        <v>0</v>
      </c>
      <c r="R678" s="362"/>
      <c r="S678" s="2647"/>
      <c r="T678" s="2647"/>
      <c r="U678" s="2647"/>
      <c r="V678" s="2647"/>
      <c r="W678" s="2647"/>
      <c r="OZ678" s="1784">
        <v>221</v>
      </c>
    </row>
    <row r="679" spans="2:416" ht="15.6" customHeight="1">
      <c r="B679" s="2780" t="s">
        <v>5155</v>
      </c>
      <c r="C679" s="359"/>
      <c r="D679" s="359"/>
      <c r="E679" s="359"/>
      <c r="F679" s="359"/>
      <c r="H679" s="2785"/>
      <c r="I679" s="359"/>
      <c r="J679" s="359"/>
      <c r="K679" s="359"/>
      <c r="L679" s="359"/>
      <c r="M679" s="359"/>
      <c r="N679" s="359"/>
      <c r="O679" s="359"/>
      <c r="P679" s="359"/>
      <c r="Q679" s="359"/>
      <c r="S679" s="358" t="str">
        <f>B679</f>
        <v>NOT Included in Mgt Fee:</v>
      </c>
      <c r="OZ679" s="2468">
        <v>222</v>
      </c>
    </row>
    <row r="680" spans="2:416" ht="15.6" customHeight="1">
      <c r="B680" s="1409" t="s">
        <v>497</v>
      </c>
      <c r="C680" s="1409"/>
      <c r="D680" s="1409"/>
      <c r="E680" s="1409"/>
      <c r="F680" s="1409"/>
      <c r="H680" s="2783">
        <f>'Part V-Revenues &amp; Expenses'!H227</f>
        <v>0</v>
      </c>
      <c r="I680" s="2783">
        <f>'Part V-Revenues &amp; Expenses'!I227</f>
        <v>0</v>
      </c>
      <c r="J680" s="2783">
        <f>'Part V-Revenues &amp; Expenses'!J227</f>
        <v>0</v>
      </c>
      <c r="K680" s="2783">
        <f>'Part V-Revenues &amp; Expenses'!K227</f>
        <v>0</v>
      </c>
      <c r="L680" s="2783">
        <f>'Part V-Revenues &amp; Expenses'!L227</f>
        <v>0</v>
      </c>
      <c r="M680" s="2783">
        <f>'Part V-Revenues &amp; Expenses'!M227</f>
        <v>0</v>
      </c>
      <c r="N680" s="2783">
        <f>'Part V-Revenues &amp; Expenses'!N227</f>
        <v>0</v>
      </c>
      <c r="O680" s="2783">
        <f>'Part V-Revenues &amp; Expenses'!O227</f>
        <v>0</v>
      </c>
      <c r="P680" s="2783">
        <f>'Part V-Revenues &amp; Expenses'!P227</f>
        <v>0</v>
      </c>
      <c r="Q680" s="2783">
        <f>'Part V-Revenues &amp; Expenses'!Q227</f>
        <v>0</v>
      </c>
      <c r="R680" s="2774"/>
      <c r="S680" s="2647"/>
      <c r="T680" s="2647"/>
      <c r="U680" s="2647"/>
      <c r="V680" s="2647"/>
      <c r="W680" s="2647"/>
      <c r="OZ680" s="1784">
        <v>223</v>
      </c>
    </row>
    <row r="681" spans="2:416" ht="15.6" customHeight="1">
      <c r="B681" s="1409" t="s">
        <v>689</v>
      </c>
      <c r="C681" s="1409">
        <f>'Part V-Revenues &amp; Expenses'!C228</f>
        <v>0</v>
      </c>
      <c r="D681" s="1409"/>
      <c r="E681" s="1409"/>
      <c r="F681" s="1409"/>
      <c r="H681" s="2783">
        <f>'Part V-Revenues &amp; Expenses'!H228</f>
        <v>0</v>
      </c>
      <c r="I681" s="2783">
        <f>'Part V-Revenues &amp; Expenses'!I228</f>
        <v>0</v>
      </c>
      <c r="J681" s="2783">
        <f>'Part V-Revenues &amp; Expenses'!J228</f>
        <v>0</v>
      </c>
      <c r="K681" s="2783">
        <f>'Part V-Revenues &amp; Expenses'!K228</f>
        <v>0</v>
      </c>
      <c r="L681" s="2783">
        <f>'Part V-Revenues &amp; Expenses'!L228</f>
        <v>0</v>
      </c>
      <c r="M681" s="2783">
        <f>'Part V-Revenues &amp; Expenses'!M228</f>
        <v>0</v>
      </c>
      <c r="N681" s="2783">
        <f>'Part V-Revenues &amp; Expenses'!N228</f>
        <v>0</v>
      </c>
      <c r="O681" s="2783">
        <f>'Part V-Revenues &amp; Expenses'!O228</f>
        <v>0</v>
      </c>
      <c r="P681" s="2783">
        <f>'Part V-Revenues &amp; Expenses'!P228</f>
        <v>0</v>
      </c>
      <c r="Q681" s="2783">
        <f>'Part V-Revenues &amp; Expenses'!Q228</f>
        <v>0</v>
      </c>
      <c r="R681" s="2774"/>
      <c r="S681" s="2647"/>
      <c r="T681" s="2647"/>
      <c r="U681" s="2647"/>
      <c r="V681" s="2647"/>
      <c r="W681" s="2647"/>
      <c r="OZ681" s="1640">
        <v>224</v>
      </c>
    </row>
    <row r="682" spans="2:416" ht="15.6" customHeight="1">
      <c r="B682" s="1409"/>
      <c r="C682" s="1409" t="s">
        <v>5156</v>
      </c>
      <c r="D682" s="1409"/>
      <c r="E682" s="1409"/>
      <c r="F682" s="1409"/>
      <c r="H682" s="2784">
        <f>SUM(H680:H681)</f>
        <v>0</v>
      </c>
      <c r="I682" s="2784">
        <f>SUM(I680:I681)</f>
        <v>0</v>
      </c>
      <c r="J682" s="2784">
        <f t="shared" ref="J682:Q682" si="411">SUM(J680:J681)</f>
        <v>0</v>
      </c>
      <c r="K682" s="2784">
        <f t="shared" si="411"/>
        <v>0</v>
      </c>
      <c r="L682" s="2784">
        <f t="shared" si="411"/>
        <v>0</v>
      </c>
      <c r="M682" s="2784">
        <f t="shared" si="411"/>
        <v>0</v>
      </c>
      <c r="N682" s="2784">
        <f t="shared" si="411"/>
        <v>0</v>
      </c>
      <c r="O682" s="2784">
        <f t="shared" si="411"/>
        <v>0</v>
      </c>
      <c r="P682" s="2784">
        <f t="shared" si="411"/>
        <v>0</v>
      </c>
      <c r="Q682" s="2784">
        <f t="shared" si="411"/>
        <v>0</v>
      </c>
      <c r="R682" s="362"/>
      <c r="S682" s="2647"/>
      <c r="T682" s="2647"/>
      <c r="U682" s="2647"/>
      <c r="V682" s="2647"/>
      <c r="W682" s="2647"/>
      <c r="OZ682" s="1784">
        <v>225</v>
      </c>
    </row>
    <row r="683" spans="2:416" ht="15.6" customHeight="1">
      <c r="B683" s="2710"/>
      <c r="C683" s="359"/>
      <c r="D683" s="359"/>
      <c r="E683" s="359"/>
      <c r="F683" s="359"/>
      <c r="H683" s="2785"/>
      <c r="I683" s="359"/>
      <c r="J683" s="359"/>
      <c r="K683" s="359"/>
      <c r="L683" s="359"/>
      <c r="M683" s="359"/>
      <c r="N683" s="359"/>
      <c r="O683" s="359"/>
      <c r="P683" s="359"/>
      <c r="Q683" s="359"/>
      <c r="LF683" s="1640"/>
      <c r="LK683" s="1640"/>
      <c r="LP683" s="1640"/>
      <c r="LU683" s="1640"/>
      <c r="LV683" s="1640"/>
      <c r="LW683" s="1640"/>
      <c r="LX683" s="1640"/>
      <c r="LY683" s="1640"/>
      <c r="LZ683" s="1640"/>
      <c r="MA683" s="1640"/>
      <c r="MB683" s="1640"/>
      <c r="MC683" s="1640"/>
      <c r="MD683" s="1640"/>
      <c r="ME683" s="1640"/>
      <c r="MF683" s="1640"/>
      <c r="MG683" s="1640"/>
      <c r="MH683" s="1640"/>
      <c r="MI683" s="1640"/>
      <c r="MJ683" s="1640"/>
      <c r="MK683" s="1640"/>
      <c r="ML683" s="1640"/>
      <c r="MM683" s="1640"/>
      <c r="MN683" s="1640"/>
      <c r="MO683" s="1640"/>
      <c r="MP683" s="1640"/>
      <c r="MW683" s="360"/>
      <c r="NM683" s="360"/>
      <c r="NN683" s="360"/>
      <c r="OZ683" s="1784">
        <v>226</v>
      </c>
    </row>
    <row r="684" spans="2:416" ht="15.6" customHeight="1">
      <c r="B684" s="2780" t="s">
        <v>2105</v>
      </c>
      <c r="C684" s="359"/>
      <c r="D684" s="359"/>
      <c r="E684" s="359"/>
      <c r="F684" s="359"/>
      <c r="H684" s="2781">
        <v>31</v>
      </c>
      <c r="I684" s="2781">
        <v>32</v>
      </c>
      <c r="J684" s="2781">
        <v>33</v>
      </c>
      <c r="K684" s="2781">
        <v>34</v>
      </c>
      <c r="L684" s="2781">
        <v>35</v>
      </c>
      <c r="M684" s="359"/>
      <c r="N684" s="359"/>
      <c r="O684" s="359"/>
      <c r="P684" s="359"/>
      <c r="Q684" s="359"/>
      <c r="S684" s="2734" t="s">
        <v>2402</v>
      </c>
      <c r="T684" s="358" t="str">
        <f>B684</f>
        <v>Included in Mgt Fee:</v>
      </c>
      <c r="LF684" s="1640"/>
      <c r="LK684" s="1640"/>
      <c r="LP684" s="1640"/>
      <c r="LU684" s="1640"/>
      <c r="LV684" s="1640"/>
      <c r="LW684" s="1640"/>
      <c r="LX684" s="1640"/>
      <c r="LY684" s="1640"/>
      <c r="LZ684" s="1640"/>
      <c r="MA684" s="1640"/>
      <c r="MB684" s="1640"/>
      <c r="MC684" s="1640"/>
      <c r="MD684" s="1640"/>
      <c r="ME684" s="1640"/>
      <c r="MF684" s="1640"/>
      <c r="MG684" s="1640"/>
      <c r="MH684" s="1640"/>
      <c r="MI684" s="1640"/>
      <c r="MJ684" s="1640"/>
      <c r="MK684" s="1640"/>
      <c r="ML684" s="1640"/>
      <c r="MM684" s="1640"/>
      <c r="MN684" s="1640"/>
      <c r="MO684" s="1640"/>
      <c r="MP684" s="1640"/>
      <c r="MW684" s="360"/>
      <c r="NM684" s="360"/>
      <c r="NN684" s="360"/>
      <c r="OZ684" s="1640">
        <v>227</v>
      </c>
    </row>
    <row r="685" spans="2:416" ht="15.6" customHeight="1">
      <c r="B685" s="1409" t="s">
        <v>952</v>
      </c>
      <c r="C685" s="1409"/>
      <c r="D685" s="1409"/>
      <c r="E685" s="1409"/>
      <c r="F685" s="1409"/>
      <c r="H685" s="2783">
        <f>'Part V-Revenues &amp; Expenses'!H232</f>
        <v>0</v>
      </c>
      <c r="I685" s="2783">
        <f>'Part V-Revenues &amp; Expenses'!I232</f>
        <v>0</v>
      </c>
      <c r="J685" s="2783">
        <f>'Part V-Revenues &amp; Expenses'!J232</f>
        <v>0</v>
      </c>
      <c r="K685" s="2783">
        <f>'Part V-Revenues &amp; Expenses'!K232</f>
        <v>0</v>
      </c>
      <c r="L685" s="2783">
        <f>'Part V-Revenues &amp; Expenses'!L232</f>
        <v>0</v>
      </c>
      <c r="M685" s="359"/>
      <c r="N685" s="359"/>
      <c r="O685" s="359"/>
      <c r="P685" s="359"/>
      <c r="Q685" s="359"/>
      <c r="S685" s="2647"/>
      <c r="T685" s="2647"/>
      <c r="U685" s="2647"/>
      <c r="V685" s="2647"/>
      <c r="W685" s="2647"/>
      <c r="LF685" s="1640"/>
      <c r="LK685" s="1640"/>
      <c r="LP685" s="1640"/>
      <c r="LU685" s="1640"/>
      <c r="LV685" s="1640"/>
      <c r="LW685" s="1640"/>
      <c r="LX685" s="1640"/>
      <c r="LY685" s="1640"/>
      <c r="LZ685" s="1640"/>
      <c r="MA685" s="1640"/>
      <c r="MB685" s="1640"/>
      <c r="MC685" s="1640"/>
      <c r="MD685" s="1640"/>
      <c r="ME685" s="1640"/>
      <c r="MF685" s="1640"/>
      <c r="MG685" s="1640"/>
      <c r="MH685" s="1640"/>
      <c r="MI685" s="1640"/>
      <c r="MJ685" s="1640"/>
      <c r="MK685" s="1640"/>
      <c r="ML685" s="1640"/>
      <c r="MM685" s="1640"/>
      <c r="MN685" s="1640"/>
      <c r="MO685" s="1640"/>
      <c r="MP685" s="1640"/>
      <c r="MW685" s="360"/>
      <c r="NM685" s="360"/>
      <c r="NN685" s="360"/>
      <c r="OZ685" s="1784">
        <v>228</v>
      </c>
    </row>
    <row r="686" spans="2:416" ht="15.6" customHeight="1">
      <c r="B686" s="1409" t="s">
        <v>689</v>
      </c>
      <c r="C686" s="1409">
        <f>'Part V-Revenues &amp; Expenses'!C233</f>
        <v>0</v>
      </c>
      <c r="D686" s="1409"/>
      <c r="E686" s="1409"/>
      <c r="F686" s="1409"/>
      <c r="H686" s="2783">
        <f>'Part V-Revenues &amp; Expenses'!H233</f>
        <v>0</v>
      </c>
      <c r="I686" s="2783">
        <f>'Part V-Revenues &amp; Expenses'!I233</f>
        <v>0</v>
      </c>
      <c r="J686" s="2783">
        <f>'Part V-Revenues &amp; Expenses'!J233</f>
        <v>0</v>
      </c>
      <c r="K686" s="2783">
        <f>'Part V-Revenues &amp; Expenses'!K233</f>
        <v>0</v>
      </c>
      <c r="L686" s="2783">
        <f>'Part V-Revenues &amp; Expenses'!L233</f>
        <v>0</v>
      </c>
      <c r="M686" s="359"/>
      <c r="N686" s="359"/>
      <c r="O686" s="359"/>
      <c r="P686" s="359"/>
      <c r="Q686" s="359"/>
      <c r="S686" s="2647"/>
      <c r="T686" s="2647"/>
      <c r="U686" s="2647"/>
      <c r="V686" s="2647"/>
      <c r="W686" s="2647"/>
      <c r="LF686" s="1640"/>
      <c r="LK686" s="1640"/>
      <c r="LP686" s="1640"/>
      <c r="LU686" s="1640"/>
      <c r="LV686" s="1640"/>
      <c r="LW686" s="1640"/>
      <c r="LX686" s="1640"/>
      <c r="LY686" s="1640"/>
      <c r="LZ686" s="1640"/>
      <c r="MA686" s="1640"/>
      <c r="MB686" s="1640"/>
      <c r="MC686" s="1640"/>
      <c r="MD686" s="1640"/>
      <c r="ME686" s="1640"/>
      <c r="MF686" s="1640"/>
      <c r="MG686" s="1640"/>
      <c r="MH686" s="1640"/>
      <c r="MI686" s="1640"/>
      <c r="MJ686" s="1640"/>
      <c r="MK686" s="1640"/>
      <c r="ML686" s="1640"/>
      <c r="MM686" s="1640"/>
      <c r="MN686" s="1640"/>
      <c r="MO686" s="1640"/>
      <c r="MP686" s="1640"/>
      <c r="MW686" s="360"/>
      <c r="NM686" s="360"/>
      <c r="NN686" s="360"/>
      <c r="OZ686" s="1784">
        <v>229</v>
      </c>
    </row>
    <row r="687" spans="2:416" ht="15.6" customHeight="1">
      <c r="B687" s="1409"/>
      <c r="C687" s="1409" t="s">
        <v>869</v>
      </c>
      <c r="D687" s="1409"/>
      <c r="E687" s="1409"/>
      <c r="F687" s="1409"/>
      <c r="H687" s="2784">
        <f>SUM(H685:H686)</f>
        <v>0</v>
      </c>
      <c r="I687" s="2784">
        <f>SUM(I685:I686)</f>
        <v>0</v>
      </c>
      <c r="J687" s="2784">
        <f>SUM(J685:J686)</f>
        <v>0</v>
      </c>
      <c r="K687" s="2784">
        <f>SUM(K685:K686)</f>
        <v>0</v>
      </c>
      <c r="L687" s="2784">
        <f>SUM(L685:L686)</f>
        <v>0</v>
      </c>
      <c r="M687" s="359"/>
      <c r="N687" s="359"/>
      <c r="O687" s="359"/>
      <c r="P687" s="359"/>
      <c r="Q687" s="359"/>
      <c r="S687" s="2647"/>
      <c r="T687" s="2647"/>
      <c r="U687" s="2647"/>
      <c r="V687" s="2647"/>
      <c r="W687" s="2647"/>
      <c r="LF687" s="1640"/>
      <c r="LK687" s="1640"/>
      <c r="LP687" s="1640"/>
      <c r="LU687" s="1640"/>
      <c r="LV687" s="1640"/>
      <c r="LW687" s="1640"/>
      <c r="LX687" s="1640"/>
      <c r="LY687" s="1640"/>
      <c r="LZ687" s="1640"/>
      <c r="MA687" s="1640"/>
      <c r="MB687" s="1640"/>
      <c r="MC687" s="1640"/>
      <c r="MD687" s="1640"/>
      <c r="ME687" s="1640"/>
      <c r="MF687" s="1640"/>
      <c r="MG687" s="1640"/>
      <c r="MH687" s="1640"/>
      <c r="MI687" s="1640"/>
      <c r="MJ687" s="1640"/>
      <c r="MK687" s="1640"/>
      <c r="ML687" s="1640"/>
      <c r="MM687" s="1640"/>
      <c r="MN687" s="1640"/>
      <c r="MO687" s="1640"/>
      <c r="MP687" s="1640"/>
      <c r="MW687" s="360"/>
      <c r="NM687" s="360"/>
      <c r="NN687" s="360"/>
      <c r="OZ687" s="1784">
        <v>230</v>
      </c>
    </row>
    <row r="688" spans="2:416" ht="15.6" customHeight="1">
      <c r="B688" s="2780" t="s">
        <v>5155</v>
      </c>
      <c r="C688" s="359"/>
      <c r="D688" s="359"/>
      <c r="E688" s="359"/>
      <c r="F688" s="359"/>
      <c r="H688" s="2785"/>
      <c r="I688" s="359"/>
      <c r="J688" s="359"/>
      <c r="K688" s="359"/>
      <c r="L688" s="359"/>
      <c r="M688" s="359"/>
      <c r="N688" s="359"/>
      <c r="O688" s="359"/>
      <c r="P688" s="359"/>
      <c r="Q688" s="359"/>
      <c r="S688" s="358" t="str">
        <f>B688</f>
        <v>NOT Included in Mgt Fee:</v>
      </c>
      <c r="LF688" s="1640"/>
      <c r="LK688" s="1640"/>
      <c r="LP688" s="1640"/>
      <c r="LU688" s="1640"/>
      <c r="LV688" s="1640"/>
      <c r="LW688" s="1640"/>
      <c r="LX688" s="1640"/>
      <c r="LY688" s="1640"/>
      <c r="LZ688" s="1640"/>
      <c r="MA688" s="1640"/>
      <c r="MB688" s="1640"/>
      <c r="MC688" s="1640"/>
      <c r="MD688" s="1640"/>
      <c r="ME688" s="1640"/>
      <c r="MF688" s="1640"/>
      <c r="MG688" s="1640"/>
      <c r="MH688" s="1640"/>
      <c r="MI688" s="1640"/>
      <c r="MJ688" s="1640"/>
      <c r="MK688" s="1640"/>
      <c r="ML688" s="1640"/>
      <c r="MM688" s="1640"/>
      <c r="MN688" s="1640"/>
      <c r="MO688" s="1640"/>
      <c r="MP688" s="1640"/>
      <c r="MW688" s="360"/>
      <c r="NM688" s="360"/>
      <c r="NN688" s="360"/>
      <c r="OZ688" s="1784">
        <v>231</v>
      </c>
    </row>
    <row r="689" spans="1:416" ht="15.6" customHeight="1">
      <c r="B689" s="1409" t="s">
        <v>497</v>
      </c>
      <c r="C689" s="1409"/>
      <c r="D689" s="1409"/>
      <c r="E689" s="1409"/>
      <c r="F689" s="1409"/>
      <c r="H689" s="2783">
        <f>'Part V-Revenues &amp; Expenses'!H236</f>
        <v>0</v>
      </c>
      <c r="I689" s="2783">
        <f>'Part V-Revenues &amp; Expenses'!I236</f>
        <v>0</v>
      </c>
      <c r="J689" s="2783">
        <f>'Part V-Revenues &amp; Expenses'!J236</f>
        <v>0</v>
      </c>
      <c r="K689" s="2783">
        <f>'Part V-Revenues &amp; Expenses'!K236</f>
        <v>0</v>
      </c>
      <c r="L689" s="2783">
        <f>'Part V-Revenues &amp; Expenses'!L236</f>
        <v>0</v>
      </c>
      <c r="M689" s="359"/>
      <c r="N689" s="359"/>
      <c r="O689" s="359"/>
      <c r="P689" s="359"/>
      <c r="Q689" s="359"/>
      <c r="S689" s="2647"/>
      <c r="T689" s="2647"/>
      <c r="U689" s="2647"/>
      <c r="V689" s="2647"/>
      <c r="W689" s="2647"/>
      <c r="LF689" s="1640"/>
      <c r="LK689" s="1640"/>
      <c r="LP689" s="1640"/>
      <c r="LU689" s="1640"/>
      <c r="LV689" s="1640"/>
      <c r="LW689" s="1640"/>
      <c r="LX689" s="1640"/>
      <c r="LY689" s="1640"/>
      <c r="LZ689" s="1640"/>
      <c r="MA689" s="1640"/>
      <c r="MB689" s="1640"/>
      <c r="MC689" s="1640"/>
      <c r="MD689" s="1640"/>
      <c r="ME689" s="1640"/>
      <c r="MF689" s="1640"/>
      <c r="MG689" s="1640"/>
      <c r="MH689" s="1640"/>
      <c r="MI689" s="1640"/>
      <c r="MJ689" s="1640"/>
      <c r="MK689" s="1640"/>
      <c r="ML689" s="1640"/>
      <c r="MM689" s="1640"/>
      <c r="MN689" s="1640"/>
      <c r="MO689" s="1640"/>
      <c r="MP689" s="1640"/>
      <c r="MW689" s="360"/>
      <c r="NM689" s="360"/>
      <c r="NN689" s="360"/>
      <c r="OZ689" s="1784">
        <v>232</v>
      </c>
    </row>
    <row r="690" spans="1:416" ht="15.6" customHeight="1">
      <c r="B690" s="1409" t="s">
        <v>689</v>
      </c>
      <c r="C690" s="1409">
        <f>'Part V-Revenues &amp; Expenses'!C237</f>
        <v>0</v>
      </c>
      <c r="D690" s="1409"/>
      <c r="E690" s="1409"/>
      <c r="F690" s="1409"/>
      <c r="H690" s="2783">
        <f>'Part V-Revenues &amp; Expenses'!H237</f>
        <v>0</v>
      </c>
      <c r="I690" s="2783">
        <f>'Part V-Revenues &amp; Expenses'!I237</f>
        <v>0</v>
      </c>
      <c r="J690" s="2783">
        <f>'Part V-Revenues &amp; Expenses'!J237</f>
        <v>0</v>
      </c>
      <c r="K690" s="2783">
        <f>'Part V-Revenues &amp; Expenses'!K237</f>
        <v>0</v>
      </c>
      <c r="L690" s="2783">
        <f>'Part V-Revenues &amp; Expenses'!L237</f>
        <v>0</v>
      </c>
      <c r="M690" s="359"/>
      <c r="N690" s="359"/>
      <c r="O690" s="359"/>
      <c r="P690" s="359"/>
      <c r="Q690" s="359"/>
      <c r="S690" s="2647"/>
      <c r="T690" s="2647"/>
      <c r="U690" s="2647"/>
      <c r="V690" s="2647"/>
      <c r="W690" s="2647"/>
      <c r="LF690" s="1640"/>
      <c r="LK690" s="1640"/>
      <c r="LP690" s="1640"/>
      <c r="LU690" s="1640"/>
      <c r="LV690" s="1640"/>
      <c r="LW690" s="1640"/>
      <c r="LX690" s="1640"/>
      <c r="LY690" s="1640"/>
      <c r="LZ690" s="1640"/>
      <c r="MA690" s="1640"/>
      <c r="MB690" s="1640"/>
      <c r="MC690" s="1640"/>
      <c r="MD690" s="1640"/>
      <c r="ME690" s="1640"/>
      <c r="MF690" s="1640"/>
      <c r="MG690" s="1640"/>
      <c r="MH690" s="1640"/>
      <c r="MI690" s="1640"/>
      <c r="MJ690" s="1640"/>
      <c r="MK690" s="1640"/>
      <c r="ML690" s="1640"/>
      <c r="MM690" s="1640"/>
      <c r="MN690" s="1640"/>
      <c r="MO690" s="1640"/>
      <c r="MP690" s="1640"/>
      <c r="MW690" s="360"/>
      <c r="NM690" s="360"/>
      <c r="NN690" s="360"/>
      <c r="OZ690" s="2468">
        <v>233</v>
      </c>
    </row>
    <row r="691" spans="1:416" ht="15.6" customHeight="1">
      <c r="B691" s="1409"/>
      <c r="C691" s="1409" t="s">
        <v>5156</v>
      </c>
      <c r="D691" s="1409"/>
      <c r="E691" s="1409"/>
      <c r="F691" s="1409"/>
      <c r="H691" s="2784">
        <f>SUM(H689:H690)</f>
        <v>0</v>
      </c>
      <c r="I691" s="2784">
        <f>SUM(I689:I690)</f>
        <v>0</v>
      </c>
      <c r="J691" s="2784">
        <f>SUM(J689:J690)</f>
        <v>0</v>
      </c>
      <c r="K691" s="2784">
        <f>SUM(K689:K690)</f>
        <v>0</v>
      </c>
      <c r="L691" s="2784">
        <f>SUM(L689:L690)</f>
        <v>0</v>
      </c>
      <c r="M691" s="359"/>
      <c r="N691" s="359"/>
      <c r="O691" s="359"/>
      <c r="P691" s="359"/>
      <c r="Q691" s="359"/>
      <c r="S691" s="2647"/>
      <c r="T691" s="2647"/>
      <c r="U691" s="2647"/>
      <c r="V691" s="2647"/>
      <c r="W691" s="2647"/>
      <c r="LF691" s="1640"/>
      <c r="LK691" s="1640"/>
      <c r="LP691" s="1640"/>
      <c r="LU691" s="1640"/>
      <c r="LV691" s="1640"/>
      <c r="LW691" s="1640"/>
      <c r="LX691" s="1640"/>
      <c r="LY691" s="1640"/>
      <c r="LZ691" s="1640"/>
      <c r="MA691" s="1640"/>
      <c r="MB691" s="1640"/>
      <c r="MC691" s="1640"/>
      <c r="MD691" s="1640"/>
      <c r="ME691" s="1640"/>
      <c r="MF691" s="1640"/>
      <c r="MG691" s="1640"/>
      <c r="MH691" s="1640"/>
      <c r="MI691" s="1640"/>
      <c r="MJ691" s="1640"/>
      <c r="MK691" s="1640"/>
      <c r="ML691" s="1640"/>
      <c r="MM691" s="1640"/>
      <c r="MN691" s="1640"/>
      <c r="MO691" s="1640"/>
      <c r="MP691" s="1640"/>
      <c r="MW691" s="360"/>
      <c r="NM691" s="360"/>
      <c r="NN691" s="360"/>
      <c r="OZ691" s="1784">
        <v>234</v>
      </c>
    </row>
    <row r="692" spans="1:416" ht="2.25" customHeight="1">
      <c r="B692" s="360"/>
      <c r="F692" s="2786"/>
      <c r="G692" s="2786"/>
      <c r="LF692" s="1640"/>
      <c r="LK692" s="1640"/>
      <c r="LP692" s="1640"/>
      <c r="LU692" s="1640"/>
      <c r="LV692" s="1640"/>
      <c r="LW692" s="1640"/>
      <c r="LX692" s="1640"/>
      <c r="LY692" s="1640"/>
      <c r="LZ692" s="1640"/>
      <c r="MA692" s="1640"/>
      <c r="MB692" s="1640"/>
      <c r="MC692" s="1640"/>
      <c r="MD692" s="1640"/>
      <c r="ME692" s="1640"/>
      <c r="MF692" s="1640"/>
      <c r="MG692" s="1640"/>
      <c r="MH692" s="1640"/>
      <c r="MI692" s="1640"/>
      <c r="MJ692" s="1640"/>
      <c r="MK692" s="1640"/>
      <c r="ML692" s="1640"/>
      <c r="MM692" s="1640"/>
      <c r="MN692" s="1640"/>
      <c r="MO692" s="1640"/>
      <c r="MP692" s="1640"/>
      <c r="MW692" s="360"/>
      <c r="NM692" s="360"/>
      <c r="NN692" s="360"/>
      <c r="OZ692" s="1640">
        <v>235</v>
      </c>
    </row>
    <row r="693" spans="1:416" s="358" customFormat="1" ht="11.25" customHeight="1">
      <c r="A693" s="1639" t="s">
        <v>1663</v>
      </c>
      <c r="B693" s="2787" t="s">
        <v>954</v>
      </c>
      <c r="C693" s="2787"/>
      <c r="D693" s="2787"/>
      <c r="E693" s="2787"/>
      <c r="F693" s="2787"/>
      <c r="G693" s="2787"/>
      <c r="H693" s="2787"/>
      <c r="I693" s="2787"/>
      <c r="J693" s="2787"/>
      <c r="K693" s="2787"/>
      <c r="L693" s="2787"/>
      <c r="N693" s="2788"/>
      <c r="O693" s="1784"/>
      <c r="P693" s="1784"/>
      <c r="S693" s="1639" t="str">
        <f>B693</f>
        <v>ANNUAL OPERATING EXPENSE BUDGET</v>
      </c>
      <c r="T693" s="356"/>
      <c r="X693" s="356"/>
      <c r="AC693" s="356"/>
      <c r="AH693" s="356"/>
      <c r="AM693" s="356"/>
      <c r="LF693" s="1784"/>
      <c r="LK693" s="1784"/>
      <c r="LP693" s="1784"/>
      <c r="LU693" s="1784"/>
      <c r="LV693" s="1784"/>
      <c r="LW693" s="1784"/>
      <c r="LX693" s="1784"/>
      <c r="LY693" s="1784"/>
      <c r="LZ693" s="1784"/>
      <c r="MA693" s="1784"/>
      <c r="MB693" s="1784"/>
      <c r="MC693" s="1784"/>
      <c r="MD693" s="1784"/>
      <c r="ME693" s="1784"/>
      <c r="MF693" s="1784"/>
      <c r="MG693" s="1784"/>
      <c r="MH693" s="1784"/>
      <c r="MI693" s="1784"/>
      <c r="MJ693" s="1784"/>
      <c r="MK693" s="1784"/>
      <c r="ML693" s="1784"/>
      <c r="MM693" s="1784"/>
      <c r="MN693" s="1784"/>
      <c r="MO693" s="1784"/>
      <c r="MP693" s="1784"/>
      <c r="MW693" s="1639"/>
      <c r="NM693" s="1639"/>
      <c r="NN693" s="1639"/>
      <c r="OY693" s="356"/>
      <c r="OZ693" s="1784">
        <v>236</v>
      </c>
    </row>
    <row r="694" spans="1:416" s="358" customFormat="1" ht="11.25" customHeight="1">
      <c r="B694" s="2787"/>
      <c r="C694" s="2787"/>
      <c r="D694" s="2787"/>
      <c r="E694" s="2787"/>
      <c r="F694" s="2787"/>
      <c r="G694" s="2787"/>
      <c r="H694" s="2787"/>
      <c r="I694" s="2787"/>
      <c r="J694" s="2787"/>
      <c r="K694" s="2787"/>
      <c r="S694" s="1771" t="s">
        <v>1705</v>
      </c>
      <c r="T694" s="1771"/>
      <c r="LF694" s="1784"/>
      <c r="LK694" s="1784"/>
      <c r="LP694" s="1784"/>
      <c r="LU694" s="1784"/>
      <c r="LV694" s="1784"/>
      <c r="LW694" s="1784"/>
      <c r="LX694" s="1784"/>
      <c r="LY694" s="1784"/>
      <c r="LZ694" s="1784"/>
      <c r="MA694" s="1784"/>
      <c r="MB694" s="1784"/>
      <c r="MC694" s="1784"/>
      <c r="MD694" s="1784"/>
      <c r="ME694" s="1784"/>
      <c r="MF694" s="1784"/>
      <c r="MG694" s="1784"/>
      <c r="MH694" s="1784"/>
      <c r="MI694" s="1784"/>
      <c r="MJ694" s="1784"/>
      <c r="MK694" s="1784"/>
      <c r="ML694" s="1784"/>
      <c r="MM694" s="1784"/>
      <c r="MN694" s="1784"/>
      <c r="MO694" s="1784"/>
      <c r="MP694" s="1784"/>
      <c r="MW694" s="1639"/>
      <c r="NM694" s="1639"/>
      <c r="NN694" s="1639"/>
      <c r="OY694" s="356"/>
      <c r="OZ694" s="1784">
        <v>237</v>
      </c>
    </row>
    <row r="695" spans="1:416" s="358" customFormat="1" ht="16.5" customHeight="1">
      <c r="B695" s="1639" t="s">
        <v>1211</v>
      </c>
      <c r="F695" s="356"/>
      <c r="G695" s="356"/>
      <c r="H695" s="2789" t="s">
        <v>1430</v>
      </c>
      <c r="I695" s="1639" t="s">
        <v>1297</v>
      </c>
      <c r="N695" s="2789" t="s">
        <v>1430</v>
      </c>
      <c r="O695" s="1639" t="s">
        <v>1300</v>
      </c>
      <c r="Q695" s="2790">
        <f>IF(OR('Part VI-Pro Forma'!$B$22 = "Choose Mgt Fee",'Part VI-Pro Forma'!$B$22 = "Choose One!"), 0,- 'Part VI-Pro Forma'!$B$22)</f>
        <v>149474</v>
      </c>
      <c r="S695" s="2647"/>
      <c r="T695" s="2647"/>
      <c r="U695" s="2647"/>
      <c r="V695" s="2647"/>
      <c r="W695" s="2647"/>
      <c r="X695" s="356"/>
      <c r="AC695" s="356"/>
      <c r="AH695" s="356"/>
      <c r="AM695" s="356"/>
      <c r="LF695" s="1784"/>
      <c r="LK695" s="1784"/>
      <c r="LP695" s="1784"/>
      <c r="LU695" s="1784"/>
      <c r="LV695" s="1784"/>
      <c r="LW695" s="1784"/>
      <c r="LX695" s="1784"/>
      <c r="LY695" s="1784"/>
      <c r="LZ695" s="1784"/>
      <c r="MA695" s="1784"/>
      <c r="MB695" s="1784"/>
      <c r="MC695" s="1784"/>
      <c r="MD695" s="1784"/>
      <c r="ME695" s="1784"/>
      <c r="MF695" s="1784"/>
      <c r="MG695" s="1784"/>
      <c r="MH695" s="1784"/>
      <c r="MI695" s="1784"/>
      <c r="MJ695" s="1784"/>
      <c r="MK695" s="1784"/>
      <c r="ML695" s="1784"/>
      <c r="MM695" s="1784"/>
      <c r="MN695" s="1784"/>
      <c r="MO695" s="1784"/>
      <c r="MP695" s="1784"/>
      <c r="MW695" s="1639"/>
      <c r="NM695" s="1639"/>
      <c r="NN695" s="1639"/>
      <c r="OY695" s="356"/>
      <c r="OZ695" s="1640">
        <v>238</v>
      </c>
    </row>
    <row r="696" spans="1:416" s="358" customFormat="1" ht="16.5" customHeight="1">
      <c r="B696" s="358" t="s">
        <v>2030</v>
      </c>
      <c r="F696" s="2769">
        <f>'Part V-Revenues &amp; Expenses'!F243</f>
        <v>120180</v>
      </c>
      <c r="G696" s="2769"/>
      <c r="H696" s="2791" t="e">
        <f>IF(OR(F696="",F696=0),"",F696/$E$54)</f>
        <v>#DIV/0!</v>
      </c>
      <c r="I696" s="358" t="s">
        <v>1298</v>
      </c>
      <c r="L696" s="2769">
        <f>'Part V-Revenues &amp; Expenses'!L243</f>
        <v>0</v>
      </c>
      <c r="M696" s="2769"/>
      <c r="N696" s="2791" t="str">
        <f>IF(OR(L696="",L696=0),"",L696/$E$54)</f>
        <v/>
      </c>
      <c r="O696" s="2792">
        <f>+Q695/(P529*0.93)</f>
        <v>1004.5295698924731</v>
      </c>
      <c r="P696" s="2751" t="s">
        <v>2476</v>
      </c>
      <c r="R696" s="2774"/>
      <c r="S696" s="2647"/>
      <c r="T696" s="2647"/>
      <c r="U696" s="2647"/>
      <c r="V696" s="2647"/>
      <c r="W696" s="2647"/>
      <c r="X696" s="356"/>
      <c r="AC696" s="356"/>
      <c r="AH696" s="356"/>
      <c r="AM696" s="356"/>
      <c r="LF696" s="1784"/>
      <c r="LK696" s="1784"/>
      <c r="LP696" s="1784"/>
      <c r="LU696" s="1784"/>
      <c r="LV696" s="1784"/>
      <c r="LW696" s="1784"/>
      <c r="LX696" s="1784"/>
      <c r="LY696" s="1784"/>
      <c r="LZ696" s="1784"/>
      <c r="MA696" s="1784"/>
      <c r="MB696" s="1784"/>
      <c r="MC696" s="1784"/>
      <c r="MD696" s="1784"/>
      <c r="ME696" s="1784"/>
      <c r="MF696" s="1784"/>
      <c r="MG696" s="1784"/>
      <c r="MH696" s="1784"/>
      <c r="MI696" s="1784"/>
      <c r="MJ696" s="1784"/>
      <c r="MK696" s="1784"/>
      <c r="ML696" s="1784"/>
      <c r="MM696" s="1784"/>
      <c r="MN696" s="1784"/>
      <c r="MO696" s="1784"/>
      <c r="MP696" s="1784"/>
      <c r="MW696" s="1639"/>
      <c r="NM696" s="1639"/>
      <c r="NN696" s="1639"/>
      <c r="OY696" s="356"/>
      <c r="OZ696" s="1784">
        <v>239</v>
      </c>
    </row>
    <row r="697" spans="1:416" s="358" customFormat="1" ht="16.5" customHeight="1">
      <c r="B697" s="358" t="s">
        <v>1287</v>
      </c>
      <c r="F697" s="2769">
        <f>'Part V-Revenues &amp; Expenses'!F244</f>
        <v>125000</v>
      </c>
      <c r="G697" s="2769"/>
      <c r="H697" s="2791" t="e">
        <f t="shared" ref="H697:H702" si="412">IF(OR(F697="",F697=0),"",F697/$E$54)</f>
        <v>#DIV/0!</v>
      </c>
      <c r="I697" s="358" t="s">
        <v>1299</v>
      </c>
      <c r="L697" s="2769">
        <f>'Part V-Revenues &amp; Expenses'!L244</f>
        <v>5000</v>
      </c>
      <c r="M697" s="2769"/>
      <c r="N697" s="2791" t="e">
        <f t="shared" ref="N697:N698" si="413">IF(OR(L697="",L697=0),"",L697/$E$54)</f>
        <v>#DIV/0!</v>
      </c>
      <c r="O697" s="2792">
        <f>+Q695/(P529*0.93)/12</f>
        <v>83.710797491039429</v>
      </c>
      <c r="P697" s="2751" t="s">
        <v>2477</v>
      </c>
      <c r="R697" s="2774"/>
      <c r="S697" s="2647"/>
      <c r="T697" s="2647"/>
      <c r="U697" s="2647"/>
      <c r="V697" s="2647"/>
      <c r="W697" s="2647"/>
      <c r="X697" s="356"/>
      <c r="AC697" s="356"/>
      <c r="AH697" s="356"/>
      <c r="AM697" s="356"/>
      <c r="LF697" s="1784"/>
      <c r="LK697" s="1784"/>
      <c r="LP697" s="1784"/>
      <c r="LU697" s="1784"/>
      <c r="LV697" s="1784"/>
      <c r="LW697" s="1784"/>
      <c r="LX697" s="1784"/>
      <c r="LY697" s="1784"/>
      <c r="LZ697" s="1784"/>
      <c r="MA697" s="1784"/>
      <c r="MB697" s="1784"/>
      <c r="MC697" s="1784"/>
      <c r="MD697" s="1784"/>
      <c r="ME697" s="1784"/>
      <c r="MF697" s="1784"/>
      <c r="MG697" s="1784"/>
      <c r="MH697" s="1784"/>
      <c r="MI697" s="1784"/>
      <c r="MJ697" s="1784"/>
      <c r="MK697" s="1784"/>
      <c r="ML697" s="1784"/>
      <c r="MM697" s="1784"/>
      <c r="MN697" s="1784"/>
      <c r="MO697" s="1784"/>
      <c r="MP697" s="1784"/>
      <c r="MW697" s="1639"/>
      <c r="NM697" s="1639"/>
      <c r="NN697" s="1639"/>
      <c r="OY697" s="356"/>
      <c r="OZ697" s="1784">
        <v>240</v>
      </c>
    </row>
    <row r="698" spans="1:416" s="358" customFormat="1" ht="16.5" customHeight="1">
      <c r="B698" s="358" t="s">
        <v>1164</v>
      </c>
      <c r="F698" s="2769">
        <f>'Part V-Revenues &amp; Expenses'!F245</f>
        <v>30000</v>
      </c>
      <c r="G698" s="2769"/>
      <c r="H698" s="2791" t="e">
        <f t="shared" si="412"/>
        <v>#DIV/0!</v>
      </c>
      <c r="K698" s="2793" t="s">
        <v>184</v>
      </c>
      <c r="L698" s="2769">
        <f>SUM(L696:M697)</f>
        <v>5000</v>
      </c>
      <c r="M698" s="2769"/>
      <c r="N698" s="2791" t="e">
        <f t="shared" si="413"/>
        <v>#DIV/0!</v>
      </c>
      <c r="O698" s="361" t="s">
        <v>3136</v>
      </c>
      <c r="P698" s="361"/>
      <c r="Q698" s="361"/>
      <c r="R698" s="2774"/>
      <c r="S698" s="2647"/>
      <c r="T698" s="2647"/>
      <c r="U698" s="2647"/>
      <c r="V698" s="2647"/>
      <c r="W698" s="2647"/>
      <c r="X698" s="356"/>
      <c r="AC698" s="356"/>
      <c r="AH698" s="356"/>
      <c r="AM698" s="356"/>
      <c r="LF698" s="1784"/>
      <c r="LK698" s="1784"/>
      <c r="LP698" s="1784"/>
      <c r="LU698" s="1784"/>
      <c r="LV698" s="1784"/>
      <c r="LW698" s="1784"/>
      <c r="LX698" s="1784"/>
      <c r="LY698" s="1784"/>
      <c r="LZ698" s="1784"/>
      <c r="MA698" s="1784"/>
      <c r="MB698" s="1784"/>
      <c r="MC698" s="1784"/>
      <c r="MD698" s="1784"/>
      <c r="ME698" s="1784"/>
      <c r="MF698" s="1784"/>
      <c r="MG698" s="1784"/>
      <c r="MH698" s="1784"/>
      <c r="MI698" s="1784"/>
      <c r="MJ698" s="1784"/>
      <c r="MK698" s="1784"/>
      <c r="ML698" s="1784"/>
      <c r="MM698" s="1784"/>
      <c r="MN698" s="1784"/>
      <c r="MO698" s="1784"/>
      <c r="MP698" s="1784"/>
      <c r="MW698" s="1639"/>
      <c r="NM698" s="1639"/>
      <c r="NN698" s="1639"/>
      <c r="OY698" s="356"/>
      <c r="OZ698" s="1784">
        <v>241</v>
      </c>
    </row>
    <row r="699" spans="1:416" s="358" customFormat="1" ht="16.5" customHeight="1">
      <c r="B699" s="2794" t="s">
        <v>4520</v>
      </c>
      <c r="F699" s="2769">
        <f>'Part V-Revenues &amp; Expenses'!F246</f>
        <v>30000</v>
      </c>
      <c r="G699" s="2769"/>
      <c r="H699" s="2791" t="e">
        <f t="shared" si="412"/>
        <v>#DIV/0!</v>
      </c>
      <c r="R699" s="2774"/>
      <c r="S699" s="2647"/>
      <c r="T699" s="2647"/>
      <c r="U699" s="2647"/>
      <c r="V699" s="2647"/>
      <c r="W699" s="2647"/>
      <c r="X699" s="356"/>
      <c r="AC699" s="356"/>
      <c r="AH699" s="356"/>
      <c r="AM699" s="356"/>
      <c r="LF699" s="1784"/>
      <c r="LK699" s="1784"/>
      <c r="LP699" s="1784"/>
      <c r="LU699" s="1784"/>
      <c r="LV699" s="1784"/>
      <c r="LW699" s="1784"/>
      <c r="LX699" s="1784"/>
      <c r="LY699" s="1784"/>
      <c r="LZ699" s="1784"/>
      <c r="MA699" s="1784"/>
      <c r="MB699" s="1784"/>
      <c r="MC699" s="1784"/>
      <c r="MD699" s="1784"/>
      <c r="ME699" s="1784"/>
      <c r="MF699" s="1784"/>
      <c r="MG699" s="1784"/>
      <c r="MH699" s="1784"/>
      <c r="MI699" s="1784"/>
      <c r="MJ699" s="1784"/>
      <c r="MK699" s="1784"/>
      <c r="ML699" s="1784"/>
      <c r="MM699" s="1784"/>
      <c r="MN699" s="1784"/>
      <c r="MO699" s="1784"/>
      <c r="MP699" s="1784"/>
      <c r="MW699" s="1639"/>
      <c r="NM699" s="1639"/>
      <c r="NN699" s="1639"/>
      <c r="OZ699" s="1784">
        <v>242</v>
      </c>
    </row>
    <row r="700" spans="1:416" s="358" customFormat="1" ht="16.5" customHeight="1">
      <c r="B700" s="2794" t="s">
        <v>3887</v>
      </c>
      <c r="F700" s="2769">
        <f>'Part V-Revenues &amp; Expenses'!F247</f>
        <v>0</v>
      </c>
      <c r="G700" s="2769"/>
      <c r="H700" s="2791" t="str">
        <f t="shared" si="412"/>
        <v/>
      </c>
      <c r="R700" s="2774"/>
      <c r="S700" s="2647"/>
      <c r="T700" s="2647"/>
      <c r="U700" s="2647"/>
      <c r="V700" s="2647"/>
      <c r="W700" s="2647"/>
      <c r="X700" s="356"/>
      <c r="AC700" s="356"/>
      <c r="AH700" s="356"/>
      <c r="AM700" s="356"/>
      <c r="LF700" s="1784"/>
      <c r="LK700" s="1784"/>
      <c r="LP700" s="1784"/>
      <c r="LU700" s="1784"/>
      <c r="LV700" s="1784"/>
      <c r="LW700" s="1784"/>
      <c r="LX700" s="1784"/>
      <c r="LY700" s="1784"/>
      <c r="LZ700" s="1784"/>
      <c r="MA700" s="1784"/>
      <c r="MB700" s="1784"/>
      <c r="MC700" s="1784"/>
      <c r="MD700" s="1784"/>
      <c r="ME700" s="1784"/>
      <c r="MF700" s="1784"/>
      <c r="MG700" s="1784"/>
      <c r="MH700" s="1784"/>
      <c r="MI700" s="1784"/>
      <c r="MJ700" s="1784"/>
      <c r="MK700" s="1784"/>
      <c r="ML700" s="1784"/>
      <c r="MM700" s="1784"/>
      <c r="MN700" s="1784"/>
      <c r="MO700" s="1784"/>
      <c r="MP700" s="1784"/>
      <c r="MW700" s="1639"/>
      <c r="NM700" s="1639"/>
      <c r="NN700" s="1639"/>
      <c r="OZ700" s="1784">
        <v>243</v>
      </c>
    </row>
    <row r="701" spans="1:416" s="358" customFormat="1" ht="16.5" customHeight="1">
      <c r="B701" s="361" t="str">
        <f>'Part V-Revenues &amp; Expenses'!B248</f>
        <v>Other (describe here)</v>
      </c>
      <c r="C701" s="361"/>
      <c r="D701" s="361"/>
      <c r="E701" s="361"/>
      <c r="F701" s="2769">
        <f>'Part V-Revenues &amp; Expenses'!F248</f>
        <v>0</v>
      </c>
      <c r="G701" s="2769"/>
      <c r="H701" s="2791" t="str">
        <f t="shared" si="412"/>
        <v/>
      </c>
      <c r="I701" s="1639" t="s">
        <v>1213</v>
      </c>
      <c r="R701" s="2774"/>
      <c r="S701" s="2647"/>
      <c r="T701" s="2647"/>
      <c r="U701" s="2647"/>
      <c r="V701" s="2647"/>
      <c r="W701" s="2647"/>
      <c r="X701" s="356"/>
      <c r="AC701" s="356"/>
      <c r="AH701" s="356"/>
      <c r="AM701" s="356"/>
      <c r="LF701" s="1784"/>
      <c r="LK701" s="1784"/>
      <c r="LP701" s="1784"/>
      <c r="LU701" s="1784"/>
      <c r="LV701" s="1784"/>
      <c r="LW701" s="1784"/>
      <c r="LX701" s="1784"/>
      <c r="LY701" s="1784"/>
      <c r="LZ701" s="1784"/>
      <c r="MA701" s="1784"/>
      <c r="MB701" s="1784"/>
      <c r="MC701" s="1784"/>
      <c r="MD701" s="1784"/>
      <c r="ME701" s="1784"/>
      <c r="MF701" s="1784"/>
      <c r="MG701" s="1784"/>
      <c r="MH701" s="1784"/>
      <c r="MI701" s="1784"/>
      <c r="MJ701" s="1784"/>
      <c r="MK701" s="1784"/>
      <c r="ML701" s="1784"/>
      <c r="MM701" s="1784"/>
      <c r="MN701" s="1784"/>
      <c r="MO701" s="1784"/>
      <c r="MP701" s="1784"/>
      <c r="MW701" s="1639"/>
      <c r="NM701" s="1639"/>
      <c r="NN701" s="1639"/>
      <c r="OZ701" s="2468">
        <v>244</v>
      </c>
    </row>
    <row r="702" spans="1:416" s="358" customFormat="1" ht="16.5" customHeight="1">
      <c r="E702" s="2793" t="s">
        <v>184</v>
      </c>
      <c r="F702" s="2769">
        <f>SUM(F696:G701)</f>
        <v>305180</v>
      </c>
      <c r="G702" s="2769"/>
      <c r="H702" s="2791" t="e">
        <f t="shared" si="412"/>
        <v>#DIV/0!</v>
      </c>
      <c r="I702" s="358" t="s">
        <v>1495</v>
      </c>
      <c r="L702" s="2769">
        <f>'Part V-Revenues &amp; Expenses'!L249</f>
        <v>1000</v>
      </c>
      <c r="M702" s="2774"/>
      <c r="N702" s="2791" t="e">
        <f>IF(OR(L702="",L702=0),"",L702/$E$54)</f>
        <v>#DIV/0!</v>
      </c>
      <c r="S702" s="2647"/>
      <c r="T702" s="2647"/>
      <c r="U702" s="2647"/>
      <c r="V702" s="2647"/>
      <c r="W702" s="2647"/>
      <c r="X702" s="356"/>
      <c r="AC702" s="356"/>
      <c r="AH702" s="356"/>
      <c r="AM702" s="356"/>
      <c r="LF702" s="1784"/>
      <c r="LK702" s="1784"/>
      <c r="LP702" s="1784"/>
      <c r="LU702" s="1784"/>
      <c r="LV702" s="1784"/>
      <c r="LW702" s="1784"/>
      <c r="LX702" s="1784"/>
      <c r="LY702" s="1784"/>
      <c r="LZ702" s="1784"/>
      <c r="MA702" s="1784"/>
      <c r="MB702" s="1784"/>
      <c r="MC702" s="1784"/>
      <c r="MD702" s="1784"/>
      <c r="ME702" s="1784"/>
      <c r="MF702" s="1784"/>
      <c r="MG702" s="1784"/>
      <c r="MH702" s="1784"/>
      <c r="MI702" s="1784"/>
      <c r="MJ702" s="1784"/>
      <c r="MK702" s="1784"/>
      <c r="ML702" s="1784"/>
      <c r="MM702" s="1784"/>
      <c r="MN702" s="1784"/>
      <c r="MO702" s="1784"/>
      <c r="MP702" s="1784"/>
      <c r="MW702" s="1639"/>
      <c r="NM702" s="1639"/>
      <c r="NN702" s="1639"/>
      <c r="OZ702" s="1784">
        <v>245</v>
      </c>
    </row>
    <row r="703" spans="1:416" s="358" customFormat="1" ht="16.5" customHeight="1">
      <c r="C703" s="1639"/>
      <c r="D703" s="2793"/>
      <c r="F703" s="2747"/>
      <c r="G703" s="2747"/>
      <c r="I703" s="358" t="s">
        <v>1893</v>
      </c>
      <c r="L703" s="2769">
        <f>'Part V-Revenues &amp; Expenses'!L250</f>
        <v>10000</v>
      </c>
      <c r="M703" s="2774"/>
      <c r="N703" s="2791" t="e">
        <f t="shared" ref="N703:N706" si="414">IF(OR(L703="",L703=0),"",L703/$E$54)</f>
        <v>#DIV/0!</v>
      </c>
      <c r="O703" s="1639" t="s">
        <v>2023</v>
      </c>
      <c r="Q703" s="2774">
        <f>F702+F711+F722+L698+L706+L716+L722+Q695</f>
        <v>1234842</v>
      </c>
      <c r="S703" s="2647"/>
      <c r="T703" s="2647"/>
      <c r="U703" s="2647"/>
      <c r="V703" s="2647"/>
      <c r="W703" s="2647"/>
      <c r="LF703" s="1784"/>
      <c r="LK703" s="1784"/>
      <c r="LP703" s="1784"/>
      <c r="LU703" s="1784"/>
      <c r="LV703" s="1784"/>
      <c r="LW703" s="1784"/>
      <c r="LX703" s="1784"/>
      <c r="LY703" s="1784"/>
      <c r="LZ703" s="1784"/>
      <c r="MA703" s="1784"/>
      <c r="MB703" s="1784"/>
      <c r="MC703" s="1784"/>
      <c r="MD703" s="1784"/>
      <c r="ME703" s="1784"/>
      <c r="MF703" s="1784"/>
      <c r="MG703" s="1784"/>
      <c r="MH703" s="1784"/>
      <c r="MI703" s="1784"/>
      <c r="MJ703" s="1784"/>
      <c r="MK703" s="1784"/>
      <c r="ML703" s="1784"/>
      <c r="MM703" s="1784"/>
      <c r="MN703" s="1784"/>
      <c r="MO703" s="1784"/>
      <c r="MP703" s="1784"/>
      <c r="MW703" s="1639"/>
      <c r="NM703" s="1639"/>
      <c r="NN703" s="1639"/>
      <c r="OZ703" s="1784">
        <v>246</v>
      </c>
    </row>
    <row r="704" spans="1:416" s="358" customFormat="1" ht="16.5" customHeight="1">
      <c r="B704" s="1639" t="s">
        <v>1212</v>
      </c>
      <c r="D704" s="2762"/>
      <c r="I704" s="358" t="s">
        <v>1496</v>
      </c>
      <c r="L704" s="2769">
        <f>'Part V-Revenues &amp; Expenses'!L251</f>
        <v>6000</v>
      </c>
      <c r="M704" s="2774"/>
      <c r="N704" s="2791" t="e">
        <f t="shared" si="414"/>
        <v>#DIV/0!</v>
      </c>
      <c r="O704" s="2751" t="s">
        <v>2478</v>
      </c>
      <c r="P704" s="2792">
        <f>+Q703/P529</f>
        <v>7717.7624999999998</v>
      </c>
      <c r="R704" s="2790"/>
      <c r="S704" s="2647"/>
      <c r="T704" s="2647"/>
      <c r="U704" s="2647"/>
      <c r="V704" s="2647"/>
      <c r="W704" s="2647"/>
      <c r="X704" s="356"/>
      <c r="AC704" s="356"/>
      <c r="AH704" s="356"/>
      <c r="AM704" s="356"/>
      <c r="LF704" s="1784"/>
      <c r="LK704" s="1784"/>
      <c r="LP704" s="1784"/>
      <c r="LU704" s="1784"/>
      <c r="LV704" s="1784"/>
      <c r="LW704" s="1784"/>
      <c r="LX704" s="1784"/>
      <c r="LY704" s="1784"/>
      <c r="LZ704" s="1784"/>
      <c r="MA704" s="1784"/>
      <c r="MB704" s="1784"/>
      <c r="MC704" s="1784"/>
      <c r="MD704" s="1784"/>
      <c r="ME704" s="1784"/>
      <c r="MF704" s="1784"/>
      <c r="MG704" s="1784"/>
      <c r="MH704" s="1784"/>
      <c r="MI704" s="1784"/>
      <c r="MJ704" s="1784"/>
      <c r="MK704" s="1784"/>
      <c r="ML704" s="1784"/>
      <c r="MM704" s="1784"/>
      <c r="MN704" s="1784"/>
      <c r="MO704" s="1784"/>
      <c r="MP704" s="1784"/>
      <c r="MW704" s="1639"/>
      <c r="NM704" s="1639"/>
      <c r="NN704" s="1639"/>
      <c r="OY704" s="358" t="s">
        <v>4337</v>
      </c>
      <c r="OZ704" s="1640">
        <v>247</v>
      </c>
    </row>
    <row r="705" spans="2:416" s="358" customFormat="1" ht="16.5" customHeight="1">
      <c r="B705" s="358" t="s">
        <v>1292</v>
      </c>
      <c r="D705" s="2762"/>
      <c r="F705" s="2769">
        <f>'Part V-Revenues &amp; Expenses'!F252</f>
        <v>8000</v>
      </c>
      <c r="G705" s="2769"/>
      <c r="H705" s="2791" t="e">
        <f>IF(OR(F705="",F705=0),"",F705/$E$54)</f>
        <v>#DIV/0!</v>
      </c>
      <c r="I705" s="361" t="str">
        <f>'Part V-Revenues &amp; Expenses'!I252</f>
        <v>Other (describe here)</v>
      </c>
      <c r="J705" s="2795"/>
      <c r="K705" s="2795"/>
      <c r="L705" s="2769">
        <f>'Part V-Revenues &amp; Expenses'!L252</f>
        <v>0</v>
      </c>
      <c r="M705" s="2774"/>
      <c r="N705" s="2791" t="str">
        <f t="shared" si="414"/>
        <v/>
      </c>
      <c r="P705" s="2751" t="s">
        <v>3137</v>
      </c>
      <c r="Q705" s="27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647"/>
      <c r="T705" s="2647"/>
      <c r="U705" s="2647"/>
      <c r="V705" s="2647"/>
      <c r="W705" s="2647"/>
      <c r="X705" s="356"/>
      <c r="AC705" s="356"/>
      <c r="AH705" s="356"/>
      <c r="AM705" s="356"/>
      <c r="LF705" s="1784"/>
      <c r="LK705" s="1784"/>
      <c r="LP705" s="1784"/>
      <c r="LU705" s="1784"/>
      <c r="LV705" s="1784"/>
      <c r="LW705" s="1784"/>
      <c r="LX705" s="1784"/>
      <c r="LY705" s="1784"/>
      <c r="LZ705" s="1784"/>
      <c r="MA705" s="1784"/>
      <c r="MB705" s="1784"/>
      <c r="MC705" s="1784"/>
      <c r="MD705" s="1784"/>
      <c r="ME705" s="1784"/>
      <c r="MF705" s="1784"/>
      <c r="MG705" s="1784"/>
      <c r="MH705" s="1784"/>
      <c r="MI705" s="1784"/>
      <c r="MJ705" s="1784"/>
      <c r="MK705" s="1784"/>
      <c r="ML705" s="1784"/>
      <c r="MM705" s="1784"/>
      <c r="MN705" s="1784"/>
      <c r="MO705" s="1784"/>
      <c r="MP705" s="1784"/>
      <c r="MW705" s="1639"/>
      <c r="NM705" s="1639"/>
      <c r="NN705" s="1639"/>
      <c r="OZ705" s="1784">
        <v>248</v>
      </c>
    </row>
    <row r="706" spans="2:416" s="358" customFormat="1" ht="16.5" customHeight="1">
      <c r="B706" s="358" t="s">
        <v>1293</v>
      </c>
      <c r="D706" s="2762"/>
      <c r="F706" s="2769">
        <f>'Part V-Revenues &amp; Expenses'!F253</f>
        <v>20000</v>
      </c>
      <c r="G706" s="2769"/>
      <c r="H706" s="2791" t="e">
        <f t="shared" ref="H706:H711" si="415">IF(OR(F706="",F706=0),"",F706/$E$54)</f>
        <v>#DIV/0!</v>
      </c>
      <c r="I706" s="1639"/>
      <c r="K706" s="2793" t="s">
        <v>184</v>
      </c>
      <c r="L706" s="2774">
        <f>SUM(L702:L705)</f>
        <v>17000</v>
      </c>
      <c r="M706" s="2774"/>
      <c r="N706" s="2791" t="e">
        <f t="shared" si="414"/>
        <v>#DIV/0!</v>
      </c>
      <c r="O706" s="2796" t="s">
        <v>4803</v>
      </c>
      <c r="P706" s="2796"/>
      <c r="Q706" s="2796"/>
      <c r="S706" s="2647"/>
      <c r="T706" s="2647"/>
      <c r="U706" s="2647"/>
      <c r="V706" s="2647"/>
      <c r="W706" s="2647"/>
      <c r="X706" s="356"/>
      <c r="AC706" s="356"/>
      <c r="AH706" s="356"/>
      <c r="AM706" s="356"/>
      <c r="LF706" s="1784"/>
      <c r="LK706" s="1784"/>
      <c r="LP706" s="1784"/>
      <c r="LU706" s="1784"/>
      <c r="LV706" s="1784"/>
      <c r="LW706" s="1784"/>
      <c r="LX706" s="1784"/>
      <c r="LY706" s="1784"/>
      <c r="LZ706" s="1784"/>
      <c r="MA706" s="1784"/>
      <c r="MB706" s="1784"/>
      <c r="MC706" s="1784"/>
      <c r="MD706" s="1784"/>
      <c r="ME706" s="1784"/>
      <c r="MF706" s="1784"/>
      <c r="MG706" s="1784"/>
      <c r="MH706" s="1784"/>
      <c r="MI706" s="1784"/>
      <c r="MJ706" s="1784"/>
      <c r="MK706" s="1784"/>
      <c r="ML706" s="1784"/>
      <c r="MM706" s="1784"/>
      <c r="MN706" s="1784"/>
      <c r="MO706" s="1784"/>
      <c r="MP706" s="1784"/>
      <c r="MW706" s="1639"/>
      <c r="NM706" s="1639"/>
      <c r="NN706" s="1639"/>
      <c r="OZ706" s="1784">
        <v>249</v>
      </c>
    </row>
    <row r="707" spans="2:416" s="358" customFormat="1" ht="16.5" customHeight="1">
      <c r="B707" s="358" t="s">
        <v>1294</v>
      </c>
      <c r="D707" s="2762"/>
      <c r="F707" s="2769">
        <f>'Part V-Revenues &amp; Expenses'!F254</f>
        <v>3000</v>
      </c>
      <c r="G707" s="2769"/>
      <c r="H707" s="2791" t="e">
        <f t="shared" si="415"/>
        <v>#DIV/0!</v>
      </c>
      <c r="O707" s="2796"/>
      <c r="P707" s="2796"/>
      <c r="Q707" s="2796"/>
      <c r="R707" s="1769"/>
      <c r="S707" s="2647"/>
      <c r="T707" s="2647"/>
      <c r="U707" s="2647"/>
      <c r="V707" s="2647"/>
      <c r="W707" s="2647"/>
      <c r="X707" s="356"/>
      <c r="AC707" s="356"/>
      <c r="AH707" s="356"/>
      <c r="AM707" s="356"/>
      <c r="LF707" s="1784"/>
      <c r="LK707" s="1784"/>
      <c r="LP707" s="1784"/>
      <c r="LU707" s="1784"/>
      <c r="LV707" s="1784"/>
      <c r="LW707" s="1784"/>
      <c r="LX707" s="1784"/>
      <c r="LY707" s="1784"/>
      <c r="LZ707" s="1784"/>
      <c r="MA707" s="1784"/>
      <c r="MB707" s="1784"/>
      <c r="MC707" s="1784"/>
      <c r="MD707" s="1784"/>
      <c r="ME707" s="1784"/>
      <c r="MF707" s="1784"/>
      <c r="MG707" s="1784"/>
      <c r="MH707" s="1784"/>
      <c r="MI707" s="1784"/>
      <c r="MJ707" s="1784"/>
      <c r="MK707" s="1784"/>
      <c r="ML707" s="1784"/>
      <c r="MM707" s="1784"/>
      <c r="MN707" s="1784"/>
      <c r="MO707" s="1784"/>
      <c r="MP707" s="1784"/>
      <c r="MW707" s="1639"/>
      <c r="NM707" s="1639"/>
      <c r="NN707" s="1639"/>
      <c r="OZ707" s="1784">
        <v>250</v>
      </c>
    </row>
    <row r="708" spans="2:416" s="358" customFormat="1" ht="16.5" customHeight="1">
      <c r="B708" s="358" t="s">
        <v>2154</v>
      </c>
      <c r="D708" s="2762"/>
      <c r="F708" s="2769">
        <f>'Part V-Revenues &amp; Expenses'!F255</f>
        <v>7500</v>
      </c>
      <c r="G708" s="2769"/>
      <c r="H708" s="2791" t="e">
        <f t="shared" si="415"/>
        <v>#DIV/0!</v>
      </c>
      <c r="R708" s="1769"/>
      <c r="S708" s="2647"/>
      <c r="T708" s="2647"/>
      <c r="U708" s="2647"/>
      <c r="V708" s="2647"/>
      <c r="W708" s="2647"/>
      <c r="X708" s="356"/>
      <c r="AC708" s="356"/>
      <c r="AH708" s="356"/>
      <c r="AM708" s="356"/>
      <c r="LF708" s="1784"/>
      <c r="LK708" s="1784"/>
      <c r="LP708" s="1784"/>
      <c r="LU708" s="1784"/>
      <c r="LV708" s="1784"/>
      <c r="LW708" s="1784"/>
      <c r="LX708" s="1784"/>
      <c r="LY708" s="1784"/>
      <c r="LZ708" s="1784"/>
      <c r="MA708" s="1784"/>
      <c r="MB708" s="1784"/>
      <c r="MC708" s="1784"/>
      <c r="MD708" s="1784"/>
      <c r="ME708" s="1784"/>
      <c r="MF708" s="1784"/>
      <c r="MG708" s="1784"/>
      <c r="MH708" s="1784"/>
      <c r="MI708" s="1784"/>
      <c r="MJ708" s="1784"/>
      <c r="MK708" s="1784"/>
      <c r="ML708" s="1784"/>
      <c r="MM708" s="1784"/>
      <c r="MN708" s="1784"/>
      <c r="MO708" s="1784"/>
      <c r="MP708" s="1784"/>
      <c r="MW708" s="1639"/>
      <c r="NM708" s="1639"/>
      <c r="NN708" s="1639"/>
      <c r="OY708" s="358" t="s">
        <v>4338</v>
      </c>
      <c r="OZ708" s="1784">
        <v>251</v>
      </c>
    </row>
    <row r="709" spans="2:416" s="358" customFormat="1" ht="16.5" customHeight="1">
      <c r="B709" s="358" t="s">
        <v>1493</v>
      </c>
      <c r="D709" s="2762"/>
      <c r="F709" s="2769">
        <f>'Part V-Revenues &amp; Expenses'!F256</f>
        <v>1500</v>
      </c>
      <c r="G709" s="2769"/>
      <c r="H709" s="2791" t="e">
        <f t="shared" si="415"/>
        <v>#DIV/0!</v>
      </c>
      <c r="I709" s="1639" t="s">
        <v>1295</v>
      </c>
      <c r="K709" s="1524" t="s">
        <v>3758</v>
      </c>
      <c r="O709" s="1639" t="s">
        <v>2999</v>
      </c>
      <c r="P709" s="1639"/>
      <c r="Q709" s="2797">
        <f>'Part V-Revenues &amp; Expenses'!Q256</f>
        <v>64000</v>
      </c>
      <c r="S709" s="2647"/>
      <c r="T709" s="2647"/>
      <c r="U709" s="2647"/>
      <c r="V709" s="2647"/>
      <c r="W709" s="2647"/>
      <c r="X709" s="356"/>
      <c r="AC709" s="356"/>
      <c r="AH709" s="356"/>
      <c r="AM709" s="356"/>
      <c r="LF709" s="1784"/>
      <c r="LK709" s="1784"/>
      <c r="LP709" s="1784"/>
      <c r="LU709" s="1784"/>
      <c r="LV709" s="1784"/>
      <c r="LW709" s="1784"/>
      <c r="LX709" s="1784"/>
      <c r="LY709" s="1784"/>
      <c r="LZ709" s="1784"/>
      <c r="MA709" s="1784"/>
      <c r="MB709" s="1784"/>
      <c r="MC709" s="1784"/>
      <c r="MD709" s="1784"/>
      <c r="ME709" s="1784"/>
      <c r="MF709" s="1784"/>
      <c r="MG709" s="1784"/>
      <c r="MH709" s="1784"/>
      <c r="MI709" s="1784"/>
      <c r="MJ709" s="1784"/>
      <c r="MK709" s="1784"/>
      <c r="ML709" s="1784"/>
      <c r="MM709" s="1784"/>
      <c r="MN709" s="1784"/>
      <c r="MO709" s="1784"/>
      <c r="MP709" s="1784"/>
      <c r="MW709" s="1639"/>
      <c r="NM709" s="1639"/>
      <c r="NN709" s="1639"/>
      <c r="OZ709" s="1784">
        <v>252</v>
      </c>
    </row>
    <row r="710" spans="2:416" s="358" customFormat="1" ht="16.5" customHeight="1">
      <c r="B710" s="361" t="str">
        <f>'Part V-Revenues &amp; Expenses'!B257</f>
        <v>Other (describe here)</v>
      </c>
      <c r="C710" s="361"/>
      <c r="D710" s="361"/>
      <c r="E710" s="361"/>
      <c r="F710" s="2769">
        <f>'Part V-Revenues &amp; Expenses'!F257</f>
        <v>0</v>
      </c>
      <c r="G710" s="2769"/>
      <c r="H710" s="2791" t="str">
        <f t="shared" si="415"/>
        <v/>
      </c>
      <c r="I710" s="358" t="s">
        <v>1288</v>
      </c>
      <c r="K710" s="2656">
        <f>L710/12/P529</f>
        <v>20.833333333333336</v>
      </c>
      <c r="L710" s="2769">
        <f>'Part V-Revenues &amp; Expenses'!L257</f>
        <v>40000</v>
      </c>
      <c r="M710" s="2774"/>
      <c r="N710" s="2791" t="e">
        <f>IF(OR(L710="",L710=0),"",L710/$E$54)</f>
        <v>#DIV/0!</v>
      </c>
      <c r="O710" s="361" t="s">
        <v>3757</v>
      </c>
      <c r="Q710" s="2798" t="e">
        <f>Q709/P718</f>
        <v>#DIV/0!</v>
      </c>
      <c r="R710" s="1536" t="str">
        <f>IF(Q709&lt;Q718, "WARNING! RR proposed is below the DCA required minimum.","")</f>
        <v/>
      </c>
      <c r="S710" s="2647"/>
      <c r="T710" s="2647"/>
      <c r="U710" s="2647"/>
      <c r="V710" s="2647"/>
      <c r="W710" s="2647"/>
      <c r="X710" s="356"/>
      <c r="AC710" s="356"/>
      <c r="AH710" s="356"/>
      <c r="AM710" s="356"/>
      <c r="LF710" s="1784"/>
      <c r="LK710" s="1784"/>
      <c r="LP710" s="1784"/>
      <c r="LU710" s="1784"/>
      <c r="LV710" s="1784"/>
      <c r="LW710" s="1784"/>
      <c r="LX710" s="1784"/>
      <c r="LY710" s="1784"/>
      <c r="LZ710" s="1784"/>
      <c r="MA710" s="1784"/>
      <c r="MB710" s="1784"/>
      <c r="MC710" s="1784"/>
      <c r="MD710" s="1784"/>
      <c r="ME710" s="1784"/>
      <c r="MF710" s="1784"/>
      <c r="MG710" s="1784"/>
      <c r="MH710" s="1784"/>
      <c r="MI710" s="1784"/>
      <c r="MJ710" s="1784"/>
      <c r="MK710" s="1784"/>
      <c r="ML710" s="1784"/>
      <c r="MM710" s="1784"/>
      <c r="MN710" s="1784"/>
      <c r="MO710" s="1784"/>
      <c r="MP710" s="1784"/>
      <c r="MW710" s="1639"/>
      <c r="NM710" s="1639"/>
      <c r="NN710" s="1639"/>
      <c r="OZ710" s="2468">
        <v>253</v>
      </c>
    </row>
    <row r="711" spans="2:416" s="358" customFormat="1" ht="16.5" customHeight="1">
      <c r="E711" s="2793" t="s">
        <v>184</v>
      </c>
      <c r="F711" s="2769">
        <f>SUM(F705:G710)</f>
        <v>40000</v>
      </c>
      <c r="G711" s="2769"/>
      <c r="H711" s="2791" t="e">
        <f t="shared" si="415"/>
        <v>#DIV/0!</v>
      </c>
      <c r="I711" s="358" t="s">
        <v>1289</v>
      </c>
      <c r="K711" s="2656">
        <f>L711/12/P529</f>
        <v>0</v>
      </c>
      <c r="L711" s="2769">
        <f>'Part V-Revenues &amp; Expenses'!L258</f>
        <v>0</v>
      </c>
      <c r="M711" s="2774"/>
      <c r="N711" s="2791" t="str">
        <f t="shared" ref="N711:N716" si="416">IF(OR(L711="",L711=0),"",L711/$E$54)</f>
        <v/>
      </c>
      <c r="O711" s="2799" t="s">
        <v>3144</v>
      </c>
      <c r="P711" s="2799"/>
      <c r="Q711" s="2799"/>
      <c r="R711" s="1536"/>
      <c r="S711" s="2647"/>
      <c r="T711" s="2647"/>
      <c r="U711" s="2647"/>
      <c r="V711" s="2647"/>
      <c r="W711" s="2647"/>
      <c r="X711" s="356"/>
      <c r="AC711" s="356"/>
      <c r="AH711" s="356"/>
      <c r="AM711" s="356"/>
      <c r="LF711" s="1784"/>
      <c r="LK711" s="1784"/>
      <c r="LP711" s="1784"/>
      <c r="LU711" s="1784"/>
      <c r="LV711" s="1784"/>
      <c r="LW711" s="1784"/>
      <c r="LX711" s="1784"/>
      <c r="LY711" s="1784"/>
      <c r="LZ711" s="1784"/>
      <c r="MA711" s="1784"/>
      <c r="MB711" s="1784"/>
      <c r="MC711" s="1784"/>
      <c r="MD711" s="1784"/>
      <c r="ME711" s="1784"/>
      <c r="MF711" s="1784"/>
      <c r="MG711" s="1784"/>
      <c r="MH711" s="1784"/>
      <c r="MI711" s="1784"/>
      <c r="MJ711" s="1784"/>
      <c r="MK711" s="1784"/>
      <c r="ML711" s="1784"/>
      <c r="MM711" s="1784"/>
      <c r="MN711" s="1784"/>
      <c r="MO711" s="1784"/>
      <c r="MP711" s="1784"/>
      <c r="MW711" s="1639"/>
      <c r="NM711" s="1639"/>
      <c r="NN711" s="1639"/>
      <c r="OZ711" s="1784">
        <v>254</v>
      </c>
    </row>
    <row r="712" spans="2:416" s="358" customFormat="1" ht="16.5" customHeight="1">
      <c r="D712" s="2793"/>
      <c r="F712" s="2747"/>
      <c r="G712" s="2747"/>
      <c r="I712" s="358" t="s">
        <v>3800</v>
      </c>
      <c r="K712" s="2656">
        <f>L712/12/P529</f>
        <v>36.458333333333329</v>
      </c>
      <c r="L712" s="2769">
        <f>'Part V-Revenues &amp; Expenses'!L259</f>
        <v>70000</v>
      </c>
      <c r="M712" s="2774"/>
      <c r="N712" s="2791" t="e">
        <f t="shared" si="416"/>
        <v>#DIV/0!</v>
      </c>
      <c r="O712" s="2800" t="s">
        <v>2456</v>
      </c>
      <c r="P712" s="2801" t="s">
        <v>3197</v>
      </c>
      <c r="Q712" s="2801" t="s">
        <v>2970</v>
      </c>
      <c r="R712" s="1536"/>
      <c r="S712" s="2647"/>
      <c r="T712" s="2647"/>
      <c r="U712" s="2647"/>
      <c r="V712" s="2647"/>
      <c r="W712" s="2647"/>
      <c r="LF712" s="1784"/>
      <c r="LK712" s="1784"/>
      <c r="LP712" s="1784"/>
      <c r="LU712" s="1784"/>
      <c r="LV712" s="1784"/>
      <c r="LW712" s="1784"/>
      <c r="LX712" s="1784"/>
      <c r="LY712" s="1784"/>
      <c r="LZ712" s="1784"/>
      <c r="MA712" s="1784"/>
      <c r="MB712" s="1784"/>
      <c r="MC712" s="1784"/>
      <c r="MD712" s="1784"/>
      <c r="ME712" s="1784"/>
      <c r="MF712" s="1784"/>
      <c r="MG712" s="1784"/>
      <c r="MH712" s="1784"/>
      <c r="MI712" s="1784"/>
      <c r="MJ712" s="1784"/>
      <c r="MK712" s="1784"/>
      <c r="ML712" s="1784"/>
      <c r="MM712" s="1784"/>
      <c r="MN712" s="1784"/>
      <c r="MO712" s="1784"/>
      <c r="MP712" s="1784"/>
      <c r="MW712" s="1639"/>
      <c r="NM712" s="1639"/>
      <c r="NN712" s="1639"/>
      <c r="OY712" s="358" t="s">
        <v>4271</v>
      </c>
      <c r="OZ712" s="1640">
        <v>255</v>
      </c>
    </row>
    <row r="713" spans="2:416" s="358" customFormat="1" ht="16.5" customHeight="1">
      <c r="B713" s="1639" t="s">
        <v>1214</v>
      </c>
      <c r="D713" s="2762"/>
      <c r="I713" s="358" t="s">
        <v>1291</v>
      </c>
      <c r="K713" s="2656">
        <f>L713/12/P529</f>
        <v>15.625</v>
      </c>
      <c r="L713" s="2769">
        <f>'Part V-Revenues &amp; Expenses'!L260</f>
        <v>30000</v>
      </c>
      <c r="M713" s="2774"/>
      <c r="N713" s="2791" t="e">
        <f t="shared" si="416"/>
        <v>#DIV/0!</v>
      </c>
      <c r="O713" s="403" t="s">
        <v>36</v>
      </c>
      <c r="R713" s="1536"/>
      <c r="S713" s="2647"/>
      <c r="T713" s="2647"/>
      <c r="U713" s="2647"/>
      <c r="V713" s="2647"/>
      <c r="W713" s="2647"/>
      <c r="X713" s="356"/>
      <c r="AC713" s="356"/>
      <c r="AH713" s="356"/>
      <c r="AM713" s="356"/>
      <c r="LF713" s="1784"/>
      <c r="LK713" s="1784"/>
      <c r="LP713" s="1784"/>
      <c r="LU713" s="1784"/>
      <c r="LV713" s="1784"/>
      <c r="LW713" s="1784"/>
      <c r="LX713" s="1784"/>
      <c r="LY713" s="1784"/>
      <c r="LZ713" s="1784"/>
      <c r="MA713" s="1784"/>
      <c r="MB713" s="1784"/>
      <c r="MC713" s="1784"/>
      <c r="MD713" s="1784"/>
      <c r="ME713" s="1784"/>
      <c r="MF713" s="1784"/>
      <c r="MG713" s="1784"/>
      <c r="MH713" s="1784"/>
      <c r="MI713" s="1784"/>
      <c r="MJ713" s="1784"/>
      <c r="MK713" s="1784"/>
      <c r="ML713" s="1784"/>
      <c r="MM713" s="1784"/>
      <c r="MN713" s="1784"/>
      <c r="MO713" s="1784"/>
      <c r="MP713" s="1784"/>
      <c r="MW713" s="1639"/>
      <c r="NM713" s="1639"/>
      <c r="NN713" s="1639"/>
      <c r="OZ713" s="1784">
        <v>256</v>
      </c>
    </row>
    <row r="714" spans="2:416" s="358" customFormat="1" ht="16.5" customHeight="1">
      <c r="B714" s="358" t="s">
        <v>1497</v>
      </c>
      <c r="D714" s="2762"/>
      <c r="F714" s="2769">
        <f>'Part V-Revenues &amp; Expenses'!F261</f>
        <v>35000</v>
      </c>
      <c r="G714" s="2769"/>
      <c r="H714" s="2791" t="e">
        <f>IF(OR(F714="",F714=0),"",F714/$E$54)</f>
        <v>#DIV/0!</v>
      </c>
      <c r="I714" s="358" t="s">
        <v>5157</v>
      </c>
      <c r="K714" s="2656">
        <f>L714/12/P529</f>
        <v>18.229166666666664</v>
      </c>
      <c r="L714" s="2769">
        <f>'Part V-Revenues &amp; Expenses'!L261</f>
        <v>35000</v>
      </c>
      <c r="M714" s="2774"/>
      <c r="N714" s="2791" t="e">
        <f t="shared" si="416"/>
        <v>#DIV/0!</v>
      </c>
      <c r="O714" s="2547" t="s">
        <v>2968</v>
      </c>
      <c r="P714" s="2802" t="str">
        <f>CONCATENATE(SUM(NO507:NS507)," units x $",'DCA Underwriting Assumptions'!$Q$41," =")</f>
        <v>0 units x $400 =</v>
      </c>
      <c r="Q714" s="2802">
        <f>SUM(NO507:NS507)*'DCA Underwriting Assumptions'!$Q$41</f>
        <v>0</v>
      </c>
      <c r="R714" s="1536"/>
      <c r="S714" s="2647"/>
      <c r="T714" s="2647"/>
      <c r="U714" s="2647"/>
      <c r="V714" s="2647"/>
      <c r="W714" s="2647"/>
      <c r="X714" s="356"/>
      <c r="AC714" s="356"/>
      <c r="AH714" s="356"/>
      <c r="AM714" s="356"/>
      <c r="LF714" s="1784"/>
      <c r="LK714" s="1784"/>
      <c r="LP714" s="1784"/>
      <c r="LU714" s="1784"/>
      <c r="LV714" s="1784"/>
      <c r="LW714" s="1784"/>
      <c r="LX714" s="1784"/>
      <c r="LY714" s="1784"/>
      <c r="LZ714" s="1784"/>
      <c r="MA714" s="1784"/>
      <c r="MB714" s="1784"/>
      <c r="MC714" s="1784"/>
      <c r="MD714" s="1784"/>
      <c r="ME714" s="1784"/>
      <c r="MF714" s="1784"/>
      <c r="MG714" s="1784"/>
      <c r="MH714" s="1784"/>
      <c r="MI714" s="1784"/>
      <c r="MJ714" s="1784"/>
      <c r="MK714" s="1784"/>
      <c r="ML714" s="1784"/>
      <c r="MM714" s="1784"/>
      <c r="MN714" s="1784"/>
      <c r="MO714" s="1784"/>
      <c r="MP714" s="1784"/>
      <c r="MW714" s="1639"/>
      <c r="NM714" s="1639"/>
      <c r="NN714" s="1639"/>
      <c r="OZ714" s="1784">
        <v>257</v>
      </c>
    </row>
    <row r="715" spans="2:416" s="358" customFormat="1" ht="16.5" customHeight="1">
      <c r="B715" s="358" t="s">
        <v>1498</v>
      </c>
      <c r="D715" s="2762"/>
      <c r="F715" s="2769">
        <f>'Part V-Revenues &amp; Expenses'!F262</f>
        <v>35000</v>
      </c>
      <c r="G715" s="2769"/>
      <c r="H715" s="2791" t="e">
        <f t="shared" ref="H715:H722" si="417">IF(OR(F715="",F715=0),"",F715/$E$54)</f>
        <v>#DIV/0!</v>
      </c>
      <c r="I715" s="361" t="str">
        <f>'Part V-Revenues &amp; Expenses'!I262</f>
        <v>Other (describe here)</v>
      </c>
      <c r="J715" s="2795"/>
      <c r="K715" s="2656">
        <f>L715/12/P529</f>
        <v>0</v>
      </c>
      <c r="L715" s="2769">
        <f>'Part V-Revenues &amp; Expenses'!L262</f>
        <v>0</v>
      </c>
      <c r="M715" s="2774"/>
      <c r="N715" s="2791" t="str">
        <f t="shared" si="416"/>
        <v/>
      </c>
      <c r="O715" s="2547" t="s">
        <v>2967</v>
      </c>
      <c r="P715" s="2802" t="str">
        <f>CONCATENATE(SUM(NT507:NX507)," units x $",'DCA Underwriting Assumptions'!$Q$42," =")</f>
        <v>0 units x $300 =</v>
      </c>
      <c r="Q715" s="2802">
        <f>SUM(NT507:NX507)*'DCA Underwriting Assumptions'!$Q$42</f>
        <v>0</v>
      </c>
      <c r="R715" s="1536"/>
      <c r="S715" s="2647"/>
      <c r="T715" s="2647"/>
      <c r="U715" s="2647"/>
      <c r="V715" s="2647"/>
      <c r="W715" s="2647"/>
      <c r="X715" s="356"/>
      <c r="AC715" s="356"/>
      <c r="AH715" s="356"/>
      <c r="AM715" s="356"/>
      <c r="LF715" s="1784"/>
      <c r="LK715" s="1784"/>
      <c r="LP715" s="1784"/>
      <c r="LU715" s="1784"/>
      <c r="LV715" s="1784"/>
      <c r="LW715" s="1784"/>
      <c r="LX715" s="1784"/>
      <c r="LY715" s="1784"/>
      <c r="LZ715" s="1784"/>
      <c r="MA715" s="1784"/>
      <c r="MB715" s="1784"/>
      <c r="MC715" s="1784"/>
      <c r="MD715" s="1784"/>
      <c r="ME715" s="1784"/>
      <c r="MF715" s="1784"/>
      <c r="MG715" s="1784"/>
      <c r="MH715" s="1784"/>
      <c r="MI715" s="1784"/>
      <c r="MJ715" s="1784"/>
      <c r="MK715" s="1784"/>
      <c r="ML715" s="1784"/>
      <c r="MM715" s="1784"/>
      <c r="MN715" s="1784"/>
      <c r="MO715" s="1784"/>
      <c r="MP715" s="1784"/>
      <c r="MW715" s="1639"/>
      <c r="NM715" s="1639"/>
      <c r="NN715" s="1639"/>
      <c r="OZ715" s="1640">
        <v>258</v>
      </c>
    </row>
    <row r="716" spans="2:416" s="358" customFormat="1" ht="16.5" customHeight="1">
      <c r="B716" s="358" t="s">
        <v>1499</v>
      </c>
      <c r="D716" s="2762"/>
      <c r="F716" s="2769">
        <f>'Part V-Revenues &amp; Expenses'!F263</f>
        <v>20000</v>
      </c>
      <c r="G716" s="2769"/>
      <c r="H716" s="2791" t="e">
        <f t="shared" si="417"/>
        <v>#DIV/0!</v>
      </c>
      <c r="K716" s="2793" t="s">
        <v>184</v>
      </c>
      <c r="L716" s="2774">
        <f>SUM(L710:L715)</f>
        <v>175000</v>
      </c>
      <c r="M716" s="2774"/>
      <c r="N716" s="2791" t="e">
        <f t="shared" si="416"/>
        <v>#DIV/0!</v>
      </c>
      <c r="O716" s="2607" t="s">
        <v>4390</v>
      </c>
      <c r="P716" s="2802" t="str">
        <f>CONCATENATE(SUM(NY507:OC507)," units x $",'DCA Underwriting Assumptions'!$Q$43," =")</f>
        <v>0 units x $470 =</v>
      </c>
      <c r="Q716" s="2802">
        <f>SUM(NY507:OC507)*'DCA Underwriting Assumptions'!$Q$43</f>
        <v>0</v>
      </c>
      <c r="R716" s="1536"/>
      <c r="S716" s="2647"/>
      <c r="T716" s="2647"/>
      <c r="U716" s="2647"/>
      <c r="V716" s="2647"/>
      <c r="W716" s="2647"/>
      <c r="X716" s="356"/>
      <c r="AC716" s="356"/>
      <c r="AH716" s="356"/>
      <c r="AM716" s="356"/>
      <c r="LF716" s="1784"/>
      <c r="LK716" s="1784"/>
      <c r="LP716" s="1784"/>
      <c r="LU716" s="1784"/>
      <c r="LV716" s="1784"/>
      <c r="LW716" s="1784"/>
      <c r="LX716" s="1784"/>
      <c r="LY716" s="1784"/>
      <c r="LZ716" s="1784"/>
      <c r="MA716" s="1784"/>
      <c r="MB716" s="1784"/>
      <c r="MC716" s="1784"/>
      <c r="MD716" s="1784"/>
      <c r="ME716" s="1784"/>
      <c r="MF716" s="1784"/>
      <c r="MG716" s="1784"/>
      <c r="MH716" s="1784"/>
      <c r="MI716" s="1784"/>
      <c r="MJ716" s="1784"/>
      <c r="MK716" s="1784"/>
      <c r="ML716" s="1784"/>
      <c r="MM716" s="1784"/>
      <c r="MN716" s="1784"/>
      <c r="MO716" s="1784"/>
      <c r="MP716" s="1784"/>
      <c r="MW716" s="1639"/>
      <c r="NM716" s="1639"/>
      <c r="NN716" s="1639"/>
      <c r="OZ716" s="1784">
        <v>259</v>
      </c>
    </row>
    <row r="717" spans="2:416" s="358" customFormat="1" ht="16.5" customHeight="1">
      <c r="B717" s="358" t="s">
        <v>938</v>
      </c>
      <c r="D717" s="2762"/>
      <c r="F717" s="2769">
        <f>'Part V-Revenues &amp; Expenses'!F264</f>
        <v>10000</v>
      </c>
      <c r="G717" s="2769"/>
      <c r="H717" s="2791" t="e">
        <f t="shared" si="417"/>
        <v>#DIV/0!</v>
      </c>
      <c r="O717" s="2607" t="s">
        <v>2966</v>
      </c>
      <c r="P717" s="2802" t="str">
        <f>CONCATENATE(P596," units x $",'DCA Underwriting Assumptions'!$Q$44," =")</f>
        <v>0 units x $420 =</v>
      </c>
      <c r="Q717" s="2802">
        <f>P596*'DCA Underwriting Assumptions'!$Q$44</f>
        <v>0</v>
      </c>
      <c r="S717" s="2647"/>
      <c r="T717" s="2647"/>
      <c r="U717" s="2647"/>
      <c r="V717" s="2647"/>
      <c r="W717" s="2647"/>
      <c r="X717" s="356"/>
      <c r="AC717" s="356"/>
      <c r="AH717" s="356"/>
      <c r="AM717" s="356"/>
      <c r="LF717" s="1784"/>
      <c r="LK717" s="1784"/>
      <c r="LP717" s="1784"/>
      <c r="LU717" s="1784"/>
      <c r="LV717" s="1784"/>
      <c r="LW717" s="1784"/>
      <c r="LX717" s="1784"/>
      <c r="LY717" s="1784"/>
      <c r="LZ717" s="1784"/>
      <c r="MA717" s="1784"/>
      <c r="MB717" s="1784"/>
      <c r="MC717" s="1784"/>
      <c r="MD717" s="1784"/>
      <c r="ME717" s="1784"/>
      <c r="MF717" s="1784"/>
      <c r="MG717" s="1784"/>
      <c r="MH717" s="1784"/>
      <c r="MI717" s="1784"/>
      <c r="MJ717" s="1784"/>
      <c r="MK717" s="1784"/>
      <c r="ML717" s="1784"/>
      <c r="MM717" s="1784"/>
      <c r="MN717" s="1784"/>
      <c r="MO717" s="1784"/>
      <c r="MP717" s="1784"/>
      <c r="MW717" s="1639"/>
      <c r="NM717" s="1639"/>
      <c r="NN717" s="1639"/>
      <c r="OY717" s="358" t="s">
        <v>4339</v>
      </c>
      <c r="OZ717" s="1784">
        <v>260</v>
      </c>
    </row>
    <row r="718" spans="2:416" s="358" customFormat="1" ht="16.5" customHeight="1">
      <c r="B718" s="358" t="s">
        <v>939</v>
      </c>
      <c r="D718" s="2762"/>
      <c r="F718" s="2769">
        <f>'Part V-Revenues &amp; Expenses'!F265</f>
        <v>10000</v>
      </c>
      <c r="G718" s="2769"/>
      <c r="H718" s="2791" t="e">
        <f t="shared" si="417"/>
        <v>#DIV/0!</v>
      </c>
      <c r="I718" s="1639" t="s">
        <v>1296</v>
      </c>
      <c r="O718" s="2740" t="s">
        <v>2459</v>
      </c>
      <c r="P718" s="2731">
        <f>SUM(NO507:NS507)+SUM(NT507:NX507)+SUM(NY507:OC507)+P596</f>
        <v>0</v>
      </c>
      <c r="Q718" s="2803">
        <f>SUM(Q714:Q717)</f>
        <v>0</v>
      </c>
      <c r="R718" s="2802"/>
      <c r="S718" s="2647"/>
      <c r="T718" s="2647"/>
      <c r="U718" s="2647"/>
      <c r="V718" s="2647"/>
      <c r="W718" s="2647"/>
      <c r="X718" s="356"/>
      <c r="AC718" s="356"/>
      <c r="AH718" s="356"/>
      <c r="AM718" s="356"/>
      <c r="LF718" s="1784"/>
      <c r="LK718" s="1784"/>
      <c r="LP718" s="1784"/>
      <c r="LU718" s="1784"/>
      <c r="LV718" s="1784"/>
      <c r="LW718" s="1784"/>
      <c r="LX718" s="1784"/>
      <c r="LY718" s="1784"/>
      <c r="LZ718" s="1784"/>
      <c r="MA718" s="1784"/>
      <c r="MB718" s="1784"/>
      <c r="MC718" s="1784"/>
      <c r="MD718" s="1784"/>
      <c r="ME718" s="1784"/>
      <c r="MF718" s="1784"/>
      <c r="MG718" s="1784"/>
      <c r="MH718" s="1784"/>
      <c r="MI718" s="1784"/>
      <c r="MJ718" s="1784"/>
      <c r="MK718" s="1784"/>
      <c r="ML718" s="1784"/>
      <c r="MM718" s="1784"/>
      <c r="MN718" s="1784"/>
      <c r="MO718" s="1784"/>
      <c r="MP718" s="1784"/>
      <c r="MW718" s="1639"/>
      <c r="NM718" s="1639"/>
      <c r="NN718" s="1639"/>
      <c r="OZ718" s="1784">
        <v>261</v>
      </c>
    </row>
    <row r="719" spans="2:416" s="358" customFormat="1" ht="16.5" customHeight="1">
      <c r="B719" s="358" t="s">
        <v>940</v>
      </c>
      <c r="D719" s="2762"/>
      <c r="F719" s="2769">
        <f>'Part V-Revenues &amp; Expenses'!F266</f>
        <v>15000</v>
      </c>
      <c r="G719" s="2769"/>
      <c r="H719" s="2791" t="e">
        <f t="shared" si="417"/>
        <v>#DIV/0!</v>
      </c>
      <c r="I719" s="358" t="s">
        <v>5158</v>
      </c>
      <c r="L719" s="2769">
        <f>'Part V-Revenues &amp; Expenses'!L266</f>
        <v>378988</v>
      </c>
      <c r="M719" s="2774"/>
      <c r="N719" s="2791" t="e">
        <f t="shared" ref="N719:N722" si="418">IF(OR(L719="",L719=0),"",L719/$E$54)</f>
        <v>#DIV/0!</v>
      </c>
      <c r="O719" s="1639" t="str">
        <f>IF(L719+L720='Part III-A-Uses of Funds'!$G$132,"", CONCATENATE("Real Estate Taxes + Insurance on Development Budget = $:",'Part III-A-Uses of Funds'!$G$132))</f>
        <v>Real Estate Taxes + Insurance on Development Budget = $:200000</v>
      </c>
      <c r="P719" s="1639"/>
      <c r="Q719" s="1639"/>
      <c r="R719" s="2802"/>
      <c r="S719" s="2647"/>
      <c r="T719" s="2647"/>
      <c r="U719" s="2647"/>
      <c r="V719" s="2647"/>
      <c r="W719" s="2647"/>
      <c r="X719" s="356"/>
      <c r="AC719" s="356"/>
      <c r="AH719" s="356"/>
      <c r="AM719" s="356"/>
      <c r="LF719" s="1784"/>
      <c r="LK719" s="1784"/>
      <c r="LP719" s="1784"/>
      <c r="LU719" s="1784"/>
      <c r="LV719" s="1784"/>
      <c r="LW719" s="1784"/>
      <c r="LX719" s="1784"/>
      <c r="LY719" s="1784"/>
      <c r="LZ719" s="1784"/>
      <c r="MA719" s="1784"/>
      <c r="MB719" s="1784"/>
      <c r="MC719" s="1784"/>
      <c r="MD719" s="1784"/>
      <c r="ME719" s="1784"/>
      <c r="MF719" s="1784"/>
      <c r="MG719" s="1784"/>
      <c r="MH719" s="1784"/>
      <c r="MI719" s="1784"/>
      <c r="MJ719" s="1784"/>
      <c r="MK719" s="1784"/>
      <c r="ML719" s="1784"/>
      <c r="MM719" s="1784"/>
      <c r="MN719" s="1784"/>
      <c r="MO719" s="1784"/>
      <c r="MP719" s="1784"/>
      <c r="MW719" s="1639"/>
      <c r="NM719" s="1639"/>
      <c r="NN719" s="1639"/>
      <c r="OZ719" s="1784">
        <v>262</v>
      </c>
    </row>
    <row r="720" spans="2:416" s="358" customFormat="1" ht="16.5" customHeight="1">
      <c r="B720" s="358" t="s">
        <v>810</v>
      </c>
      <c r="D720" s="2762"/>
      <c r="F720" s="2769">
        <f>'Part V-Revenues &amp; Expenses'!F267</f>
        <v>0</v>
      </c>
      <c r="G720" s="2769"/>
      <c r="H720" s="2791" t="str">
        <f t="shared" si="417"/>
        <v/>
      </c>
      <c r="I720" s="358" t="s">
        <v>140</v>
      </c>
      <c r="L720" s="2769">
        <f>'Part V-Revenues &amp; Expenses'!L267</f>
        <v>39200</v>
      </c>
      <c r="M720" s="2774"/>
      <c r="N720" s="2791" t="e">
        <f t="shared" si="418"/>
        <v>#DIV/0!</v>
      </c>
      <c r="O720" s="1639"/>
      <c r="P720" s="1639"/>
      <c r="Q720" s="1639"/>
      <c r="R720" s="2802"/>
      <c r="S720" s="2647"/>
      <c r="T720" s="2647"/>
      <c r="U720" s="2647"/>
      <c r="V720" s="2647"/>
      <c r="W720" s="2647"/>
      <c r="X720" s="356"/>
      <c r="AC720" s="356"/>
      <c r="AH720" s="356"/>
      <c r="AM720" s="356"/>
      <c r="LF720" s="1784"/>
      <c r="LK720" s="1784"/>
      <c r="LP720" s="1784"/>
      <c r="LU720" s="1784"/>
      <c r="LV720" s="1784"/>
      <c r="LW720" s="1784"/>
      <c r="LX720" s="1784"/>
      <c r="LY720" s="1784"/>
      <c r="LZ720" s="1784"/>
      <c r="MA720" s="1784"/>
      <c r="MB720" s="1784"/>
      <c r="MC720" s="1784"/>
      <c r="MD720" s="1784"/>
      <c r="ME720" s="1784"/>
      <c r="MF720" s="1784"/>
      <c r="MG720" s="1784"/>
      <c r="MH720" s="1784"/>
      <c r="MI720" s="1784"/>
      <c r="MJ720" s="1784"/>
      <c r="MK720" s="1784"/>
      <c r="ML720" s="1784"/>
      <c r="MM720" s="1784"/>
      <c r="MN720" s="1784"/>
      <c r="MO720" s="1784"/>
      <c r="MP720" s="1784"/>
      <c r="MW720" s="1639"/>
      <c r="NM720" s="1639"/>
      <c r="NN720" s="1639"/>
      <c r="OZ720" s="1784">
        <v>263</v>
      </c>
    </row>
    <row r="721" spans="1:416" s="358" customFormat="1" ht="16.5" customHeight="1">
      <c r="B721" s="361" t="str">
        <f>'Part V-Revenues &amp; Expenses'!B268</f>
        <v>Other (describe here)</v>
      </c>
      <c r="C721" s="361"/>
      <c r="D721" s="361"/>
      <c r="E721" s="361"/>
      <c r="F721" s="2769">
        <f>'Part V-Revenues &amp; Expenses'!F268</f>
        <v>0</v>
      </c>
      <c r="G721" s="2769"/>
      <c r="H721" s="2791" t="str">
        <f t="shared" si="417"/>
        <v/>
      </c>
      <c r="I721" s="361" t="str">
        <f>'Part V-Revenues &amp; Expenses'!I268</f>
        <v>Other (describe here)</v>
      </c>
      <c r="J721" s="2795"/>
      <c r="K721" s="2795"/>
      <c r="L721" s="2769">
        <f>'Part V-Revenues &amp; Expenses'!L268</f>
        <v>0</v>
      </c>
      <c r="M721" s="2774"/>
      <c r="N721" s="2791" t="str">
        <f t="shared" si="418"/>
        <v/>
      </c>
      <c r="R721" s="2802"/>
      <c r="S721" s="2647"/>
      <c r="T721" s="2647"/>
      <c r="U721" s="2647"/>
      <c r="V721" s="2647"/>
      <c r="W721" s="2647"/>
      <c r="X721" s="356"/>
      <c r="AC721" s="356"/>
      <c r="AH721" s="356"/>
      <c r="AM721" s="356"/>
      <c r="LF721" s="1784"/>
      <c r="LK721" s="1784"/>
      <c r="LP721" s="1784"/>
      <c r="LU721" s="1784"/>
      <c r="LV721" s="1784"/>
      <c r="LW721" s="1784"/>
      <c r="LX721" s="1784"/>
      <c r="LY721" s="1784"/>
      <c r="LZ721" s="1784"/>
      <c r="MA721" s="1784"/>
      <c r="MB721" s="1784"/>
      <c r="MC721" s="1784"/>
      <c r="MD721" s="1784"/>
      <c r="ME721" s="1784"/>
      <c r="MF721" s="1784"/>
      <c r="MG721" s="1784"/>
      <c r="MH721" s="1784"/>
      <c r="MI721" s="1784"/>
      <c r="MJ721" s="1784"/>
      <c r="MK721" s="1784"/>
      <c r="ML721" s="1784"/>
      <c r="MM721" s="1784"/>
      <c r="MN721" s="1784"/>
      <c r="MO721" s="1784"/>
      <c r="MP721" s="1784"/>
      <c r="MW721" s="1639"/>
      <c r="NM721" s="1639"/>
      <c r="NN721" s="1639"/>
      <c r="OY721" s="358" t="s">
        <v>4340</v>
      </c>
      <c r="OZ721" s="2468">
        <v>264</v>
      </c>
    </row>
    <row r="722" spans="1:416" s="358" customFormat="1" ht="16.5" customHeight="1">
      <c r="B722" s="1639"/>
      <c r="E722" s="2793" t="s">
        <v>184</v>
      </c>
      <c r="F722" s="2769">
        <f>SUM(F714:G721)</f>
        <v>125000</v>
      </c>
      <c r="G722" s="2769"/>
      <c r="H722" s="2791" t="e">
        <f t="shared" si="417"/>
        <v>#DIV/0!</v>
      </c>
      <c r="K722" s="2793" t="s">
        <v>184</v>
      </c>
      <c r="L722" s="2774">
        <f>SUM(L718:L721)</f>
        <v>418188</v>
      </c>
      <c r="M722" s="2774"/>
      <c r="N722" s="2791" t="e">
        <f t="shared" si="418"/>
        <v>#DIV/0!</v>
      </c>
      <c r="O722" s="1639" t="s">
        <v>2024</v>
      </c>
      <c r="Q722" s="2774">
        <f>Q703+Q709</f>
        <v>1298842</v>
      </c>
      <c r="R722" s="2802"/>
      <c r="S722" s="2647"/>
      <c r="T722" s="2647"/>
      <c r="U722" s="2647"/>
      <c r="V722" s="2647"/>
      <c r="W722" s="2647"/>
      <c r="X722" s="356"/>
      <c r="AC722" s="356"/>
      <c r="AH722" s="356"/>
      <c r="AM722" s="356"/>
      <c r="LF722" s="1784"/>
      <c r="LK722" s="1784"/>
      <c r="LP722" s="1784"/>
      <c r="LU722" s="1784"/>
      <c r="LV722" s="1784"/>
      <c r="LW722" s="1784"/>
      <c r="LX722" s="1784"/>
      <c r="LY722" s="1784"/>
      <c r="LZ722" s="1784"/>
      <c r="MA722" s="1784"/>
      <c r="MB722" s="1784"/>
      <c r="MC722" s="1784"/>
      <c r="MD722" s="1784"/>
      <c r="ME722" s="1784"/>
      <c r="MF722" s="1784"/>
      <c r="MG722" s="1784"/>
      <c r="MH722" s="1784"/>
      <c r="MI722" s="1784"/>
      <c r="MJ722" s="1784"/>
      <c r="MK722" s="1784"/>
      <c r="ML722" s="1784"/>
      <c r="MM722" s="1784"/>
      <c r="MN722" s="1784"/>
      <c r="MO722" s="1784"/>
      <c r="MP722" s="1784"/>
      <c r="MW722" s="1639"/>
      <c r="NM722" s="1639"/>
      <c r="NN722" s="1639"/>
      <c r="OZ722" s="1784">
        <v>265</v>
      </c>
    </row>
    <row r="723" spans="1:416" s="358" customFormat="1" ht="6" customHeight="1">
      <c r="B723" s="1639"/>
      <c r="C723" s="2793"/>
      <c r="F723" s="2747"/>
      <c r="G723" s="2747"/>
      <c r="K723" s="2747"/>
      <c r="X723" s="356"/>
      <c r="AC723" s="356"/>
      <c r="AH723" s="356"/>
      <c r="AM723" s="356"/>
      <c r="LF723" s="1784"/>
      <c r="LK723" s="1784"/>
      <c r="LP723" s="1784"/>
      <c r="LU723" s="1784"/>
      <c r="LV723" s="1784"/>
      <c r="LW723" s="1784"/>
      <c r="LX723" s="1784"/>
      <c r="LY723" s="1784"/>
      <c r="LZ723" s="1784"/>
      <c r="MA723" s="1784"/>
      <c r="MB723" s="1784"/>
      <c r="MC723" s="1784"/>
      <c r="MD723" s="1784"/>
      <c r="ME723" s="1784"/>
      <c r="MF723" s="1784"/>
      <c r="MG723" s="1784"/>
      <c r="MH723" s="1784"/>
      <c r="MI723" s="1784"/>
      <c r="MJ723" s="1784"/>
      <c r="MK723" s="1784"/>
      <c r="ML723" s="1784"/>
      <c r="MM723" s="1784"/>
      <c r="MN723" s="1784"/>
      <c r="MO723" s="1784"/>
      <c r="MP723" s="1784"/>
      <c r="MW723" s="1639"/>
      <c r="NM723" s="1639"/>
      <c r="NN723" s="1639"/>
      <c r="OZ723" s="1640">
        <v>266</v>
      </c>
    </row>
    <row r="724" spans="1:416" s="358" customFormat="1" ht="15.6" customHeight="1">
      <c r="B724" s="1639"/>
      <c r="C724" s="2793"/>
      <c r="F724" s="2747"/>
      <c r="G724" s="2747"/>
      <c r="K724" s="2747"/>
      <c r="R724" s="2774"/>
      <c r="X724" s="356"/>
      <c r="AC724" s="356"/>
      <c r="AH724" s="356"/>
      <c r="AM724" s="356"/>
      <c r="LF724" s="1784"/>
      <c r="LK724" s="1784"/>
      <c r="LP724" s="1784"/>
      <c r="LU724" s="1784"/>
      <c r="LV724" s="1784"/>
      <c r="LW724" s="1784"/>
      <c r="LX724" s="1784"/>
      <c r="LY724" s="1784"/>
      <c r="LZ724" s="1784"/>
      <c r="MA724" s="1784"/>
      <c r="MB724" s="1784"/>
      <c r="MC724" s="1784"/>
      <c r="MD724" s="1784"/>
      <c r="ME724" s="1784"/>
      <c r="MF724" s="1784"/>
      <c r="MG724" s="1784"/>
      <c r="MH724" s="1784"/>
      <c r="MI724" s="1784"/>
      <c r="MJ724" s="1784"/>
      <c r="MK724" s="1784"/>
      <c r="ML724" s="1784"/>
      <c r="MM724" s="1784"/>
      <c r="MN724" s="1784"/>
      <c r="MO724" s="1784"/>
      <c r="MP724" s="1784"/>
      <c r="MW724" s="1639"/>
      <c r="NM724" s="1639"/>
      <c r="NN724" s="1639"/>
      <c r="OZ724" s="1784">
        <v>267</v>
      </c>
    </row>
    <row r="725" spans="1:416" s="358" customFormat="1" ht="15" customHeight="1">
      <c r="B725" s="1639"/>
      <c r="C725" s="2793"/>
      <c r="F725" s="2747"/>
      <c r="G725" s="2747"/>
      <c r="K725" s="2747"/>
      <c r="O725" s="1639"/>
      <c r="Q725" s="2774"/>
      <c r="R725" s="2774"/>
      <c r="X725" s="356"/>
      <c r="AC725" s="356"/>
      <c r="AH725" s="356"/>
      <c r="AM725" s="356"/>
      <c r="LF725" s="1784"/>
      <c r="LK725" s="1784"/>
      <c r="LP725" s="1784"/>
      <c r="LU725" s="1784"/>
      <c r="LV725" s="1784"/>
      <c r="LW725" s="1784"/>
      <c r="LX725" s="1784"/>
      <c r="LY725" s="1784"/>
      <c r="LZ725" s="1784"/>
      <c r="MA725" s="1784"/>
      <c r="MB725" s="1784"/>
      <c r="MC725" s="1784"/>
      <c r="MD725" s="1784"/>
      <c r="ME725" s="1784"/>
      <c r="MF725" s="1784"/>
      <c r="MG725" s="1784"/>
      <c r="MH725" s="1784"/>
      <c r="MI725" s="1784"/>
      <c r="MJ725" s="1784"/>
      <c r="MK725" s="1784"/>
      <c r="ML725" s="1784"/>
      <c r="MM725" s="1784"/>
      <c r="MN725" s="1784"/>
      <c r="MO725" s="1784"/>
      <c r="MP725" s="1784"/>
      <c r="MW725" s="1639"/>
      <c r="NM725" s="1639"/>
      <c r="NN725" s="1639"/>
      <c r="OZ725" s="1784">
        <v>268</v>
      </c>
    </row>
    <row r="726" spans="1:416" s="358" customFormat="1" ht="15" customHeight="1">
      <c r="A726" s="360" t="s">
        <v>3284</v>
      </c>
      <c r="B726" s="1639" t="s">
        <v>3747</v>
      </c>
      <c r="C726" s="2793"/>
      <c r="H726" s="2747"/>
      <c r="R726" s="2774"/>
      <c r="S726" s="2647"/>
      <c r="T726" s="2647"/>
      <c r="U726" s="2647"/>
      <c r="V726" s="2647"/>
      <c r="W726" s="2647"/>
      <c r="X726" s="356"/>
      <c r="AC726" s="356"/>
      <c r="AH726" s="356"/>
      <c r="AM726" s="356"/>
      <c r="LF726" s="1784"/>
      <c r="LK726" s="1784"/>
      <c r="LP726" s="1784"/>
      <c r="LU726" s="1784"/>
      <c r="LV726" s="1784"/>
      <c r="LW726" s="1784"/>
      <c r="LX726" s="1784"/>
      <c r="LY726" s="1784"/>
      <c r="LZ726" s="1784"/>
      <c r="MA726" s="1784"/>
      <c r="MB726" s="1784"/>
      <c r="MC726" s="1784"/>
      <c r="MD726" s="1784"/>
      <c r="ME726" s="1784"/>
      <c r="MF726" s="1784"/>
      <c r="MG726" s="1784"/>
      <c r="MH726" s="1784"/>
      <c r="MI726" s="1784"/>
      <c r="MJ726" s="1784"/>
      <c r="MK726" s="1784"/>
      <c r="ML726" s="1784"/>
      <c r="MM726" s="1784"/>
      <c r="MN726" s="1784"/>
      <c r="MO726" s="1784"/>
      <c r="MP726" s="1784"/>
      <c r="MW726" s="1639"/>
      <c r="NM726" s="1639"/>
      <c r="NN726" s="1639"/>
      <c r="OZ726" s="1640">
        <v>269</v>
      </c>
    </row>
    <row r="727" spans="1:416" s="358" customFormat="1" ht="12" customHeight="1">
      <c r="B727" s="1639"/>
      <c r="C727" s="2793"/>
      <c r="F727" s="2747"/>
      <c r="G727" s="2747"/>
      <c r="K727" s="2747"/>
      <c r="O727" s="1639"/>
      <c r="Q727" s="2774"/>
      <c r="R727" s="2774"/>
      <c r="X727" s="356"/>
      <c r="AC727" s="356"/>
      <c r="AH727" s="356"/>
      <c r="AM727" s="356"/>
      <c r="LF727" s="1784"/>
      <c r="LK727" s="1784"/>
      <c r="LP727" s="1784"/>
      <c r="LU727" s="1784"/>
      <c r="LV727" s="1784"/>
      <c r="LW727" s="1784"/>
      <c r="LX727" s="1784"/>
      <c r="LY727" s="1784"/>
      <c r="LZ727" s="1784"/>
      <c r="MA727" s="1784"/>
      <c r="MB727" s="1784"/>
      <c r="MC727" s="1784"/>
      <c r="MD727" s="1784"/>
      <c r="ME727" s="1784"/>
      <c r="MF727" s="1784"/>
      <c r="MG727" s="1784"/>
      <c r="MH727" s="1784"/>
      <c r="MI727" s="1784"/>
      <c r="MJ727" s="1784"/>
      <c r="MK727" s="1784"/>
      <c r="ML727" s="1784"/>
      <c r="MM727" s="1784"/>
      <c r="MN727" s="1784"/>
      <c r="MO727" s="1784"/>
      <c r="MP727" s="1784"/>
      <c r="MW727" s="1639"/>
      <c r="NM727" s="1639"/>
      <c r="NN727" s="1639"/>
      <c r="OZ727" s="1784">
        <v>270</v>
      </c>
    </row>
    <row r="728" spans="1:416" s="358" customFormat="1" ht="16.5" customHeight="1">
      <c r="B728" s="2804" t="s">
        <v>3748</v>
      </c>
      <c r="C728" s="2793"/>
      <c r="F728" s="2774">
        <f>'Part V-Revenues &amp; Expenses'!F275</f>
        <v>0</v>
      </c>
      <c r="G728" s="2774"/>
      <c r="I728" s="2794" t="s">
        <v>3775</v>
      </c>
      <c r="K728" s="2747"/>
      <c r="L728" s="2774">
        <f>'Part V-Revenues &amp; Expenses'!L275</f>
        <v>0</v>
      </c>
      <c r="M728" s="2774"/>
      <c r="O728" s="1639" t="s">
        <v>3750</v>
      </c>
      <c r="Q728" s="2757">
        <f>F728*L728</f>
        <v>0</v>
      </c>
      <c r="R728" s="2774"/>
      <c r="X728" s="356"/>
      <c r="AC728" s="356"/>
      <c r="AH728" s="356"/>
      <c r="AM728" s="356"/>
      <c r="LF728" s="1784"/>
      <c r="LK728" s="1784"/>
      <c r="LP728" s="1784"/>
      <c r="LU728" s="1784"/>
      <c r="LV728" s="1784"/>
      <c r="LW728" s="1784"/>
      <c r="LX728" s="1784"/>
      <c r="LY728" s="1784"/>
      <c r="LZ728" s="1784"/>
      <c r="MA728" s="1784"/>
      <c r="MB728" s="1784"/>
      <c r="MC728" s="1784"/>
      <c r="MD728" s="1784"/>
      <c r="ME728" s="1784"/>
      <c r="MF728" s="1784"/>
      <c r="MG728" s="1784"/>
      <c r="MH728" s="1784"/>
      <c r="MI728" s="1784"/>
      <c r="MJ728" s="1784"/>
      <c r="MK728" s="1784"/>
      <c r="ML728" s="1784"/>
      <c r="MM728" s="1784"/>
      <c r="MN728" s="1784"/>
      <c r="MO728" s="1784"/>
      <c r="MP728" s="1784"/>
      <c r="MW728" s="1639"/>
      <c r="NM728" s="1639"/>
      <c r="NN728" s="1639"/>
      <c r="OZ728" s="1784">
        <v>271</v>
      </c>
    </row>
    <row r="729" spans="1:416" s="358" customFormat="1" ht="12" customHeight="1">
      <c r="B729" s="1639"/>
      <c r="C729" s="2793"/>
      <c r="F729" s="2747"/>
      <c r="G729" s="2747"/>
      <c r="K729" s="2747"/>
      <c r="O729" s="1639"/>
      <c r="Q729" s="2774"/>
      <c r="R729" s="2774"/>
      <c r="X729" s="356"/>
      <c r="AC729" s="356"/>
      <c r="AH729" s="356"/>
      <c r="AM729" s="356"/>
      <c r="LF729" s="1784"/>
      <c r="LK729" s="1784"/>
      <c r="LP729" s="1784"/>
      <c r="LU729" s="1784"/>
      <c r="LV729" s="1784"/>
      <c r="LW729" s="1784"/>
      <c r="LX729" s="1784"/>
      <c r="LY729" s="1784"/>
      <c r="LZ729" s="1784"/>
      <c r="MA729" s="1784"/>
      <c r="MB729" s="1784"/>
      <c r="MC729" s="1784"/>
      <c r="MD729" s="1784"/>
      <c r="ME729" s="1784"/>
      <c r="MF729" s="1784"/>
      <c r="MG729" s="1784"/>
      <c r="MH729" s="1784"/>
      <c r="MI729" s="1784"/>
      <c r="MJ729" s="1784"/>
      <c r="MK729" s="1784"/>
      <c r="ML729" s="1784"/>
      <c r="MM729" s="1784"/>
      <c r="MN729" s="1784"/>
      <c r="MO729" s="1784"/>
      <c r="MP729" s="1784"/>
      <c r="MW729" s="1639"/>
      <c r="NM729" s="1639"/>
      <c r="NN729" s="1639"/>
      <c r="OZ729" s="1784">
        <v>272</v>
      </c>
    </row>
    <row r="730" spans="1:416" s="358" customFormat="1" ht="16.5" customHeight="1">
      <c r="B730" s="358" t="s">
        <v>3776</v>
      </c>
      <c r="C730" s="2793"/>
      <c r="F730" s="2747"/>
      <c r="G730" s="2747"/>
      <c r="L730" s="358" t="str">
        <f>'Part V-Revenues &amp; Expenses'!L277</f>
        <v>&lt;&lt;Select&gt;&gt;</v>
      </c>
      <c r="R730" s="2774"/>
      <c r="S730" s="2647"/>
      <c r="T730" s="2647"/>
      <c r="U730" s="2647"/>
      <c r="V730" s="2647"/>
      <c r="W730" s="2647"/>
      <c r="X730" s="356"/>
      <c r="AC730" s="356"/>
      <c r="AH730" s="356"/>
      <c r="AM730" s="356"/>
      <c r="LF730" s="1784"/>
      <c r="LK730" s="1784"/>
      <c r="LP730" s="1784"/>
      <c r="LU730" s="1784"/>
      <c r="LV730" s="1784"/>
      <c r="LW730" s="1784"/>
      <c r="LX730" s="1784"/>
      <c r="LY730" s="1784"/>
      <c r="LZ730" s="1784"/>
      <c r="MA730" s="1784"/>
      <c r="MB730" s="1784"/>
      <c r="MC730" s="1784"/>
      <c r="MD730" s="1784"/>
      <c r="ME730" s="1784"/>
      <c r="MF730" s="1784"/>
      <c r="MG730" s="1784"/>
      <c r="MH730" s="1784"/>
      <c r="MI730" s="1784"/>
      <c r="MJ730" s="1784"/>
      <c r="MK730" s="1784"/>
      <c r="ML730" s="1784"/>
      <c r="MM730" s="1784"/>
      <c r="MN730" s="1784"/>
      <c r="MO730" s="1784"/>
      <c r="MP730" s="1784"/>
      <c r="MW730" s="1639"/>
      <c r="NM730" s="1639"/>
      <c r="NN730" s="1639"/>
      <c r="OY730" s="358" t="s">
        <v>4341</v>
      </c>
      <c r="OZ730" s="1784">
        <v>273</v>
      </c>
    </row>
    <row r="731" spans="1:416" s="358" customFormat="1" ht="16.5" customHeight="1">
      <c r="B731" s="1639"/>
      <c r="C731" s="2793"/>
      <c r="F731" s="2747"/>
      <c r="G731" s="2747"/>
      <c r="I731" s="2804" t="s">
        <v>5072</v>
      </c>
      <c r="K731" s="2747"/>
      <c r="L731" s="358" t="str">
        <f>'Part V-Revenues &amp; Expenses'!L278</f>
        <v>&lt;&lt;Select&gt;&gt;</v>
      </c>
      <c r="O731" s="1639"/>
      <c r="Q731" s="2774"/>
      <c r="R731" s="2774"/>
      <c r="X731" s="356"/>
      <c r="AC731" s="356"/>
      <c r="AH731" s="356"/>
      <c r="AM731" s="356"/>
      <c r="LF731" s="1784"/>
      <c r="LK731" s="1784"/>
      <c r="LP731" s="1784"/>
      <c r="LU731" s="1784"/>
      <c r="LV731" s="1784"/>
      <c r="LW731" s="1784"/>
      <c r="LX731" s="1784"/>
      <c r="LY731" s="1784"/>
      <c r="LZ731" s="1784"/>
      <c r="MA731" s="1784"/>
      <c r="MB731" s="1784"/>
      <c r="MC731" s="1784"/>
      <c r="MD731" s="1784"/>
      <c r="ME731" s="1784"/>
      <c r="MF731" s="1784"/>
      <c r="MG731" s="1784"/>
      <c r="MH731" s="1784"/>
      <c r="MI731" s="1784"/>
      <c r="MJ731" s="1784"/>
      <c r="MK731" s="1784"/>
      <c r="ML731" s="1784"/>
      <c r="MM731" s="1784"/>
      <c r="MN731" s="1784"/>
      <c r="MO731" s="1784"/>
      <c r="MP731" s="1784"/>
      <c r="MW731" s="1639"/>
      <c r="NM731" s="1639"/>
      <c r="NN731" s="1639"/>
      <c r="OZ731" s="1784">
        <v>274</v>
      </c>
    </row>
    <row r="732" spans="1:416" s="358" customFormat="1" ht="16.5" customHeight="1">
      <c r="B732" s="1639"/>
      <c r="C732" s="2793"/>
      <c r="F732" s="2747"/>
      <c r="G732" s="2747"/>
      <c r="I732" s="2794" t="s">
        <v>5076</v>
      </c>
      <c r="K732" s="2747"/>
      <c r="L732" s="358">
        <f>'Part V-Revenues &amp; Expenses'!L279</f>
        <v>0</v>
      </c>
      <c r="M732" s="2774"/>
      <c r="O732" s="1639"/>
      <c r="Q732" s="2774"/>
      <c r="R732" s="2774"/>
      <c r="X732" s="356"/>
      <c r="AC732" s="356"/>
      <c r="AH732" s="356"/>
      <c r="AM732" s="356"/>
      <c r="LF732" s="1784"/>
      <c r="LK732" s="1784"/>
      <c r="LP732" s="1784"/>
      <c r="LU732" s="1784"/>
      <c r="LV732" s="1784"/>
      <c r="LW732" s="1784"/>
      <c r="LX732" s="1784"/>
      <c r="LY732" s="1784"/>
      <c r="LZ732" s="1784"/>
      <c r="MA732" s="1784"/>
      <c r="MB732" s="1784"/>
      <c r="MC732" s="1784"/>
      <c r="MD732" s="1784"/>
      <c r="ME732" s="1784"/>
      <c r="MF732" s="1784"/>
      <c r="MG732" s="1784"/>
      <c r="MH732" s="1784"/>
      <c r="MI732" s="1784"/>
      <c r="MJ732" s="1784"/>
      <c r="MK732" s="1784"/>
      <c r="ML732" s="1784"/>
      <c r="MM732" s="1784"/>
      <c r="MN732" s="1784"/>
      <c r="MO732" s="1784"/>
      <c r="MP732" s="1784"/>
      <c r="MW732" s="1639"/>
      <c r="NM732" s="1639"/>
      <c r="NN732" s="1639"/>
      <c r="OZ732" s="2468">
        <v>275</v>
      </c>
    </row>
    <row r="733" spans="1:416" s="358" customFormat="1" ht="16.5" customHeight="1">
      <c r="B733" s="1639"/>
      <c r="C733" s="2793"/>
      <c r="F733" s="2747"/>
      <c r="G733" s="2747"/>
      <c r="I733" s="358" t="s">
        <v>3777</v>
      </c>
      <c r="K733" s="2747"/>
      <c r="L733" s="358">
        <f>'Part V-Revenues &amp; Expenses'!L280</f>
        <v>0</v>
      </c>
      <c r="M733" s="2774"/>
      <c r="O733" s="1639"/>
      <c r="Q733" s="2774"/>
      <c r="R733" s="2774"/>
      <c r="X733" s="356"/>
      <c r="AC733" s="356"/>
      <c r="AH733" s="356"/>
      <c r="AM733" s="356"/>
      <c r="LF733" s="1784"/>
      <c r="LK733" s="1784"/>
      <c r="LP733" s="1784"/>
      <c r="LU733" s="1784"/>
      <c r="LV733" s="1784"/>
      <c r="LW733" s="1784"/>
      <c r="LX733" s="1784"/>
      <c r="LY733" s="1784"/>
      <c r="LZ733" s="1784"/>
      <c r="MA733" s="1784"/>
      <c r="MB733" s="1784"/>
      <c r="MC733" s="1784"/>
      <c r="MD733" s="1784"/>
      <c r="ME733" s="1784"/>
      <c r="MF733" s="1784"/>
      <c r="MG733" s="1784"/>
      <c r="MH733" s="1784"/>
      <c r="MI733" s="1784"/>
      <c r="MJ733" s="1784"/>
      <c r="MK733" s="1784"/>
      <c r="ML733" s="1784"/>
      <c r="MM733" s="1784"/>
      <c r="MN733" s="1784"/>
      <c r="MO733" s="1784"/>
      <c r="MP733" s="1784"/>
      <c r="MW733" s="1639"/>
      <c r="NM733" s="1639"/>
      <c r="NN733" s="1639"/>
      <c r="OZ733" s="1784">
        <v>276</v>
      </c>
    </row>
    <row r="734" spans="1:416" s="358" customFormat="1" ht="16.5" customHeight="1">
      <c r="B734" s="1639"/>
      <c r="C734" s="2793"/>
      <c r="F734" s="2747"/>
      <c r="G734" s="2747"/>
      <c r="K734" s="2747"/>
      <c r="O734" s="1639"/>
      <c r="Q734" s="2774"/>
      <c r="R734" s="2774"/>
      <c r="X734" s="356"/>
      <c r="AC734" s="356"/>
      <c r="AH734" s="356"/>
      <c r="AM734" s="356"/>
      <c r="LF734" s="1784"/>
      <c r="LK734" s="1784"/>
      <c r="LP734" s="1784"/>
      <c r="LU734" s="1784"/>
      <c r="LV734" s="1784"/>
      <c r="LW734" s="1784"/>
      <c r="LX734" s="1784"/>
      <c r="LY734" s="1784"/>
      <c r="LZ734" s="1784"/>
      <c r="MA734" s="1784"/>
      <c r="MB734" s="1784"/>
      <c r="MC734" s="1784"/>
      <c r="MD734" s="1784"/>
      <c r="ME734" s="1784"/>
      <c r="MF734" s="1784"/>
      <c r="MG734" s="1784"/>
      <c r="MH734" s="1784"/>
      <c r="MI734" s="1784"/>
      <c r="MJ734" s="1784"/>
      <c r="MK734" s="1784"/>
      <c r="ML734" s="1784"/>
      <c r="MM734" s="1784"/>
      <c r="MN734" s="1784"/>
      <c r="MO734" s="1784"/>
      <c r="MP734" s="1784"/>
      <c r="MW734" s="1639"/>
      <c r="NM734" s="1639"/>
      <c r="NN734" s="1639"/>
      <c r="OZ734" s="1784">
        <v>277</v>
      </c>
    </row>
    <row r="735" spans="1:416" ht="12" customHeight="1">
      <c r="A735" s="360" t="s">
        <v>3746</v>
      </c>
      <c r="B735" s="360" t="s">
        <v>529</v>
      </c>
      <c r="N735" s="360" t="s">
        <v>4535</v>
      </c>
      <c r="O735" s="360"/>
      <c r="LF735" s="1640"/>
      <c r="LK735" s="1640"/>
      <c r="LP735" s="1640"/>
      <c r="LU735" s="1640"/>
      <c r="LV735" s="1640"/>
      <c r="LW735" s="1640"/>
      <c r="LX735" s="1640"/>
      <c r="LY735" s="1640"/>
      <c r="LZ735" s="1640"/>
      <c r="MA735" s="1640"/>
      <c r="MB735" s="1640"/>
      <c r="MC735" s="1640"/>
      <c r="MD735" s="1640"/>
      <c r="ME735" s="1640"/>
      <c r="MF735" s="1640"/>
      <c r="MG735" s="1640"/>
      <c r="MH735" s="1640"/>
      <c r="MI735" s="1640"/>
      <c r="MJ735" s="1640"/>
      <c r="MK735" s="1640"/>
      <c r="ML735" s="1640"/>
      <c r="MM735" s="1640"/>
      <c r="MN735" s="1640"/>
      <c r="MO735" s="1640"/>
      <c r="MP735" s="1640"/>
      <c r="MW735" s="360"/>
      <c r="NM735" s="360"/>
      <c r="NN735" s="360"/>
      <c r="OY735" s="358"/>
      <c r="OZ735" s="1640">
        <v>278</v>
      </c>
    </row>
    <row r="736" spans="1:416" ht="409.5" customHeight="1">
      <c r="A736" s="2558" t="s">
        <v>3142</v>
      </c>
      <c r="B736" s="2558"/>
      <c r="C736" s="2558"/>
      <c r="D736" s="2558"/>
      <c r="E736" s="2558"/>
      <c r="F736" s="2558"/>
      <c r="G736" s="2558"/>
      <c r="H736" s="2558"/>
      <c r="I736" s="2558"/>
      <c r="J736" s="2558"/>
      <c r="K736" s="2558"/>
      <c r="L736" s="2558"/>
      <c r="M736" s="2558"/>
      <c r="N736" s="2558"/>
      <c r="O736" s="2558"/>
      <c r="P736" s="2558"/>
      <c r="Q736" s="2558"/>
      <c r="R736" s="2684" t="s">
        <v>3283</v>
      </c>
      <c r="S736" s="2684"/>
      <c r="T736" s="2684"/>
      <c r="U736" s="2684"/>
      <c r="LF736" s="1640"/>
      <c r="LK736" s="1640"/>
      <c r="LP736" s="1640"/>
      <c r="LU736" s="1640"/>
      <c r="LV736" s="1640"/>
      <c r="LW736" s="1640"/>
      <c r="LX736" s="1640"/>
      <c r="LY736" s="1640"/>
      <c r="LZ736" s="1640"/>
      <c r="MA736" s="1640"/>
      <c r="MB736" s="1640"/>
      <c r="MC736" s="1640"/>
      <c r="MD736" s="1640"/>
      <c r="ME736" s="1640"/>
      <c r="MF736" s="1640"/>
      <c r="MG736" s="1640"/>
      <c r="MH736" s="1640"/>
      <c r="MI736" s="1640"/>
      <c r="MJ736" s="1640"/>
      <c r="MK736" s="1640"/>
      <c r="ML736" s="1640"/>
      <c r="MM736" s="1640"/>
      <c r="MN736" s="1640"/>
      <c r="MO736" s="1640"/>
      <c r="MP736" s="1640"/>
      <c r="MW736" s="360"/>
      <c r="NM736" s="360"/>
      <c r="NN736" s="360"/>
      <c r="OY736" s="358"/>
      <c r="OZ736" s="1784">
        <v>279</v>
      </c>
    </row>
    <row r="740" spans="1:16">
      <c r="A740" s="1639" t="str">
        <f>CONCATENATE("PART SIX - OPERATING PRO FORMA","  -  ",'Part I-Project Identification'!$O$7," ",'Part I-Project Identification'!$F$26,", ",'Part I-Project Identification'!F761,", ",'Part I-Project Identification'!J761," County")</f>
        <v>PART SIX - OPERATING PRO FORMA  -  2025-0 Retreat at Madison Place, ,  County</v>
      </c>
      <c r="L740" s="1639"/>
      <c r="M740" s="1639"/>
      <c r="N740" s="1639" t="str">
        <f>A740</f>
        <v>PART SIX - OPERATING PRO FORMA  -  2025-0 Retreat at Madison Place, ,  County</v>
      </c>
      <c r="O740" s="1639"/>
      <c r="P740" s="1639"/>
    </row>
    <row r="741" spans="1:16">
      <c r="A741" s="360"/>
      <c r="B741" s="360"/>
      <c r="C741" s="360"/>
      <c r="D741" s="360"/>
      <c r="E741" s="360"/>
      <c r="F741" s="360"/>
      <c r="G741" s="360"/>
      <c r="H741" s="360"/>
      <c r="I741" s="360"/>
      <c r="J741" s="360"/>
      <c r="K741" s="360"/>
      <c r="N741" s="360" t="s">
        <v>1705</v>
      </c>
      <c r="O741" s="360"/>
    </row>
    <row r="742" spans="1:16" ht="13.5" customHeight="1">
      <c r="A742" s="360" t="s">
        <v>85</v>
      </c>
      <c r="C742" s="2805" t="str">
        <f>'Part I-Project Identification'!$A$6</f>
        <v>May 31, 2025</v>
      </c>
      <c r="D742" s="360" t="s">
        <v>75</v>
      </c>
      <c r="E742" s="2706"/>
      <c r="F742" s="2545" t="s">
        <v>5159</v>
      </c>
      <c r="N742" s="360" t="str">
        <f>A742</f>
        <v>I.  OPERATING ASSUMPTIONS</v>
      </c>
      <c r="O742" s="360"/>
    </row>
    <row r="743" spans="1:16">
      <c r="C743" s="1536"/>
    </row>
    <row r="744" spans="1:16" ht="12.75" customHeight="1">
      <c r="A744" s="356" t="s">
        <v>2025</v>
      </c>
      <c r="B744" s="2806">
        <f>'DCA Underwriting Assumptions'!$Q$115</f>
        <v>0.02</v>
      </c>
      <c r="C744" s="1536"/>
      <c r="D744" s="2647" t="s">
        <v>5160</v>
      </c>
      <c r="E744" s="2647"/>
      <c r="F744" s="2647"/>
      <c r="G744" s="2807">
        <f>'Part VI-Pro Forma'!G6</f>
        <v>7500</v>
      </c>
      <c r="H744" s="2808" t="s">
        <v>1762</v>
      </c>
      <c r="K744" s="2809" t="e">
        <f>IF(($B$15+$B$16+$B$17+$B$18)=0,"",B769/($B$15+$B$16+$B$17+$B$18))</f>
        <v>#VALUE!</v>
      </c>
      <c r="N744" s="2647"/>
      <c r="O744" s="2647"/>
    </row>
    <row r="745" spans="1:16">
      <c r="A745" s="356" t="s">
        <v>2026</v>
      </c>
      <c r="B745" s="2806">
        <f>'DCA Underwriting Assumptions'!$Q$118</f>
        <v>0.03</v>
      </c>
      <c r="C745" s="1536"/>
      <c r="D745" s="2647"/>
      <c r="E745" s="2647"/>
      <c r="F745" s="2647"/>
      <c r="G745" s="2810">
        <f>IF(OR('Part II-Sources of Funds'!E740="Yes",'Part II-Sources of Funds'!H740&gt;0),'DCA Underwriting Assumptions'!$Q$79,0)</f>
        <v>0</v>
      </c>
      <c r="N745" s="2647"/>
      <c r="O745" s="2647"/>
    </row>
    <row r="746" spans="1:16">
      <c r="A746" s="356" t="s">
        <v>2028</v>
      </c>
      <c r="B746" s="2806">
        <f>'DCA Underwriting Assumptions'!$Q$119</f>
        <v>0.03</v>
      </c>
      <c r="C746" s="1536"/>
      <c r="D746" s="358" t="s">
        <v>258</v>
      </c>
      <c r="G746" s="2811"/>
      <c r="H746" s="2808" t="s">
        <v>2184</v>
      </c>
      <c r="K746" s="2809" t="e">
        <f>IF(($B$15+$B$16+$B$17+$B$18)=0,"",-B760/($B$15+$B$16+$B$17+$B$18))</f>
        <v>#VALUE!</v>
      </c>
      <c r="N746" s="2647"/>
      <c r="O746" s="2647"/>
    </row>
    <row r="747" spans="1:16" ht="13.8">
      <c r="A747" s="356" t="s">
        <v>2027</v>
      </c>
      <c r="B747" s="2806">
        <f>'Part VI-Pro Forma'!B9</f>
        <v>7.0000000000000007E-2</v>
      </c>
      <c r="C747" s="2542" t="str">
        <f>IF(B747&lt;0.07, "Must be &gt;= 7%!","")</f>
        <v/>
      </c>
      <c r="D747" s="358" t="s">
        <v>2300</v>
      </c>
      <c r="G747" s="2812" t="str">
        <f>'Part VI-Pro Forma'!G9</f>
        <v>No</v>
      </c>
      <c r="H747" s="2813" t="s">
        <v>1353</v>
      </c>
      <c r="K747" s="2814">
        <f>'Part VI-Pro Forma'!K9</f>
        <v>0</v>
      </c>
      <c r="N747" s="2647"/>
      <c r="O747" s="2647"/>
    </row>
    <row r="748" spans="1:16">
      <c r="A748" s="356" t="s">
        <v>1334</v>
      </c>
      <c r="B748" s="2806">
        <v>0.02</v>
      </c>
      <c r="D748" s="358" t="s">
        <v>1595</v>
      </c>
      <c r="G748" s="2812" t="str">
        <f>'Part VI-Pro Forma'!G10</f>
        <v>Yes</v>
      </c>
      <c r="H748" s="2813" t="s">
        <v>2167</v>
      </c>
      <c r="K748" s="2815">
        <f>'Part VI-Pro Forma'!K10</f>
        <v>0.06</v>
      </c>
      <c r="N748" s="2647"/>
      <c r="O748" s="2647"/>
    </row>
    <row r="750" spans="1:16">
      <c r="A750" s="360" t="s">
        <v>86</v>
      </c>
      <c r="D750" s="2787"/>
      <c r="N750" s="360" t="str">
        <f>A750</f>
        <v>II.  OPERATING PRO FORMA</v>
      </c>
    </row>
    <row r="752" spans="1:16">
      <c r="A752" s="360" t="s">
        <v>2277</v>
      </c>
      <c r="B752" s="360">
        <v>1</v>
      </c>
      <c r="C752" s="360">
        <f t="shared" ref="C752:K752" si="419">B752+1</f>
        <v>2</v>
      </c>
      <c r="D752" s="360">
        <f t="shared" si="419"/>
        <v>3</v>
      </c>
      <c r="E752" s="360">
        <f t="shared" si="419"/>
        <v>4</v>
      </c>
      <c r="F752" s="360">
        <f t="shared" si="419"/>
        <v>5</v>
      </c>
      <c r="G752" s="360">
        <f t="shared" si="419"/>
        <v>6</v>
      </c>
      <c r="H752" s="360">
        <f t="shared" si="419"/>
        <v>7</v>
      </c>
      <c r="I752" s="360">
        <f t="shared" si="419"/>
        <v>8</v>
      </c>
      <c r="J752" s="360">
        <f t="shared" si="419"/>
        <v>9</v>
      </c>
      <c r="K752" s="360">
        <f t="shared" si="419"/>
        <v>10</v>
      </c>
      <c r="N752" s="360" t="s">
        <v>2403</v>
      </c>
      <c r="O752" s="360"/>
    </row>
    <row r="753" spans="1:19" ht="12.75" customHeight="1">
      <c r="A753" s="356" t="s">
        <v>2208</v>
      </c>
      <c r="B753" s="2816">
        <f>'Part VI-Pro Forma'!B15</f>
        <v>2626224</v>
      </c>
      <c r="C753" s="2816">
        <f>'Part VI-Pro Forma'!C15</f>
        <v>2678748.48</v>
      </c>
      <c r="D753" s="2816">
        <f>'Part VI-Pro Forma'!D15</f>
        <v>2732323.4495999999</v>
      </c>
      <c r="E753" s="2816">
        <f>'Part VI-Pro Forma'!E15</f>
        <v>2786969.9185919999</v>
      </c>
      <c r="F753" s="2816">
        <f>'Part VI-Pro Forma'!F15</f>
        <v>2842709.3169638398</v>
      </c>
      <c r="G753" s="2816">
        <f>'Part VI-Pro Forma'!G15</f>
        <v>2899563.5033031167</v>
      </c>
      <c r="H753" s="2816">
        <f>'Part VI-Pro Forma'!H15</f>
        <v>2957554.7733691791</v>
      </c>
      <c r="I753" s="2816">
        <f>'Part VI-Pro Forma'!I15</f>
        <v>3016705.8688365621</v>
      </c>
      <c r="J753" s="2816">
        <f>'Part VI-Pro Forma'!J15</f>
        <v>3077039.9862132939</v>
      </c>
      <c r="K753" s="2816">
        <f>'Part VI-Pro Forma'!K15</f>
        <v>3138580.7859375598</v>
      </c>
      <c r="N753" s="2647"/>
      <c r="O753" s="2647"/>
      <c r="S753" s="359" t="s">
        <v>3318</v>
      </c>
    </row>
    <row r="754" spans="1:19">
      <c r="A754" s="356" t="s">
        <v>951</v>
      </c>
      <c r="B754" s="2816">
        <f>'Part VI-Pro Forma'!B16</f>
        <v>52524.480000000003</v>
      </c>
      <c r="C754" s="2816">
        <f>'Part VI-Pro Forma'!C16</f>
        <v>53574.969600000004</v>
      </c>
      <c r="D754" s="2816">
        <f>'Part VI-Pro Forma'!D16</f>
        <v>54646.468992000002</v>
      </c>
      <c r="E754" s="2816">
        <f>'Part VI-Pro Forma'!E16</f>
        <v>55739.398371839998</v>
      </c>
      <c r="F754" s="2816">
        <f>'Part VI-Pro Forma'!F16</f>
        <v>56854.186339276799</v>
      </c>
      <c r="G754" s="2816">
        <f>'Part VI-Pro Forma'!G16</f>
        <v>57991.270066062338</v>
      </c>
      <c r="H754" s="2816">
        <f>'Part VI-Pro Forma'!H16</f>
        <v>59151.095467383588</v>
      </c>
      <c r="I754" s="2816">
        <f>'Part VI-Pro Forma'!I16</f>
        <v>60334.11737673125</v>
      </c>
      <c r="J754" s="2816">
        <f>'Part VI-Pro Forma'!J16</f>
        <v>61540.799724265882</v>
      </c>
      <c r="K754" s="2816">
        <f>'Part VI-Pro Forma'!K16</f>
        <v>62771.6157187512</v>
      </c>
      <c r="N754" s="2647"/>
      <c r="O754" s="2647"/>
      <c r="S754" s="359"/>
    </row>
    <row r="755" spans="1:19" ht="12.75" customHeight="1">
      <c r="A755" s="356" t="s">
        <v>2209</v>
      </c>
      <c r="B755" s="2816">
        <f>'Part VI-Pro Forma'!B17</f>
        <v>-187512.39360000001</v>
      </c>
      <c r="C755" s="2816">
        <f>'Part VI-Pro Forma'!C17</f>
        <v>-191262.64147200002</v>
      </c>
      <c r="D755" s="2816">
        <f>'Part VI-Pro Forma'!D17</f>
        <v>-195087.89430144001</v>
      </c>
      <c r="E755" s="2816">
        <f>'Part VI-Pro Forma'!E17</f>
        <v>-198989.6521874688</v>
      </c>
      <c r="F755" s="2816">
        <f>'Part VI-Pro Forma'!F17</f>
        <v>-202969.44523121818</v>
      </c>
      <c r="G755" s="2816">
        <f>'Part VI-Pro Forma'!G17</f>
        <v>-207028.83413584257</v>
      </c>
      <c r="H755" s="2816">
        <f>'Part VI-Pro Forma'!H17</f>
        <v>-211169.41081855941</v>
      </c>
      <c r="I755" s="2816">
        <f>'Part VI-Pro Forma'!I17</f>
        <v>-215392.79903493056</v>
      </c>
      <c r="J755" s="2816">
        <f>'Part VI-Pro Forma'!J17</f>
        <v>-219700.65501562919</v>
      </c>
      <c r="K755" s="2816">
        <f>'Part VI-Pro Forma'!K17</f>
        <v>-224094.66811594178</v>
      </c>
      <c r="N755" s="2647"/>
      <c r="O755" s="2647"/>
      <c r="Q755" s="359" t="s">
        <v>3212</v>
      </c>
      <c r="R755" s="359" t="s">
        <v>3317</v>
      </c>
      <c r="S755" s="359"/>
    </row>
    <row r="756" spans="1:19">
      <c r="A756" s="356" t="s">
        <v>47</v>
      </c>
      <c r="B756" s="2816">
        <f>'Part VI-Pro Forma'!B18</f>
        <v>0</v>
      </c>
      <c r="C756" s="2816">
        <f>'Part VI-Pro Forma'!C18</f>
        <v>0</v>
      </c>
      <c r="D756" s="2816">
        <f>'Part VI-Pro Forma'!D18</f>
        <v>0</v>
      </c>
      <c r="E756" s="2816">
        <f>'Part VI-Pro Forma'!E18</f>
        <v>0</v>
      </c>
      <c r="F756" s="2816">
        <f>'Part VI-Pro Forma'!F18</f>
        <v>0</v>
      </c>
      <c r="G756" s="2816">
        <f>'Part VI-Pro Forma'!G18</f>
        <v>0</v>
      </c>
      <c r="H756" s="2816">
        <f>'Part VI-Pro Forma'!H18</f>
        <v>0</v>
      </c>
      <c r="I756" s="2816">
        <f>'Part VI-Pro Forma'!I18</f>
        <v>0</v>
      </c>
      <c r="J756" s="2816">
        <f>'Part VI-Pro Forma'!J18</f>
        <v>0</v>
      </c>
      <c r="K756" s="2816">
        <f>'Part VI-Pro Forma'!K18</f>
        <v>0</v>
      </c>
      <c r="N756" s="2647"/>
      <c r="O756" s="2647"/>
      <c r="Q756" s="359"/>
      <c r="R756" s="359"/>
      <c r="S756" s="359"/>
    </row>
    <row r="757" spans="1:19">
      <c r="A757" s="356" t="s">
        <v>48</v>
      </c>
      <c r="B757" s="2816">
        <f>'Part VI-Pro Forma'!B19</f>
        <v>0</v>
      </c>
      <c r="C757" s="2816">
        <f>'Part VI-Pro Forma'!C19</f>
        <v>0</v>
      </c>
      <c r="D757" s="2816">
        <f>'Part VI-Pro Forma'!D19</f>
        <v>0</v>
      </c>
      <c r="E757" s="2816">
        <f>'Part VI-Pro Forma'!E19</f>
        <v>0</v>
      </c>
      <c r="F757" s="2816">
        <f>'Part VI-Pro Forma'!F19</f>
        <v>0</v>
      </c>
      <c r="G757" s="2816">
        <f>'Part VI-Pro Forma'!G19</f>
        <v>0</v>
      </c>
      <c r="H757" s="2816">
        <f>'Part VI-Pro Forma'!H19</f>
        <v>0</v>
      </c>
      <c r="I757" s="2816">
        <f>'Part VI-Pro Forma'!I19</f>
        <v>0</v>
      </c>
      <c r="J757" s="2816">
        <f>'Part VI-Pro Forma'!J19</f>
        <v>0</v>
      </c>
      <c r="K757" s="2816">
        <f>'Part VI-Pro Forma'!K19</f>
        <v>0</v>
      </c>
      <c r="N757" s="2647"/>
      <c r="O757" s="2647"/>
    </row>
    <row r="758" spans="1:19">
      <c r="A758" s="356" t="s">
        <v>3712</v>
      </c>
      <c r="B758" s="2816">
        <f>'Part VI-Pro Forma'!B20</f>
        <v>2491236.0863999999</v>
      </c>
      <c r="C758" s="2816">
        <f>'Part VI-Pro Forma'!C20</f>
        <v>2541060.8081279998</v>
      </c>
      <c r="D758" s="2816">
        <f>'Part VI-Pro Forma'!D20</f>
        <v>2591882.0242905598</v>
      </c>
      <c r="E758" s="2816">
        <f>'Part VI-Pro Forma'!E20</f>
        <v>2643719.6647763709</v>
      </c>
      <c r="F758" s="2816">
        <f>'Part VI-Pro Forma'!F20</f>
        <v>2696594.0580718983</v>
      </c>
      <c r="G758" s="2816">
        <f>'Part VI-Pro Forma'!G20</f>
        <v>2750525.9392333366</v>
      </c>
      <c r="H758" s="2816">
        <f>'Part VI-Pro Forma'!H20</f>
        <v>2805536.458018003</v>
      </c>
      <c r="I758" s="2816">
        <f>'Part VI-Pro Forma'!I20</f>
        <v>2861647.1871783626</v>
      </c>
      <c r="J758" s="2816">
        <f>'Part VI-Pro Forma'!J20</f>
        <v>2918880.1309219305</v>
      </c>
      <c r="K758" s="2816">
        <f>'Part VI-Pro Forma'!K20</f>
        <v>2977257.7335403692</v>
      </c>
      <c r="N758" s="2647"/>
      <c r="O758" s="2647"/>
    </row>
    <row r="759" spans="1:19">
      <c r="A759" s="356" t="s">
        <v>571</v>
      </c>
      <c r="B759" s="2816">
        <f>'Part VI-Pro Forma'!B21</f>
        <v>-1085368</v>
      </c>
      <c r="C759" s="2816">
        <f>'Part VI-Pro Forma'!C21</f>
        <v>-1117929.04</v>
      </c>
      <c r="D759" s="2816">
        <f>'Part VI-Pro Forma'!D21</f>
        <v>-1151466.9112</v>
      </c>
      <c r="E759" s="2816">
        <f>'Part VI-Pro Forma'!E21</f>
        <v>-1186010.918536</v>
      </c>
      <c r="F759" s="2816">
        <f>'Part VI-Pro Forma'!F21</f>
        <v>-1221591.2460920799</v>
      </c>
      <c r="G759" s="2816">
        <f>'Part VI-Pro Forma'!G21</f>
        <v>-1258238.9834748423</v>
      </c>
      <c r="H759" s="2816">
        <f>'Part VI-Pro Forma'!H21</f>
        <v>-1295986.1529790876</v>
      </c>
      <c r="I759" s="2816">
        <f>'Part VI-Pro Forma'!I21</f>
        <v>-1334865.7375684602</v>
      </c>
      <c r="J759" s="2816">
        <f>'Part VI-Pro Forma'!J21</f>
        <v>-1374911.7096955138</v>
      </c>
      <c r="K759" s="2816">
        <f>'Part VI-Pro Forma'!K21</f>
        <v>-1416159.0609863794</v>
      </c>
      <c r="N759" s="2647"/>
      <c r="O759" s="2647"/>
      <c r="Q759" s="1640">
        <v>1</v>
      </c>
      <c r="R759" s="1785">
        <f>-B770</f>
        <v>230059</v>
      </c>
      <c r="S759" s="1785">
        <f>B771+R759</f>
        <v>230059.37855569771</v>
      </c>
    </row>
    <row r="760" spans="1:19">
      <c r="A760" s="356" t="s">
        <v>1049</v>
      </c>
      <c r="B760" s="2816">
        <f>'Part VI-Pro Forma'!B22</f>
        <v>-149474</v>
      </c>
      <c r="C760" s="2816">
        <f>'Part VI-Pro Forma'!C22</f>
        <v>-152464</v>
      </c>
      <c r="D760" s="2816">
        <f>'Part VI-Pro Forma'!D22</f>
        <v>-155513</v>
      </c>
      <c r="E760" s="2816">
        <f>'Part VI-Pro Forma'!E22</f>
        <v>-158623</v>
      </c>
      <c r="F760" s="2816">
        <f>'Part VI-Pro Forma'!F22</f>
        <v>-161796</v>
      </c>
      <c r="G760" s="2816">
        <f>'Part VI-Pro Forma'!G22</f>
        <v>-165032</v>
      </c>
      <c r="H760" s="2816">
        <f>'Part VI-Pro Forma'!H22</f>
        <v>-168332</v>
      </c>
      <c r="I760" s="2816">
        <f>'Part VI-Pro Forma'!I22</f>
        <v>-171699</v>
      </c>
      <c r="J760" s="2816">
        <f>'Part VI-Pro Forma'!J22</f>
        <v>-175133</v>
      </c>
      <c r="K760" s="2816">
        <f>'Part VI-Pro Forma'!K22</f>
        <v>-178635</v>
      </c>
      <c r="N760" s="2647"/>
      <c r="O760" s="2647"/>
      <c r="Q760" s="1640">
        <v>2</v>
      </c>
      <c r="R760" s="1785">
        <f>-SUM(B770:C770)</f>
        <v>472472</v>
      </c>
      <c r="S760" s="1785">
        <f>SUM(B771:C771)+R760</f>
        <v>472472.43883939524</v>
      </c>
    </row>
    <row r="761" spans="1:19">
      <c r="A761" s="356" t="s">
        <v>1127</v>
      </c>
      <c r="B761" s="2816">
        <f>'Part VI-Pro Forma'!B23</f>
        <v>-64000</v>
      </c>
      <c r="C761" s="2816">
        <f>'Part VI-Pro Forma'!C23</f>
        <v>-65920</v>
      </c>
      <c r="D761" s="2816">
        <f>'Part VI-Pro Forma'!D23</f>
        <v>-67897.599999999991</v>
      </c>
      <c r="E761" s="2816">
        <f>'Part VI-Pro Forma'!E23</f>
        <v>-69934.528000000006</v>
      </c>
      <c r="F761" s="2816">
        <f>'Part VI-Pro Forma'!F23</f>
        <v>-72032.563839999988</v>
      </c>
      <c r="G761" s="2816">
        <f>'Part VI-Pro Forma'!G23</f>
        <v>-74193.540755199996</v>
      </c>
      <c r="H761" s="2816">
        <f>'Part VI-Pro Forma'!H23</f>
        <v>-76419.346977855996</v>
      </c>
      <c r="I761" s="2816">
        <f>'Part VI-Pro Forma'!I23</f>
        <v>-78711.927387191681</v>
      </c>
      <c r="J761" s="2816">
        <f>'Part VI-Pro Forma'!J23</f>
        <v>-81073.285208807414</v>
      </c>
      <c r="K761" s="2816">
        <f>'Part VI-Pro Forma'!K23</f>
        <v>-83505.483765071651</v>
      </c>
      <c r="N761" s="2647"/>
      <c r="O761" s="2647"/>
      <c r="Q761" s="1640">
        <v>3</v>
      </c>
      <c r="R761" s="1785">
        <f>-SUM(B770:D770)</f>
        <v>727142</v>
      </c>
      <c r="S761" s="1785">
        <f>SUM(B771:D771)+R761</f>
        <v>727142.24408565275</v>
      </c>
    </row>
    <row r="762" spans="1:19">
      <c r="A762" s="356" t="s">
        <v>3711</v>
      </c>
      <c r="B762" s="2816">
        <f>'Part VI-Pro Forma'!B24</f>
        <v>0</v>
      </c>
      <c r="C762" s="2816">
        <f>'Part VI-Pro Forma'!C24</f>
        <v>0</v>
      </c>
      <c r="D762" s="2816">
        <f>'Part VI-Pro Forma'!D24</f>
        <v>0</v>
      </c>
      <c r="E762" s="2816">
        <f>'Part VI-Pro Forma'!E24</f>
        <v>0</v>
      </c>
      <c r="F762" s="2816">
        <f>'Part VI-Pro Forma'!F24</f>
        <v>0</v>
      </c>
      <c r="G762" s="2816">
        <f>'Part VI-Pro Forma'!G24</f>
        <v>0</v>
      </c>
      <c r="H762" s="2816">
        <f>'Part VI-Pro Forma'!H24</f>
        <v>0</v>
      </c>
      <c r="I762" s="2816">
        <f>'Part VI-Pro Forma'!I24</f>
        <v>0</v>
      </c>
      <c r="J762" s="2816">
        <f>'Part VI-Pro Forma'!J24</f>
        <v>0</v>
      </c>
      <c r="K762" s="2816">
        <f>'Part VI-Pro Forma'!K24</f>
        <v>0</v>
      </c>
      <c r="N762" s="2647"/>
      <c r="O762" s="2647"/>
      <c r="Q762" s="1640">
        <v>4</v>
      </c>
      <c r="R762" s="1785">
        <f>-SUM(B770:E770)</f>
        <v>801667</v>
      </c>
      <c r="S762" s="1785">
        <f>SUM(B771:E771)+R762</f>
        <v>993958.75448172144</v>
      </c>
    </row>
    <row r="763" spans="1:19">
      <c r="A763" s="356" t="s">
        <v>1128</v>
      </c>
      <c r="B763" s="2816">
        <f>SUM(B758:B762)</f>
        <v>1192394.0863999999</v>
      </c>
      <c r="C763" s="2816">
        <f t="shared" ref="C763:J763" si="420">SUM(C758:C762)</f>
        <v>1204747.7681279997</v>
      </c>
      <c r="D763" s="2816">
        <f t="shared" si="420"/>
        <v>1217004.5130905597</v>
      </c>
      <c r="E763" s="2816">
        <f t="shared" si="420"/>
        <v>1229151.218240371</v>
      </c>
      <c r="F763" s="2816">
        <f t="shared" si="420"/>
        <v>1241174.2481398184</v>
      </c>
      <c r="G763" s="2816">
        <f t="shared" si="420"/>
        <v>1253061.4150032944</v>
      </c>
      <c r="H763" s="2816">
        <f t="shared" si="420"/>
        <v>1264798.9580610595</v>
      </c>
      <c r="I763" s="2816">
        <f t="shared" si="420"/>
        <v>1276370.5222227108</v>
      </c>
      <c r="J763" s="2816">
        <f t="shared" si="420"/>
        <v>1287762.1360176094</v>
      </c>
      <c r="K763" s="2816">
        <f>SUM(K758:K762)</f>
        <v>1298958.1887889181</v>
      </c>
      <c r="N763" s="2647"/>
      <c r="O763" s="2647"/>
      <c r="Q763" s="1640">
        <v>5</v>
      </c>
      <c r="R763" s="1785">
        <f>-SUM(B770:F770)</f>
        <v>801667</v>
      </c>
      <c r="S763" s="1785">
        <f>SUM(B771:F771)+R763</f>
        <v>1272798.2947772378</v>
      </c>
    </row>
    <row r="764" spans="1:19">
      <c r="A764" s="356" t="s">
        <v>1484</v>
      </c>
      <c r="B764" s="2816">
        <f>'Part VI-Pro Forma'!B26</f>
        <v>-896999.03843217005</v>
      </c>
      <c r="C764" s="2816">
        <f>'Part VI-Pro Forma'!C26</f>
        <v>-896999.03843217005</v>
      </c>
      <c r="D764" s="2816">
        <f>'Part VI-Pro Forma'!D26</f>
        <v>-896999.03843217005</v>
      </c>
      <c r="E764" s="2816">
        <f>'Part VI-Pro Forma'!E26</f>
        <v>-896999.03843217005</v>
      </c>
      <c r="F764" s="2816">
        <f>'Part VI-Pro Forma'!F26</f>
        <v>-896999.03843217005</v>
      </c>
      <c r="G764" s="2816">
        <f>'Part VI-Pro Forma'!G26</f>
        <v>-896999.03843217005</v>
      </c>
      <c r="H764" s="2816">
        <f>'Part VI-Pro Forma'!H26</f>
        <v>-896999.03843217005</v>
      </c>
      <c r="I764" s="2816">
        <f>'Part VI-Pro Forma'!I26</f>
        <v>-896999.03843217005</v>
      </c>
      <c r="J764" s="2816">
        <f>'Part VI-Pro Forma'!J26</f>
        <v>-896999.03843217005</v>
      </c>
      <c r="K764" s="2816">
        <f>'Part VI-Pro Forma'!K26</f>
        <v>-896999.03843217005</v>
      </c>
      <c r="N764" s="2647"/>
      <c r="O764" s="2647"/>
      <c r="Q764" s="1640">
        <v>6</v>
      </c>
      <c r="R764" s="1785">
        <f>-SUM(B770:G770)</f>
        <v>801667</v>
      </c>
      <c r="S764" s="1785">
        <f>SUM(B771:G771)+R764</f>
        <v>1563525.0019362299</v>
      </c>
    </row>
    <row r="765" spans="1:19">
      <c r="A765" s="356" t="s">
        <v>1485</v>
      </c>
      <c r="B765" s="2816">
        <f>'Part VI-Pro Forma'!B27</f>
        <v>-57835.669412132156</v>
      </c>
      <c r="C765" s="2816">
        <f>'Part VI-Pro Forma'!C27</f>
        <v>-57835.669412132156</v>
      </c>
      <c r="D765" s="2816">
        <f>'Part VI-Pro Forma'!D27</f>
        <v>-57835.669412132156</v>
      </c>
      <c r="E765" s="2816">
        <f>'Part VI-Pro Forma'!E27</f>
        <v>-57835.669412132156</v>
      </c>
      <c r="F765" s="2816">
        <f>'Part VI-Pro Forma'!F27</f>
        <v>-57835.669412132156</v>
      </c>
      <c r="G765" s="2816">
        <f>'Part VI-Pro Forma'!G27</f>
        <v>-57835.669412132156</v>
      </c>
      <c r="H765" s="2816">
        <f>'Part VI-Pro Forma'!H27</f>
        <v>-57835.669412132156</v>
      </c>
      <c r="I765" s="2816">
        <f>'Part VI-Pro Forma'!I27</f>
        <v>-57835.669412132156</v>
      </c>
      <c r="J765" s="2816">
        <f>'Part VI-Pro Forma'!J27</f>
        <v>-57835.669412132156</v>
      </c>
      <c r="K765" s="2816">
        <f>'Part VI-Pro Forma'!K27</f>
        <v>-57835.669412132156</v>
      </c>
      <c r="N765" s="2647"/>
      <c r="O765" s="2647"/>
      <c r="Q765" s="1640">
        <v>7</v>
      </c>
      <c r="R765" s="1785">
        <f>-SUM(B770:H770)</f>
        <v>801667</v>
      </c>
      <c r="S765" s="1785">
        <f>SUM(B771:H771)+R765</f>
        <v>1865989.2521529871</v>
      </c>
    </row>
    <row r="766" spans="1:19">
      <c r="A766" s="356" t="s">
        <v>1486</v>
      </c>
      <c r="B766" s="2816">
        <f>'Part VI-Pro Forma'!B28</f>
        <v>0</v>
      </c>
      <c r="C766" s="2816">
        <f>'Part VI-Pro Forma'!C28</f>
        <v>0</v>
      </c>
      <c r="D766" s="2816">
        <f>'Part VI-Pro Forma'!D28</f>
        <v>0</v>
      </c>
      <c r="E766" s="2816">
        <f>'Part VI-Pro Forma'!E28</f>
        <v>0</v>
      </c>
      <c r="F766" s="2816">
        <f>'Part VI-Pro Forma'!F28</f>
        <v>0</v>
      </c>
      <c r="G766" s="2816">
        <f>'Part VI-Pro Forma'!G28</f>
        <v>0</v>
      </c>
      <c r="H766" s="2816">
        <f>'Part VI-Pro Forma'!H28</f>
        <v>0</v>
      </c>
      <c r="I766" s="2816">
        <f>'Part VI-Pro Forma'!I28</f>
        <v>0</v>
      </c>
      <c r="J766" s="2816">
        <f>'Part VI-Pro Forma'!J28</f>
        <v>0</v>
      </c>
      <c r="K766" s="2816">
        <f>'Part VI-Pro Forma'!K28</f>
        <v>0</v>
      </c>
      <c r="N766" s="2647"/>
      <c r="O766" s="2647"/>
      <c r="Q766" s="1640">
        <v>8</v>
      </c>
      <c r="R766" s="1785">
        <f>-SUM(B770:I770)</f>
        <v>801667</v>
      </c>
      <c r="S766" s="1785">
        <f>SUM(B771:I771)+R766</f>
        <v>2180025.0665313955</v>
      </c>
    </row>
    <row r="767" spans="1:19">
      <c r="A767" s="356" t="s">
        <v>3198</v>
      </c>
      <c r="B767" s="2816">
        <f>'Part VI-Pro Forma'!B29</f>
        <v>0</v>
      </c>
      <c r="C767" s="2816">
        <f>'Part VI-Pro Forma'!C29</f>
        <v>0</v>
      </c>
      <c r="D767" s="2816">
        <f>'Part VI-Pro Forma'!D29</f>
        <v>0</v>
      </c>
      <c r="E767" s="2816">
        <f>'Part VI-Pro Forma'!E29</f>
        <v>0</v>
      </c>
      <c r="F767" s="2816">
        <f>'Part VI-Pro Forma'!F29</f>
        <v>0</v>
      </c>
      <c r="G767" s="2816">
        <f>'Part VI-Pro Forma'!G29</f>
        <v>0</v>
      </c>
      <c r="H767" s="2816">
        <f>'Part VI-Pro Forma'!H29</f>
        <v>0</v>
      </c>
      <c r="I767" s="2816">
        <f>'Part VI-Pro Forma'!I29</f>
        <v>0</v>
      </c>
      <c r="J767" s="2816">
        <f>'Part VI-Pro Forma'!J29</f>
        <v>0</v>
      </c>
      <c r="K767" s="2816">
        <f>'Part VI-Pro Forma'!K29</f>
        <v>0</v>
      </c>
      <c r="N767" s="2647"/>
      <c r="O767" s="2647"/>
      <c r="Q767" s="1640">
        <v>9</v>
      </c>
      <c r="R767" s="1785">
        <f>-SUM(B770:J770)</f>
        <v>801667</v>
      </c>
      <c r="S767" s="1785">
        <f>SUM(B771:J771)+R767</f>
        <v>2505452.4947047029</v>
      </c>
    </row>
    <row r="768" spans="1:19">
      <c r="A768" s="356" t="s">
        <v>710</v>
      </c>
      <c r="B768" s="2816">
        <f>'Part VI-Pro Forma'!B30</f>
        <v>0</v>
      </c>
      <c r="C768" s="2816">
        <f>'Part VI-Pro Forma'!C30</f>
        <v>0</v>
      </c>
      <c r="D768" s="2816">
        <f>'Part VI-Pro Forma'!D30</f>
        <v>0</v>
      </c>
      <c r="E768" s="2816">
        <f>'Part VI-Pro Forma'!E30</f>
        <v>0</v>
      </c>
      <c r="F768" s="2816">
        <f>'Part VI-Pro Forma'!F30</f>
        <v>0</v>
      </c>
      <c r="G768" s="2816">
        <f>'Part VI-Pro Forma'!G30</f>
        <v>0</v>
      </c>
      <c r="H768" s="2816">
        <f>'Part VI-Pro Forma'!H30</f>
        <v>0</v>
      </c>
      <c r="I768" s="2816">
        <f>'Part VI-Pro Forma'!I30</f>
        <v>0</v>
      </c>
      <c r="J768" s="2816">
        <f>'Part VI-Pro Forma'!J30</f>
        <v>0</v>
      </c>
      <c r="K768" s="2816">
        <f>'Part VI-Pro Forma'!K30</f>
        <v>0</v>
      </c>
      <c r="N768" s="2647"/>
      <c r="O768" s="2647"/>
      <c r="Q768" s="1640">
        <v>10</v>
      </c>
      <c r="R768" s="1785">
        <f>-SUM(B770:K770)</f>
        <v>801667</v>
      </c>
      <c r="S768" s="1785">
        <f>SUM(B771:K771)+R768</f>
        <v>2842075.9756493187</v>
      </c>
    </row>
    <row r="769" spans="1:19">
      <c r="A769" s="356" t="s">
        <v>1094</v>
      </c>
      <c r="B769" s="2816">
        <f>'Part VI-Pro Forma'!B31</f>
        <v>-7500</v>
      </c>
      <c r="C769" s="2816">
        <f>'Part VI-Pro Forma'!C31</f>
        <v>-7500</v>
      </c>
      <c r="D769" s="2816">
        <f>'Part VI-Pro Forma'!D31</f>
        <v>-7500</v>
      </c>
      <c r="E769" s="2816">
        <f>'Part VI-Pro Forma'!E31</f>
        <v>-7500</v>
      </c>
      <c r="F769" s="2816">
        <f>'Part VI-Pro Forma'!F31</f>
        <v>-7500</v>
      </c>
      <c r="G769" s="2816">
        <f>'Part VI-Pro Forma'!G31</f>
        <v>-7500</v>
      </c>
      <c r="H769" s="2816">
        <f>'Part VI-Pro Forma'!H31</f>
        <v>-7500</v>
      </c>
      <c r="I769" s="2816">
        <f>'Part VI-Pro Forma'!I31</f>
        <v>-7500</v>
      </c>
      <c r="J769" s="2816">
        <f>'Part VI-Pro Forma'!J31</f>
        <v>-7500</v>
      </c>
      <c r="K769" s="2816">
        <f>'Part VI-Pro Forma'!K31</f>
        <v>-7500</v>
      </c>
      <c r="N769" s="2647"/>
      <c r="O769" s="2647"/>
      <c r="Q769" s="1640">
        <v>11</v>
      </c>
      <c r="R769" s="1785">
        <f>-SUM(B770:K770)-B802</f>
        <v>801667</v>
      </c>
      <c r="S769" s="1785">
        <f>SUM(B771:K771)+B803+R769</f>
        <v>3189681.6749221985</v>
      </c>
    </row>
    <row r="770" spans="1:19">
      <c r="A770" s="356" t="s">
        <v>3271</v>
      </c>
      <c r="B770" s="2816">
        <f>'Part VI-Pro Forma'!B32</f>
        <v>-230059</v>
      </c>
      <c r="C770" s="2816">
        <f>'Part VI-Pro Forma'!C32</f>
        <v>-242413</v>
      </c>
      <c r="D770" s="2816">
        <f>'Part VI-Pro Forma'!D32</f>
        <v>-254670</v>
      </c>
      <c r="E770" s="2816">
        <f>'Part VI-Pro Forma'!E32</f>
        <v>-74525</v>
      </c>
      <c r="F770" s="2816">
        <f>'Part VI-Pro Forma'!F32</f>
        <v>0</v>
      </c>
      <c r="G770" s="2816">
        <f>'Part VI-Pro Forma'!G32</f>
        <v>0</v>
      </c>
      <c r="H770" s="2816">
        <f>'Part VI-Pro Forma'!H32</f>
        <v>0</v>
      </c>
      <c r="I770" s="2816">
        <f>'Part VI-Pro Forma'!I32</f>
        <v>0</v>
      </c>
      <c r="J770" s="2816">
        <f>'Part VI-Pro Forma'!J32</f>
        <v>0</v>
      </c>
      <c r="K770" s="2816">
        <f>'Part VI-Pro Forma'!K32</f>
        <v>0</v>
      </c>
      <c r="N770" s="2647"/>
      <c r="O770" s="2647"/>
      <c r="Q770" s="1640">
        <v>12</v>
      </c>
      <c r="R770" s="1785">
        <f>-SUM(B770:K770) - SUM(B802:C802)</f>
        <v>801667</v>
      </c>
      <c r="S770" s="1785">
        <f>SUM(B771:K771) + SUM(B803:C803)+R770</f>
        <v>3548039.7975264811</v>
      </c>
    </row>
    <row r="771" spans="1:19">
      <c r="A771" s="356" t="s">
        <v>1095</v>
      </c>
      <c r="B771" s="2816">
        <f t="shared" ref="B771:K771" si="421">SUM(B763:B770)</f>
        <v>0.37855569770908915</v>
      </c>
      <c r="C771" s="2816">
        <f t="shared" si="421"/>
        <v>6.028369753039442E-2</v>
      </c>
      <c r="D771" s="2816">
        <f t="shared" si="421"/>
        <v>-0.19475374248577282</v>
      </c>
      <c r="E771" s="2816">
        <f t="shared" si="421"/>
        <v>192291.51039606874</v>
      </c>
      <c r="F771" s="2816">
        <f t="shared" si="421"/>
        <v>278839.5402955162</v>
      </c>
      <c r="G771" s="2816">
        <f t="shared" si="421"/>
        <v>290726.70715899213</v>
      </c>
      <c r="H771" s="2816">
        <f t="shared" si="421"/>
        <v>302464.25021675724</v>
      </c>
      <c r="I771" s="2816">
        <f t="shared" si="421"/>
        <v>314035.81437840854</v>
      </c>
      <c r="J771" s="2816">
        <f t="shared" si="421"/>
        <v>325427.42817330715</v>
      </c>
      <c r="K771" s="2816">
        <f t="shared" si="421"/>
        <v>336623.48094461585</v>
      </c>
      <c r="N771" s="2647"/>
      <c r="O771" s="2647"/>
      <c r="Q771" s="1640">
        <v>13</v>
      </c>
      <c r="R771" s="1785">
        <f>-SUM(B770:K770) - SUM(B802:D802)</f>
        <v>801667</v>
      </c>
      <c r="S771" s="1785">
        <f>SUM(B771:K771) + SUM(B803:D803)+R771</f>
        <v>3916901.8755844682</v>
      </c>
    </row>
    <row r="772" spans="1:19">
      <c r="A772" s="356" t="str">
        <f>IF('Part II-Sources of Funds'!$E$42 = "Neither", "", "DCR Mortgage A")</f>
        <v>DCR Mortgage A</v>
      </c>
      <c r="B772" s="2817">
        <f t="shared" ref="B772:K772" si="422">IF(B764=0,"",-B763/B764)</f>
        <v>1.3293147877662606</v>
      </c>
      <c r="C772" s="2817">
        <f t="shared" si="422"/>
        <v>1.3430870229624012</v>
      </c>
      <c r="D772" s="2817">
        <f t="shared" si="422"/>
        <v>1.3567511902997298</v>
      </c>
      <c r="E772" s="2817">
        <f t="shared" si="422"/>
        <v>1.3702926821290209</v>
      </c>
      <c r="F772" s="2817">
        <f t="shared" si="422"/>
        <v>1.3836962972772178</v>
      </c>
      <c r="G772" s="2817">
        <f t="shared" si="422"/>
        <v>1.39694844845483</v>
      </c>
      <c r="H772" s="2817">
        <f t="shared" si="422"/>
        <v>1.4100337947649897</v>
      </c>
      <c r="I772" s="2817">
        <f t="shared" si="422"/>
        <v>1.4229341030884821</v>
      </c>
      <c r="J772" s="2817">
        <f t="shared" si="422"/>
        <v>1.4356337976330933</v>
      </c>
      <c r="K772" s="2817">
        <f t="shared" si="422"/>
        <v>1.4481154751952876</v>
      </c>
      <c r="N772" s="2647"/>
      <c r="O772" s="2647"/>
      <c r="Q772" s="1640">
        <v>14</v>
      </c>
      <c r="R772" s="1785">
        <f>-SUM(B770:K770) - SUM(B802:E802)</f>
        <v>801667</v>
      </c>
      <c r="S772" s="1785">
        <f>SUM(B771:K771) + SUM(B803:E803)+R772</f>
        <v>4296000.0299705751</v>
      </c>
    </row>
    <row r="773" spans="1:19">
      <c r="A773" s="356" t="str">
        <f>IF('Part II-Sources of Funds'!$E$42 = "Neither", "", "DCR Mortgage B")</f>
        <v>DCR Mortgage B</v>
      </c>
      <c r="B773" s="2817">
        <f t="shared" ref="B773:K773" si="423">IF(B765=0,"",-(B763+B764)/B765)</f>
        <v>5.1074890456072941</v>
      </c>
      <c r="C773" s="2817">
        <f t="shared" si="423"/>
        <v>5.3210887472026629</v>
      </c>
      <c r="D773" s="2817">
        <f t="shared" si="423"/>
        <v>5.5330123764636898</v>
      </c>
      <c r="E773" s="2817">
        <f t="shared" si="423"/>
        <v>5.7430333768822175</v>
      </c>
      <c r="F773" s="2817">
        <f t="shared" si="423"/>
        <v>5.9509159867258479</v>
      </c>
      <c r="G773" s="2817">
        <f t="shared" si="423"/>
        <v>6.1564494746979328</v>
      </c>
      <c r="H773" s="2817">
        <f t="shared" si="423"/>
        <v>6.359395912027539</v>
      </c>
      <c r="I773" s="2817">
        <f t="shared" si="423"/>
        <v>6.5594725131850931</v>
      </c>
      <c r="J773" s="2817">
        <f t="shared" si="423"/>
        <v>6.7564377063035979</v>
      </c>
      <c r="K773" s="2817">
        <f t="shared" si="423"/>
        <v>6.9500215773836844</v>
      </c>
      <c r="N773" s="2647"/>
      <c r="O773" s="2647"/>
      <c r="Q773" s="1640">
        <v>15</v>
      </c>
      <c r="R773" s="1785">
        <f>-SUM(B770:K770) - SUM(B802:F802)</f>
        <v>801667</v>
      </c>
      <c r="S773" s="1785">
        <f>SUM(B771:K771) + SUM(B803:F803)+R773</f>
        <v>4685048.2050296655</v>
      </c>
    </row>
    <row r="774" spans="1:19">
      <c r="A774" s="356" t="str">
        <f>IF('Part II-Sources of Funds'!$E$42 = "Neither", "DCR First Mortgage", "DCR Mortgage C")</f>
        <v>DCR Mortgage C</v>
      </c>
      <c r="B774" s="2817" t="str">
        <f t="shared" ref="B774:K774" si="424">IF(B766=0,"",-(B763+B764+B765)/B766)</f>
        <v/>
      </c>
      <c r="C774" s="2817" t="str">
        <f t="shared" si="424"/>
        <v/>
      </c>
      <c r="D774" s="2817" t="str">
        <f t="shared" si="424"/>
        <v/>
      </c>
      <c r="E774" s="2817" t="str">
        <f t="shared" si="424"/>
        <v/>
      </c>
      <c r="F774" s="2817" t="str">
        <f t="shared" si="424"/>
        <v/>
      </c>
      <c r="G774" s="2817" t="str">
        <f t="shared" si="424"/>
        <v/>
      </c>
      <c r="H774" s="2817" t="str">
        <f t="shared" si="424"/>
        <v/>
      </c>
      <c r="I774" s="2817" t="str">
        <f t="shared" si="424"/>
        <v/>
      </c>
      <c r="J774" s="2817" t="str">
        <f t="shared" si="424"/>
        <v/>
      </c>
      <c r="K774" s="2817" t="str">
        <f t="shared" si="424"/>
        <v/>
      </c>
      <c r="N774" s="2647"/>
      <c r="O774" s="2647"/>
      <c r="Q774" s="1640">
        <v>16</v>
      </c>
      <c r="R774" s="1785">
        <f>-SUM(B770:K770) - SUM(B802:G802)</f>
        <v>801667</v>
      </c>
      <c r="S774" s="1785">
        <f>SUM(B771:K771) + SUM(B803:G803)+R774</f>
        <v>5083738.3754780507</v>
      </c>
    </row>
    <row r="775" spans="1:19">
      <c r="A775" s="356" t="s">
        <v>728</v>
      </c>
      <c r="B775" s="2817" t="str">
        <f t="shared" ref="B775:K775" si="425">IF(B767=0,"",-(B763+B764+B765+B766)/B767)</f>
        <v/>
      </c>
      <c r="C775" s="2817" t="str">
        <f t="shared" si="425"/>
        <v/>
      </c>
      <c r="D775" s="2817" t="str">
        <f t="shared" si="425"/>
        <v/>
      </c>
      <c r="E775" s="2817" t="str">
        <f t="shared" si="425"/>
        <v/>
      </c>
      <c r="F775" s="2817" t="str">
        <f t="shared" si="425"/>
        <v/>
      </c>
      <c r="G775" s="2817" t="str">
        <f t="shared" si="425"/>
        <v/>
      </c>
      <c r="H775" s="2817" t="str">
        <f t="shared" si="425"/>
        <v/>
      </c>
      <c r="I775" s="2817" t="str">
        <f t="shared" si="425"/>
        <v/>
      </c>
      <c r="J775" s="2817" t="str">
        <f t="shared" si="425"/>
        <v/>
      </c>
      <c r="K775" s="2817" t="str">
        <f t="shared" si="425"/>
        <v/>
      </c>
      <c r="N775" s="2647"/>
      <c r="O775" s="2647"/>
      <c r="Q775" s="1640">
        <v>17</v>
      </c>
      <c r="R775" s="1785">
        <f>-SUM(B770:K770) - SUM(B802:H802)</f>
        <v>801667</v>
      </c>
      <c r="S775" s="1785">
        <f>SUM(B771:K771) + SUM(B803:H803)+R775</f>
        <v>5491742.7245554542</v>
      </c>
    </row>
    <row r="776" spans="1:19">
      <c r="A776" s="356" t="s">
        <v>3127</v>
      </c>
      <c r="B776" s="2817">
        <f t="shared" ref="B776:K776" si="426">IF(AND(B764=0,B765=0,B766=0,B767=0),"",-B763/(B764+B765+B766+B767))</f>
        <v>1.2487963378415805</v>
      </c>
      <c r="C776" s="2817">
        <f t="shared" si="426"/>
        <v>1.2617343695516869</v>
      </c>
      <c r="D776" s="2817">
        <f t="shared" si="426"/>
        <v>1.2745708792238495</v>
      </c>
      <c r="E776" s="2817">
        <f t="shared" si="426"/>
        <v>1.2872921440145215</v>
      </c>
      <c r="F776" s="2817">
        <f t="shared" si="426"/>
        <v>1.2998838835068902</v>
      </c>
      <c r="G776" s="2817">
        <f t="shared" si="426"/>
        <v>1.3123333334125322</v>
      </c>
      <c r="H776" s="2817">
        <f t="shared" si="426"/>
        <v>1.3246260820540898</v>
      </c>
      <c r="I776" s="2817">
        <f t="shared" si="426"/>
        <v>1.3367450007177986</v>
      </c>
      <c r="J776" s="2817">
        <f t="shared" si="426"/>
        <v>1.3486754570588937</v>
      </c>
      <c r="K776" s="2817">
        <f t="shared" si="426"/>
        <v>1.3604011020101392</v>
      </c>
      <c r="N776" s="2647"/>
      <c r="O776" s="2647"/>
      <c r="Q776" s="1640">
        <v>18</v>
      </c>
      <c r="R776" s="1785">
        <f>-SUM(B770:K770) - SUM(B802:I802)</f>
        <v>801667</v>
      </c>
      <c r="S776" s="1785">
        <f>SUM(B771:K771) + SUM(B803:I803)+R776</f>
        <v>5908709.7924663518</v>
      </c>
    </row>
    <row r="777" spans="1:19">
      <c r="A777" s="356" t="s">
        <v>717</v>
      </c>
      <c r="B777" s="2818">
        <f t="shared" ref="B777:K777" si="427">IF(OR(B760="Choose mgt fee",B760="Choose One!"),"",(B753+B754+B755+B756+B757) / -(B759+B760+B761))</f>
        <v>1.9180439856425955</v>
      </c>
      <c r="C777" s="2818">
        <f t="shared" si="427"/>
        <v>1.9015460689719825</v>
      </c>
      <c r="D777" s="2818">
        <f t="shared" si="427"/>
        <v>1.8851730449997339</v>
      </c>
      <c r="E777" s="2818">
        <f t="shared" si="427"/>
        <v>1.8689231130881794</v>
      </c>
      <c r="F777" s="2818">
        <f t="shared" si="427"/>
        <v>1.852794664240375</v>
      </c>
      <c r="G777" s="2818">
        <f t="shared" si="427"/>
        <v>1.8367887150098505</v>
      </c>
      <c r="H777" s="2818">
        <f t="shared" si="427"/>
        <v>1.8209048965812831</v>
      </c>
      <c r="I777" s="2818">
        <f t="shared" si="427"/>
        <v>1.8051405476648565</v>
      </c>
      <c r="J777" s="2818">
        <f t="shared" si="427"/>
        <v>1.7894966152299407</v>
      </c>
      <c r="K777" s="2818">
        <f t="shared" si="427"/>
        <v>1.773972794577197</v>
      </c>
      <c r="N777" s="2647"/>
      <c r="O777" s="2647"/>
      <c r="Q777" s="1640">
        <v>19</v>
      </c>
      <c r="R777" s="1785">
        <f>-SUM(B770:K770) - SUM(B802:J802)</f>
        <v>801667</v>
      </c>
      <c r="S777" s="1785">
        <f>SUM(B771:K771) + SUM(B803:J803)+R777</f>
        <v>6334265.5941182636</v>
      </c>
    </row>
    <row r="778" spans="1:19">
      <c r="A778" s="356" t="s">
        <v>2398</v>
      </c>
      <c r="B778" s="2816">
        <f>'Part VI-Pro Forma'!B40</f>
        <v>13417487.898571946</v>
      </c>
      <c r="C778" s="2816">
        <f>'Part VI-Pro Forma'!C40</f>
        <v>13329843.038616028</v>
      </c>
      <c r="D778" s="2816">
        <f>'Part VI-Pro Forma'!D40</f>
        <v>13236746.13108677</v>
      </c>
      <c r="E778" s="2816">
        <f>'Part VI-Pro Forma'!E40</f>
        <v>13137858.025202747</v>
      </c>
      <c r="F778" s="2816">
        <f>'Part VI-Pro Forma'!F40</f>
        <v>13032818.472924853</v>
      </c>
      <c r="G778" s="2816">
        <f>'Part VI-Pro Forma'!G40</f>
        <v>12921244.816577543</v>
      </c>
      <c r="H778" s="2816">
        <f>'Part VI-Pro Forma'!H40</f>
        <v>12802730.594832066</v>
      </c>
      <c r="I778" s="2816">
        <f>'Part VI-Pro Forma'!I40</f>
        <v>12676844.061973324</v>
      </c>
      <c r="J778" s="2816">
        <f>'Part VI-Pro Forma'!J40</f>
        <v>12543126.615056029</v>
      </c>
      <c r="K778" s="2816">
        <f>'Part VI-Pro Forma'!K40</f>
        <v>12401091.123220351</v>
      </c>
      <c r="N778" s="2647"/>
      <c r="O778" s="2647"/>
      <c r="Q778" s="1640">
        <v>20</v>
      </c>
      <c r="R778" s="1785">
        <f>-SUM(B770:K770) - SUM(B802:K802)</f>
        <v>801667</v>
      </c>
      <c r="S778" s="1785">
        <f>SUM(B771:K771) + SUM(B803:K803)+R778</f>
        <v>6768011.7051327871</v>
      </c>
    </row>
    <row r="779" spans="1:19">
      <c r="A779" s="356" t="s">
        <v>2399</v>
      </c>
      <c r="B779" s="2816">
        <f>'Part VI-Pro Forma'!B41</f>
        <v>988317.97001888498</v>
      </c>
      <c r="C779" s="2816">
        <f>'Part VI-Pro Forma'!C41</f>
        <v>976082.21645346121</v>
      </c>
      <c r="D779" s="2816">
        <f>'Part VI-Pro Forma'!D41</f>
        <v>963266.49302561465</v>
      </c>
      <c r="E779" s="2816">
        <f>'Part VI-Pro Forma'!E41</f>
        <v>949843.30939406634</v>
      </c>
      <c r="F779" s="2816">
        <f>'Part VI-Pro Forma'!F41</f>
        <v>935783.87218627206</v>
      </c>
      <c r="G779" s="2816">
        <f>'Part VI-Pro Forma'!G41</f>
        <v>921058.02323525771</v>
      </c>
      <c r="H779" s="2816">
        <f>'Part VI-Pro Forma'!H41</f>
        <v>905634.17488890467</v>
      </c>
      <c r="I779" s="2816">
        <f>'Part VI-Pro Forma'!I41</f>
        <v>889479.2422529218</v>
      </c>
      <c r="J779" s="2816">
        <f>'Part VI-Pro Forma'!J41</f>
        <v>872558.57222216041</v>
      </c>
      <c r="K779" s="2816">
        <f>'Part VI-Pro Forma'!K41</f>
        <v>854835.86914804205</v>
      </c>
      <c r="N779" s="2647"/>
      <c r="O779" s="2647"/>
    </row>
    <row r="780" spans="1:19">
      <c r="A780" s="356" t="s">
        <v>2400</v>
      </c>
      <c r="B780" s="2816" t="str">
        <f>'Part VI-Pro Forma'!B42</f>
        <v/>
      </c>
      <c r="C780" s="2816" t="str">
        <f>'Part VI-Pro Forma'!C42</f>
        <v/>
      </c>
      <c r="D780" s="2816" t="str">
        <f>'Part VI-Pro Forma'!D42</f>
        <v/>
      </c>
      <c r="E780" s="2816" t="str">
        <f>'Part VI-Pro Forma'!E42</f>
        <v/>
      </c>
      <c r="F780" s="2816" t="str">
        <f>'Part VI-Pro Forma'!F42</f>
        <v/>
      </c>
      <c r="G780" s="2816" t="str">
        <f>'Part VI-Pro Forma'!G42</f>
        <v/>
      </c>
      <c r="H780" s="2816" t="str">
        <f>'Part VI-Pro Forma'!H42</f>
        <v/>
      </c>
      <c r="I780" s="2816" t="str">
        <f>'Part VI-Pro Forma'!I42</f>
        <v/>
      </c>
      <c r="J780" s="2816" t="str">
        <f>'Part VI-Pro Forma'!J42</f>
        <v/>
      </c>
      <c r="K780" s="2816" t="str">
        <f>'Part VI-Pro Forma'!K42</f>
        <v/>
      </c>
      <c r="N780" s="2647"/>
      <c r="O780" s="2647"/>
    </row>
    <row r="781" spans="1:19">
      <c r="A781" s="356" t="s">
        <v>729</v>
      </c>
      <c r="B781" s="2816" t="str">
        <f>'Part VI-Pro Forma'!B43</f>
        <v/>
      </c>
      <c r="C781" s="2816" t="str">
        <f>'Part VI-Pro Forma'!C43</f>
        <v/>
      </c>
      <c r="D781" s="2816" t="str">
        <f>'Part VI-Pro Forma'!D43</f>
        <v/>
      </c>
      <c r="E781" s="2816" t="str">
        <f>'Part VI-Pro Forma'!E43</f>
        <v/>
      </c>
      <c r="F781" s="2816" t="str">
        <f>'Part VI-Pro Forma'!F43</f>
        <v/>
      </c>
      <c r="G781" s="2816" t="str">
        <f>'Part VI-Pro Forma'!G43</f>
        <v/>
      </c>
      <c r="H781" s="2816" t="str">
        <f>'Part VI-Pro Forma'!H43</f>
        <v/>
      </c>
      <c r="I781" s="2816" t="str">
        <f>'Part VI-Pro Forma'!I43</f>
        <v/>
      </c>
      <c r="J781" s="2816" t="str">
        <f>'Part VI-Pro Forma'!J43</f>
        <v/>
      </c>
      <c r="K781" s="2816" t="str">
        <f>'Part VI-Pro Forma'!K43</f>
        <v/>
      </c>
      <c r="N781" s="2647"/>
      <c r="O781" s="2647"/>
    </row>
    <row r="782" spans="1:19">
      <c r="A782" s="356" t="s">
        <v>3272</v>
      </c>
      <c r="B782" s="2816">
        <f>'Part VI-Pro Forma'!B44</f>
        <v>571608</v>
      </c>
      <c r="C782" s="2816">
        <f>'Part VI-Pro Forma'!C44</f>
        <v>329195</v>
      </c>
      <c r="D782" s="2816">
        <f>'Part VI-Pro Forma'!D44</f>
        <v>74525</v>
      </c>
      <c r="E782" s="2816">
        <f>'Part VI-Pro Forma'!E44</f>
        <v>0</v>
      </c>
      <c r="F782" s="2816">
        <f>'Part VI-Pro Forma'!F44</f>
        <v>0</v>
      </c>
      <c r="G782" s="2816">
        <f>'Part VI-Pro Forma'!G44</f>
        <v>0</v>
      </c>
      <c r="H782" s="2816">
        <f>'Part VI-Pro Forma'!H44</f>
        <v>0</v>
      </c>
      <c r="I782" s="2816">
        <f>'Part VI-Pro Forma'!I44</f>
        <v>0</v>
      </c>
      <c r="J782" s="2816">
        <f>'Part VI-Pro Forma'!J44</f>
        <v>0</v>
      </c>
      <c r="K782" s="2816">
        <f>'Part VI-Pro Forma'!K44</f>
        <v>0</v>
      </c>
      <c r="N782" s="2647"/>
      <c r="O782" s="2647"/>
    </row>
    <row r="783" spans="1:19">
      <c r="B783" s="2816"/>
      <c r="C783" s="2816"/>
      <c r="D783" s="2816"/>
      <c r="E783" s="2816"/>
      <c r="F783" s="2816"/>
      <c r="G783" s="2816"/>
      <c r="H783" s="2816"/>
      <c r="I783" s="2816"/>
      <c r="J783" s="2816"/>
      <c r="K783" s="2816"/>
    </row>
    <row r="784" spans="1:19">
      <c r="A784" s="360" t="s">
        <v>2277</v>
      </c>
      <c r="B784" s="2819">
        <f>K752+1</f>
        <v>11</v>
      </c>
      <c r="C784" s="2819">
        <f t="shared" ref="C784:K784" si="428">B784+1</f>
        <v>12</v>
      </c>
      <c r="D784" s="2819">
        <f t="shared" si="428"/>
        <v>13</v>
      </c>
      <c r="E784" s="2819">
        <f t="shared" si="428"/>
        <v>14</v>
      </c>
      <c r="F784" s="2819">
        <f t="shared" si="428"/>
        <v>15</v>
      </c>
      <c r="G784" s="2819">
        <f t="shared" si="428"/>
        <v>16</v>
      </c>
      <c r="H784" s="2819">
        <f t="shared" si="428"/>
        <v>17</v>
      </c>
      <c r="I784" s="2819">
        <f t="shared" si="428"/>
        <v>18</v>
      </c>
      <c r="J784" s="2819">
        <f t="shared" si="428"/>
        <v>19</v>
      </c>
      <c r="K784" s="2819">
        <f t="shared" si="428"/>
        <v>20</v>
      </c>
      <c r="N784" s="360" t="s">
        <v>2401</v>
      </c>
      <c r="O784" s="360"/>
    </row>
    <row r="785" spans="1:19">
      <c r="A785" s="356" t="s">
        <v>2208</v>
      </c>
      <c r="B785" s="2816">
        <f>'Part VI-Pro Forma'!B47</f>
        <v>3201352.401656311</v>
      </c>
      <c r="C785" s="2816">
        <f>'Part VI-Pro Forma'!C47</f>
        <v>3265379.4496894367</v>
      </c>
      <c r="D785" s="2816">
        <f>'Part VI-Pro Forma'!D47</f>
        <v>3330687.0386832259</v>
      </c>
      <c r="E785" s="2816">
        <f>'Part VI-Pro Forma'!E47</f>
        <v>3397300.7794568902</v>
      </c>
      <c r="F785" s="2816">
        <f>'Part VI-Pro Forma'!F47</f>
        <v>3465246.7950460282</v>
      </c>
      <c r="G785" s="2816">
        <f>'Part VI-Pro Forma'!G47</f>
        <v>3534551.7309469478</v>
      </c>
      <c r="H785" s="2816">
        <f>'Part VI-Pro Forma'!H47</f>
        <v>3605242.7655658876</v>
      </c>
      <c r="I785" s="2816">
        <f>'Part VI-Pro Forma'!I47</f>
        <v>3677347.6208772054</v>
      </c>
      <c r="J785" s="2816">
        <f>'Part VI-Pro Forma'!J47</f>
        <v>3750894.573294749</v>
      </c>
      <c r="K785" s="2816">
        <f>'Part VI-Pro Forma'!K47</f>
        <v>3825912.4647606439</v>
      </c>
      <c r="N785" s="2647"/>
      <c r="O785" s="2647"/>
    </row>
    <row r="786" spans="1:19">
      <c r="A786" s="356" t="s">
        <v>951</v>
      </c>
      <c r="B786" s="2816">
        <f>'Part VI-Pro Forma'!B48</f>
        <v>64027.048033126222</v>
      </c>
      <c r="C786" s="2816">
        <f>'Part VI-Pro Forma'!C48</f>
        <v>65307.588993788733</v>
      </c>
      <c r="D786" s="2816">
        <f>'Part VI-Pro Forma'!D48</f>
        <v>66613.740773664525</v>
      </c>
      <c r="E786" s="2816">
        <f>'Part VI-Pro Forma'!E48</f>
        <v>67946.015589137809</v>
      </c>
      <c r="F786" s="2816">
        <f>'Part VI-Pro Forma'!F48</f>
        <v>69304.935900920565</v>
      </c>
      <c r="G786" s="2816">
        <f>'Part VI-Pro Forma'!G48</f>
        <v>70691.034618938967</v>
      </c>
      <c r="H786" s="2816">
        <f>'Part VI-Pro Forma'!H48</f>
        <v>72104.855311317748</v>
      </c>
      <c r="I786" s="2816">
        <f>'Part VI-Pro Forma'!I48</f>
        <v>73546.952417544118</v>
      </c>
      <c r="J786" s="2816">
        <f>'Part VI-Pro Forma'!J48</f>
        <v>75017.891465894994</v>
      </c>
      <c r="K786" s="2816">
        <f>'Part VI-Pro Forma'!K48</f>
        <v>76518.249295212881</v>
      </c>
      <c r="N786" s="2647"/>
      <c r="O786" s="2647"/>
    </row>
    <row r="787" spans="1:19">
      <c r="A787" s="356" t="s">
        <v>2209</v>
      </c>
      <c r="B787" s="2816">
        <f>'Part VI-Pro Forma'!B49</f>
        <v>-228576.56147826061</v>
      </c>
      <c r="C787" s="2816">
        <f>'Part VI-Pro Forma'!C49</f>
        <v>-233148.0927078258</v>
      </c>
      <c r="D787" s="2816">
        <f>'Part VI-Pro Forma'!D49</f>
        <v>-237811.05456198234</v>
      </c>
      <c r="E787" s="2816">
        <f>'Part VI-Pro Forma'!E49</f>
        <v>-242567.27565322199</v>
      </c>
      <c r="F787" s="2816">
        <f>'Part VI-Pro Forma'!F49</f>
        <v>-247418.62116628644</v>
      </c>
      <c r="G787" s="2816">
        <f>'Part VI-Pro Forma'!G49</f>
        <v>-252366.9935896121</v>
      </c>
      <c r="H787" s="2816">
        <f>'Part VI-Pro Forma'!H49</f>
        <v>-257414.3334614044</v>
      </c>
      <c r="I787" s="2816">
        <f>'Part VI-Pro Forma'!I49</f>
        <v>-262562.62013063248</v>
      </c>
      <c r="J787" s="2816">
        <f>'Part VI-Pro Forma'!J49</f>
        <v>-267813.87253324507</v>
      </c>
      <c r="K787" s="2816">
        <f>'Part VI-Pro Forma'!K49</f>
        <v>-273170.14998390997</v>
      </c>
      <c r="N787" s="2647"/>
      <c r="O787" s="2647"/>
    </row>
    <row r="788" spans="1:19">
      <c r="A788" s="356" t="s">
        <v>47</v>
      </c>
      <c r="B788" s="2816">
        <f>'Part VI-Pro Forma'!B50</f>
        <v>0</v>
      </c>
      <c r="C788" s="2816">
        <f>'Part VI-Pro Forma'!C50</f>
        <v>0</v>
      </c>
      <c r="D788" s="2816">
        <f>'Part VI-Pro Forma'!D50</f>
        <v>0</v>
      </c>
      <c r="E788" s="2816">
        <f>'Part VI-Pro Forma'!E50</f>
        <v>0</v>
      </c>
      <c r="F788" s="2816">
        <f>'Part VI-Pro Forma'!F50</f>
        <v>0</v>
      </c>
      <c r="G788" s="2816">
        <f>'Part VI-Pro Forma'!G50</f>
        <v>0</v>
      </c>
      <c r="H788" s="2816">
        <f>'Part VI-Pro Forma'!H50</f>
        <v>0</v>
      </c>
      <c r="I788" s="2816">
        <f>'Part VI-Pro Forma'!I50</f>
        <v>0</v>
      </c>
      <c r="J788" s="2816">
        <f>'Part VI-Pro Forma'!J50</f>
        <v>0</v>
      </c>
      <c r="K788" s="2816">
        <f>'Part VI-Pro Forma'!K50</f>
        <v>0</v>
      </c>
      <c r="N788" s="2647"/>
      <c r="O788" s="2647"/>
    </row>
    <row r="789" spans="1:19">
      <c r="A789" s="356" t="s">
        <v>48</v>
      </c>
      <c r="B789" s="2816">
        <f>'Part VI-Pro Forma'!B51</f>
        <v>0</v>
      </c>
      <c r="C789" s="2816">
        <f>'Part VI-Pro Forma'!C51</f>
        <v>0</v>
      </c>
      <c r="D789" s="2816">
        <f>'Part VI-Pro Forma'!D51</f>
        <v>0</v>
      </c>
      <c r="E789" s="2816">
        <f>'Part VI-Pro Forma'!E51</f>
        <v>0</v>
      </c>
      <c r="F789" s="2816">
        <f>'Part VI-Pro Forma'!F51</f>
        <v>0</v>
      </c>
      <c r="G789" s="2816">
        <f>'Part VI-Pro Forma'!G51</f>
        <v>0</v>
      </c>
      <c r="H789" s="2816">
        <f>'Part VI-Pro Forma'!H51</f>
        <v>0</v>
      </c>
      <c r="I789" s="2816">
        <f>'Part VI-Pro Forma'!I51</f>
        <v>0</v>
      </c>
      <c r="J789" s="2816">
        <f>'Part VI-Pro Forma'!J51</f>
        <v>0</v>
      </c>
      <c r="K789" s="2816">
        <f>'Part VI-Pro Forma'!K51</f>
        <v>0</v>
      </c>
      <c r="N789" s="2647"/>
      <c r="O789" s="2647"/>
    </row>
    <row r="790" spans="1:19">
      <c r="A790" s="356" t="s">
        <v>3712</v>
      </c>
      <c r="B790" s="2816">
        <f>'Part VI-Pro Forma'!B52</f>
        <v>3036802.8882111767</v>
      </c>
      <c r="C790" s="2816">
        <f>'Part VI-Pro Forma'!C52</f>
        <v>3097538.9459753996</v>
      </c>
      <c r="D790" s="2816">
        <f>'Part VI-Pro Forma'!D52</f>
        <v>3159489.7248949078</v>
      </c>
      <c r="E790" s="2816">
        <f>'Part VI-Pro Forma'!E52</f>
        <v>3222679.5193928061</v>
      </c>
      <c r="F790" s="2816">
        <f>'Part VI-Pro Forma'!F52</f>
        <v>3287133.1097806622</v>
      </c>
      <c r="G790" s="2816">
        <f>'Part VI-Pro Forma'!G52</f>
        <v>3352875.7719762744</v>
      </c>
      <c r="H790" s="2816">
        <f>'Part VI-Pro Forma'!H52</f>
        <v>3419933.2874158011</v>
      </c>
      <c r="I790" s="2816">
        <f>'Part VI-Pro Forma'!I52</f>
        <v>3488331.9531641169</v>
      </c>
      <c r="J790" s="2816">
        <f>'Part VI-Pro Forma'!J52</f>
        <v>3558098.5922273989</v>
      </c>
      <c r="K790" s="2816">
        <f>'Part VI-Pro Forma'!K52</f>
        <v>3629260.5640719468</v>
      </c>
      <c r="N790" s="2647"/>
      <c r="O790" s="2647"/>
    </row>
    <row r="791" spans="1:19">
      <c r="A791" s="356" t="s">
        <v>571</v>
      </c>
      <c r="B791" s="2816">
        <f>'Part VI-Pro Forma'!B53</f>
        <v>-1458643.8328159708</v>
      </c>
      <c r="C791" s="2816">
        <f>'Part VI-Pro Forma'!C53</f>
        <v>-1502403.14780045</v>
      </c>
      <c r="D791" s="2816">
        <f>'Part VI-Pro Forma'!D53</f>
        <v>-1547475.2422344631</v>
      </c>
      <c r="E791" s="2816">
        <f>'Part VI-Pro Forma'!E53</f>
        <v>-1593899.499501497</v>
      </c>
      <c r="F791" s="2816">
        <f>'Part VI-Pro Forma'!F53</f>
        <v>-1641716.4844865422</v>
      </c>
      <c r="G791" s="2816">
        <f>'Part VI-Pro Forma'!G53</f>
        <v>-1690967.9790211385</v>
      </c>
      <c r="H791" s="2816">
        <f>'Part VI-Pro Forma'!H53</f>
        <v>-1741697.0183917724</v>
      </c>
      <c r="I791" s="2816">
        <f>'Part VI-Pro Forma'!I53</f>
        <v>-1793947.9289435255</v>
      </c>
      <c r="J791" s="2816">
        <f>'Part VI-Pro Forma'!J53</f>
        <v>-1847766.3668118312</v>
      </c>
      <c r="K791" s="2816">
        <f>'Part VI-Pro Forma'!K53</f>
        <v>-1903199.3578161863</v>
      </c>
      <c r="N791" s="2647"/>
      <c r="O791" s="2647"/>
    </row>
    <row r="792" spans="1:19">
      <c r="A792" s="356" t="s">
        <v>1049</v>
      </c>
      <c r="B792" s="2816">
        <f>'Part VI-Pro Forma'!B54</f>
        <v>-182208</v>
      </c>
      <c r="C792" s="2816">
        <f>'Part VI-Pro Forma'!C54</f>
        <v>-185852</v>
      </c>
      <c r="D792" s="2816">
        <f>'Part VI-Pro Forma'!D54</f>
        <v>-189569</v>
      </c>
      <c r="E792" s="2816">
        <f>'Part VI-Pro Forma'!E54</f>
        <v>-193361</v>
      </c>
      <c r="F792" s="2816">
        <f>'Part VI-Pro Forma'!F54</f>
        <v>-197228</v>
      </c>
      <c r="G792" s="2816">
        <f>'Part VI-Pro Forma'!G54</f>
        <v>-201173</v>
      </c>
      <c r="H792" s="2816">
        <f>'Part VI-Pro Forma'!H54</f>
        <v>-205196</v>
      </c>
      <c r="I792" s="2816">
        <f>'Part VI-Pro Forma'!I54</f>
        <v>-209300</v>
      </c>
      <c r="J792" s="2816">
        <f>'Part VI-Pro Forma'!J54</f>
        <v>-213486</v>
      </c>
      <c r="K792" s="2816">
        <f>'Part VI-Pro Forma'!K54</f>
        <v>-217756</v>
      </c>
      <c r="N792" s="2647"/>
      <c r="O792" s="2647"/>
    </row>
    <row r="793" spans="1:19">
      <c r="A793" s="356" t="s">
        <v>1127</v>
      </c>
      <c r="B793" s="2816">
        <f>'Part VI-Pro Forma'!B55</f>
        <v>-86010.6482780238</v>
      </c>
      <c r="C793" s="2816">
        <f>'Part VI-Pro Forma'!C55</f>
        <v>-88590.967726364514</v>
      </c>
      <c r="D793" s="2816">
        <f>'Part VI-Pro Forma'!D55</f>
        <v>-91248.696758155435</v>
      </c>
      <c r="E793" s="2816">
        <f>'Part VI-Pro Forma'!E55</f>
        <v>-93986.157660900091</v>
      </c>
      <c r="F793" s="2816">
        <f>'Part VI-Pro Forma'!F55</f>
        <v>-96805.7423907271</v>
      </c>
      <c r="G793" s="2816">
        <f>'Part VI-Pro Forma'!G55</f>
        <v>-99709.914662448922</v>
      </c>
      <c r="H793" s="2816">
        <f>'Part VI-Pro Forma'!H55</f>
        <v>-102701.21210232237</v>
      </c>
      <c r="I793" s="2816">
        <f>'Part VI-Pro Forma'!I55</f>
        <v>-105782.24846539204</v>
      </c>
      <c r="J793" s="2816">
        <f>'Part VI-Pro Forma'!J55</f>
        <v>-108955.71591935381</v>
      </c>
      <c r="K793" s="2816">
        <f>'Part VI-Pro Forma'!K55</f>
        <v>-112224.38739693441</v>
      </c>
      <c r="N793" s="2647"/>
      <c r="O793" s="2647"/>
      <c r="Q793" s="1640"/>
      <c r="R793" s="1785"/>
      <c r="S793" s="1785"/>
    </row>
    <row r="794" spans="1:19">
      <c r="A794" s="356" t="s">
        <v>3711</v>
      </c>
      <c r="B794" s="2816">
        <f>'Part VI-Pro Forma'!B56</f>
        <v>0</v>
      </c>
      <c r="C794" s="2816">
        <f>'Part VI-Pro Forma'!C56</f>
        <v>0</v>
      </c>
      <c r="D794" s="2816">
        <f>'Part VI-Pro Forma'!D56</f>
        <v>0</v>
      </c>
      <c r="E794" s="2816">
        <f>'Part VI-Pro Forma'!E56</f>
        <v>0</v>
      </c>
      <c r="F794" s="2816">
        <f>'Part VI-Pro Forma'!F56</f>
        <v>0</v>
      </c>
      <c r="G794" s="2816">
        <f>'Part VI-Pro Forma'!G56</f>
        <v>0</v>
      </c>
      <c r="H794" s="2816">
        <f>'Part VI-Pro Forma'!H56</f>
        <v>0</v>
      </c>
      <c r="I794" s="2816">
        <f>'Part VI-Pro Forma'!I56</f>
        <v>0</v>
      </c>
      <c r="J794" s="2816">
        <f>'Part VI-Pro Forma'!J56</f>
        <v>0</v>
      </c>
      <c r="K794" s="2816">
        <f>'Part VI-Pro Forma'!K56</f>
        <v>0</v>
      </c>
      <c r="N794" s="2647"/>
      <c r="O794" s="2647"/>
    </row>
    <row r="795" spans="1:19">
      <c r="A795" s="356" t="s">
        <v>1128</v>
      </c>
      <c r="B795" s="2816">
        <f>SUM(B790:B794)</f>
        <v>1309940.4071171822</v>
      </c>
      <c r="C795" s="2816">
        <f t="shared" ref="C795:J795" si="429">SUM(C790:C794)</f>
        <v>1320692.8304485851</v>
      </c>
      <c r="D795" s="2816">
        <f t="shared" si="429"/>
        <v>1331196.7859022892</v>
      </c>
      <c r="E795" s="2816">
        <f t="shared" si="429"/>
        <v>1341432.8622304089</v>
      </c>
      <c r="F795" s="2816">
        <f t="shared" si="429"/>
        <v>1351382.8829033929</v>
      </c>
      <c r="G795" s="2816">
        <f t="shared" si="429"/>
        <v>1361024.878292687</v>
      </c>
      <c r="H795" s="2816">
        <f t="shared" si="429"/>
        <v>1370339.0569217063</v>
      </c>
      <c r="I795" s="2816">
        <f t="shared" si="429"/>
        <v>1379301.7757551994</v>
      </c>
      <c r="J795" s="2816">
        <f t="shared" si="429"/>
        <v>1387890.5094962139</v>
      </c>
      <c r="K795" s="2816">
        <f>SUM(K790:K794)</f>
        <v>1396080.8188588261</v>
      </c>
      <c r="N795" s="2647"/>
      <c r="O795" s="2647"/>
    </row>
    <row r="796" spans="1:19">
      <c r="A796" s="356" t="str">
        <f>$A764</f>
        <v>Mortgage A</v>
      </c>
      <c r="B796" s="2816">
        <f>'Part VI-Pro Forma'!B58</f>
        <v>-896999.03843217005</v>
      </c>
      <c r="C796" s="2816">
        <f>'Part VI-Pro Forma'!C58</f>
        <v>-896999.03843217005</v>
      </c>
      <c r="D796" s="2816">
        <f>'Part VI-Pro Forma'!D58</f>
        <v>-896999.03843217005</v>
      </c>
      <c r="E796" s="2816">
        <f>'Part VI-Pro Forma'!E58</f>
        <v>-896999.03843217005</v>
      </c>
      <c r="F796" s="2816">
        <f>'Part VI-Pro Forma'!F58</f>
        <v>-896999.03843217005</v>
      </c>
      <c r="G796" s="2816">
        <f>'Part VI-Pro Forma'!G58</f>
        <v>-896999.03843217005</v>
      </c>
      <c r="H796" s="2816">
        <f>'Part VI-Pro Forma'!H58</f>
        <v>-896999.03843217005</v>
      </c>
      <c r="I796" s="2816">
        <f>'Part VI-Pro Forma'!I58</f>
        <v>-896999.03843217005</v>
      </c>
      <c r="J796" s="2816">
        <f>'Part VI-Pro Forma'!J58</f>
        <v>-896999.03843217005</v>
      </c>
      <c r="K796" s="2816">
        <f>'Part VI-Pro Forma'!K58</f>
        <v>-896999.03843217005</v>
      </c>
      <c r="N796" s="2647"/>
      <c r="O796" s="2647"/>
    </row>
    <row r="797" spans="1:19">
      <c r="A797" s="356" t="str">
        <f>$A765</f>
        <v>Mortgage B</v>
      </c>
      <c r="B797" s="2816">
        <f>'Part VI-Pro Forma'!B59</f>
        <v>-57835.669412132156</v>
      </c>
      <c r="C797" s="2816">
        <f>'Part VI-Pro Forma'!C59</f>
        <v>-57835.669412132156</v>
      </c>
      <c r="D797" s="2816">
        <f>'Part VI-Pro Forma'!D59</f>
        <v>-57835.669412132156</v>
      </c>
      <c r="E797" s="2816">
        <f>'Part VI-Pro Forma'!E59</f>
        <v>-57835.669412132156</v>
      </c>
      <c r="F797" s="2816">
        <f>'Part VI-Pro Forma'!F59</f>
        <v>-57835.669412132156</v>
      </c>
      <c r="G797" s="2816">
        <f>'Part VI-Pro Forma'!G59</f>
        <v>-57835.669412132156</v>
      </c>
      <c r="H797" s="2816">
        <f>'Part VI-Pro Forma'!H59</f>
        <v>-57835.669412132156</v>
      </c>
      <c r="I797" s="2816">
        <f>'Part VI-Pro Forma'!I59</f>
        <v>-57835.669412132156</v>
      </c>
      <c r="J797" s="2816">
        <f>'Part VI-Pro Forma'!J59</f>
        <v>-57835.669412132156</v>
      </c>
      <c r="K797" s="2816">
        <f>'Part VI-Pro Forma'!K59</f>
        <v>-57835.669412132156</v>
      </c>
      <c r="N797" s="2647"/>
      <c r="O797" s="2647"/>
    </row>
    <row r="798" spans="1:19">
      <c r="A798" s="356" t="str">
        <f>$A766</f>
        <v>Mortgage C</v>
      </c>
      <c r="B798" s="2816">
        <f>'Part VI-Pro Forma'!B60</f>
        <v>0</v>
      </c>
      <c r="C798" s="2816">
        <f>'Part VI-Pro Forma'!C60</f>
        <v>0</v>
      </c>
      <c r="D798" s="2816">
        <f>'Part VI-Pro Forma'!D60</f>
        <v>0</v>
      </c>
      <c r="E798" s="2816">
        <f>'Part VI-Pro Forma'!E60</f>
        <v>0</v>
      </c>
      <c r="F798" s="2816">
        <f>'Part VI-Pro Forma'!F60</f>
        <v>0</v>
      </c>
      <c r="G798" s="2816">
        <f>'Part VI-Pro Forma'!G60</f>
        <v>0</v>
      </c>
      <c r="H798" s="2816">
        <f>'Part VI-Pro Forma'!H60</f>
        <v>0</v>
      </c>
      <c r="I798" s="2816">
        <f>'Part VI-Pro Forma'!I60</f>
        <v>0</v>
      </c>
      <c r="J798" s="2816">
        <f>'Part VI-Pro Forma'!J60</f>
        <v>0</v>
      </c>
      <c r="K798" s="2816">
        <f>'Part VI-Pro Forma'!K60</f>
        <v>0</v>
      </c>
      <c r="N798" s="2647"/>
      <c r="O798" s="2647"/>
    </row>
    <row r="799" spans="1:19">
      <c r="A799" s="356" t="str">
        <f>$A767</f>
        <v>D/S Other Source,not DDF</v>
      </c>
      <c r="B799" s="2816">
        <f>'Part VI-Pro Forma'!B61</f>
        <v>0</v>
      </c>
      <c r="C799" s="2816">
        <f>'Part VI-Pro Forma'!C61</f>
        <v>0</v>
      </c>
      <c r="D799" s="2816">
        <f>'Part VI-Pro Forma'!D61</f>
        <v>0</v>
      </c>
      <c r="E799" s="2816">
        <f>'Part VI-Pro Forma'!E61</f>
        <v>0</v>
      </c>
      <c r="F799" s="2816">
        <f>'Part VI-Pro Forma'!F61</f>
        <v>0</v>
      </c>
      <c r="G799" s="2816">
        <f>'Part VI-Pro Forma'!G61</f>
        <v>0</v>
      </c>
      <c r="H799" s="2816">
        <f>'Part VI-Pro Forma'!H61</f>
        <v>0</v>
      </c>
      <c r="I799" s="2816">
        <f>'Part VI-Pro Forma'!I61</f>
        <v>0</v>
      </c>
      <c r="J799" s="2816">
        <f>'Part VI-Pro Forma'!J61</f>
        <v>0</v>
      </c>
      <c r="K799" s="2816">
        <f>'Part VI-Pro Forma'!K61</f>
        <v>0</v>
      </c>
      <c r="N799" s="2647"/>
      <c r="O799" s="2647"/>
    </row>
    <row r="800" spans="1:19">
      <c r="A800" s="356" t="s">
        <v>710</v>
      </c>
      <c r="B800" s="2816">
        <f>'Part VI-Pro Forma'!B62</f>
        <v>0</v>
      </c>
      <c r="C800" s="2816">
        <f>'Part VI-Pro Forma'!C62</f>
        <v>0</v>
      </c>
      <c r="D800" s="2816">
        <f>'Part VI-Pro Forma'!D62</f>
        <v>0</v>
      </c>
      <c r="E800" s="2816">
        <f>'Part VI-Pro Forma'!E62</f>
        <v>0</v>
      </c>
      <c r="F800" s="2816">
        <f>'Part VI-Pro Forma'!F62</f>
        <v>0</v>
      </c>
      <c r="G800" s="2816">
        <f>'Part VI-Pro Forma'!G62</f>
        <v>0</v>
      </c>
      <c r="H800" s="2816">
        <f>'Part VI-Pro Forma'!H62</f>
        <v>0</v>
      </c>
      <c r="I800" s="2816">
        <f>'Part VI-Pro Forma'!I62</f>
        <v>0</v>
      </c>
      <c r="J800" s="2816">
        <f>'Part VI-Pro Forma'!J62</f>
        <v>0</v>
      </c>
      <c r="K800" s="2816">
        <f>'Part VI-Pro Forma'!K62</f>
        <v>0</v>
      </c>
      <c r="N800" s="2647"/>
      <c r="O800" s="2647"/>
      <c r="Q800" s="1640"/>
      <c r="R800" s="1785"/>
    </row>
    <row r="801" spans="1:15">
      <c r="A801" s="356" t="s">
        <v>1094</v>
      </c>
      <c r="B801" s="2816">
        <f>'Part VI-Pro Forma'!B63</f>
        <v>-7500</v>
      </c>
      <c r="C801" s="2816">
        <f>'Part VI-Pro Forma'!C63</f>
        <v>-7500</v>
      </c>
      <c r="D801" s="2816">
        <f>'Part VI-Pro Forma'!D63</f>
        <v>-7500</v>
      </c>
      <c r="E801" s="2816">
        <f>'Part VI-Pro Forma'!E63</f>
        <v>-7500</v>
      </c>
      <c r="F801" s="2816">
        <f>'Part VI-Pro Forma'!F63</f>
        <v>-7500</v>
      </c>
      <c r="G801" s="2816">
        <f>'Part VI-Pro Forma'!G63</f>
        <v>-7500</v>
      </c>
      <c r="H801" s="2816">
        <f>'Part VI-Pro Forma'!H63</f>
        <v>-7500</v>
      </c>
      <c r="I801" s="2816">
        <f>'Part VI-Pro Forma'!I63</f>
        <v>-7500</v>
      </c>
      <c r="J801" s="2816">
        <f>'Part VI-Pro Forma'!J63</f>
        <v>-7500</v>
      </c>
      <c r="K801" s="2816">
        <f>'Part VI-Pro Forma'!K63</f>
        <v>-7500</v>
      </c>
      <c r="N801" s="2647"/>
      <c r="O801" s="2647"/>
    </row>
    <row r="802" spans="1:15">
      <c r="A802" s="356" t="s">
        <v>3271</v>
      </c>
      <c r="B802" s="2816">
        <f>'Part VI-Pro Forma'!B64</f>
        <v>0</v>
      </c>
      <c r="C802" s="2816">
        <f>'Part VI-Pro Forma'!C64</f>
        <v>0</v>
      </c>
      <c r="D802" s="2816">
        <f>'Part VI-Pro Forma'!D64</f>
        <v>0</v>
      </c>
      <c r="E802" s="2816">
        <f>'Part VI-Pro Forma'!E64</f>
        <v>0</v>
      </c>
      <c r="F802" s="2816">
        <f>'Part VI-Pro Forma'!F64</f>
        <v>0</v>
      </c>
      <c r="G802" s="2816">
        <f>'Part VI-Pro Forma'!G64</f>
        <v>0</v>
      </c>
      <c r="H802" s="2816">
        <f>'Part VI-Pro Forma'!H64</f>
        <v>0</v>
      </c>
      <c r="I802" s="2816">
        <f>'Part VI-Pro Forma'!I64</f>
        <v>0</v>
      </c>
      <c r="J802" s="2816">
        <f>'Part VI-Pro Forma'!J64</f>
        <v>0</v>
      </c>
      <c r="K802" s="2816">
        <f>'Part VI-Pro Forma'!K64</f>
        <v>0</v>
      </c>
      <c r="N802" s="2647"/>
      <c r="O802" s="2647"/>
    </row>
    <row r="803" spans="1:15">
      <c r="A803" s="356" t="s">
        <v>1095</v>
      </c>
      <c r="B803" s="2816">
        <f t="shared" ref="B803:K803" si="430">SUM(B795:B802)</f>
        <v>347605.69927287992</v>
      </c>
      <c r="C803" s="2816">
        <f t="shared" si="430"/>
        <v>358358.12260428286</v>
      </c>
      <c r="D803" s="2816">
        <f t="shared" si="430"/>
        <v>368862.07805798698</v>
      </c>
      <c r="E803" s="2816">
        <f t="shared" si="430"/>
        <v>379098.1543861067</v>
      </c>
      <c r="F803" s="2816">
        <f t="shared" si="430"/>
        <v>389048.17505909066</v>
      </c>
      <c r="G803" s="2816">
        <f t="shared" si="430"/>
        <v>398690.17044838477</v>
      </c>
      <c r="H803" s="2816">
        <f t="shared" si="430"/>
        <v>408004.34907740407</v>
      </c>
      <c r="I803" s="2816">
        <f t="shared" si="430"/>
        <v>416967.06791089714</v>
      </c>
      <c r="J803" s="2816">
        <f t="shared" si="430"/>
        <v>425555.80165191164</v>
      </c>
      <c r="K803" s="2816">
        <f t="shared" si="430"/>
        <v>433746.11101452383</v>
      </c>
      <c r="N803" s="2647"/>
      <c r="O803" s="2647"/>
    </row>
    <row r="804" spans="1:15">
      <c r="A804" s="356" t="str">
        <f>$A772</f>
        <v>DCR Mortgage A</v>
      </c>
      <c r="B804" s="2817">
        <f t="shared" ref="B804:K804" si="431">IF(B796=0,"",-B795/B796)</f>
        <v>1.4603587640481492</v>
      </c>
      <c r="C804" s="2817">
        <f t="shared" si="431"/>
        <v>1.4723458709130537</v>
      </c>
      <c r="D804" s="2817">
        <f t="shared" si="431"/>
        <v>1.4840559787321919</v>
      </c>
      <c r="E804" s="2817">
        <f t="shared" si="431"/>
        <v>1.495467447295203</v>
      </c>
      <c r="F804" s="2817">
        <f t="shared" si="431"/>
        <v>1.5065600128907861</v>
      </c>
      <c r="G804" s="2817">
        <f t="shared" si="431"/>
        <v>1.5173091831531611</v>
      </c>
      <c r="H804" s="2817">
        <f t="shared" si="431"/>
        <v>1.5276928939822154</v>
      </c>
      <c r="I804" s="2817">
        <f t="shared" si="431"/>
        <v>1.5376847874508623</v>
      </c>
      <c r="J804" s="2817">
        <f t="shared" si="431"/>
        <v>1.5472597517184121</v>
      </c>
      <c r="K804" s="2817">
        <f t="shared" si="431"/>
        <v>1.5563905411749179</v>
      </c>
      <c r="N804" s="2647"/>
      <c r="O804" s="2647"/>
    </row>
    <row r="805" spans="1:15">
      <c r="A805" s="356" t="str">
        <f>$A773</f>
        <v>DCR Mortgage B</v>
      </c>
      <c r="B805" s="2817">
        <f t="shared" ref="B805:K805" si="432">IF(B797=0,"",-(B795+B796)/B797)</f>
        <v>7.1399081722807836</v>
      </c>
      <c r="C805" s="2817">
        <f t="shared" si="432"/>
        <v>7.3258215271480376</v>
      </c>
      <c r="D805" s="2817">
        <f t="shared" si="432"/>
        <v>7.5074387810066172</v>
      </c>
      <c r="E805" s="2817">
        <f t="shared" si="432"/>
        <v>7.6844243062398139</v>
      </c>
      <c r="F805" s="2817">
        <f t="shared" si="432"/>
        <v>7.8564638239651288</v>
      </c>
      <c r="G805" s="2817">
        <f t="shared" si="432"/>
        <v>8.0231774712229491</v>
      </c>
      <c r="H805" s="2817">
        <f t="shared" si="432"/>
        <v>8.1842230461024794</v>
      </c>
      <c r="I805" s="2817">
        <f t="shared" si="432"/>
        <v>8.3391917518267178</v>
      </c>
      <c r="J805" s="2817">
        <f t="shared" si="432"/>
        <v>8.4876941177250345</v>
      </c>
      <c r="K805" s="2817">
        <f t="shared" si="432"/>
        <v>8.6293075795533873</v>
      </c>
      <c r="N805" s="2647"/>
      <c r="O805" s="2647"/>
    </row>
    <row r="806" spans="1:15">
      <c r="A806" s="356" t="str">
        <f>$A774</f>
        <v>DCR Mortgage C</v>
      </c>
      <c r="B806" s="2817" t="str">
        <f t="shared" ref="B806:K806" si="433">IF(B798=0,"",-(B795+B796+B797)/B798)</f>
        <v/>
      </c>
      <c r="C806" s="2817" t="str">
        <f t="shared" si="433"/>
        <v/>
      </c>
      <c r="D806" s="2817" t="str">
        <f t="shared" si="433"/>
        <v/>
      </c>
      <c r="E806" s="2817" t="str">
        <f t="shared" si="433"/>
        <v/>
      </c>
      <c r="F806" s="2817" t="str">
        <f t="shared" si="433"/>
        <v/>
      </c>
      <c r="G806" s="2817" t="str">
        <f t="shared" si="433"/>
        <v/>
      </c>
      <c r="H806" s="2817" t="str">
        <f t="shared" si="433"/>
        <v/>
      </c>
      <c r="I806" s="2817" t="str">
        <f t="shared" si="433"/>
        <v/>
      </c>
      <c r="J806" s="2817" t="str">
        <f t="shared" si="433"/>
        <v/>
      </c>
      <c r="K806" s="2817" t="str">
        <f t="shared" si="433"/>
        <v/>
      </c>
      <c r="N806" s="2647"/>
      <c r="O806" s="2647"/>
    </row>
    <row r="807" spans="1:15">
      <c r="A807" s="356" t="str">
        <f>$A775</f>
        <v>DCR Other Source</v>
      </c>
      <c r="B807" s="2817" t="str">
        <f t="shared" ref="B807:K807" si="434">IF(B799=0,"",-(B795+B796+B797+B798)/B799)</f>
        <v/>
      </c>
      <c r="C807" s="2817" t="str">
        <f t="shared" si="434"/>
        <v/>
      </c>
      <c r="D807" s="2817" t="str">
        <f t="shared" si="434"/>
        <v/>
      </c>
      <c r="E807" s="2817" t="str">
        <f t="shared" si="434"/>
        <v/>
      </c>
      <c r="F807" s="2817" t="str">
        <f t="shared" si="434"/>
        <v/>
      </c>
      <c r="G807" s="2817" t="str">
        <f t="shared" si="434"/>
        <v/>
      </c>
      <c r="H807" s="2817" t="str">
        <f t="shared" si="434"/>
        <v/>
      </c>
      <c r="I807" s="2817" t="str">
        <f t="shared" si="434"/>
        <v/>
      </c>
      <c r="J807" s="2817" t="str">
        <f t="shared" si="434"/>
        <v/>
      </c>
      <c r="K807" s="2817" t="str">
        <f t="shared" si="434"/>
        <v/>
      </c>
      <c r="N807" s="2647"/>
      <c r="O807" s="2647"/>
    </row>
    <row r="808" spans="1:15">
      <c r="A808" s="356" t="s">
        <v>3127</v>
      </c>
      <c r="B808" s="2817">
        <f t="shared" ref="B808:K808" si="435">IF(AND(B796=0,B797=0,B798=0,B799=0),"",-B795/(B796+B797+B798+B799))</f>
        <v>1.3719027977885199</v>
      </c>
      <c r="C808" s="2817">
        <f t="shared" si="435"/>
        <v>1.3831638288791035</v>
      </c>
      <c r="D808" s="2817">
        <f t="shared" si="435"/>
        <v>1.3941646391422939</v>
      </c>
      <c r="E808" s="2817">
        <f t="shared" si="435"/>
        <v>1.4048848991454408</v>
      </c>
      <c r="F808" s="2817">
        <f t="shared" si="435"/>
        <v>1.4153055725784875</v>
      </c>
      <c r="G808" s="2817">
        <f t="shared" si="435"/>
        <v>1.4254036506123939</v>
      </c>
      <c r="H808" s="2817">
        <f t="shared" si="435"/>
        <v>1.4351584056003517</v>
      </c>
      <c r="I808" s="2817">
        <f t="shared" si="435"/>
        <v>1.4445450761516641</v>
      </c>
      <c r="J808" s="2817">
        <f t="shared" si="435"/>
        <v>1.4535400714848405</v>
      </c>
      <c r="K808" s="2817">
        <f t="shared" si="435"/>
        <v>1.4621177962945129</v>
      </c>
      <c r="N808" s="2647"/>
      <c r="O808" s="2647"/>
    </row>
    <row r="809" spans="1:15">
      <c r="A809" s="356" t="s">
        <v>717</v>
      </c>
      <c r="B809" s="2818">
        <f t="shared" ref="B809:K809" si="436">IF(OR(B792="Choose mgt fee",B792="Choose One!"),"",(B785+B786+B787+B788+B789) / -(B791+B792+B793))</f>
        <v>1.7585667193877037</v>
      </c>
      <c r="C809" s="2818">
        <f t="shared" si="436"/>
        <v>1.7432792400578903</v>
      </c>
      <c r="D809" s="2818">
        <f t="shared" si="436"/>
        <v>1.7281091325746589</v>
      </c>
      <c r="E809" s="2818">
        <f t="shared" si="436"/>
        <v>1.7130552801905183</v>
      </c>
      <c r="F809" s="2818">
        <f t="shared" si="436"/>
        <v>1.6981184163844467</v>
      </c>
      <c r="G809" s="2818">
        <f t="shared" si="436"/>
        <v>1.6832965673327607</v>
      </c>
      <c r="H809" s="2818">
        <f t="shared" si="436"/>
        <v>1.6685904148897606</v>
      </c>
      <c r="I809" s="2818">
        <f t="shared" si="436"/>
        <v>1.6539981222315947</v>
      </c>
      <c r="J809" s="2818">
        <f t="shared" si="436"/>
        <v>1.6395195560001636</v>
      </c>
      <c r="K809" s="2818">
        <f t="shared" si="436"/>
        <v>1.625153806741872</v>
      </c>
      <c r="N809" s="2647"/>
      <c r="O809" s="2647"/>
    </row>
    <row r="810" spans="1:15">
      <c r="A810" s="356" t="s">
        <v>2398</v>
      </c>
      <c r="B810" s="2816">
        <f>'Part VI-Pro Forma'!B72</f>
        <v>12250220.15308075</v>
      </c>
      <c r="C810" s="2816">
        <f>'Part VI-Pro Forma'!C72</f>
        <v>12089964.083723115</v>
      </c>
      <c r="D810" s="2816">
        <f>'Part VI-Pro Forma'!D72</f>
        <v>11919739.104443166</v>
      </c>
      <c r="E810" s="2816">
        <f>'Part VI-Pro Forma'!E72</f>
        <v>11738925.08793192</v>
      </c>
      <c r="F810" s="2816">
        <f>'Part VI-Pro Forma'!F72</f>
        <v>11546863.331160242</v>
      </c>
      <c r="G810" s="2816">
        <f>'Part VI-Pro Forma'!G72</f>
        <v>11342854.15573258</v>
      </c>
      <c r="H810" s="2816">
        <f>'Part VI-Pro Forma'!H72</f>
        <v>11126154.358967979</v>
      </c>
      <c r="I810" s="2816">
        <f>'Part VI-Pro Forma'!I72</f>
        <v>10895974.506422719</v>
      </c>
      <c r="J810" s="2816">
        <f>'Part VI-Pro Forma'!J72</f>
        <v>10651476.05599126</v>
      </c>
      <c r="K810" s="2816">
        <f>'Part VI-Pro Forma'!K72</f>
        <v>10391768.303108629</v>
      </c>
      <c r="N810" s="2647"/>
      <c r="O810" s="2647"/>
    </row>
    <row r="811" spans="1:15">
      <c r="A811" s="356" t="s">
        <v>2399</v>
      </c>
      <c r="B811" s="2816">
        <f>'Part VI-Pro Forma'!B73</f>
        <v>836273.11698265222</v>
      </c>
      <c r="C811" s="2816">
        <f>'Part VI-Pro Forma'!C73</f>
        <v>816830.49773249438</v>
      </c>
      <c r="D811" s="2816">
        <f>'Part VI-Pro Forma'!D73</f>
        <v>796466.30604698474</v>
      </c>
      <c r="E811" s="2816">
        <f>'Part VI-Pro Forma'!E73</f>
        <v>775136.85975847533</v>
      </c>
      <c r="F811" s="2816">
        <f>'Part VI-Pro Forma'!F73</f>
        <v>752796.40618190984</v>
      </c>
      <c r="G811" s="2816">
        <f>'Part VI-Pro Forma'!G73</f>
        <v>729397.02397312049</v>
      </c>
      <c r="H811" s="2816">
        <f>'Part VI-Pro Forma'!H73</f>
        <v>704888.52033524658</v>
      </c>
      <c r="I811" s="2816">
        <f>'Part VI-Pro Forma'!I73</f>
        <v>679218.32335277856</v>
      </c>
      <c r="J811" s="2816">
        <f>'Part VI-Pro Forma'!J73</f>
        <v>652331.36922227859</v>
      </c>
      <c r="K811" s="2816">
        <f>'Part VI-Pro Forma'!K73</f>
        <v>624169.98413788143</v>
      </c>
      <c r="N811" s="2647"/>
      <c r="O811" s="2647"/>
    </row>
    <row r="812" spans="1:15">
      <c r="A812" s="356" t="s">
        <v>2400</v>
      </c>
      <c r="B812" s="2816" t="str">
        <f>'Part VI-Pro Forma'!B74</f>
        <v/>
      </c>
      <c r="C812" s="2816" t="str">
        <f>'Part VI-Pro Forma'!C74</f>
        <v/>
      </c>
      <c r="D812" s="2816" t="str">
        <f>'Part VI-Pro Forma'!D74</f>
        <v/>
      </c>
      <c r="E812" s="2816" t="str">
        <f>'Part VI-Pro Forma'!E74</f>
        <v/>
      </c>
      <c r="F812" s="2816" t="str">
        <f>'Part VI-Pro Forma'!F74</f>
        <v/>
      </c>
      <c r="G812" s="2816" t="str">
        <f>'Part VI-Pro Forma'!G74</f>
        <v/>
      </c>
      <c r="H812" s="2816" t="str">
        <f>'Part VI-Pro Forma'!H74</f>
        <v/>
      </c>
      <c r="I812" s="2816" t="str">
        <f>'Part VI-Pro Forma'!I74</f>
        <v/>
      </c>
      <c r="J812" s="2816" t="str">
        <f>'Part VI-Pro Forma'!J74</f>
        <v/>
      </c>
      <c r="K812" s="2816" t="str">
        <f>'Part VI-Pro Forma'!K74</f>
        <v/>
      </c>
      <c r="N812" s="2647"/>
      <c r="O812" s="2647"/>
    </row>
    <row r="813" spans="1:15">
      <c r="A813" s="356" t="s">
        <v>729</v>
      </c>
      <c r="B813" s="2816" t="str">
        <f>'Part VI-Pro Forma'!B75</f>
        <v/>
      </c>
      <c r="C813" s="2816" t="str">
        <f>'Part VI-Pro Forma'!C75</f>
        <v/>
      </c>
      <c r="D813" s="2816" t="str">
        <f>'Part VI-Pro Forma'!D75</f>
        <v/>
      </c>
      <c r="E813" s="2816" t="str">
        <f>'Part VI-Pro Forma'!E75</f>
        <v/>
      </c>
      <c r="F813" s="2816" t="str">
        <f>'Part VI-Pro Forma'!F75</f>
        <v/>
      </c>
      <c r="G813" s="2816" t="str">
        <f>'Part VI-Pro Forma'!G75</f>
        <v/>
      </c>
      <c r="H813" s="2816" t="str">
        <f>'Part VI-Pro Forma'!H75</f>
        <v/>
      </c>
      <c r="I813" s="2816" t="str">
        <f>'Part VI-Pro Forma'!I75</f>
        <v/>
      </c>
      <c r="J813" s="2816" t="str">
        <f>'Part VI-Pro Forma'!J75</f>
        <v/>
      </c>
      <c r="K813" s="2816" t="str">
        <f>'Part VI-Pro Forma'!K75</f>
        <v/>
      </c>
      <c r="N813" s="2647"/>
      <c r="O813" s="2647"/>
    </row>
    <row r="814" spans="1:15">
      <c r="A814" s="356" t="s">
        <v>3272</v>
      </c>
      <c r="B814" s="2816">
        <f>'Part VI-Pro Forma'!B76</f>
        <v>0</v>
      </c>
      <c r="C814" s="2816">
        <f>'Part VI-Pro Forma'!C76</f>
        <v>0</v>
      </c>
      <c r="D814" s="2816">
        <f>'Part VI-Pro Forma'!D76</f>
        <v>0</v>
      </c>
      <c r="E814" s="2816">
        <f>'Part VI-Pro Forma'!E76</f>
        <v>0</v>
      </c>
      <c r="F814" s="2816">
        <f>'Part VI-Pro Forma'!F76</f>
        <v>0</v>
      </c>
      <c r="G814" s="2816">
        <f>'Part VI-Pro Forma'!G76</f>
        <v>0</v>
      </c>
      <c r="H814" s="2816" t="str">
        <f>'Part VI-Pro Forma'!H76</f>
        <v/>
      </c>
      <c r="I814" s="2816" t="str">
        <f>'Part VI-Pro Forma'!I76</f>
        <v/>
      </c>
      <c r="J814" s="2816" t="str">
        <f>'Part VI-Pro Forma'!J76</f>
        <v/>
      </c>
      <c r="K814" s="2816" t="str">
        <f>'Part VI-Pro Forma'!K76</f>
        <v/>
      </c>
      <c r="N814" s="2647"/>
      <c r="O814" s="2647"/>
    </row>
    <row r="815" spans="1:15">
      <c r="B815" s="2816"/>
      <c r="C815" s="2816"/>
      <c r="D815" s="2816"/>
      <c r="E815" s="2816"/>
      <c r="F815" s="2816"/>
      <c r="G815" s="2816"/>
      <c r="H815" s="2816"/>
      <c r="I815" s="2816"/>
      <c r="J815" s="2816"/>
      <c r="K815" s="2816"/>
    </row>
    <row r="816" spans="1:15">
      <c r="A816" s="360" t="s">
        <v>2277</v>
      </c>
      <c r="B816" s="2819">
        <f>K784+1</f>
        <v>21</v>
      </c>
      <c r="C816" s="2819">
        <f t="shared" ref="C816:K816" si="437">B816+1</f>
        <v>22</v>
      </c>
      <c r="D816" s="2819">
        <f t="shared" si="437"/>
        <v>23</v>
      </c>
      <c r="E816" s="2819">
        <f t="shared" si="437"/>
        <v>24</v>
      </c>
      <c r="F816" s="2819">
        <f t="shared" si="437"/>
        <v>25</v>
      </c>
      <c r="G816" s="2819">
        <f t="shared" si="437"/>
        <v>26</v>
      </c>
      <c r="H816" s="2819">
        <f t="shared" si="437"/>
        <v>27</v>
      </c>
      <c r="I816" s="2819">
        <f t="shared" si="437"/>
        <v>28</v>
      </c>
      <c r="J816" s="2819">
        <f t="shared" si="437"/>
        <v>29</v>
      </c>
      <c r="K816" s="2819">
        <f t="shared" si="437"/>
        <v>30</v>
      </c>
      <c r="N816" s="360" t="s">
        <v>2402</v>
      </c>
      <c r="O816" s="360"/>
    </row>
    <row r="817" spans="1:19">
      <c r="A817" s="356" t="s">
        <v>2208</v>
      </c>
      <c r="B817" s="2816">
        <f>'Part VI-Pro Forma'!B79</f>
        <v>3902430.7140558572</v>
      </c>
      <c r="C817" s="2816">
        <f>'Part VI-Pro Forma'!C79</f>
        <v>3980479.3283369741</v>
      </c>
      <c r="D817" s="2816">
        <f>'Part VI-Pro Forma'!D79</f>
        <v>4060088.9149037139</v>
      </c>
      <c r="E817" s="2816">
        <f>'Part VI-Pro Forma'!E79</f>
        <v>4141290.6932017873</v>
      </c>
      <c r="F817" s="2816">
        <f>'Part VI-Pro Forma'!F79</f>
        <v>4224116.5070658233</v>
      </c>
      <c r="G817" s="2816">
        <f>'Part VI-Pro Forma'!G79</f>
        <v>4308598.8372071395</v>
      </c>
      <c r="H817" s="2816">
        <f>'Part VI-Pro Forma'!H79</f>
        <v>4394770.8139512828</v>
      </c>
      <c r="I817" s="2816">
        <f>'Part VI-Pro Forma'!I79</f>
        <v>4482666.2302303081</v>
      </c>
      <c r="J817" s="2816">
        <f>'Part VI-Pro Forma'!J79</f>
        <v>4572319.5548349153</v>
      </c>
      <c r="K817" s="2816">
        <f>'Part VI-Pro Forma'!K79</f>
        <v>4663765.9459316125</v>
      </c>
      <c r="N817" s="2647"/>
      <c r="O817" s="2647"/>
    </row>
    <row r="818" spans="1:19">
      <c r="A818" s="356" t="s">
        <v>951</v>
      </c>
      <c r="B818" s="2816">
        <f>'Part VI-Pro Forma'!B80</f>
        <v>78048.614281117159</v>
      </c>
      <c r="C818" s="2816">
        <f>'Part VI-Pro Forma'!C80</f>
        <v>79609.586566739483</v>
      </c>
      <c r="D818" s="2816">
        <f>'Part VI-Pro Forma'!D80</f>
        <v>81201.778298074278</v>
      </c>
      <c r="E818" s="2816">
        <f>'Part VI-Pro Forma'!E80</f>
        <v>82825.81386403575</v>
      </c>
      <c r="F818" s="2816">
        <f>'Part VI-Pro Forma'!F80</f>
        <v>84482.330141316474</v>
      </c>
      <c r="G818" s="2816">
        <f>'Part VI-Pro Forma'!G80</f>
        <v>86171.976744142798</v>
      </c>
      <c r="H818" s="2816">
        <f>'Part VI-Pro Forma'!H80</f>
        <v>87895.416279025667</v>
      </c>
      <c r="I818" s="2816">
        <f>'Part VI-Pro Forma'!I80</f>
        <v>89653.324604606169</v>
      </c>
      <c r="J818" s="2816">
        <f>'Part VI-Pro Forma'!J80</f>
        <v>91446.391096698309</v>
      </c>
      <c r="K818" s="2816">
        <f>'Part VI-Pro Forma'!K80</f>
        <v>93275.318918632256</v>
      </c>
      <c r="N818" s="2647"/>
      <c r="O818" s="2647"/>
    </row>
    <row r="819" spans="1:19">
      <c r="A819" s="356" t="s">
        <v>2209</v>
      </c>
      <c r="B819" s="2816">
        <f>'Part VI-Pro Forma'!B81</f>
        <v>-278633.55298358819</v>
      </c>
      <c r="C819" s="2816">
        <f>'Part VI-Pro Forma'!C81</f>
        <v>-284206.22404325998</v>
      </c>
      <c r="D819" s="2816">
        <f>'Part VI-Pro Forma'!D81</f>
        <v>-289890.34852412518</v>
      </c>
      <c r="E819" s="2816">
        <f>'Part VI-Pro Forma'!E81</f>
        <v>-295688.15549460764</v>
      </c>
      <c r="F819" s="2816">
        <f>'Part VI-Pro Forma'!F81</f>
        <v>-301601.91860449978</v>
      </c>
      <c r="G819" s="2816">
        <f>'Part VI-Pro Forma'!G81</f>
        <v>-307633.95697658975</v>
      </c>
      <c r="H819" s="2816">
        <f>'Part VI-Pro Forma'!H81</f>
        <v>-313786.6361161216</v>
      </c>
      <c r="I819" s="2816">
        <f>'Part VI-Pro Forma'!I81</f>
        <v>-320062.36883844406</v>
      </c>
      <c r="J819" s="2816">
        <f>'Part VI-Pro Forma'!J81</f>
        <v>-326463.61621521297</v>
      </c>
      <c r="K819" s="2816">
        <f>'Part VI-Pro Forma'!K81</f>
        <v>-332992.88853951718</v>
      </c>
      <c r="N819" s="2647"/>
      <c r="O819" s="2647"/>
    </row>
    <row r="820" spans="1:19">
      <c r="A820" s="356" t="s">
        <v>47</v>
      </c>
      <c r="B820" s="2816">
        <f>'Part VI-Pro Forma'!B82</f>
        <v>0</v>
      </c>
      <c r="C820" s="2816">
        <f>'Part VI-Pro Forma'!C82</f>
        <v>0</v>
      </c>
      <c r="D820" s="2816">
        <f>'Part VI-Pro Forma'!D82</f>
        <v>0</v>
      </c>
      <c r="E820" s="2816">
        <f>'Part VI-Pro Forma'!E82</f>
        <v>0</v>
      </c>
      <c r="F820" s="2816">
        <f>'Part VI-Pro Forma'!F82</f>
        <v>0</v>
      </c>
      <c r="G820" s="2816">
        <f>'Part VI-Pro Forma'!G82</f>
        <v>0</v>
      </c>
      <c r="H820" s="2816">
        <f>'Part VI-Pro Forma'!H82</f>
        <v>0</v>
      </c>
      <c r="I820" s="2816">
        <f>'Part VI-Pro Forma'!I82</f>
        <v>0</v>
      </c>
      <c r="J820" s="2816">
        <f>'Part VI-Pro Forma'!J82</f>
        <v>0</v>
      </c>
      <c r="K820" s="2816">
        <f>'Part VI-Pro Forma'!K82</f>
        <v>0</v>
      </c>
      <c r="N820" s="2647"/>
      <c r="O820" s="2647"/>
    </row>
    <row r="821" spans="1:19">
      <c r="A821" s="356" t="s">
        <v>48</v>
      </c>
      <c r="B821" s="2816">
        <f>'Part VI-Pro Forma'!B83</f>
        <v>0</v>
      </c>
      <c r="C821" s="2816">
        <f>'Part VI-Pro Forma'!C83</f>
        <v>0</v>
      </c>
      <c r="D821" s="2816">
        <f>'Part VI-Pro Forma'!D83</f>
        <v>0</v>
      </c>
      <c r="E821" s="2816">
        <f>'Part VI-Pro Forma'!E83</f>
        <v>0</v>
      </c>
      <c r="F821" s="2816">
        <f>'Part VI-Pro Forma'!F83</f>
        <v>0</v>
      </c>
      <c r="G821" s="2816">
        <f>'Part VI-Pro Forma'!G83</f>
        <v>0</v>
      </c>
      <c r="H821" s="2816">
        <f>'Part VI-Pro Forma'!H83</f>
        <v>0</v>
      </c>
      <c r="I821" s="2816">
        <f>'Part VI-Pro Forma'!I83</f>
        <v>0</v>
      </c>
      <c r="J821" s="2816">
        <f>'Part VI-Pro Forma'!J83</f>
        <v>0</v>
      </c>
      <c r="K821" s="2816">
        <f>'Part VI-Pro Forma'!K83</f>
        <v>0</v>
      </c>
      <c r="N821" s="2647"/>
      <c r="O821" s="2647"/>
    </row>
    <row r="822" spans="1:19">
      <c r="A822" s="356" t="s">
        <v>3712</v>
      </c>
      <c r="B822" s="2816">
        <f>'Part VI-Pro Forma'!B84</f>
        <v>3701845.7753533861</v>
      </c>
      <c r="C822" s="2816">
        <f>'Part VI-Pro Forma'!C84</f>
        <v>3775882.6908604535</v>
      </c>
      <c r="D822" s="2816">
        <f>'Part VI-Pro Forma'!D84</f>
        <v>3851400.3446776629</v>
      </c>
      <c r="E822" s="2816">
        <f>'Part VI-Pro Forma'!E84</f>
        <v>3928428.3515712158</v>
      </c>
      <c r="F822" s="2816">
        <f>'Part VI-Pro Forma'!F84</f>
        <v>4006996.9186026398</v>
      </c>
      <c r="G822" s="2816">
        <f>'Part VI-Pro Forma'!G84</f>
        <v>4087136.8569746921</v>
      </c>
      <c r="H822" s="2816">
        <f>'Part VI-Pro Forma'!H84</f>
        <v>4168879.5941141867</v>
      </c>
      <c r="I822" s="2816">
        <f>'Part VI-Pro Forma'!I84</f>
        <v>4252257.18599647</v>
      </c>
      <c r="J822" s="2816">
        <f>'Part VI-Pro Forma'!J84</f>
        <v>4337302.3297164002</v>
      </c>
      <c r="K822" s="2816">
        <f>'Part VI-Pro Forma'!K84</f>
        <v>4424048.3763107276</v>
      </c>
      <c r="N822" s="2647"/>
      <c r="O822" s="2647"/>
    </row>
    <row r="823" spans="1:19">
      <c r="A823" s="356" t="s">
        <v>571</v>
      </c>
      <c r="B823" s="2816">
        <f>'Part VI-Pro Forma'!B85</f>
        <v>-1960295.3385506717</v>
      </c>
      <c r="C823" s="2816">
        <f>'Part VI-Pro Forma'!C85</f>
        <v>-2019104.1987071915</v>
      </c>
      <c r="D823" s="2816">
        <f>'Part VI-Pro Forma'!D85</f>
        <v>-2079677.3246684077</v>
      </c>
      <c r="E823" s="2816">
        <f>'Part VI-Pro Forma'!E85</f>
        <v>-2142067.6444084598</v>
      </c>
      <c r="F823" s="2816">
        <f>'Part VI-Pro Forma'!F85</f>
        <v>-2206329.6737407134</v>
      </c>
      <c r="G823" s="2816">
        <f>'Part VI-Pro Forma'!G85</f>
        <v>-2272519.5639529349</v>
      </c>
      <c r="H823" s="2816">
        <f>'Part VI-Pro Forma'!H85</f>
        <v>-2340695.1508715232</v>
      </c>
      <c r="I823" s="2816">
        <f>'Part VI-Pro Forma'!I85</f>
        <v>-2410916.0053976686</v>
      </c>
      <c r="J823" s="2816">
        <f>'Part VI-Pro Forma'!J85</f>
        <v>-2483243.4855595985</v>
      </c>
      <c r="K823" s="2816">
        <f>'Part VI-Pro Forma'!K85</f>
        <v>-2557740.7901263861</v>
      </c>
      <c r="N823" s="2647"/>
      <c r="O823" s="2647"/>
    </row>
    <row r="824" spans="1:19">
      <c r="A824" s="356" t="s">
        <v>1049</v>
      </c>
      <c r="B824" s="2816">
        <f>'Part VI-Pro Forma'!B86</f>
        <v>-222111</v>
      </c>
      <c r="C824" s="2816">
        <f>'Part VI-Pro Forma'!C86</f>
        <v>-226553</v>
      </c>
      <c r="D824" s="2816">
        <f>'Part VI-Pro Forma'!D86</f>
        <v>-231084</v>
      </c>
      <c r="E824" s="2816">
        <f>'Part VI-Pro Forma'!E86</f>
        <v>-235706</v>
      </c>
      <c r="F824" s="2816">
        <f>'Part VI-Pro Forma'!F86</f>
        <v>-240420</v>
      </c>
      <c r="G824" s="2816">
        <f>'Part VI-Pro Forma'!G86</f>
        <v>-245228</v>
      </c>
      <c r="H824" s="2816">
        <f>'Part VI-Pro Forma'!H86</f>
        <v>-250133</v>
      </c>
      <c r="I824" s="2816">
        <f>'Part VI-Pro Forma'!I86</f>
        <v>-255135</v>
      </c>
      <c r="J824" s="2816">
        <f>'Part VI-Pro Forma'!J86</f>
        <v>-260238</v>
      </c>
      <c r="K824" s="2816">
        <f>'Part VI-Pro Forma'!K86</f>
        <v>-265443</v>
      </c>
      <c r="N824" s="2647"/>
      <c r="O824" s="2647"/>
    </row>
    <row r="825" spans="1:19">
      <c r="A825" s="356" t="s">
        <v>1127</v>
      </c>
      <c r="B825" s="2816">
        <f>'Part VI-Pro Forma'!B87</f>
        <v>-115591.11901884245</v>
      </c>
      <c r="C825" s="2816">
        <f>'Part VI-Pro Forma'!C87</f>
        <v>-119058.8525894077</v>
      </c>
      <c r="D825" s="2816">
        <f>'Part VI-Pro Forma'!D87</f>
        <v>-122630.61816708995</v>
      </c>
      <c r="E825" s="2816">
        <f>'Part VI-Pro Forma'!E87</f>
        <v>-126309.53671210265</v>
      </c>
      <c r="F825" s="2816">
        <f>'Part VI-Pro Forma'!F87</f>
        <v>-130098.82281346571</v>
      </c>
      <c r="G825" s="2816">
        <f>'Part VI-Pro Forma'!G87</f>
        <v>-134001.78749786969</v>
      </c>
      <c r="H825" s="2816">
        <f>'Part VI-Pro Forma'!H87</f>
        <v>-138021.84112280581</v>
      </c>
      <c r="I825" s="2816">
        <f>'Part VI-Pro Forma'!I87</f>
        <v>-142162.49635648995</v>
      </c>
      <c r="J825" s="2816">
        <f>'Part VI-Pro Forma'!J87</f>
        <v>-146427.37124718467</v>
      </c>
      <c r="K825" s="2816">
        <f>'Part VI-Pro Forma'!K87</f>
        <v>-150820.19238460017</v>
      </c>
      <c r="N825" s="2647"/>
      <c r="O825" s="2647"/>
      <c r="Q825" s="1640"/>
      <c r="R825" s="1785"/>
      <c r="S825" s="1785"/>
    </row>
    <row r="826" spans="1:19">
      <c r="A826" s="356" t="s">
        <v>3711</v>
      </c>
      <c r="B826" s="2816">
        <f>'Part VI-Pro Forma'!B88</f>
        <v>0</v>
      </c>
      <c r="C826" s="2816">
        <f>'Part VI-Pro Forma'!C88</f>
        <v>0</v>
      </c>
      <c r="D826" s="2816">
        <f>'Part VI-Pro Forma'!D88</f>
        <v>0</v>
      </c>
      <c r="E826" s="2816">
        <f>'Part VI-Pro Forma'!E88</f>
        <v>0</v>
      </c>
      <c r="F826" s="2816">
        <f>'Part VI-Pro Forma'!F88</f>
        <v>0</v>
      </c>
      <c r="G826" s="2816">
        <f>'Part VI-Pro Forma'!G88</f>
        <v>0</v>
      </c>
      <c r="H826" s="2816">
        <f>'Part VI-Pro Forma'!H88</f>
        <v>0</v>
      </c>
      <c r="I826" s="2816">
        <f>'Part VI-Pro Forma'!I88</f>
        <v>0</v>
      </c>
      <c r="J826" s="2816">
        <f>'Part VI-Pro Forma'!J88</f>
        <v>0</v>
      </c>
      <c r="K826" s="2816">
        <f>'Part VI-Pro Forma'!K88</f>
        <v>0</v>
      </c>
      <c r="N826" s="2647"/>
      <c r="O826" s="2647"/>
    </row>
    <row r="827" spans="1:19">
      <c r="A827" s="356" t="s">
        <v>1128</v>
      </c>
      <c r="B827" s="2816">
        <f>SUM(B822:B826)</f>
        <v>1403848.3177838719</v>
      </c>
      <c r="C827" s="2816">
        <f t="shared" ref="C827:J827" si="438">SUM(C822:C826)</f>
        <v>1411166.6395638543</v>
      </c>
      <c r="D827" s="2816">
        <f t="shared" si="438"/>
        <v>1418008.4018421653</v>
      </c>
      <c r="E827" s="2816">
        <f t="shared" si="438"/>
        <v>1424345.1704506534</v>
      </c>
      <c r="F827" s="2816">
        <f t="shared" si="438"/>
        <v>1430148.4220484607</v>
      </c>
      <c r="G827" s="2816">
        <f t="shared" si="438"/>
        <v>1435387.5055238875</v>
      </c>
      <c r="H827" s="2816">
        <f t="shared" si="438"/>
        <v>1440029.6021198577</v>
      </c>
      <c r="I827" s="2816">
        <f t="shared" si="438"/>
        <v>1444043.6842423114</v>
      </c>
      <c r="J827" s="2816">
        <f t="shared" si="438"/>
        <v>1447393.472909617</v>
      </c>
      <c r="K827" s="2816">
        <f>SUM(K822:K826)</f>
        <v>1450044.3937997413</v>
      </c>
      <c r="N827" s="2647"/>
      <c r="O827" s="2647"/>
    </row>
    <row r="828" spans="1:19">
      <c r="A828" s="356" t="str">
        <f>$A796</f>
        <v>Mortgage A</v>
      </c>
      <c r="B828" s="2816">
        <f>'Part VI-Pro Forma'!B90</f>
        <v>-896999.03843217005</v>
      </c>
      <c r="C828" s="2816">
        <f>'Part VI-Pro Forma'!C90</f>
        <v>-896999.03843217005</v>
      </c>
      <c r="D828" s="2816">
        <f>'Part VI-Pro Forma'!D90</f>
        <v>-896999.03843217005</v>
      </c>
      <c r="E828" s="2816">
        <f>'Part VI-Pro Forma'!E90</f>
        <v>-896999.03843217005</v>
      </c>
      <c r="F828" s="2816">
        <f>'Part VI-Pro Forma'!F90</f>
        <v>-896999.03843217005</v>
      </c>
      <c r="G828" s="2816">
        <f>'Part VI-Pro Forma'!G90</f>
        <v>-896999.03843217005</v>
      </c>
      <c r="H828" s="2816">
        <f>'Part VI-Pro Forma'!H90</f>
        <v>-896999.03843217005</v>
      </c>
      <c r="I828" s="2816">
        <f>'Part VI-Pro Forma'!I90</f>
        <v>-896999.03843217005</v>
      </c>
      <c r="J828" s="2816">
        <f>'Part VI-Pro Forma'!J90</f>
        <v>-896999.03843217005</v>
      </c>
      <c r="K828" s="2816">
        <f>'Part VI-Pro Forma'!K90</f>
        <v>-896999.03843217005</v>
      </c>
      <c r="N828" s="2647"/>
      <c r="O828" s="2647"/>
    </row>
    <row r="829" spans="1:19">
      <c r="A829" s="356" t="str">
        <f>$A797</f>
        <v>Mortgage B</v>
      </c>
      <c r="B829" s="2816">
        <f>'Part VI-Pro Forma'!B91</f>
        <v>-57835.669412132156</v>
      </c>
      <c r="C829" s="2816">
        <f>'Part VI-Pro Forma'!C91</f>
        <v>-57835.669412132156</v>
      </c>
      <c r="D829" s="2816">
        <f>'Part VI-Pro Forma'!D91</f>
        <v>-57835.669412132156</v>
      </c>
      <c r="E829" s="2816">
        <f>'Part VI-Pro Forma'!E91</f>
        <v>-57835.669412132156</v>
      </c>
      <c r="F829" s="2816">
        <f>'Part VI-Pro Forma'!F91</f>
        <v>-57835.669412132156</v>
      </c>
      <c r="G829" s="2816">
        <f>'Part VI-Pro Forma'!G91</f>
        <v>-57835.669412132156</v>
      </c>
      <c r="H829" s="2816">
        <f>'Part VI-Pro Forma'!H91</f>
        <v>-57835.669412132156</v>
      </c>
      <c r="I829" s="2816">
        <f>'Part VI-Pro Forma'!I91</f>
        <v>-57835.669412132156</v>
      </c>
      <c r="J829" s="2816">
        <f>'Part VI-Pro Forma'!J91</f>
        <v>-57835.669412132156</v>
      </c>
      <c r="K829" s="2816">
        <f>'Part VI-Pro Forma'!K91</f>
        <v>-57835.669412132156</v>
      </c>
      <c r="N829" s="2647"/>
      <c r="O829" s="2647"/>
    </row>
    <row r="830" spans="1:19">
      <c r="A830" s="356" t="str">
        <f>$A798</f>
        <v>Mortgage C</v>
      </c>
      <c r="B830" s="2816">
        <f>'Part VI-Pro Forma'!B92</f>
        <v>0</v>
      </c>
      <c r="C830" s="2816">
        <f>'Part VI-Pro Forma'!C92</f>
        <v>0</v>
      </c>
      <c r="D830" s="2816">
        <f>'Part VI-Pro Forma'!D92</f>
        <v>0</v>
      </c>
      <c r="E830" s="2816">
        <f>'Part VI-Pro Forma'!E92</f>
        <v>0</v>
      </c>
      <c r="F830" s="2816">
        <f>'Part VI-Pro Forma'!F92</f>
        <v>0</v>
      </c>
      <c r="G830" s="2816">
        <f>'Part VI-Pro Forma'!G92</f>
        <v>0</v>
      </c>
      <c r="H830" s="2816">
        <f>'Part VI-Pro Forma'!H92</f>
        <v>0</v>
      </c>
      <c r="I830" s="2816">
        <f>'Part VI-Pro Forma'!I92</f>
        <v>0</v>
      </c>
      <c r="J830" s="2816">
        <f>'Part VI-Pro Forma'!J92</f>
        <v>0</v>
      </c>
      <c r="K830" s="2816">
        <f>'Part VI-Pro Forma'!K92</f>
        <v>0</v>
      </c>
      <c r="N830" s="2647"/>
      <c r="O830" s="2647"/>
    </row>
    <row r="831" spans="1:19">
      <c r="A831" s="356" t="str">
        <f>$A799</f>
        <v>D/S Other Source,not DDF</v>
      </c>
      <c r="B831" s="2816">
        <f>'Part VI-Pro Forma'!B93</f>
        <v>0</v>
      </c>
      <c r="C831" s="2816">
        <f>'Part VI-Pro Forma'!C93</f>
        <v>0</v>
      </c>
      <c r="D831" s="2816">
        <f>'Part VI-Pro Forma'!D93</f>
        <v>0</v>
      </c>
      <c r="E831" s="2816">
        <f>'Part VI-Pro Forma'!E93</f>
        <v>0</v>
      </c>
      <c r="F831" s="2816">
        <f>'Part VI-Pro Forma'!F93</f>
        <v>0</v>
      </c>
      <c r="G831" s="2816">
        <f>'Part VI-Pro Forma'!G93</f>
        <v>0</v>
      </c>
      <c r="H831" s="2816">
        <f>'Part VI-Pro Forma'!H93</f>
        <v>0</v>
      </c>
      <c r="I831" s="2816">
        <f>'Part VI-Pro Forma'!I93</f>
        <v>0</v>
      </c>
      <c r="J831" s="2816">
        <f>'Part VI-Pro Forma'!J93</f>
        <v>0</v>
      </c>
      <c r="K831" s="2816">
        <f>'Part VI-Pro Forma'!K93</f>
        <v>0</v>
      </c>
      <c r="N831" s="2647"/>
      <c r="O831" s="2647"/>
    </row>
    <row r="832" spans="1:19">
      <c r="A832" s="356" t="s">
        <v>710</v>
      </c>
      <c r="B832" s="2816">
        <f>'Part VI-Pro Forma'!B94</f>
        <v>0</v>
      </c>
      <c r="C832" s="2816">
        <f>'Part VI-Pro Forma'!C94</f>
        <v>0</v>
      </c>
      <c r="D832" s="2816">
        <f>'Part VI-Pro Forma'!D94</f>
        <v>0</v>
      </c>
      <c r="E832" s="2816">
        <f>'Part VI-Pro Forma'!E94</f>
        <v>0</v>
      </c>
      <c r="F832" s="2816">
        <f>'Part VI-Pro Forma'!F94</f>
        <v>0</v>
      </c>
      <c r="G832" s="2816">
        <f>'Part VI-Pro Forma'!G94</f>
        <v>0</v>
      </c>
      <c r="H832" s="2816">
        <f>'Part VI-Pro Forma'!H94</f>
        <v>0</v>
      </c>
      <c r="I832" s="2816">
        <f>'Part VI-Pro Forma'!I94</f>
        <v>0</v>
      </c>
      <c r="J832" s="2816">
        <f>'Part VI-Pro Forma'!J94</f>
        <v>0</v>
      </c>
      <c r="K832" s="2816">
        <f>'Part VI-Pro Forma'!K94</f>
        <v>0</v>
      </c>
      <c r="N832" s="2647"/>
      <c r="O832" s="2647"/>
    </row>
    <row r="833" spans="1:15">
      <c r="A833" s="356" t="s">
        <v>1094</v>
      </c>
      <c r="B833" s="2816">
        <f>'Part VI-Pro Forma'!B95</f>
        <v>-7500</v>
      </c>
      <c r="C833" s="2816">
        <f>'Part VI-Pro Forma'!C95</f>
        <v>-7500</v>
      </c>
      <c r="D833" s="2816">
        <f>'Part VI-Pro Forma'!D95</f>
        <v>-7500</v>
      </c>
      <c r="E833" s="2816">
        <f>'Part VI-Pro Forma'!E95</f>
        <v>-7500</v>
      </c>
      <c r="F833" s="2816">
        <f>'Part VI-Pro Forma'!F95</f>
        <v>-7500</v>
      </c>
      <c r="G833" s="2816">
        <f>'Part VI-Pro Forma'!G95</f>
        <v>-7500</v>
      </c>
      <c r="H833" s="2816">
        <f>'Part VI-Pro Forma'!H95</f>
        <v>-7500</v>
      </c>
      <c r="I833" s="2816">
        <f>'Part VI-Pro Forma'!I95</f>
        <v>-7500</v>
      </c>
      <c r="J833" s="2816">
        <f>'Part VI-Pro Forma'!J95</f>
        <v>-7500</v>
      </c>
      <c r="K833" s="2816">
        <f>'Part VI-Pro Forma'!K95</f>
        <v>-7500</v>
      </c>
      <c r="N833" s="2647"/>
      <c r="O833" s="2647"/>
    </row>
    <row r="834" spans="1:15">
      <c r="A834" s="356" t="s">
        <v>1095</v>
      </c>
      <c r="B834" s="2816">
        <f>'Part VI-Pro Forma'!B96</f>
        <v>441513.60993956967</v>
      </c>
      <c r="C834" s="2816">
        <f>'Part VI-Pro Forma'!C96</f>
        <v>448831.93171955209</v>
      </c>
      <c r="D834" s="2816">
        <f>'Part VI-Pro Forma'!D96</f>
        <v>455673.69399786304</v>
      </c>
      <c r="E834" s="2816">
        <f>'Part VI-Pro Forma'!E96</f>
        <v>462010.46260635118</v>
      </c>
      <c r="F834" s="2816">
        <f>'Part VI-Pro Forma'!F96</f>
        <v>467813.71420415846</v>
      </c>
      <c r="G834" s="2816">
        <f>'Part VI-Pro Forma'!G96</f>
        <v>473052.79767958523</v>
      </c>
      <c r="H834" s="2816">
        <f>'Part VI-Pro Forma'!H96</f>
        <v>477694.89427555545</v>
      </c>
      <c r="I834" s="2816">
        <f>'Part VI-Pro Forma'!I96</f>
        <v>481708.97639800917</v>
      </c>
      <c r="J834" s="2816">
        <f>'Part VI-Pro Forma'!J96</f>
        <v>485058.76506531477</v>
      </c>
      <c r="K834" s="2816">
        <f>'Part VI-Pro Forma'!K96</f>
        <v>487709.68595543905</v>
      </c>
      <c r="N834" s="2647"/>
      <c r="O834" s="2647"/>
    </row>
    <row r="835" spans="1:15">
      <c r="A835" s="356" t="str">
        <f>$A804</f>
        <v>DCR Mortgage A</v>
      </c>
      <c r="B835" s="2817">
        <f t="shared" ref="B835:K835" si="439">IF(B828=0,"",-B827/B828)</f>
        <v>1.5650499695491358</v>
      </c>
      <c r="C835" s="2817">
        <f t="shared" si="439"/>
        <v>1.5732086424868168</v>
      </c>
      <c r="D835" s="2817">
        <f t="shared" si="439"/>
        <v>1.5808360333592413</v>
      </c>
      <c r="E835" s="2817">
        <f t="shared" si="439"/>
        <v>1.5879004429483128</v>
      </c>
      <c r="F835" s="2817">
        <f t="shared" si="439"/>
        <v>1.5943700726236696</v>
      </c>
      <c r="G835" s="2817">
        <f t="shared" si="439"/>
        <v>1.6002107516555935</v>
      </c>
      <c r="H835" s="2817">
        <f t="shared" si="439"/>
        <v>1.6053858927617468</v>
      </c>
      <c r="I835" s="2817">
        <f t="shared" si="439"/>
        <v>1.6098609054991848</v>
      </c>
      <c r="J835" s="2817">
        <f t="shared" si="439"/>
        <v>1.6135953450289759</v>
      </c>
      <c r="K835" s="2817">
        <f t="shared" si="439"/>
        <v>1.6165506669151148</v>
      </c>
      <c r="N835" s="2647"/>
      <c r="O835" s="2647"/>
    </row>
    <row r="836" spans="1:15">
      <c r="A836" s="356" t="str">
        <f>$A805</f>
        <v>DCR Mortgage B</v>
      </c>
      <c r="B836" s="2817">
        <f t="shared" ref="B836:K836" si="440">IF(B829=0,"",-(B827+B828)/B829)</f>
        <v>8.7636104933779908</v>
      </c>
      <c r="C836" s="2817">
        <f t="shared" si="440"/>
        <v>8.8901469691267661</v>
      </c>
      <c r="D836" s="2817">
        <f t="shared" si="440"/>
        <v>9.0084435557808789</v>
      </c>
      <c r="E836" s="2817">
        <f t="shared" si="440"/>
        <v>9.1180086161129879</v>
      </c>
      <c r="F836" s="2817">
        <f t="shared" si="440"/>
        <v>9.2183489710668454</v>
      </c>
      <c r="G836" s="2817">
        <f t="shared" si="440"/>
        <v>9.3089346516456146</v>
      </c>
      <c r="H836" s="2817">
        <f t="shared" si="440"/>
        <v>9.3891982094664996</v>
      </c>
      <c r="I836" s="2817">
        <f t="shared" si="440"/>
        <v>9.4586031660141572</v>
      </c>
      <c r="J836" s="2817">
        <f t="shared" si="440"/>
        <v>9.5165222443503179</v>
      </c>
      <c r="K836" s="2817">
        <f t="shared" si="440"/>
        <v>9.5623576417282585</v>
      </c>
      <c r="N836" s="2647"/>
      <c r="O836" s="2647"/>
    </row>
    <row r="837" spans="1:15">
      <c r="A837" s="356" t="str">
        <f>$A806</f>
        <v>DCR Mortgage C</v>
      </c>
      <c r="B837" s="2817" t="str">
        <f t="shared" ref="B837:K837" si="441">IF(B830=0,"",-(B827+B828+B829)/B830)</f>
        <v/>
      </c>
      <c r="C837" s="2817" t="str">
        <f t="shared" si="441"/>
        <v/>
      </c>
      <c r="D837" s="2817" t="str">
        <f t="shared" si="441"/>
        <v/>
      </c>
      <c r="E837" s="2817" t="str">
        <f t="shared" si="441"/>
        <v/>
      </c>
      <c r="F837" s="2817" t="str">
        <f t="shared" si="441"/>
        <v/>
      </c>
      <c r="G837" s="2817" t="str">
        <f t="shared" si="441"/>
        <v/>
      </c>
      <c r="H837" s="2817" t="str">
        <f t="shared" si="441"/>
        <v/>
      </c>
      <c r="I837" s="2817" t="str">
        <f t="shared" si="441"/>
        <v/>
      </c>
      <c r="J837" s="2817" t="str">
        <f t="shared" si="441"/>
        <v/>
      </c>
      <c r="K837" s="2817" t="str">
        <f t="shared" si="441"/>
        <v/>
      </c>
      <c r="N837" s="2647"/>
      <c r="O837" s="2647"/>
    </row>
    <row r="838" spans="1:15">
      <c r="A838" s="356" t="str">
        <f>$A807</f>
        <v>DCR Other Source</v>
      </c>
      <c r="B838" s="2817" t="str">
        <f t="shared" ref="B838:K838" si="442">IF(B831=0,"",-(B827+B828+B829+B830)/B831)</f>
        <v/>
      </c>
      <c r="C838" s="2817" t="str">
        <f t="shared" si="442"/>
        <v/>
      </c>
      <c r="D838" s="2817" t="str">
        <f t="shared" si="442"/>
        <v/>
      </c>
      <c r="E838" s="2817" t="str">
        <f t="shared" si="442"/>
        <v/>
      </c>
      <c r="F838" s="2817" t="str">
        <f t="shared" si="442"/>
        <v/>
      </c>
      <c r="G838" s="2817" t="str">
        <f t="shared" si="442"/>
        <v/>
      </c>
      <c r="H838" s="2817" t="str">
        <f t="shared" si="442"/>
        <v/>
      </c>
      <c r="I838" s="2817" t="str">
        <f t="shared" si="442"/>
        <v/>
      </c>
      <c r="J838" s="2817" t="str">
        <f t="shared" si="442"/>
        <v/>
      </c>
      <c r="K838" s="2817" t="str">
        <f t="shared" si="442"/>
        <v/>
      </c>
      <c r="N838" s="2647"/>
      <c r="O838" s="2647"/>
    </row>
    <row r="839" spans="1:15">
      <c r="A839" s="356" t="s">
        <v>3127</v>
      </c>
      <c r="B839" s="2817">
        <f t="shared" ref="B839:K839" si="443">IF(AND(B828=0,B829=0,B830=0,B831=0),"",-B827/(B828+B829+B830+B831))</f>
        <v>1.4702527110197874</v>
      </c>
      <c r="C839" s="2817">
        <f t="shared" si="443"/>
        <v>1.477917201763431</v>
      </c>
      <c r="D839" s="2817">
        <f t="shared" si="443"/>
        <v>1.4850825909371839</v>
      </c>
      <c r="E839" s="2817">
        <f t="shared" si="443"/>
        <v>1.4917190993887821</v>
      </c>
      <c r="F839" s="2817">
        <f t="shared" si="443"/>
        <v>1.4977968545752365</v>
      </c>
      <c r="G839" s="2817">
        <f t="shared" si="443"/>
        <v>1.503283755535566</v>
      </c>
      <c r="H839" s="2817">
        <f t="shared" si="443"/>
        <v>1.508145431130131</v>
      </c>
      <c r="I839" s="2817">
        <f t="shared" si="443"/>
        <v>1.5123493861073396</v>
      </c>
      <c r="J839" s="2817">
        <f t="shared" si="443"/>
        <v>1.5158576254285394</v>
      </c>
      <c r="K839" s="2817">
        <f t="shared" si="443"/>
        <v>1.5186339393479498</v>
      </c>
      <c r="N839" s="2647"/>
      <c r="O839" s="2647"/>
    </row>
    <row r="840" spans="1:15">
      <c r="A840" s="356" t="s">
        <v>717</v>
      </c>
      <c r="B840" s="2818">
        <f>IF(OR(B824="Choose mgt fee",B824="Choose One!"),"",(B817+B818+B819+B820+B821) / -(B823+B824+B825))</f>
        <v>1.6109007271351192</v>
      </c>
      <c r="C840" s="2818">
        <f t="shared" ref="C840:K840" si="444">IF(OR(C824="Choose mgt fee",C824="Choose One!"),"",(C817+C818+C819+C820+C821) / -(C823+C824+C825))</f>
        <v>1.5967594455114797</v>
      </c>
      <c r="D840" s="2818">
        <f t="shared" si="444"/>
        <v>1.5827291431687074</v>
      </c>
      <c r="E840" s="2818">
        <f t="shared" si="444"/>
        <v>1.5688090480338066</v>
      </c>
      <c r="F840" s="2818">
        <f t="shared" si="444"/>
        <v>1.5549990323299518</v>
      </c>
      <c r="G840" s="2818">
        <f t="shared" si="444"/>
        <v>1.5412983337729749</v>
      </c>
      <c r="H840" s="2818">
        <f t="shared" si="444"/>
        <v>1.5277056658828796</v>
      </c>
      <c r="I840" s="2818">
        <f t="shared" si="444"/>
        <v>1.5142214733104464</v>
      </c>
      <c r="J840" s="2818">
        <f t="shared" si="444"/>
        <v>1.5008439866539323</v>
      </c>
      <c r="K840" s="2818">
        <f t="shared" si="444"/>
        <v>1.4875731176981988</v>
      </c>
      <c r="N840" s="2647"/>
      <c r="O840" s="2647"/>
    </row>
    <row r="841" spans="1:15">
      <c r="A841" s="356" t="s">
        <v>2398</v>
      </c>
      <c r="B841" s="2816">
        <f>'Part VI-Pro Forma'!B103</f>
        <v>10115905.135925677</v>
      </c>
      <c r="C841" s="2816">
        <f>'Part VI-Pro Forma'!C103</f>
        <v>9822881.588636348</v>
      </c>
      <c r="D841" s="2816">
        <f>'Part VI-Pro Forma'!D103</f>
        <v>9511630.1804007664</v>
      </c>
      <c r="E841" s="2816">
        <f>'Part VI-Pro Forma'!E103</f>
        <v>9181017.0265269</v>
      </c>
      <c r="F841" s="2816">
        <f>'Part VI-Pro Forma'!F103</f>
        <v>8829837.7077438887</v>
      </c>
      <c r="G841" s="2816">
        <f>'Part VI-Pro Forma'!G103</f>
        <v>8456812.8825188428</v>
      </c>
      <c r="H841" s="2816">
        <f>'Part VI-Pro Forma'!H103</f>
        <v>8060583.6264328584</v>
      </c>
      <c r="I841" s="2816">
        <f>'Part VI-Pro Forma'!I103</f>
        <v>7639706.4816376381</v>
      </c>
      <c r="J841" s="2816">
        <f>'Part VI-Pro Forma'!J103</f>
        <v>7192648.1983579788</v>
      </c>
      <c r="K841" s="2816">
        <f>'Part VI-Pro Forma'!K103</f>
        <v>6717780.1492834706</v>
      </c>
      <c r="N841" s="2647"/>
      <c r="O841" s="2647"/>
    </row>
    <row r="842" spans="1:15">
      <c r="A842" s="356" t="s">
        <v>2399</v>
      </c>
      <c r="B842" s="2816">
        <f>'Part VI-Pro Forma'!B104</f>
        <v>594673.7605782157</v>
      </c>
      <c r="C842" s="2816">
        <f>'Part VI-Pro Forma'!C104</f>
        <v>563779.42772937368</v>
      </c>
      <c r="D842" s="2816">
        <f>'Part VI-Pro Forma'!D104</f>
        <v>531420.7157659817</v>
      </c>
      <c r="E842" s="2816">
        <f>'Part VI-Pro Forma'!E104</f>
        <v>497528.21369924711</v>
      </c>
      <c r="F842" s="2816">
        <f>'Part VI-Pro Forma'!F104</f>
        <v>462029.22048705874</v>
      </c>
      <c r="G842" s="2816">
        <f>'Part VI-Pro Forma'!G104</f>
        <v>424847.58908676571</v>
      </c>
      <c r="H842" s="2816">
        <f>'Part VI-Pro Forma'!H104</f>
        <v>385903.56311611953</v>
      </c>
      <c r="I842" s="2816">
        <f>'Part VI-Pro Forma'!I104</f>
        <v>345113.60577200976</v>
      </c>
      <c r="J842" s="2816">
        <f>'Part VI-Pro Forma'!J104</f>
        <v>302390.22064001573</v>
      </c>
      <c r="K842" s="2816">
        <f>'Part VI-Pro Forma'!K104</f>
        <v>257641.76401040208</v>
      </c>
      <c r="N842" s="2647"/>
      <c r="O842" s="2647"/>
    </row>
    <row r="843" spans="1:15">
      <c r="A843" s="356" t="s">
        <v>2400</v>
      </c>
      <c r="B843" s="2816" t="str">
        <f>'Part VI-Pro Forma'!B105</f>
        <v/>
      </c>
      <c r="C843" s="2816" t="str">
        <f>'Part VI-Pro Forma'!C105</f>
        <v/>
      </c>
      <c r="D843" s="2816" t="str">
        <f>'Part VI-Pro Forma'!D105</f>
        <v/>
      </c>
      <c r="E843" s="2816" t="str">
        <f>'Part VI-Pro Forma'!E105</f>
        <v/>
      </c>
      <c r="F843" s="2816" t="str">
        <f>'Part VI-Pro Forma'!F105</f>
        <v/>
      </c>
      <c r="G843" s="2816" t="str">
        <f>'Part VI-Pro Forma'!G105</f>
        <v/>
      </c>
      <c r="H843" s="2816" t="str">
        <f>'Part VI-Pro Forma'!H105</f>
        <v/>
      </c>
      <c r="I843" s="2816" t="str">
        <f>'Part VI-Pro Forma'!I105</f>
        <v/>
      </c>
      <c r="J843" s="2816" t="str">
        <f>'Part VI-Pro Forma'!J105</f>
        <v/>
      </c>
      <c r="K843" s="2816" t="str">
        <f>'Part VI-Pro Forma'!K105</f>
        <v/>
      </c>
      <c r="N843" s="2647"/>
      <c r="O843" s="2647"/>
    </row>
    <row r="844" spans="1:15">
      <c r="A844" s="356" t="s">
        <v>729</v>
      </c>
      <c r="B844" s="2816" t="str">
        <f>'Part VI-Pro Forma'!B106</f>
        <v/>
      </c>
      <c r="C844" s="2816" t="str">
        <f>'Part VI-Pro Forma'!C106</f>
        <v/>
      </c>
      <c r="D844" s="2816" t="str">
        <f>'Part VI-Pro Forma'!D106</f>
        <v/>
      </c>
      <c r="E844" s="2816" t="str">
        <f>'Part VI-Pro Forma'!E106</f>
        <v/>
      </c>
      <c r="F844" s="2816" t="str">
        <f>'Part VI-Pro Forma'!F106</f>
        <v/>
      </c>
      <c r="G844" s="2816" t="str">
        <f>'Part VI-Pro Forma'!G106</f>
        <v/>
      </c>
      <c r="H844" s="2816" t="str">
        <f>'Part VI-Pro Forma'!H106</f>
        <v/>
      </c>
      <c r="I844" s="2816" t="str">
        <f>'Part VI-Pro Forma'!I106</f>
        <v/>
      </c>
      <c r="J844" s="2816" t="str">
        <f>'Part VI-Pro Forma'!J106</f>
        <v/>
      </c>
      <c r="K844" s="2816" t="str">
        <f>'Part VI-Pro Forma'!K106</f>
        <v/>
      </c>
      <c r="N844" s="2647"/>
      <c r="O844" s="2647"/>
    </row>
    <row r="845" spans="1:15">
      <c r="B845" s="2816"/>
      <c r="C845" s="2816"/>
      <c r="D845" s="2816"/>
      <c r="E845" s="2816"/>
      <c r="F845" s="2816"/>
      <c r="G845" s="2816"/>
      <c r="H845" s="2816"/>
      <c r="I845" s="2816"/>
      <c r="J845" s="2816"/>
      <c r="K845" s="2816"/>
    </row>
    <row r="846" spans="1:15">
      <c r="A846" s="360" t="s">
        <v>2277</v>
      </c>
      <c r="B846" s="2819">
        <f>K816+1</f>
        <v>31</v>
      </c>
      <c r="C846" s="2819">
        <f>B846+1</f>
        <v>32</v>
      </c>
      <c r="D846" s="2819">
        <f>C846+1</f>
        <v>33</v>
      </c>
      <c r="E846" s="2819">
        <f>D846+1</f>
        <v>34</v>
      </c>
      <c r="F846" s="2819">
        <f>E846+1</f>
        <v>35</v>
      </c>
      <c r="G846" s="2816"/>
      <c r="H846" s="2816"/>
      <c r="I846" s="2816"/>
      <c r="J846" s="2816"/>
      <c r="K846" s="2816"/>
      <c r="N846" s="360" t="s">
        <v>3119</v>
      </c>
      <c r="O846" s="360"/>
    </row>
    <row r="847" spans="1:15">
      <c r="A847" s="356" t="s">
        <v>2208</v>
      </c>
      <c r="B847" s="2816">
        <f>'Part VI-Pro Forma'!B109</f>
        <v>4757041.2648502458</v>
      </c>
      <c r="C847" s="2816">
        <f>'Part VI-Pro Forma'!C109</f>
        <v>4852182.0901472494</v>
      </c>
      <c r="D847" s="2816">
        <f>'Part VI-Pro Forma'!D109</f>
        <v>4949225.7319501955</v>
      </c>
      <c r="E847" s="2816">
        <f>'Part VI-Pro Forma'!E109</f>
        <v>5048210.2465891996</v>
      </c>
      <c r="F847" s="2816">
        <f>'Part VI-Pro Forma'!F109</f>
        <v>5149174.4515209831</v>
      </c>
      <c r="G847" s="2816"/>
      <c r="H847" s="2816"/>
      <c r="I847" s="2816"/>
      <c r="J847" s="2816"/>
      <c r="K847" s="2816"/>
      <c r="N847" s="2647"/>
      <c r="O847" s="2647"/>
    </row>
    <row r="848" spans="1:15">
      <c r="A848" s="356" t="s">
        <v>951</v>
      </c>
      <c r="B848" s="2816">
        <f>'Part VI-Pro Forma'!B110</f>
        <v>95140.825297004907</v>
      </c>
      <c r="C848" s="2816">
        <f>'Part VI-Pro Forma'!C110</f>
        <v>97043.641802944985</v>
      </c>
      <c r="D848" s="2816">
        <f>'Part VI-Pro Forma'!D110</f>
        <v>98984.514639003915</v>
      </c>
      <c r="E848" s="2816">
        <f>'Part VI-Pro Forma'!E110</f>
        <v>100964.204931784</v>
      </c>
      <c r="F848" s="2816">
        <f>'Part VI-Pro Forma'!F110</f>
        <v>102983.48903041966</v>
      </c>
      <c r="G848" s="2816"/>
      <c r="H848" s="2816"/>
      <c r="I848" s="2816"/>
      <c r="J848" s="2816"/>
      <c r="K848" s="2816"/>
      <c r="N848" s="2647"/>
      <c r="O848" s="2647"/>
    </row>
    <row r="849" spans="1:19">
      <c r="A849" s="356" t="s">
        <v>2209</v>
      </c>
      <c r="B849" s="2816">
        <f>'Part VI-Pro Forma'!B111</f>
        <v>-339652.74631030753</v>
      </c>
      <c r="C849" s="2816">
        <f>'Part VI-Pro Forma'!C111</f>
        <v>-346445.80123651365</v>
      </c>
      <c r="D849" s="2816">
        <f>'Part VI-Pro Forma'!D111</f>
        <v>-353374.71726124402</v>
      </c>
      <c r="E849" s="2816">
        <f>'Part VI-Pro Forma'!E111</f>
        <v>-360442.21160646895</v>
      </c>
      <c r="F849" s="2816">
        <f>'Part VI-Pro Forma'!F111</f>
        <v>-367651.05583859823</v>
      </c>
      <c r="G849" s="2816"/>
      <c r="H849" s="2816"/>
      <c r="I849" s="2816"/>
      <c r="J849" s="2816"/>
      <c r="K849" s="2816"/>
      <c r="N849" s="2647"/>
      <c r="O849" s="2647"/>
    </row>
    <row r="850" spans="1:19">
      <c r="A850" s="356" t="s">
        <v>47</v>
      </c>
      <c r="B850" s="2816">
        <f>'Part VI-Pro Forma'!B112</f>
        <v>0</v>
      </c>
      <c r="C850" s="2816">
        <f>'Part VI-Pro Forma'!C112</f>
        <v>0</v>
      </c>
      <c r="D850" s="2816">
        <f>'Part VI-Pro Forma'!D112</f>
        <v>0</v>
      </c>
      <c r="E850" s="2816">
        <f>'Part VI-Pro Forma'!E112</f>
        <v>0</v>
      </c>
      <c r="F850" s="2816">
        <f>'Part VI-Pro Forma'!F112</f>
        <v>0</v>
      </c>
      <c r="G850" s="2816"/>
      <c r="H850" s="2816"/>
      <c r="I850" s="2816"/>
      <c r="J850" s="2816"/>
      <c r="K850" s="2816"/>
      <c r="N850" s="2647"/>
      <c r="O850" s="2647"/>
    </row>
    <row r="851" spans="1:19">
      <c r="A851" s="356" t="s">
        <v>48</v>
      </c>
      <c r="B851" s="2816">
        <f>'Part VI-Pro Forma'!B113</f>
        <v>0</v>
      </c>
      <c r="C851" s="2816">
        <f>'Part VI-Pro Forma'!C113</f>
        <v>0</v>
      </c>
      <c r="D851" s="2816">
        <f>'Part VI-Pro Forma'!D113</f>
        <v>0</v>
      </c>
      <c r="E851" s="2816">
        <f>'Part VI-Pro Forma'!E113</f>
        <v>0</v>
      </c>
      <c r="F851" s="2816">
        <f>'Part VI-Pro Forma'!F113</f>
        <v>0</v>
      </c>
      <c r="G851" s="2816"/>
      <c r="H851" s="2816"/>
      <c r="I851" s="2816"/>
      <c r="J851" s="2816"/>
      <c r="K851" s="2816"/>
      <c r="N851" s="2647"/>
      <c r="O851" s="2647"/>
    </row>
    <row r="852" spans="1:19">
      <c r="A852" s="356" t="s">
        <v>3712</v>
      </c>
      <c r="B852" s="2816">
        <f>'Part VI-Pro Forma'!B114</f>
        <v>4512529.3438369427</v>
      </c>
      <c r="C852" s="2816">
        <f>'Part VI-Pro Forma'!C114</f>
        <v>4602779.9307136806</v>
      </c>
      <c r="D852" s="2816">
        <f>'Part VI-Pro Forma'!D114</f>
        <v>4694835.529327956</v>
      </c>
      <c r="E852" s="2816">
        <f>'Part VI-Pro Forma'!E114</f>
        <v>4788732.2399145151</v>
      </c>
      <c r="F852" s="2816">
        <f>'Part VI-Pro Forma'!F114</f>
        <v>4884506.884712805</v>
      </c>
      <c r="G852" s="2816"/>
      <c r="H852" s="2816"/>
      <c r="I852" s="2816"/>
      <c r="J852" s="2816"/>
      <c r="K852" s="2816"/>
      <c r="N852" s="2647"/>
      <c r="O852" s="2647"/>
    </row>
    <row r="853" spans="1:19">
      <c r="A853" s="356" t="s">
        <v>571</v>
      </c>
      <c r="B853" s="2816">
        <f>'Part VI-Pro Forma'!B115</f>
        <v>-2634473.013830178</v>
      </c>
      <c r="C853" s="2816">
        <f>'Part VI-Pro Forma'!C115</f>
        <v>-2713507.2042450835</v>
      </c>
      <c r="D853" s="2816">
        <f>'Part VI-Pro Forma'!D115</f>
        <v>-2794912.4203724358</v>
      </c>
      <c r="E853" s="2816">
        <f>'Part VI-Pro Forma'!E115</f>
        <v>-2878759.7929836088</v>
      </c>
      <c r="F853" s="2816">
        <f>'Part VI-Pro Forma'!F115</f>
        <v>-2965122.5867731166</v>
      </c>
      <c r="G853" s="2816"/>
      <c r="H853" s="2816"/>
      <c r="I853" s="2816"/>
      <c r="J853" s="2816"/>
      <c r="K853" s="2816"/>
      <c r="N853" s="2647"/>
      <c r="O853" s="2647"/>
    </row>
    <row r="854" spans="1:19">
      <c r="A854" s="356" t="s">
        <v>1049</v>
      </c>
      <c r="B854" s="2816">
        <f>'Part VI-Pro Forma'!B116</f>
        <v>-270752</v>
      </c>
      <c r="C854" s="2816">
        <f>'Part VI-Pro Forma'!C116</f>
        <v>-276167</v>
      </c>
      <c r="D854" s="2816">
        <f>'Part VI-Pro Forma'!D116</f>
        <v>-281690</v>
      </c>
      <c r="E854" s="2816">
        <f>'Part VI-Pro Forma'!E116</f>
        <v>-287324</v>
      </c>
      <c r="F854" s="2816">
        <f>'Part VI-Pro Forma'!F116</f>
        <v>-293070</v>
      </c>
      <c r="G854" s="2816"/>
      <c r="H854" s="2816"/>
      <c r="I854" s="2816"/>
      <c r="J854" s="2816"/>
      <c r="K854" s="2816"/>
      <c r="N854" s="2647"/>
      <c r="O854" s="2647"/>
    </row>
    <row r="855" spans="1:19">
      <c r="A855" s="356" t="s">
        <v>1127</v>
      </c>
      <c r="B855" s="2816">
        <f>'Part VI-Pro Forma'!B117</f>
        <v>-155344.79815613819</v>
      </c>
      <c r="C855" s="2816">
        <f>'Part VI-Pro Forma'!C117</f>
        <v>-160005.14210082236</v>
      </c>
      <c r="D855" s="2816">
        <f>'Part VI-Pro Forma'!D117</f>
        <v>-164805.29636384698</v>
      </c>
      <c r="E855" s="2816">
        <f>'Part VI-Pro Forma'!E117</f>
        <v>-169749.4552547624</v>
      </c>
      <c r="F855" s="2816">
        <f>'Part VI-Pro Forma'!F117</f>
        <v>-174841.93891240525</v>
      </c>
      <c r="G855" s="2816"/>
      <c r="H855" s="2816"/>
      <c r="I855" s="2816"/>
      <c r="J855" s="2816"/>
      <c r="K855" s="2816"/>
      <c r="N855" s="2647"/>
      <c r="O855" s="2647"/>
      <c r="Q855" s="1640">
        <v>10</v>
      </c>
      <c r="R855" s="1785">
        <f>-SUM(B861:K861)</f>
        <v>0</v>
      </c>
      <c r="S855" s="1785">
        <f>SUM(B862:K862)+R855</f>
        <v>0</v>
      </c>
    </row>
    <row r="856" spans="1:19">
      <c r="A856" s="356" t="s">
        <v>3711</v>
      </c>
      <c r="B856" s="2816">
        <f>'Part VI-Pro Forma'!B118</f>
        <v>0</v>
      </c>
      <c r="C856" s="2816">
        <f>'Part VI-Pro Forma'!C118</f>
        <v>0</v>
      </c>
      <c r="D856" s="2816">
        <f>'Part VI-Pro Forma'!D118</f>
        <v>0</v>
      </c>
      <c r="E856" s="2816">
        <f>'Part VI-Pro Forma'!E118</f>
        <v>0</v>
      </c>
      <c r="F856" s="2816">
        <f>'Part VI-Pro Forma'!F118</f>
        <v>0</v>
      </c>
      <c r="G856" s="2816"/>
      <c r="H856" s="2816"/>
      <c r="I856" s="2816"/>
      <c r="J856" s="2816"/>
      <c r="K856" s="2816"/>
      <c r="N856" s="2647"/>
      <c r="O856" s="2647"/>
    </row>
    <row r="857" spans="1:19">
      <c r="A857" s="356" t="s">
        <v>1128</v>
      </c>
      <c r="B857" s="2816">
        <f>SUM(B852:B856)</f>
        <v>1451959.5318506265</v>
      </c>
      <c r="C857" s="2816">
        <f t="shared" ref="C857:F857" si="445">SUM(C852:C856)</f>
        <v>1453100.5843677747</v>
      </c>
      <c r="D857" s="2816">
        <f t="shared" si="445"/>
        <v>1453427.8125916733</v>
      </c>
      <c r="E857" s="2816">
        <f t="shared" si="445"/>
        <v>1452898.9916761438</v>
      </c>
      <c r="F857" s="2816">
        <f t="shared" si="445"/>
        <v>1451472.3590272833</v>
      </c>
      <c r="G857" s="2816"/>
      <c r="H857" s="2816"/>
      <c r="I857" s="2816"/>
      <c r="J857" s="2816"/>
      <c r="K857" s="2816"/>
      <c r="N857" s="2647"/>
      <c r="O857" s="2647"/>
    </row>
    <row r="858" spans="1:19">
      <c r="A858" s="356" t="str">
        <f>$A828</f>
        <v>Mortgage A</v>
      </c>
      <c r="B858" s="2816">
        <f>'Part VI-Pro Forma'!B120</f>
        <v>-896999.03843217005</v>
      </c>
      <c r="C858" s="2816">
        <f>'Part VI-Pro Forma'!C120</f>
        <v>-896999.03843217005</v>
      </c>
      <c r="D858" s="2816">
        <f>'Part VI-Pro Forma'!D120</f>
        <v>-896999.03843217005</v>
      </c>
      <c r="E858" s="2816">
        <f>'Part VI-Pro Forma'!E120</f>
        <v>-896999.03843217005</v>
      </c>
      <c r="F858" s="2816">
        <f>'Part VI-Pro Forma'!F120</f>
        <v>-896999.03843217005</v>
      </c>
      <c r="G858" s="2816"/>
      <c r="H858" s="2816"/>
      <c r="I858" s="2816"/>
      <c r="J858" s="2816"/>
      <c r="K858" s="2816"/>
      <c r="N858" s="2647"/>
      <c r="O858" s="2647"/>
    </row>
    <row r="859" spans="1:19">
      <c r="A859" s="356" t="str">
        <f>$A829</f>
        <v>Mortgage B</v>
      </c>
      <c r="B859" s="2816">
        <f>'Part VI-Pro Forma'!B121</f>
        <v>-57835.669412132156</v>
      </c>
      <c r="C859" s="2816">
        <f>'Part VI-Pro Forma'!C121</f>
        <v>-57835.669412132156</v>
      </c>
      <c r="D859" s="2816">
        <f>'Part VI-Pro Forma'!D121</f>
        <v>-57835.669412132156</v>
      </c>
      <c r="E859" s="2816">
        <f>'Part VI-Pro Forma'!E121</f>
        <v>-57835.669412132156</v>
      </c>
      <c r="F859" s="2816">
        <f>'Part VI-Pro Forma'!F121</f>
        <v>-57835.669412132156</v>
      </c>
      <c r="G859" s="2816"/>
      <c r="H859" s="2816"/>
      <c r="I859" s="2816"/>
      <c r="J859" s="2816"/>
      <c r="K859" s="2816"/>
      <c r="N859" s="2647"/>
      <c r="O859" s="2647"/>
    </row>
    <row r="860" spans="1:19">
      <c r="A860" s="356" t="str">
        <f>$A830</f>
        <v>Mortgage C</v>
      </c>
      <c r="B860" s="2816">
        <f>'Part VI-Pro Forma'!B122</f>
        <v>0</v>
      </c>
      <c r="C860" s="2816">
        <f>'Part VI-Pro Forma'!C122</f>
        <v>0</v>
      </c>
      <c r="D860" s="2816">
        <f>'Part VI-Pro Forma'!D122</f>
        <v>0</v>
      </c>
      <c r="E860" s="2816">
        <f>'Part VI-Pro Forma'!E122</f>
        <v>0</v>
      </c>
      <c r="F860" s="2816">
        <f>'Part VI-Pro Forma'!F122</f>
        <v>0</v>
      </c>
      <c r="G860" s="2816"/>
      <c r="H860" s="2816"/>
      <c r="I860" s="2816"/>
      <c r="J860" s="2816"/>
      <c r="K860" s="2816"/>
      <c r="N860" s="2647"/>
      <c r="O860" s="2647"/>
    </row>
    <row r="861" spans="1:19">
      <c r="A861" s="356" t="str">
        <f>$A831</f>
        <v>D/S Other Source,not DDF</v>
      </c>
      <c r="B861" s="2816">
        <f>'Part VI-Pro Forma'!B123</f>
        <v>0</v>
      </c>
      <c r="C861" s="2816">
        <f>'Part VI-Pro Forma'!C123</f>
        <v>0</v>
      </c>
      <c r="D861" s="2816">
        <f>'Part VI-Pro Forma'!D123</f>
        <v>0</v>
      </c>
      <c r="E861" s="2816">
        <f>'Part VI-Pro Forma'!E123</f>
        <v>0</v>
      </c>
      <c r="F861" s="2816">
        <f>'Part VI-Pro Forma'!F123</f>
        <v>0</v>
      </c>
      <c r="G861" s="2816"/>
      <c r="H861" s="2816"/>
      <c r="I861" s="2816"/>
      <c r="J861" s="2816"/>
      <c r="K861" s="2816"/>
      <c r="N861" s="2647"/>
      <c r="O861" s="2647"/>
    </row>
    <row r="862" spans="1:19">
      <c r="A862" s="356" t="s">
        <v>710</v>
      </c>
      <c r="B862" s="2816">
        <f>'Part VI-Pro Forma'!B124</f>
        <v>0</v>
      </c>
      <c r="C862" s="2816">
        <f>'Part VI-Pro Forma'!C124</f>
        <v>0</v>
      </c>
      <c r="D862" s="2816">
        <f>'Part VI-Pro Forma'!D124</f>
        <v>0</v>
      </c>
      <c r="E862" s="2816">
        <f>'Part VI-Pro Forma'!E124</f>
        <v>0</v>
      </c>
      <c r="F862" s="2816">
        <f>'Part VI-Pro Forma'!F124</f>
        <v>0</v>
      </c>
      <c r="G862" s="2816"/>
      <c r="H862" s="2816"/>
      <c r="I862" s="2816"/>
      <c r="J862" s="2816"/>
      <c r="K862" s="2816"/>
      <c r="N862" s="2647"/>
      <c r="O862" s="2647"/>
    </row>
    <row r="863" spans="1:19">
      <c r="A863" s="356" t="s">
        <v>1094</v>
      </c>
      <c r="B863" s="2816">
        <f>'Part VI-Pro Forma'!B125</f>
        <v>-7500</v>
      </c>
      <c r="C863" s="2816">
        <f>'Part VI-Pro Forma'!C125</f>
        <v>-7500</v>
      </c>
      <c r="D863" s="2816">
        <f>'Part VI-Pro Forma'!D125</f>
        <v>-7500</v>
      </c>
      <c r="E863" s="2816">
        <f>'Part VI-Pro Forma'!E125</f>
        <v>-7500</v>
      </c>
      <c r="F863" s="2816">
        <f>'Part VI-Pro Forma'!F125</f>
        <v>-7500</v>
      </c>
      <c r="G863" s="2816"/>
      <c r="H863" s="2816"/>
      <c r="I863" s="2816"/>
      <c r="J863" s="2816"/>
      <c r="K863" s="2816"/>
      <c r="N863" s="2647"/>
      <c r="O863" s="2647"/>
    </row>
    <row r="864" spans="1:19">
      <c r="A864" s="356" t="s">
        <v>1095</v>
      </c>
      <c r="B864" s="2816">
        <f>'Part VI-Pro Forma'!B126</f>
        <v>489624.82400632423</v>
      </c>
      <c r="C864" s="2816">
        <f>'Part VI-Pro Forma'!C126</f>
        <v>490765.87652347243</v>
      </c>
      <c r="D864" s="2816">
        <f>'Part VI-Pro Forma'!D126</f>
        <v>491093.10474737111</v>
      </c>
      <c r="E864" s="2816">
        <f>'Part VI-Pro Forma'!E126</f>
        <v>490564.2838318416</v>
      </c>
      <c r="F864" s="2816">
        <f>'Part VI-Pro Forma'!F126</f>
        <v>489137.65118298103</v>
      </c>
      <c r="G864" s="2816"/>
      <c r="H864" s="2816"/>
      <c r="I864" s="2816"/>
      <c r="J864" s="2816"/>
      <c r="K864" s="2816"/>
      <c r="N864" s="2647"/>
      <c r="O864" s="2647"/>
    </row>
    <row r="865" spans="1:15">
      <c r="A865" s="356" t="str">
        <f>$A835</f>
        <v>DCR Mortgage A</v>
      </c>
      <c r="B865" s="2817">
        <f>IF(B858=0,"",-B857/B858)</f>
        <v>1.6186857171981481</v>
      </c>
      <c r="C865" s="2817">
        <f>IF(C858=0,"",-C857/C858)</f>
        <v>1.6199577949465731</v>
      </c>
      <c r="D865" s="2817">
        <f>IF(D858=0,"",-D857/D858)</f>
        <v>1.6203225982628293</v>
      </c>
      <c r="E865" s="2817">
        <f>IF(E858=0,"",-E857/E858)</f>
        <v>1.6197330536893437</v>
      </c>
      <c r="F865" s="2817">
        <f>IF(F858=0,"",-F857/F858)</f>
        <v>1.6181426031005068</v>
      </c>
      <c r="G865" s="2816"/>
      <c r="H865" s="2816"/>
      <c r="I865" s="2816"/>
      <c r="J865" s="2816"/>
      <c r="K865" s="2816"/>
      <c r="N865" s="2647"/>
      <c r="O865" s="2647"/>
    </row>
    <row r="866" spans="1:15">
      <c r="A866" s="356" t="str">
        <f>$A836</f>
        <v>DCR Mortgage B</v>
      </c>
      <c r="B866" s="2817">
        <f>IF(B859=0,"",-(B857+B858)/B859)</f>
        <v>9.5954710831451475</v>
      </c>
      <c r="C866" s="2817">
        <f>IF(C859=0,"",-(C857+C858)/C859)</f>
        <v>9.6152003009227993</v>
      </c>
      <c r="D866" s="2817">
        <f>IF(D859=0,"",-(D857+D858)/D859)</f>
        <v>9.6208581972906426</v>
      </c>
      <c r="E866" s="2817">
        <f>IF(E859=0,"",-(E857+E858)/E859)</f>
        <v>9.6117146891250975</v>
      </c>
      <c r="F866" s="2817">
        <f>IF(F859=0,"",-(F857+F858)/F859)</f>
        <v>9.5870476858144862</v>
      </c>
      <c r="G866" s="2816"/>
      <c r="H866" s="2816"/>
      <c r="I866" s="2816"/>
      <c r="J866" s="2816"/>
      <c r="K866" s="2816"/>
      <c r="N866" s="2647"/>
      <c r="O866" s="2647"/>
    </row>
    <row r="867" spans="1:15">
      <c r="A867" s="356" t="str">
        <f>$A837</f>
        <v>DCR Mortgage C</v>
      </c>
      <c r="B867" s="2817" t="str">
        <f>IF(B860=0,"",-(B857+B858+B859)/B860)</f>
        <v/>
      </c>
      <c r="C867" s="2817" t="str">
        <f>IF(C860=0,"",-(C857+C858+C859)/C860)</f>
        <v/>
      </c>
      <c r="D867" s="2817" t="str">
        <f>IF(D860=0,"",-(D857+D858+D859)/D860)</f>
        <v/>
      </c>
      <c r="E867" s="2817" t="str">
        <f>IF(E860=0,"",-(E857+E858+E859)/E860)</f>
        <v/>
      </c>
      <c r="F867" s="2817" t="str">
        <f>IF(F860=0,"",-(F857+F858+F859)/F860)</f>
        <v/>
      </c>
      <c r="G867" s="2816"/>
      <c r="H867" s="2816"/>
      <c r="I867" s="2816"/>
      <c r="J867" s="2816"/>
      <c r="K867" s="2816"/>
      <c r="N867" s="2647"/>
      <c r="O867" s="2647"/>
    </row>
    <row r="868" spans="1:15">
      <c r="A868" s="356" t="str">
        <f>$A838</f>
        <v>DCR Other Source</v>
      </c>
      <c r="B868" s="2817" t="str">
        <f>IF(B861=0,"",-(B857+B858+B859+B860)/B861)</f>
        <v/>
      </c>
      <c r="C868" s="2817" t="str">
        <f>IF(C861=0,"",-(C857+C858+C859+C860)/C861)</f>
        <v/>
      </c>
      <c r="D868" s="2817" t="str">
        <f>IF(D861=0,"",-(D857+D858+D859+D860)/D861)</f>
        <v/>
      </c>
      <c r="E868" s="2817" t="str">
        <f>IF(E861=0,"",-(E857+E858+E859+E860)/E861)</f>
        <v/>
      </c>
      <c r="F868" s="2817" t="str">
        <f>IF(F861=0,"",-(F857+F858+F859+F860)/F861)</f>
        <v/>
      </c>
      <c r="G868" s="2816"/>
      <c r="H868" s="2816"/>
      <c r="I868" s="2816"/>
      <c r="J868" s="2816"/>
      <c r="K868" s="2816"/>
      <c r="N868" s="2647"/>
      <c r="O868" s="2647"/>
    </row>
    <row r="869" spans="1:15">
      <c r="A869" s="356" t="s">
        <v>3127</v>
      </c>
      <c r="B869" s="2817">
        <f>IF(AND(B858=0,B859=0,B860=0,B861=0),"",-B857/(B858+B859+B860+B861))</f>
        <v>1.5206396666588149</v>
      </c>
      <c r="C869" s="2817">
        <f>IF(AND(C858=0,C859=0,C860=0,C861=0),"",-C857/(C858+C859+C860+C861))</f>
        <v>1.5218346928845836</v>
      </c>
      <c r="D869" s="2817">
        <f>IF(AND(D858=0,D859=0,D860=0,D861=0),"",-D857/(D858+D859+D860+D861))</f>
        <v>1.5221773995553931</v>
      </c>
      <c r="E869" s="2817">
        <f>IF(AND(E858=0,E859=0,E860=0,E861=0),"",-E857/(E858+E859+E860+E861))</f>
        <v>1.5216235645186218</v>
      </c>
      <c r="F869" s="2817">
        <f>IF(AND(F858=0,F859=0,F860=0,F861=0),"",-F857/(F858+F859+F860+F861))</f>
        <v>1.5201294497392361</v>
      </c>
      <c r="G869" s="2816"/>
      <c r="H869" s="2816"/>
      <c r="I869" s="2816"/>
      <c r="J869" s="2816"/>
      <c r="K869" s="2816"/>
      <c r="N869" s="2647"/>
      <c r="O869" s="2647"/>
    </row>
    <row r="870" spans="1:15">
      <c r="A870" s="356" t="s">
        <v>717</v>
      </c>
      <c r="B870" s="2818">
        <f>IF(OR(B854="Choose mgt fee",B854="Choose One!"),"",(B847+B848+B849+B850+B851) / -(B853+B854+B855))</f>
        <v>1.4744082380229393</v>
      </c>
      <c r="C870" s="2818">
        <f>IF(OR(C854="Choose mgt fee",C854="Choose One!"),"",(C847+C848+C849+C850+C851) / -(C853+C854+C855))</f>
        <v>1.4613487357224433</v>
      </c>
      <c r="D870" s="2818">
        <f>IF(OR(D854="Choose mgt fee",D854="Choose One!"),"",(D847+D848+D849+D850+D851) / -(D853+D854+D855))</f>
        <v>1.4483940126036057</v>
      </c>
      <c r="E870" s="2818">
        <f>IF(OR(E854="Choose mgt fee",E854="Choose One!"),"",(E847+E848+E849+E850+E851) / -(E853+E854+E855))</f>
        <v>1.4355430513330991</v>
      </c>
      <c r="F870" s="2818">
        <f>IF(OR(F854="Choose mgt fee",F854="Choose One!"),"",(F847+F848+F849+F850+F851) / -(F853+F854+F855))</f>
        <v>1.4227957360077663</v>
      </c>
      <c r="G870" s="2816"/>
      <c r="H870" s="2816"/>
      <c r="I870" s="2816"/>
      <c r="J870" s="2816"/>
      <c r="K870" s="2816"/>
      <c r="N870" s="2647"/>
      <c r="O870" s="2647"/>
    </row>
    <row r="871" spans="1:15">
      <c r="A871" s="356" t="s">
        <v>2398</v>
      </c>
      <c r="B871" s="2816">
        <f>'Part VI-Pro Forma'!B133</f>
        <v>6213372.3965011165</v>
      </c>
      <c r="C871" s="2816">
        <f>'Part VI-Pro Forma'!C133</f>
        <v>5677587.3893547971</v>
      </c>
      <c r="D871" s="2816">
        <f>'Part VI-Pro Forma'!D133</f>
        <v>5108473.2702729534</v>
      </c>
      <c r="E871" s="2816">
        <f>'Part VI-Pro Forma'!E133</f>
        <v>4503956.764177721</v>
      </c>
      <c r="F871" s="2816">
        <f>'Part VI-Pro Forma'!F133</f>
        <v>3861835.6255717142</v>
      </c>
      <c r="G871" s="2816"/>
      <c r="H871" s="2816"/>
      <c r="I871" s="2816"/>
      <c r="J871" s="2816"/>
      <c r="K871" s="2816"/>
      <c r="N871" s="2647"/>
      <c r="O871" s="2647"/>
    </row>
    <row r="872" spans="1:15">
      <c r="A872" s="356" t="s">
        <v>2399</v>
      </c>
      <c r="B872" s="2816">
        <f>'Part VI-Pro Forma'!B134</f>
        <v>210772.24829796684</v>
      </c>
      <c r="C872" s="2816">
        <f>'Part VI-Pro Forma'!C134</f>
        <v>161681.13614406865</v>
      </c>
      <c r="D872" s="2816">
        <f>'Part VI-Pro Forma'!D134</f>
        <v>110263.12475917151</v>
      </c>
      <c r="E872" s="2816">
        <f>'Part VI-Pro Forma'!E134</f>
        <v>56407.920043311868</v>
      </c>
      <c r="F872" s="2816">
        <f>'Part VI-Pro Forma'!F134</f>
        <v>-3.4473487176001072E-8</v>
      </c>
      <c r="G872" s="2816"/>
      <c r="H872" s="2816"/>
      <c r="I872" s="2816"/>
      <c r="J872" s="2816"/>
      <c r="K872" s="2816"/>
      <c r="N872" s="2647"/>
      <c r="O872" s="2647"/>
    </row>
    <row r="873" spans="1:15">
      <c r="A873" s="356" t="s">
        <v>2400</v>
      </c>
      <c r="B873" s="2816" t="str">
        <f>'Part VI-Pro Forma'!B135</f>
        <v/>
      </c>
      <c r="C873" s="2816" t="str">
        <f>'Part VI-Pro Forma'!C135</f>
        <v/>
      </c>
      <c r="D873" s="2816" t="str">
        <f>'Part VI-Pro Forma'!D135</f>
        <v/>
      </c>
      <c r="E873" s="2816" t="str">
        <f>'Part VI-Pro Forma'!E135</f>
        <v/>
      </c>
      <c r="F873" s="2816" t="str">
        <f>'Part VI-Pro Forma'!F135</f>
        <v/>
      </c>
      <c r="G873" s="2816"/>
      <c r="H873" s="2816"/>
      <c r="I873" s="2816"/>
      <c r="J873" s="2816"/>
      <c r="K873" s="2816"/>
      <c r="N873" s="2647"/>
      <c r="O873" s="2647"/>
    </row>
    <row r="874" spans="1:15">
      <c r="A874" s="356" t="s">
        <v>729</v>
      </c>
      <c r="B874" s="2816" t="str">
        <f>'Part VI-Pro Forma'!B136</f>
        <v/>
      </c>
      <c r="C874" s="2816" t="str">
        <f>'Part VI-Pro Forma'!C136</f>
        <v/>
      </c>
      <c r="D874" s="2816" t="str">
        <f>'Part VI-Pro Forma'!D136</f>
        <v/>
      </c>
      <c r="E874" s="2816" t="str">
        <f>'Part VI-Pro Forma'!E136</f>
        <v/>
      </c>
      <c r="F874" s="2816" t="str">
        <f>'Part VI-Pro Forma'!F136</f>
        <v/>
      </c>
      <c r="G874" s="2816"/>
      <c r="H874" s="2816"/>
      <c r="I874" s="2816"/>
      <c r="J874" s="2816"/>
      <c r="K874" s="2816"/>
      <c r="N874" s="2647"/>
      <c r="O874" s="2647"/>
    </row>
    <row r="876" spans="1:15">
      <c r="A876" s="360" t="s">
        <v>528</v>
      </c>
      <c r="B876" s="360"/>
      <c r="G876" s="360" t="s">
        <v>966</v>
      </c>
    </row>
    <row r="877" spans="1:15">
      <c r="B877" s="360"/>
    </row>
    <row r="878" spans="1:15" ht="15.75" customHeight="1">
      <c r="A878" s="2568" t="str">
        <f>'Part VI-Pro Forma'!A140</f>
        <v>The debt service coverage ratio meets DCA's requirement of not going below 1.25 during the 15 year compliance period for tax credit only properties.
The payment on the Favorable Financing "Mortgage B" reflects the must-pay debt service payment per the Mercy Loan Committment saved in 05FavorFinan folder.</v>
      </c>
      <c r="B878" s="2568"/>
      <c r="C878" s="2568"/>
      <c r="D878" s="2568"/>
      <c r="E878" s="2568"/>
      <c r="F878" s="2568"/>
      <c r="G878" s="2568"/>
      <c r="H878" s="2568"/>
      <c r="I878" s="2568"/>
      <c r="J878" s="2568"/>
      <c r="K878" s="2568"/>
      <c r="N878" s="2684" t="s">
        <v>2444</v>
      </c>
      <c r="O878" s="2684"/>
    </row>
    <row r="883" spans="1:17">
      <c r="A883" s="2820" t="str">
        <f>CONCATENATE("PART SEVEN - THRESHOLD CRITERIA","  -  ",'Part I-Project Identification'!$O$7," ",'Part I-Project Identification'!$F$26,", ",'Part I-Project Identification'!F905,", ",'Part I-Project Identification'!J905," County")</f>
        <v>PART SEVEN - THRESHOLD CRITERIA  -  2025-0 Retreat at Madison Place, ,  County</v>
      </c>
      <c r="B883" s="2820"/>
      <c r="C883" s="2820"/>
      <c r="D883" s="2820"/>
      <c r="E883" s="2820"/>
      <c r="F883" s="2820"/>
      <c r="G883" s="2820"/>
      <c r="H883" s="2820"/>
      <c r="I883" s="2820"/>
      <c r="J883" s="2820"/>
      <c r="K883" s="2820"/>
      <c r="L883" s="2820"/>
      <c r="M883" s="2820"/>
      <c r="N883" s="2820"/>
      <c r="O883" s="2820"/>
      <c r="P883" s="2820"/>
      <c r="Q883" s="2820"/>
    </row>
    <row r="884" spans="1:17">
      <c r="A884" s="2821"/>
      <c r="B884" s="2821"/>
      <c r="C884" s="2821"/>
      <c r="D884" s="2821"/>
      <c r="E884" s="2821"/>
      <c r="F884" s="2821"/>
      <c r="G884" s="2821"/>
      <c r="H884" s="2821"/>
      <c r="I884" s="2821"/>
      <c r="J884" s="2821"/>
      <c r="K884" s="2821"/>
      <c r="L884" s="2821"/>
      <c r="M884" s="2821"/>
      <c r="N884" s="2821"/>
      <c r="O884" s="2821"/>
      <c r="P884" s="2821"/>
      <c r="Q884" s="2821"/>
    </row>
    <row r="885" spans="1:17" ht="12.75" customHeight="1">
      <c r="A885" s="2822"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822"/>
      <c r="C885" s="2822"/>
      <c r="D885" s="2822"/>
      <c r="E885" s="2822"/>
      <c r="F885" s="2822"/>
      <c r="G885" s="2822"/>
      <c r="H885" s="2822"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822"/>
      <c r="J885" s="2822"/>
      <c r="K885" s="2822"/>
      <c r="L885" s="2822"/>
      <c r="M885" s="2822"/>
      <c r="N885" s="2822"/>
      <c r="O885" s="2821"/>
      <c r="P885" s="2820" t="s">
        <v>4639</v>
      </c>
      <c r="Q885" s="2820" t="s">
        <v>4419</v>
      </c>
    </row>
    <row r="886" spans="1:17">
      <c r="A886" s="2820"/>
      <c r="B886" s="2822"/>
      <c r="C886" s="2822"/>
      <c r="D886" s="2822"/>
      <c r="E886" s="2820"/>
      <c r="F886" s="2820"/>
      <c r="G886" s="2820"/>
      <c r="H886" s="2820"/>
      <c r="I886" s="2821"/>
      <c r="J886" s="2820"/>
      <c r="K886" s="2820"/>
      <c r="L886" s="2820"/>
      <c r="M886" s="2820"/>
      <c r="N886" s="2820"/>
      <c r="O886" s="2821"/>
      <c r="P886" s="2820"/>
      <c r="Q886" s="2820"/>
    </row>
    <row r="887" spans="1:17">
      <c r="A887" s="2821"/>
      <c r="B887" s="2821"/>
      <c r="C887" s="2821"/>
      <c r="D887" s="2821"/>
      <c r="E887" s="2823" t="str">
        <f>'Part I-Project Identification'!$A$6</f>
        <v>May 31, 2025</v>
      </c>
      <c r="F887" s="2823"/>
      <c r="G887" s="2823"/>
      <c r="H887" s="2823"/>
      <c r="I887" s="2823"/>
      <c r="J887" s="2820"/>
      <c r="K887" s="2824"/>
      <c r="L887" s="2824"/>
      <c r="M887" s="2824"/>
      <c r="N887" s="2824"/>
      <c r="O887" s="2821"/>
      <c r="P887" s="2820"/>
      <c r="Q887" s="2820"/>
    </row>
    <row r="888" spans="1:17">
      <c r="A888" s="2821"/>
      <c r="B888" s="2821"/>
      <c r="C888" s="2821"/>
      <c r="D888" s="2821"/>
      <c r="E888" s="2823"/>
      <c r="F888" s="2823"/>
      <c r="G888" s="2823"/>
      <c r="H888" s="2823"/>
      <c r="I888" s="2823"/>
      <c r="J888" s="2820"/>
      <c r="K888" s="2821"/>
      <c r="L888" s="2825"/>
      <c r="M888" s="2820"/>
      <c r="N888" s="2824"/>
      <c r="O888" s="2821"/>
      <c r="P888" s="2820"/>
      <c r="Q888" s="2820"/>
    </row>
    <row r="889" spans="1:17" ht="15.75" customHeight="1">
      <c r="A889" s="2826" t="s">
        <v>5074</v>
      </c>
      <c r="B889" s="2826"/>
      <c r="C889" s="2826"/>
      <c r="D889" s="2826"/>
      <c r="E889" s="2826"/>
      <c r="F889" s="2826"/>
      <c r="G889" s="2826"/>
      <c r="H889" s="2826"/>
      <c r="I889" s="2826"/>
      <c r="J889" s="2826"/>
      <c r="K889" s="2826"/>
      <c r="L889" s="2826"/>
      <c r="M889" s="2826"/>
      <c r="N889" s="2826"/>
      <c r="O889" s="2826"/>
      <c r="P889" s="2826"/>
      <c r="Q889" s="2826"/>
    </row>
    <row r="890" spans="1:17">
      <c r="A890" s="2821"/>
      <c r="B890" s="2821"/>
      <c r="C890" s="2821"/>
      <c r="D890" s="2821"/>
      <c r="E890" s="2823"/>
      <c r="F890" s="2823"/>
      <c r="G890" s="2823"/>
      <c r="H890" s="2823"/>
      <c r="I890" s="2823"/>
      <c r="J890" s="2820"/>
      <c r="K890" s="2821"/>
      <c r="L890" s="2820"/>
      <c r="M890" s="2820"/>
      <c r="N890" s="2820"/>
      <c r="O890" s="2821"/>
      <c r="P890" s="2820"/>
      <c r="Q890" s="2820"/>
    </row>
    <row r="891" spans="1:17" ht="13.8">
      <c r="A891" s="2827" t="s">
        <v>5161</v>
      </c>
      <c r="B891" s="2828"/>
      <c r="C891" s="2828"/>
      <c r="D891" s="2828"/>
      <c r="E891" s="2828"/>
      <c r="F891" s="2828"/>
      <c r="G891" s="2828"/>
      <c r="H891" s="2828"/>
      <c r="I891" s="2420"/>
      <c r="J891" s="2420"/>
      <c r="K891" s="2415"/>
      <c r="L891" s="2415"/>
      <c r="M891" s="2415"/>
      <c r="N891" s="2415"/>
      <c r="O891" s="2415"/>
      <c r="P891" s="2420"/>
      <c r="Q891" s="2420"/>
    </row>
    <row r="892" spans="1:17" ht="14.4">
      <c r="A892" s="2829" t="s">
        <v>2981</v>
      </c>
      <c r="B892" s="2828"/>
      <c r="C892" s="2828"/>
      <c r="D892" s="2828"/>
      <c r="E892" s="2828"/>
      <c r="F892" s="2828"/>
      <c r="G892" s="2828"/>
      <c r="H892" s="2415"/>
      <c r="I892" s="2420"/>
      <c r="J892" s="2420"/>
      <c r="K892" s="2415"/>
      <c r="L892" s="2415"/>
      <c r="M892" s="2418"/>
      <c r="N892" s="2418"/>
      <c r="O892" s="2828"/>
      <c r="P892" s="2828"/>
      <c r="Q892" s="2828"/>
    </row>
    <row r="893" spans="1:17">
      <c r="A893" s="2830" t="s">
        <v>1327</v>
      </c>
      <c r="B893" s="2830"/>
      <c r="C893" s="2830"/>
      <c r="D893" s="2830"/>
      <c r="E893" s="2830"/>
      <c r="F893" s="2830"/>
      <c r="G893" s="2830"/>
      <c r="H893" s="2830"/>
      <c r="I893" s="2830"/>
      <c r="J893" s="2830"/>
      <c r="K893" s="2830"/>
      <c r="L893" s="2830"/>
      <c r="M893" s="2830"/>
      <c r="N893" s="2830"/>
      <c r="O893" s="2830"/>
      <c r="P893" s="2830"/>
      <c r="Q893" s="2830"/>
    </row>
    <row r="894" spans="1:17">
      <c r="A894" s="2830" t="s">
        <v>218</v>
      </c>
      <c r="B894" s="2830"/>
      <c r="C894" s="2830"/>
      <c r="D894" s="2830"/>
      <c r="E894" s="2830"/>
      <c r="F894" s="2830"/>
      <c r="G894" s="2830"/>
      <c r="H894" s="2830"/>
      <c r="I894" s="2830"/>
      <c r="J894" s="2830"/>
      <c r="K894" s="2830"/>
      <c r="L894" s="2830"/>
      <c r="M894" s="2830"/>
      <c r="N894" s="2830"/>
      <c r="O894" s="2830"/>
      <c r="P894" s="2830"/>
      <c r="Q894" s="2830"/>
    </row>
    <row r="895" spans="1:17">
      <c r="A895" s="2830" t="s">
        <v>1323</v>
      </c>
      <c r="B895" s="2830"/>
      <c r="C895" s="2830"/>
      <c r="D895" s="2830"/>
      <c r="E895" s="2830"/>
      <c r="F895" s="2830"/>
      <c r="G895" s="2830"/>
      <c r="H895" s="2830"/>
      <c r="I895" s="2830"/>
      <c r="J895" s="2830"/>
      <c r="K895" s="2830"/>
      <c r="L895" s="2830"/>
      <c r="M895" s="2830"/>
      <c r="N895" s="2830"/>
      <c r="O895" s="2830"/>
      <c r="P895" s="2830"/>
      <c r="Q895" s="2830"/>
    </row>
    <row r="896" spans="1:17">
      <c r="A896" s="2830" t="s">
        <v>1324</v>
      </c>
      <c r="B896" s="2830"/>
      <c r="C896" s="2830"/>
      <c r="D896" s="2830"/>
      <c r="E896" s="2830"/>
      <c r="F896" s="2830"/>
      <c r="G896" s="2830"/>
      <c r="H896" s="2830"/>
      <c r="I896" s="2830"/>
      <c r="J896" s="2830"/>
      <c r="K896" s="2830"/>
      <c r="L896" s="2830"/>
      <c r="M896" s="2830"/>
      <c r="N896" s="2830"/>
      <c r="O896" s="2830"/>
      <c r="P896" s="2830"/>
      <c r="Q896" s="2830"/>
    </row>
    <row r="897" spans="1:17">
      <c r="A897" s="2830" t="s">
        <v>1325</v>
      </c>
      <c r="B897" s="2830"/>
      <c r="C897" s="2830"/>
      <c r="D897" s="2830"/>
      <c r="E897" s="2830"/>
      <c r="F897" s="2830"/>
      <c r="G897" s="2830"/>
      <c r="H897" s="2830"/>
      <c r="I897" s="2830"/>
      <c r="J897" s="2830"/>
      <c r="K897" s="2830"/>
      <c r="L897" s="2830"/>
      <c r="M897" s="2830"/>
      <c r="N897" s="2830"/>
      <c r="O897" s="2830"/>
      <c r="P897" s="2830"/>
      <c r="Q897" s="2830"/>
    </row>
    <row r="898" spans="1:17">
      <c r="A898" s="2830" t="s">
        <v>1326</v>
      </c>
      <c r="B898" s="2830"/>
      <c r="C898" s="2830"/>
      <c r="D898" s="2830"/>
      <c r="E898" s="2830"/>
      <c r="F898" s="2830"/>
      <c r="G898" s="2830"/>
      <c r="H898" s="2830"/>
      <c r="I898" s="2830"/>
      <c r="J898" s="2830"/>
      <c r="K898" s="2830"/>
      <c r="L898" s="2830"/>
      <c r="M898" s="2830"/>
      <c r="N898" s="2830"/>
      <c r="O898" s="2830"/>
      <c r="P898" s="2830"/>
      <c r="Q898" s="2830"/>
    </row>
    <row r="899" spans="1:17">
      <c r="A899" s="2830" t="s">
        <v>1328</v>
      </c>
      <c r="B899" s="2830"/>
      <c r="C899" s="2830"/>
      <c r="D899" s="2830"/>
      <c r="E899" s="2830"/>
      <c r="F899" s="2830"/>
      <c r="G899" s="2830"/>
      <c r="H899" s="2830"/>
      <c r="I899" s="2830"/>
      <c r="J899" s="2830"/>
      <c r="K899" s="2830"/>
      <c r="L899" s="2830"/>
      <c r="M899" s="2830"/>
      <c r="N899" s="2830"/>
      <c r="O899" s="2830"/>
      <c r="P899" s="2830"/>
      <c r="Q899" s="2830"/>
    </row>
    <row r="900" spans="1:17">
      <c r="A900" s="2830" t="s">
        <v>1866</v>
      </c>
      <c r="B900" s="2830"/>
      <c r="C900" s="2830"/>
      <c r="D900" s="2830"/>
      <c r="E900" s="2830"/>
      <c r="F900" s="2830"/>
      <c r="G900" s="2830"/>
      <c r="H900" s="2830"/>
      <c r="I900" s="2830"/>
      <c r="J900" s="2830"/>
      <c r="K900" s="2830"/>
      <c r="L900" s="2830"/>
      <c r="M900" s="2830"/>
      <c r="N900" s="2830"/>
      <c r="O900" s="2830"/>
      <c r="P900" s="2830"/>
      <c r="Q900" s="2830"/>
    </row>
    <row r="901" spans="1:17">
      <c r="A901" s="2830" t="s">
        <v>1867</v>
      </c>
      <c r="B901" s="2830"/>
      <c r="C901" s="2830"/>
      <c r="D901" s="2830"/>
      <c r="E901" s="2830"/>
      <c r="F901" s="2830"/>
      <c r="G901" s="2830"/>
      <c r="H901" s="2830"/>
      <c r="I901" s="2830"/>
      <c r="J901" s="2830"/>
      <c r="K901" s="2830"/>
      <c r="L901" s="2830"/>
      <c r="M901" s="2830"/>
      <c r="N901" s="2830"/>
      <c r="O901" s="2830"/>
      <c r="P901" s="2830"/>
      <c r="Q901" s="2830"/>
    </row>
    <row r="902" spans="1:17">
      <c r="A902" s="2830" t="s">
        <v>1868</v>
      </c>
      <c r="B902" s="2830"/>
      <c r="C902" s="2830"/>
      <c r="D902" s="2830"/>
      <c r="E902" s="2830"/>
      <c r="F902" s="2830"/>
      <c r="G902" s="2830"/>
      <c r="H902" s="2830"/>
      <c r="I902" s="2830"/>
      <c r="J902" s="2830"/>
      <c r="K902" s="2830"/>
      <c r="L902" s="2830"/>
      <c r="M902" s="2830"/>
      <c r="N902" s="2830"/>
      <c r="O902" s="2830"/>
      <c r="P902" s="2830"/>
      <c r="Q902" s="2830"/>
    </row>
    <row r="903" spans="1:17">
      <c r="A903" s="2830" t="s">
        <v>1869</v>
      </c>
      <c r="B903" s="2830"/>
      <c r="C903" s="2830"/>
      <c r="D903" s="2830"/>
      <c r="E903" s="2830"/>
      <c r="F903" s="2830"/>
      <c r="G903" s="2830"/>
      <c r="H903" s="2830"/>
      <c r="I903" s="2830"/>
      <c r="J903" s="2830"/>
      <c r="K903" s="2830"/>
      <c r="L903" s="2830"/>
      <c r="M903" s="2830"/>
      <c r="N903" s="2830"/>
      <c r="O903" s="2830"/>
      <c r="P903" s="2830"/>
      <c r="Q903" s="2830"/>
    </row>
    <row r="904" spans="1:17">
      <c r="A904" s="2830" t="s">
        <v>1870</v>
      </c>
      <c r="B904" s="2830"/>
      <c r="C904" s="2830"/>
      <c r="D904" s="2830"/>
      <c r="E904" s="2830"/>
      <c r="F904" s="2830"/>
      <c r="G904" s="2830"/>
      <c r="H904" s="2830"/>
      <c r="I904" s="2830"/>
      <c r="J904" s="2830"/>
      <c r="K904" s="2830"/>
      <c r="L904" s="2830"/>
      <c r="M904" s="2830"/>
      <c r="N904" s="2830"/>
      <c r="O904" s="2830"/>
      <c r="P904" s="2830"/>
      <c r="Q904" s="2830"/>
    </row>
    <row r="905" spans="1:17">
      <c r="A905" s="2830" t="s">
        <v>1871</v>
      </c>
      <c r="B905" s="2830"/>
      <c r="C905" s="2830"/>
      <c r="D905" s="2830"/>
      <c r="E905" s="2830"/>
      <c r="F905" s="2830"/>
      <c r="G905" s="2830"/>
      <c r="H905" s="2830"/>
      <c r="I905" s="2830"/>
      <c r="J905" s="2830"/>
      <c r="K905" s="2830"/>
      <c r="L905" s="2830"/>
      <c r="M905" s="2830"/>
      <c r="N905" s="2830"/>
      <c r="O905" s="2830"/>
      <c r="P905" s="2830"/>
      <c r="Q905" s="2830"/>
    </row>
    <row r="906" spans="1:17">
      <c r="A906" s="2830" t="s">
        <v>1872</v>
      </c>
      <c r="B906" s="2830"/>
      <c r="C906" s="2830"/>
      <c r="D906" s="2830"/>
      <c r="E906" s="2830"/>
      <c r="F906" s="2830"/>
      <c r="G906" s="2830"/>
      <c r="H906" s="2830"/>
      <c r="I906" s="2830"/>
      <c r="J906" s="2830"/>
      <c r="K906" s="2830"/>
      <c r="L906" s="2830"/>
      <c r="M906" s="2830"/>
      <c r="N906" s="2830"/>
      <c r="O906" s="2830"/>
      <c r="P906" s="2830"/>
      <c r="Q906" s="2830"/>
    </row>
    <row r="907" spans="1:17">
      <c r="A907" s="2830" t="s">
        <v>5073</v>
      </c>
      <c r="B907" s="2830"/>
      <c r="C907" s="2830"/>
      <c r="D907" s="2830"/>
      <c r="E907" s="2830"/>
      <c r="F907" s="2830"/>
      <c r="G907" s="2830"/>
      <c r="H907" s="2830"/>
      <c r="I907" s="2830"/>
      <c r="J907" s="2830"/>
      <c r="K907" s="2830"/>
      <c r="L907" s="2830"/>
      <c r="M907" s="2830"/>
      <c r="N907" s="2830"/>
      <c r="O907" s="2830"/>
      <c r="P907" s="2830"/>
      <c r="Q907" s="2830"/>
    </row>
    <row r="908" spans="1:17" ht="13.8">
      <c r="A908" s="2828"/>
      <c r="B908" s="2828"/>
      <c r="C908" s="2828"/>
      <c r="D908" s="2828"/>
      <c r="E908" s="2828"/>
      <c r="F908" s="2828"/>
      <c r="G908" s="2828"/>
      <c r="H908" s="2828"/>
      <c r="I908" s="2828"/>
      <c r="J908" s="2828"/>
      <c r="K908" s="2828"/>
      <c r="L908" s="2828"/>
      <c r="M908" s="2828"/>
      <c r="N908" s="2828"/>
      <c r="O908" s="2828"/>
      <c r="P908" s="2828"/>
      <c r="Q908" s="2828"/>
    </row>
    <row r="909" spans="1:17" ht="13.8">
      <c r="A909" s="2831" t="s">
        <v>572</v>
      </c>
      <c r="B909" s="2420" t="s">
        <v>4521</v>
      </c>
      <c r="C909" s="2420"/>
      <c r="D909" s="2420"/>
      <c r="E909" s="2420"/>
      <c r="F909" s="2420"/>
      <c r="G909" s="2420"/>
      <c r="H909" s="2415"/>
      <c r="I909" s="2417"/>
      <c r="J909" s="2417"/>
      <c r="K909" s="2417"/>
      <c r="L909" s="2418"/>
      <c r="M909" s="2418"/>
      <c r="N909" s="2415"/>
      <c r="O909" s="2832" t="s">
        <v>1725</v>
      </c>
      <c r="P909" s="2420"/>
      <c r="Q909" s="2420"/>
    </row>
    <row r="910" spans="1:17" ht="14.4">
      <c r="A910" s="2415"/>
      <c r="B910" s="2833" t="s">
        <v>4641</v>
      </c>
      <c r="C910" s="2833"/>
      <c r="D910" s="2833"/>
      <c r="E910" s="2833"/>
      <c r="F910" s="2833"/>
      <c r="G910" s="2417"/>
      <c r="H910" s="2417"/>
      <c r="I910" s="2417"/>
      <c r="J910" s="2417"/>
      <c r="K910" s="2418"/>
      <c r="L910" s="2418"/>
      <c r="M910" s="2418"/>
      <c r="N910" s="2418"/>
      <c r="O910" s="2418"/>
      <c r="P910" s="2420"/>
      <c r="Q910" s="2415"/>
    </row>
    <row r="911" spans="1:17" ht="13.8">
      <c r="A911" s="2834">
        <f>'Part VII-Threshold Criteria'!A29</f>
        <v>0</v>
      </c>
      <c r="B911" s="2834"/>
      <c r="C911" s="2834"/>
      <c r="D911" s="2834"/>
      <c r="E911" s="2834"/>
      <c r="F911" s="2834"/>
      <c r="G911" s="2834"/>
      <c r="H911" s="2834"/>
      <c r="I911" s="2834"/>
      <c r="J911" s="2834"/>
      <c r="K911" s="2834"/>
      <c r="L911" s="2834"/>
      <c r="M911" s="2834"/>
      <c r="N911" s="2834"/>
      <c r="O911" s="2834"/>
      <c r="P911" s="2834"/>
      <c r="Q911" s="2834"/>
    </row>
    <row r="912" spans="1:17" ht="14.4">
      <c r="A912" s="2415"/>
      <c r="B912" s="2833" t="s">
        <v>1724</v>
      </c>
      <c r="C912" s="2833"/>
      <c r="D912" s="2415"/>
      <c r="E912" s="2415"/>
      <c r="F912" s="2415"/>
      <c r="G912" s="2415"/>
      <c r="H912" s="2415"/>
      <c r="I912" s="2415"/>
      <c r="J912" s="2415"/>
      <c r="K912" s="2415"/>
      <c r="L912" s="2415"/>
      <c r="M912" s="2415"/>
      <c r="N912" s="2415"/>
      <c r="O912" s="2415"/>
      <c r="P912" s="2415"/>
      <c r="Q912" s="2415"/>
    </row>
    <row r="913" spans="1:17" ht="13.8">
      <c r="A913" s="2415"/>
      <c r="B913" s="2415"/>
      <c r="C913" s="2415"/>
      <c r="D913" s="2415"/>
      <c r="E913" s="2415"/>
      <c r="F913" s="2415"/>
      <c r="G913" s="2415"/>
      <c r="H913" s="2415"/>
      <c r="I913" s="2415"/>
      <c r="J913" s="2415"/>
      <c r="K913" s="2415"/>
      <c r="L913" s="2415"/>
      <c r="M913" s="2415"/>
      <c r="N913" s="2415"/>
      <c r="O913" s="2415"/>
      <c r="P913" s="2415"/>
      <c r="Q913" s="2415"/>
    </row>
    <row r="914" spans="1:17" ht="13.8">
      <c r="A914" s="2415"/>
      <c r="B914" s="2415"/>
      <c r="C914" s="2415"/>
      <c r="D914" s="2415"/>
      <c r="E914" s="2415"/>
      <c r="F914" s="2415"/>
      <c r="G914" s="2415"/>
      <c r="H914" s="2415"/>
      <c r="I914" s="2415"/>
      <c r="J914" s="2415"/>
      <c r="K914" s="2415"/>
      <c r="L914" s="2415"/>
      <c r="M914" s="2415"/>
      <c r="N914" s="2415"/>
      <c r="O914" s="2415"/>
      <c r="P914" s="2415"/>
      <c r="Q914" s="2420"/>
    </row>
    <row r="915" spans="1:17" ht="13.8">
      <c r="A915" s="2831" t="s">
        <v>688</v>
      </c>
      <c r="B915" s="2420" t="s">
        <v>1117</v>
      </c>
      <c r="C915" s="2420"/>
      <c r="D915" s="2420"/>
      <c r="E915" s="2416"/>
      <c r="F915" s="2416"/>
      <c r="G915" s="2416"/>
      <c r="H915" s="2415"/>
      <c r="I915" s="2415"/>
      <c r="J915" s="2415"/>
      <c r="K915" s="2415"/>
      <c r="L915" s="2415"/>
      <c r="M915" s="2415"/>
      <c r="N915" s="2415"/>
      <c r="O915" s="2832" t="s">
        <v>1725</v>
      </c>
      <c r="P915" s="2420"/>
      <c r="Q915" s="2420"/>
    </row>
    <row r="916" spans="1:17" ht="13.8">
      <c r="A916" s="2831"/>
      <c r="B916" s="2415" t="s">
        <v>5162</v>
      </c>
      <c r="C916" s="2415"/>
      <c r="D916" s="2415"/>
      <c r="E916" s="2415"/>
      <c r="F916" s="2415"/>
      <c r="G916" s="2415"/>
      <c r="H916" s="2415"/>
      <c r="I916" s="2415"/>
      <c r="J916" s="2415"/>
      <c r="K916" s="2415"/>
      <c r="L916" s="2415"/>
      <c r="M916" s="2415"/>
      <c r="N916" s="2415"/>
      <c r="O916" s="2415"/>
      <c r="P916" s="2420">
        <f>'Part VII-Threshold Criteria'!P34</f>
        <v>0</v>
      </c>
      <c r="Q916" s="2420"/>
    </row>
    <row r="917" spans="1:17" ht="14.4">
      <c r="A917" s="2415"/>
      <c r="B917" s="2833" t="s">
        <v>3154</v>
      </c>
      <c r="C917" s="2415"/>
      <c r="D917" s="2833"/>
      <c r="E917" s="2833"/>
      <c r="F917" s="2833"/>
      <c r="G917" s="2833"/>
      <c r="H917" s="2415"/>
      <c r="I917" s="2415"/>
      <c r="J917" s="2415"/>
      <c r="K917" s="2415"/>
      <c r="L917" s="2415"/>
      <c r="M917" s="2415"/>
      <c r="N917" s="2415"/>
      <c r="O917" s="2415"/>
      <c r="P917" s="2415"/>
      <c r="Q917" s="2415"/>
    </row>
    <row r="918" spans="1:17" ht="13.8">
      <c r="A918" s="2834">
        <f>'Part VII-Threshold Criteria'!A36</f>
        <v>0</v>
      </c>
      <c r="B918" s="2834"/>
      <c r="C918" s="2834"/>
      <c r="D918" s="2834"/>
      <c r="E918" s="2834"/>
      <c r="F918" s="2834"/>
      <c r="G918" s="2834"/>
      <c r="H918" s="2834"/>
      <c r="I918" s="2834"/>
      <c r="J918" s="2834"/>
      <c r="K918" s="2834"/>
      <c r="L918" s="2834"/>
      <c r="M918" s="2834"/>
      <c r="N918" s="2834"/>
      <c r="O918" s="2834"/>
      <c r="P918" s="2834"/>
      <c r="Q918" s="2834"/>
    </row>
    <row r="919" spans="1:17" ht="14.4">
      <c r="A919" s="2420"/>
      <c r="B919" s="2833" t="s">
        <v>1724</v>
      </c>
      <c r="C919" s="2420"/>
      <c r="D919" s="2420"/>
      <c r="E919" s="2420"/>
      <c r="F919" s="2420"/>
      <c r="G919" s="2420"/>
      <c r="H919" s="2420"/>
      <c r="I919" s="2415"/>
      <c r="J919" s="2415"/>
      <c r="K919" s="2415"/>
      <c r="L919" s="2415"/>
      <c r="M919" s="2415"/>
      <c r="N919" s="2415"/>
      <c r="O919" s="2415"/>
      <c r="P919" s="2415"/>
      <c r="Q919" s="2420"/>
    </row>
    <row r="920" spans="1:17" ht="13.8">
      <c r="A920" s="2415"/>
      <c r="B920" s="2415"/>
      <c r="C920" s="2415"/>
      <c r="D920" s="2415"/>
      <c r="E920" s="2415"/>
      <c r="F920" s="2415"/>
      <c r="G920" s="2415"/>
      <c r="H920" s="2415"/>
      <c r="I920" s="2415"/>
      <c r="J920" s="2415"/>
      <c r="K920" s="2415"/>
      <c r="L920" s="2415"/>
      <c r="M920" s="2415"/>
      <c r="N920" s="2415"/>
      <c r="O920" s="2415"/>
      <c r="P920" s="2415"/>
      <c r="Q920" s="2415"/>
    </row>
    <row r="921" spans="1:17" ht="13.8">
      <c r="A921" s="2420"/>
      <c r="B921" s="2415"/>
      <c r="C921" s="2415"/>
      <c r="D921" s="2415"/>
      <c r="E921" s="2415"/>
      <c r="F921" s="2415"/>
      <c r="G921" s="2415"/>
      <c r="H921" s="2415"/>
      <c r="I921" s="2415"/>
      <c r="J921" s="2415"/>
      <c r="K921" s="2415"/>
      <c r="L921" s="2415"/>
      <c r="M921" s="2415"/>
      <c r="N921" s="2415"/>
      <c r="O921" s="2415"/>
      <c r="P921" s="2415"/>
      <c r="Q921" s="2420"/>
    </row>
    <row r="922" spans="1:17" ht="13.8">
      <c r="A922" s="2415"/>
      <c r="B922" s="2417"/>
      <c r="C922" s="2416"/>
      <c r="D922" s="2416"/>
      <c r="E922" s="2416"/>
      <c r="F922" s="2416"/>
      <c r="G922" s="2416"/>
      <c r="H922" s="2416"/>
      <c r="I922" s="2416"/>
      <c r="J922" s="2416"/>
      <c r="K922" s="2416"/>
      <c r="L922" s="2416"/>
      <c r="M922" s="2416"/>
      <c r="N922" s="2416"/>
      <c r="O922" s="2416"/>
      <c r="P922" s="2416"/>
      <c r="Q922" s="2418"/>
    </row>
    <row r="923" spans="1:17" ht="13.8">
      <c r="A923" s="2831" t="s">
        <v>690</v>
      </c>
      <c r="B923" s="2831" t="s">
        <v>4773</v>
      </c>
      <c r="C923" s="2831"/>
      <c r="D923" s="2416"/>
      <c r="E923" s="2416"/>
      <c r="F923" s="2416"/>
      <c r="G923" s="2416"/>
      <c r="H923" s="2416"/>
      <c r="I923" s="2416"/>
      <c r="J923" s="2416"/>
      <c r="K923" s="2415"/>
      <c r="L923" s="2835"/>
      <c r="M923" s="2836"/>
      <c r="N923" s="2415"/>
      <c r="O923" s="2832" t="s">
        <v>1725</v>
      </c>
      <c r="P923" s="2420"/>
      <c r="Q923" s="2420"/>
    </row>
    <row r="924" spans="1:17" ht="13.8">
      <c r="A924" s="2832"/>
      <c r="B924" s="2416" t="s">
        <v>4969</v>
      </c>
      <c r="C924" s="2831"/>
      <c r="D924" s="2416"/>
      <c r="E924" s="2416"/>
      <c r="F924" s="2416"/>
      <c r="G924" s="2416"/>
      <c r="H924" s="2416"/>
      <c r="I924" s="2416"/>
      <c r="J924" s="2416"/>
      <c r="K924" s="2415"/>
      <c r="L924" s="2835"/>
      <c r="M924" s="2836"/>
      <c r="N924" s="2415"/>
      <c r="O924" s="2832"/>
      <c r="P924" s="2420">
        <f>'Part VII-Threshold Criteria'!P42</f>
        <v>0</v>
      </c>
      <c r="Q924" s="2420"/>
    </row>
    <row r="925" spans="1:17" ht="14.4">
      <c r="A925" s="2415"/>
      <c r="B925" s="2837" t="s">
        <v>3154</v>
      </c>
      <c r="C925" s="2415"/>
      <c r="D925" s="2837"/>
      <c r="E925" s="2837"/>
      <c r="F925" s="2837"/>
      <c r="G925" s="2837"/>
      <c r="H925" s="2416"/>
      <c r="I925" s="2417"/>
      <c r="J925" s="2417"/>
      <c r="K925" s="2415"/>
      <c r="L925" s="2415"/>
      <c r="M925" s="2415"/>
      <c r="N925" s="2415"/>
      <c r="O925" s="2415"/>
      <c r="P925" s="2415"/>
      <c r="Q925" s="2415"/>
    </row>
    <row r="926" spans="1:17" ht="13.8">
      <c r="A926" s="2834">
        <f>'Part VII-Threshold Criteria'!A44</f>
        <v>0</v>
      </c>
      <c r="B926" s="2834"/>
      <c r="C926" s="2834"/>
      <c r="D926" s="2834"/>
      <c r="E926" s="2834"/>
      <c r="F926" s="2834"/>
      <c r="G926" s="2834"/>
      <c r="H926" s="2834"/>
      <c r="I926" s="2834"/>
      <c r="J926" s="2834"/>
      <c r="K926" s="2834"/>
      <c r="L926" s="2834"/>
      <c r="M926" s="2834"/>
      <c r="N926" s="2834"/>
      <c r="O926" s="2834"/>
      <c r="P926" s="2834"/>
      <c r="Q926" s="2834"/>
    </row>
    <row r="927" spans="1:17" ht="14.4">
      <c r="A927" s="2420"/>
      <c r="B927" s="2833" t="s">
        <v>1724</v>
      </c>
      <c r="C927" s="2420"/>
      <c r="D927" s="2420"/>
      <c r="E927" s="2420"/>
      <c r="F927" s="2420"/>
      <c r="G927" s="2420"/>
      <c r="H927" s="2420"/>
      <c r="I927" s="2415"/>
      <c r="J927" s="2415"/>
      <c r="K927" s="2415"/>
      <c r="L927" s="2415"/>
      <c r="M927" s="2415"/>
      <c r="N927" s="2415"/>
      <c r="O927" s="2415"/>
      <c r="P927" s="2415"/>
      <c r="Q927" s="2420"/>
    </row>
    <row r="928" spans="1:17" ht="13.8">
      <c r="A928" s="2415"/>
      <c r="B928" s="2415"/>
      <c r="C928" s="2415"/>
      <c r="D928" s="2415"/>
      <c r="E928" s="2415"/>
      <c r="F928" s="2415"/>
      <c r="G928" s="2415"/>
      <c r="H928" s="2415"/>
      <c r="I928" s="2415"/>
      <c r="J928" s="2415"/>
      <c r="K928" s="2415"/>
      <c r="L928" s="2415"/>
      <c r="M928" s="2415"/>
      <c r="N928" s="2415"/>
      <c r="O928" s="2415"/>
      <c r="P928" s="2415"/>
      <c r="Q928" s="2415"/>
    </row>
    <row r="929" spans="1:17" ht="13.8">
      <c r="A929" s="2420"/>
      <c r="B929" s="2415"/>
      <c r="C929" s="2415"/>
      <c r="D929" s="2415"/>
      <c r="E929" s="2415"/>
      <c r="F929" s="2415"/>
      <c r="G929" s="2415"/>
      <c r="H929" s="2415"/>
      <c r="I929" s="2415"/>
      <c r="J929" s="2415"/>
      <c r="K929" s="2415"/>
      <c r="L929" s="2415"/>
      <c r="M929" s="2415"/>
      <c r="N929" s="2415"/>
      <c r="O929" s="2415"/>
      <c r="P929" s="2415"/>
      <c r="Q929" s="2420"/>
    </row>
    <row r="930" spans="1:17" ht="13.8">
      <c r="A930" s="2831"/>
      <c r="B930" s="2417"/>
      <c r="C930" s="2416"/>
      <c r="D930" s="2416"/>
      <c r="E930" s="2416"/>
      <c r="F930" s="2416"/>
      <c r="G930" s="2416"/>
      <c r="H930" s="2416"/>
      <c r="I930" s="2416"/>
      <c r="J930" s="2416"/>
      <c r="K930" s="2416"/>
      <c r="L930" s="2416"/>
      <c r="M930" s="2416"/>
      <c r="N930" s="2416"/>
      <c r="O930" s="2416"/>
      <c r="P930" s="2416"/>
      <c r="Q930" s="2418"/>
    </row>
    <row r="931" spans="1:17" ht="13.8">
      <c r="A931" s="2831" t="s">
        <v>1661</v>
      </c>
      <c r="B931" s="2831" t="s">
        <v>3886</v>
      </c>
      <c r="C931" s="2831"/>
      <c r="D931" s="2416"/>
      <c r="E931" s="2416"/>
      <c r="F931" s="2416"/>
      <c r="G931" s="2416"/>
      <c r="H931" s="2418"/>
      <c r="I931" s="2415"/>
      <c r="J931" s="2832"/>
      <c r="K931" s="2420"/>
      <c r="L931" s="2832"/>
      <c r="M931" s="2831"/>
      <c r="N931" s="2415"/>
      <c r="O931" s="2832" t="s">
        <v>1725</v>
      </c>
      <c r="P931" s="2420"/>
      <c r="Q931" s="2420"/>
    </row>
    <row r="932" spans="1:17" ht="13.8">
      <c r="A932" s="2832"/>
      <c r="B932" s="2415" t="s">
        <v>2257</v>
      </c>
      <c r="C932" s="2415"/>
      <c r="D932" s="2415"/>
      <c r="E932" s="2415"/>
      <c r="F932" s="2415"/>
      <c r="G932" s="2415"/>
      <c r="H932" s="2415"/>
      <c r="I932" s="2415"/>
      <c r="J932" s="2415"/>
      <c r="K932" s="2415"/>
      <c r="L932" s="2834">
        <f>'Part VII-Threshold Criteria'!L50</f>
        <v>0</v>
      </c>
      <c r="M932" s="2834"/>
      <c r="N932" s="2834"/>
      <c r="O932" s="2834"/>
      <c r="P932" s="2834"/>
      <c r="Q932" s="2834"/>
    </row>
    <row r="933" spans="1:17" ht="13.8">
      <c r="A933" s="2832"/>
      <c r="B933" s="2415" t="s">
        <v>4643</v>
      </c>
      <c r="C933" s="2415"/>
      <c r="D933" s="2415"/>
      <c r="E933" s="2415"/>
      <c r="F933" s="2415"/>
      <c r="G933" s="2415"/>
      <c r="H933" s="2415"/>
      <c r="I933" s="2415"/>
      <c r="J933" s="2415"/>
      <c r="K933" s="2415"/>
      <c r="L933" s="2415"/>
      <c r="M933" s="2415"/>
      <c r="N933" s="2838"/>
      <c r="O933" s="2838"/>
      <c r="P933" s="2839">
        <f>'Part VII-Threshold Criteria'!P51</f>
        <v>0</v>
      </c>
      <c r="Q933" s="2839"/>
    </row>
    <row r="934" spans="1:17" ht="13.8">
      <c r="A934" s="2832"/>
      <c r="B934" s="2415" t="s">
        <v>5085</v>
      </c>
      <c r="C934" s="2415"/>
      <c r="D934" s="2415"/>
      <c r="E934" s="2415"/>
      <c r="F934" s="2415"/>
      <c r="G934" s="2415"/>
      <c r="H934" s="2415"/>
      <c r="I934" s="2415"/>
      <c r="J934" s="2415"/>
      <c r="K934" s="2415"/>
      <c r="L934" s="2416" t="s">
        <v>4644</v>
      </c>
      <c r="M934" s="2415"/>
      <c r="N934" s="2415"/>
      <c r="O934" s="2415"/>
      <c r="P934" s="2839">
        <f>'Part VII-Threshold Criteria'!P52</f>
        <v>0</v>
      </c>
      <c r="Q934" s="2839"/>
    </row>
    <row r="935" spans="1:17" ht="13.8">
      <c r="A935" s="2832"/>
      <c r="B935" s="2415"/>
      <c r="C935" s="2415"/>
      <c r="D935" s="2415"/>
      <c r="E935" s="2415"/>
      <c r="F935" s="2415"/>
      <c r="G935" s="2415"/>
      <c r="H935" s="2415"/>
      <c r="I935" s="2415"/>
      <c r="J935" s="2838"/>
      <c r="K935" s="2415"/>
      <c r="L935" s="2840" t="s">
        <v>5086</v>
      </c>
      <c r="M935" s="2415"/>
      <c r="N935" s="2415"/>
      <c r="O935" s="2415"/>
      <c r="P935" s="2839">
        <f>'Part VII-Threshold Criteria'!P53</f>
        <v>0</v>
      </c>
      <c r="Q935" s="2839"/>
    </row>
    <row r="936" spans="1:17" ht="14.4">
      <c r="A936" s="2415"/>
      <c r="B936" s="2837" t="s">
        <v>3154</v>
      </c>
      <c r="C936" s="2415"/>
      <c r="D936" s="2837"/>
      <c r="E936" s="2837"/>
      <c r="F936" s="2837"/>
      <c r="G936" s="2837"/>
      <c r="H936" s="2416"/>
      <c r="I936" s="2417"/>
      <c r="J936" s="2417"/>
      <c r="K936" s="2417"/>
      <c r="L936" s="2418"/>
      <c r="M936" s="2418"/>
      <c r="N936" s="2418"/>
      <c r="O936" s="2418"/>
      <c r="P936" s="2420"/>
      <c r="Q936" s="2420"/>
    </row>
    <row r="937" spans="1:17" ht="13.8">
      <c r="A937" s="2834">
        <f>'Part VII-Threshold Criteria'!A55</f>
        <v>0</v>
      </c>
      <c r="B937" s="2834"/>
      <c r="C937" s="2834"/>
      <c r="D937" s="2834"/>
      <c r="E937" s="2834"/>
      <c r="F937" s="2834"/>
      <c r="G937" s="2834"/>
      <c r="H937" s="2834"/>
      <c r="I937" s="2834"/>
      <c r="J937" s="2834"/>
      <c r="K937" s="2834"/>
      <c r="L937" s="2834"/>
      <c r="M937" s="2834"/>
      <c r="N937" s="2834"/>
      <c r="O937" s="2834"/>
      <c r="P937" s="2834"/>
      <c r="Q937" s="2834"/>
    </row>
    <row r="938" spans="1:17" ht="14.4">
      <c r="A938" s="2415"/>
      <c r="B938" s="2833" t="s">
        <v>1724</v>
      </c>
      <c r="C938" s="2833"/>
      <c r="D938" s="2415"/>
      <c r="E938" s="2415"/>
      <c r="F938" s="2415"/>
      <c r="G938" s="2415"/>
      <c r="H938" s="2415"/>
      <c r="I938" s="2415"/>
      <c r="J938" s="2415"/>
      <c r="K938" s="2415"/>
      <c r="L938" s="2415"/>
      <c r="M938" s="2415"/>
      <c r="N938" s="2415"/>
      <c r="O938" s="2415"/>
      <c r="P938" s="2415"/>
      <c r="Q938" s="2415"/>
    </row>
    <row r="939" spans="1:17" ht="13.8">
      <c r="A939" s="2415"/>
      <c r="B939" s="2415"/>
      <c r="C939" s="2415"/>
      <c r="D939" s="2415"/>
      <c r="E939" s="2415"/>
      <c r="F939" s="2415"/>
      <c r="G939" s="2415"/>
      <c r="H939" s="2415"/>
      <c r="I939" s="2415"/>
      <c r="J939" s="2415"/>
      <c r="K939" s="2415"/>
      <c r="L939" s="2415"/>
      <c r="M939" s="2415"/>
      <c r="N939" s="2415"/>
      <c r="O939" s="2415"/>
      <c r="P939" s="2415"/>
      <c r="Q939" s="2415"/>
    </row>
    <row r="940" spans="1:17" ht="13.8">
      <c r="A940" s="2415"/>
      <c r="B940" s="2415"/>
      <c r="C940" s="2415"/>
      <c r="D940" s="2415"/>
      <c r="E940" s="2415"/>
      <c r="F940" s="2415"/>
      <c r="G940" s="2415"/>
      <c r="H940" s="2415"/>
      <c r="I940" s="2415"/>
      <c r="J940" s="2415"/>
      <c r="K940" s="2415"/>
      <c r="L940" s="2415"/>
      <c r="M940" s="2415"/>
      <c r="N940" s="2415"/>
      <c r="O940" s="2415"/>
      <c r="P940" s="2415"/>
      <c r="Q940" s="2415"/>
    </row>
    <row r="941" spans="1:17" ht="13.8">
      <c r="A941" s="2831"/>
      <c r="B941" s="2416"/>
      <c r="C941" s="2416"/>
      <c r="D941" s="2416"/>
      <c r="E941" s="2416"/>
      <c r="F941" s="2416"/>
      <c r="G941" s="2416"/>
      <c r="H941" s="2416"/>
      <c r="I941" s="2416"/>
      <c r="J941" s="2416"/>
      <c r="K941" s="2416"/>
      <c r="L941" s="2416"/>
      <c r="M941" s="2416"/>
      <c r="N941" s="2416"/>
      <c r="O941" s="2416"/>
      <c r="P941" s="2416"/>
      <c r="Q941" s="2416"/>
    </row>
    <row r="942" spans="1:17" ht="13.8">
      <c r="A942" s="2831" t="s">
        <v>1663</v>
      </c>
      <c r="B942" s="2831" t="s">
        <v>2415</v>
      </c>
      <c r="C942" s="2831"/>
      <c r="D942" s="2416"/>
      <c r="E942" s="2416"/>
      <c r="F942" s="2416"/>
      <c r="G942" s="2416"/>
      <c r="H942" s="2416"/>
      <c r="I942" s="2416"/>
      <c r="J942" s="2416"/>
      <c r="K942" s="2416"/>
      <c r="L942" s="2416"/>
      <c r="M942" s="2416"/>
      <c r="N942" s="2415"/>
      <c r="O942" s="2832" t="s">
        <v>1725</v>
      </c>
      <c r="P942" s="2420"/>
      <c r="Q942" s="2420"/>
    </row>
    <row r="943" spans="1:17" ht="13.8">
      <c r="A943" s="2832"/>
      <c r="B943" s="2415" t="s">
        <v>4645</v>
      </c>
      <c r="C943" s="2415"/>
      <c r="D943" s="2415"/>
      <c r="E943" s="2415"/>
      <c r="F943" s="2415"/>
      <c r="G943" s="2415"/>
      <c r="H943" s="2415"/>
      <c r="I943" s="2415"/>
      <c r="J943" s="2415"/>
      <c r="K943" s="2415"/>
      <c r="L943" s="2834">
        <f>'Part VII-Threshold Criteria'!L61</f>
        <v>0</v>
      </c>
      <c r="M943" s="2415"/>
      <c r="N943" s="2415"/>
      <c r="O943" s="2415"/>
      <c r="P943" s="2415"/>
      <c r="Q943" s="2415"/>
    </row>
    <row r="944" spans="1:17" ht="13.8">
      <c r="A944" s="2832"/>
      <c r="B944" s="2415" t="s">
        <v>3819</v>
      </c>
      <c r="C944" s="2415"/>
      <c r="D944" s="2415"/>
      <c r="E944" s="2415"/>
      <c r="F944" s="2415"/>
      <c r="G944" s="2415"/>
      <c r="H944" s="2415"/>
      <c r="I944" s="2415"/>
      <c r="J944" s="2415"/>
      <c r="K944" s="2415"/>
      <c r="L944" s="2415"/>
      <c r="M944" s="2415"/>
      <c r="N944" s="2415"/>
      <c r="O944" s="2415"/>
      <c r="P944" s="2420">
        <f>'Part VII-Threshold Criteria'!P62</f>
        <v>0</v>
      </c>
      <c r="Q944" s="2420"/>
    </row>
    <row r="945" spans="1:17" ht="15" customHeight="1">
      <c r="A945" s="2415"/>
      <c r="B945" s="2831"/>
      <c r="C945" s="2415" t="s">
        <v>4774</v>
      </c>
      <c r="D945" s="2415"/>
      <c r="E945" s="2415"/>
      <c r="F945" s="2415"/>
      <c r="G945" s="2415"/>
      <c r="H945" s="2415"/>
      <c r="I945" s="2415"/>
      <c r="J945" s="2415"/>
      <c r="K945" s="2415"/>
      <c r="L945" s="2415"/>
      <c r="M945" s="2415"/>
      <c r="N945" s="2415"/>
      <c r="O945" s="2415"/>
      <c r="P945" s="2420">
        <f>'Part VII-Threshold Criteria'!P63</f>
        <v>0</v>
      </c>
      <c r="Q945" s="2418"/>
    </row>
    <row r="946" spans="1:17" ht="14.4">
      <c r="A946" s="2415"/>
      <c r="B946" s="2837" t="s">
        <v>4641</v>
      </c>
      <c r="C946" s="2415"/>
      <c r="D946" s="2833"/>
      <c r="E946" s="2833"/>
      <c r="F946" s="2833"/>
      <c r="G946" s="2833"/>
      <c r="H946" s="2415"/>
      <c r="I946" s="2415"/>
      <c r="J946" s="2415"/>
      <c r="K946" s="2415"/>
      <c r="L946" s="2420"/>
      <c r="M946" s="2420"/>
      <c r="N946" s="2420"/>
      <c r="O946" s="2420"/>
      <c r="P946" s="2418"/>
      <c r="Q946" s="2418"/>
    </row>
    <row r="947" spans="1:17" ht="13.8">
      <c r="A947" s="2834">
        <f>'Part VII-Threshold Criteria'!A65</f>
        <v>0</v>
      </c>
      <c r="B947" s="2834"/>
      <c r="C947" s="2834"/>
      <c r="D947" s="2834"/>
      <c r="E947" s="2834"/>
      <c r="F947" s="2834"/>
      <c r="G947" s="2834"/>
      <c r="H947" s="2834"/>
      <c r="I947" s="2834"/>
      <c r="J947" s="2834"/>
      <c r="K947" s="2834"/>
      <c r="L947" s="2834"/>
      <c r="M947" s="2834"/>
      <c r="N947" s="2834"/>
      <c r="O947" s="2834"/>
      <c r="P947" s="2834"/>
      <c r="Q947" s="2834"/>
    </row>
    <row r="948" spans="1:17" ht="14.4">
      <c r="A948" s="2415"/>
      <c r="B948" s="2833" t="s">
        <v>1724</v>
      </c>
      <c r="C948" s="2833"/>
      <c r="D948" s="2415"/>
      <c r="E948" s="2415"/>
      <c r="F948" s="2415"/>
      <c r="G948" s="2415"/>
      <c r="H948" s="2415"/>
      <c r="I948" s="2415"/>
      <c r="J948" s="2415"/>
      <c r="K948" s="2415"/>
      <c r="L948" s="2415"/>
      <c r="M948" s="2415"/>
      <c r="N948" s="2415"/>
      <c r="O948" s="2415"/>
      <c r="P948" s="2415"/>
      <c r="Q948" s="2415"/>
    </row>
    <row r="949" spans="1:17" ht="13.8">
      <c r="A949" s="2415"/>
      <c r="B949" s="2415"/>
      <c r="C949" s="2415"/>
      <c r="D949" s="2415"/>
      <c r="E949" s="2415"/>
      <c r="F949" s="2415"/>
      <c r="G949" s="2415"/>
      <c r="H949" s="2415"/>
      <c r="I949" s="2415"/>
      <c r="J949" s="2415"/>
      <c r="K949" s="2415"/>
      <c r="L949" s="2415"/>
      <c r="M949" s="2415"/>
      <c r="N949" s="2415"/>
      <c r="O949" s="2415"/>
      <c r="P949" s="2415"/>
      <c r="Q949" s="2415"/>
    </row>
    <row r="950" spans="1:17" ht="13.8">
      <c r="A950" s="2415"/>
      <c r="B950" s="2415"/>
      <c r="C950" s="2415"/>
      <c r="D950" s="2415"/>
      <c r="E950" s="2415"/>
      <c r="F950" s="2415"/>
      <c r="G950" s="2415"/>
      <c r="H950" s="2415"/>
      <c r="I950" s="2415"/>
      <c r="J950" s="2415"/>
      <c r="K950" s="2415"/>
      <c r="L950" s="2415"/>
      <c r="M950" s="2415"/>
      <c r="N950" s="2415"/>
      <c r="O950" s="2415"/>
      <c r="P950" s="2415"/>
      <c r="Q950" s="2415"/>
    </row>
    <row r="951" spans="1:17" ht="13.8">
      <c r="A951" s="2415"/>
      <c r="B951" s="2415"/>
      <c r="C951" s="2415"/>
      <c r="D951" s="2415"/>
      <c r="E951" s="2415"/>
      <c r="F951" s="2415"/>
      <c r="G951" s="2415"/>
      <c r="H951" s="2415"/>
      <c r="I951" s="2415"/>
      <c r="J951" s="2415"/>
      <c r="K951" s="2415"/>
      <c r="L951" s="2415"/>
      <c r="M951" s="2415"/>
      <c r="N951" s="2415"/>
      <c r="O951" s="2415"/>
      <c r="P951" s="2415"/>
      <c r="Q951" s="2415"/>
    </row>
    <row r="952" spans="1:17" ht="13.8">
      <c r="A952" s="2831" t="s">
        <v>495</v>
      </c>
      <c r="B952" s="2831" t="s">
        <v>2416</v>
      </c>
      <c r="C952" s="2416"/>
      <c r="D952" s="2416"/>
      <c r="E952" s="2416"/>
      <c r="F952" s="2416"/>
      <c r="G952" s="2416"/>
      <c r="H952" s="2416"/>
      <c r="I952" s="2416"/>
      <c r="J952" s="2416"/>
      <c r="K952" s="2416"/>
      <c r="L952" s="2416"/>
      <c r="M952" s="2416"/>
      <c r="N952" s="2415"/>
      <c r="O952" s="2832" t="s">
        <v>1725</v>
      </c>
      <c r="P952" s="2420"/>
      <c r="Q952" s="2420"/>
    </row>
    <row r="953" spans="1:17" ht="15" customHeight="1">
      <c r="A953" s="2832"/>
      <c r="B953" s="2415" t="s">
        <v>4958</v>
      </c>
      <c r="C953" s="2415"/>
      <c r="D953" s="2415"/>
      <c r="E953" s="2415"/>
      <c r="F953" s="2415"/>
      <c r="G953" s="2415"/>
      <c r="H953" s="2415"/>
      <c r="I953" s="2415"/>
      <c r="J953" s="2415"/>
      <c r="K953" s="2415"/>
      <c r="L953" s="2834">
        <f>'Part VII-Threshold Criteria'!L71</f>
        <v>0</v>
      </c>
      <c r="M953" s="2841"/>
      <c r="N953" s="2841"/>
      <c r="O953" s="2841"/>
      <c r="P953" s="2841"/>
      <c r="Q953" s="2841"/>
    </row>
    <row r="954" spans="1:17" ht="13.8">
      <c r="A954" s="2415"/>
      <c r="B954" s="2415" t="s">
        <v>4646</v>
      </c>
      <c r="C954" s="2415"/>
      <c r="D954" s="2415"/>
      <c r="E954" s="2415"/>
      <c r="F954" s="2415"/>
      <c r="G954" s="2415"/>
      <c r="H954" s="2415"/>
      <c r="I954" s="2415"/>
      <c r="J954" s="2415"/>
      <c r="K954" s="2415"/>
      <c r="L954" s="2415"/>
      <c r="M954" s="2415"/>
      <c r="N954" s="2415"/>
      <c r="O954" s="2415"/>
      <c r="P954" s="2420">
        <f>'Part VII-Threshold Criteria'!P72</f>
        <v>0</v>
      </c>
      <c r="Q954" s="2420"/>
    </row>
    <row r="955" spans="1:17" ht="13.8">
      <c r="A955" s="2832"/>
      <c r="B955" s="2415" t="s">
        <v>4519</v>
      </c>
      <c r="C955" s="2415"/>
      <c r="D955" s="2415"/>
      <c r="E955" s="2415"/>
      <c r="F955" s="2415"/>
      <c r="G955" s="2415"/>
      <c r="H955" s="2415"/>
      <c r="I955" s="2415"/>
      <c r="J955" s="2415"/>
      <c r="K955" s="2415"/>
      <c r="L955" s="2416"/>
      <c r="M955" s="2415"/>
      <c r="N955" s="2415"/>
      <c r="O955" s="2842"/>
      <c r="P955" s="2420">
        <f>'Part VII-Threshold Criteria'!P73</f>
        <v>0</v>
      </c>
      <c r="Q955" s="2418"/>
    </row>
    <row r="956" spans="1:17" ht="13.8">
      <c r="A956" s="2832"/>
      <c r="B956" s="2415" t="s">
        <v>4647</v>
      </c>
      <c r="C956" s="2415"/>
      <c r="D956" s="2415"/>
      <c r="E956" s="2415"/>
      <c r="F956" s="2415"/>
      <c r="G956" s="2415"/>
      <c r="H956" s="2415"/>
      <c r="I956" s="2415" t="s">
        <v>4648</v>
      </c>
      <c r="J956" s="2415"/>
      <c r="K956" s="2415"/>
      <c r="L956" s="2416"/>
      <c r="M956" s="2416"/>
      <c r="N956" s="2416"/>
      <c r="O956" s="2842"/>
      <c r="P956" s="2420">
        <f>'Part VII-Threshold Criteria'!P74</f>
        <v>0</v>
      </c>
      <c r="Q956" s="2418"/>
    </row>
    <row r="957" spans="1:17" ht="13.8">
      <c r="A957" s="2832"/>
      <c r="B957" s="2831"/>
      <c r="C957" s="2415"/>
      <c r="D957" s="2415"/>
      <c r="E957" s="2415"/>
      <c r="F957" s="2415"/>
      <c r="G957" s="2415"/>
      <c r="H957" s="2415"/>
      <c r="I957" s="2415" t="s">
        <v>4649</v>
      </c>
      <c r="J957" s="2415"/>
      <c r="K957" s="2415"/>
      <c r="L957" s="2416"/>
      <c r="M957" s="2416"/>
      <c r="N957" s="2415"/>
      <c r="O957" s="2842"/>
      <c r="P957" s="2420">
        <f>'Part VII-Threshold Criteria'!P75</f>
        <v>0</v>
      </c>
      <c r="Q957" s="2418"/>
    </row>
    <row r="958" spans="1:17" ht="14.4">
      <c r="A958" s="2832"/>
      <c r="B958" s="2831"/>
      <c r="C958" s="2415"/>
      <c r="D958" s="2415"/>
      <c r="E958" s="2415"/>
      <c r="F958" s="2415"/>
      <c r="G958" s="2415"/>
      <c r="H958" s="2415"/>
      <c r="I958" s="2843"/>
      <c r="J958" s="2829" t="s">
        <v>4650</v>
      </c>
      <c r="K958" s="2415"/>
      <c r="L958" s="2416"/>
      <c r="M958" s="2416"/>
      <c r="N958" s="2415"/>
      <c r="O958" s="2842"/>
      <c r="P958" s="2420">
        <f>'Part VII-Threshold Criteria'!P76</f>
        <v>0</v>
      </c>
      <c r="Q958" s="2844"/>
    </row>
    <row r="959" spans="1:17" ht="14.4">
      <c r="A959" s="2554"/>
      <c r="B959" s="2843"/>
      <c r="C959" s="2834"/>
      <c r="D959" s="2834"/>
      <c r="E959" s="2845"/>
      <c r="F959" s="2845"/>
      <c r="G959" s="2829"/>
      <c r="H959" s="2829"/>
      <c r="I959" s="2415" t="s">
        <v>4651</v>
      </c>
      <c r="J959" s="2415"/>
      <c r="K959" s="2834"/>
      <c r="L959" s="2555"/>
      <c r="M959" s="2555"/>
      <c r="N959" s="2834"/>
      <c r="O959" s="2846"/>
      <c r="P959" s="2420">
        <f>'Part VII-Threshold Criteria'!P77</f>
        <v>0</v>
      </c>
      <c r="Q959" s="2418"/>
    </row>
    <row r="960" spans="1:17" ht="15" customHeight="1">
      <c r="A960" s="2832"/>
      <c r="B960" s="2415" t="s">
        <v>4794</v>
      </c>
      <c r="C960" s="2415"/>
      <c r="D960" s="2415"/>
      <c r="E960" s="2415"/>
      <c r="F960" s="2415"/>
      <c r="G960" s="2415"/>
      <c r="H960" s="2415"/>
      <c r="I960" s="2415"/>
      <c r="J960" s="2415"/>
      <c r="K960" s="2415"/>
      <c r="L960" s="2415"/>
      <c r="M960" s="2415"/>
      <c r="N960" s="2415"/>
      <c r="O960" s="2415"/>
      <c r="P960" s="2415"/>
      <c r="Q960" s="2415"/>
    </row>
    <row r="961" spans="1:17" ht="13.8">
      <c r="A961" s="2415"/>
      <c r="B961" s="2834">
        <f>'Part VII-Threshold Criteria'!B79</f>
        <v>0</v>
      </c>
      <c r="C961" s="2834"/>
      <c r="D961" s="2834"/>
      <c r="E961" s="2834"/>
      <c r="F961" s="2834"/>
      <c r="G961" s="2834"/>
      <c r="H961" s="2834"/>
      <c r="I961" s="2834"/>
      <c r="J961" s="2834"/>
      <c r="K961" s="2834"/>
      <c r="L961" s="2834"/>
      <c r="M961" s="2834"/>
      <c r="N961" s="2834"/>
      <c r="O961" s="2834"/>
      <c r="P961" s="2834"/>
      <c r="Q961" s="2834"/>
    </row>
    <row r="962" spans="1:17" ht="14.4">
      <c r="A962" s="2415"/>
      <c r="B962" s="2833" t="s">
        <v>3154</v>
      </c>
      <c r="C962" s="2415"/>
      <c r="D962" s="2833"/>
      <c r="E962" s="2833"/>
      <c r="F962" s="2833"/>
      <c r="G962" s="2833"/>
      <c r="H962" s="2415"/>
      <c r="I962" s="2415"/>
      <c r="J962" s="2415"/>
      <c r="K962" s="2415"/>
      <c r="L962" s="2420"/>
      <c r="M962" s="2420"/>
      <c r="N962" s="2420"/>
      <c r="O962" s="2420"/>
      <c r="P962" s="2420"/>
      <c r="Q962" s="2420"/>
    </row>
    <row r="963" spans="1:17" ht="13.8">
      <c r="A963" s="2834">
        <f>'Part VII-Threshold Criteria'!A81</f>
        <v>0</v>
      </c>
      <c r="B963" s="2834"/>
      <c r="C963" s="2834"/>
      <c r="D963" s="2834"/>
      <c r="E963" s="2834"/>
      <c r="F963" s="2834"/>
      <c r="G963" s="2834"/>
      <c r="H963" s="2834"/>
      <c r="I963" s="2834"/>
      <c r="J963" s="2834"/>
      <c r="K963" s="2834"/>
      <c r="L963" s="2834"/>
      <c r="M963" s="2834"/>
      <c r="N963" s="2834"/>
      <c r="O963" s="2834"/>
      <c r="P963" s="2834"/>
      <c r="Q963" s="2834"/>
    </row>
    <row r="964" spans="1:17" ht="14.4">
      <c r="A964" s="2415"/>
      <c r="B964" s="2833" t="s">
        <v>1724</v>
      </c>
      <c r="C964" s="2833"/>
      <c r="D964" s="2415"/>
      <c r="E964" s="2415"/>
      <c r="F964" s="2415"/>
      <c r="G964" s="2415"/>
      <c r="H964" s="2415"/>
      <c r="I964" s="2415"/>
      <c r="J964" s="2415"/>
      <c r="K964" s="2415"/>
      <c r="L964" s="2415"/>
      <c r="M964" s="2415"/>
      <c r="N964" s="2415"/>
      <c r="O964" s="2415"/>
      <c r="P964" s="2415"/>
      <c r="Q964" s="2415"/>
    </row>
    <row r="965" spans="1:17" ht="13.8">
      <c r="A965" s="2415"/>
      <c r="B965" s="2415"/>
      <c r="C965" s="2415"/>
      <c r="D965" s="2415"/>
      <c r="E965" s="2415"/>
      <c r="F965" s="2415"/>
      <c r="G965" s="2415"/>
      <c r="H965" s="2415"/>
      <c r="I965" s="2415"/>
      <c r="J965" s="2415"/>
      <c r="K965" s="2415"/>
      <c r="L965" s="2415"/>
      <c r="M965" s="2415"/>
      <c r="N965" s="2415"/>
      <c r="O965" s="2415"/>
      <c r="P965" s="2415"/>
      <c r="Q965" s="2415"/>
    </row>
    <row r="966" spans="1:17" ht="13.8">
      <c r="A966" s="2420"/>
      <c r="B966" s="2415"/>
      <c r="C966" s="2415"/>
      <c r="D966" s="2415"/>
      <c r="E966" s="2415"/>
      <c r="F966" s="2415"/>
      <c r="G966" s="2415"/>
      <c r="H966" s="2415"/>
      <c r="I966" s="2415"/>
      <c r="J966" s="2415"/>
      <c r="K966" s="2415"/>
      <c r="L966" s="2415"/>
      <c r="M966" s="2415"/>
      <c r="N966" s="2415"/>
      <c r="O966" s="2415"/>
      <c r="P966" s="2415"/>
      <c r="Q966" s="2420"/>
    </row>
    <row r="967" spans="1:17" ht="13.8">
      <c r="A967" s="2415"/>
      <c r="B967" s="2417"/>
      <c r="C967" s="2416"/>
      <c r="D967" s="2416"/>
      <c r="E967" s="2416"/>
      <c r="F967" s="2416"/>
      <c r="G967" s="2416"/>
      <c r="H967" s="2416"/>
      <c r="I967" s="2416"/>
      <c r="J967" s="2416"/>
      <c r="K967" s="2416"/>
      <c r="L967" s="2416"/>
      <c r="M967" s="2416"/>
      <c r="N967" s="2416"/>
      <c r="O967" s="2416"/>
      <c r="P967" s="2416"/>
      <c r="Q967" s="2418"/>
    </row>
    <row r="968" spans="1:17" ht="13.8">
      <c r="A968" s="2831" t="s">
        <v>719</v>
      </c>
      <c r="B968" s="2831" t="s">
        <v>2417</v>
      </c>
      <c r="C968" s="2831"/>
      <c r="D968" s="2416"/>
      <c r="E968" s="2416"/>
      <c r="F968" s="2416"/>
      <c r="G968" s="2416"/>
      <c r="H968" s="2416"/>
      <c r="I968" s="2416"/>
      <c r="J968" s="2416"/>
      <c r="K968" s="2416"/>
      <c r="L968" s="2415"/>
      <c r="M968" s="2415"/>
      <c r="N968" s="2415"/>
      <c r="O968" s="2832" t="s">
        <v>1725</v>
      </c>
      <c r="P968" s="2420"/>
      <c r="Q968" s="2420"/>
    </row>
    <row r="969" spans="1:17" ht="15" customHeight="1">
      <c r="A969" s="2832"/>
      <c r="B969" s="2415" t="s">
        <v>143</v>
      </c>
      <c r="C969" s="2415"/>
      <c r="D969" s="2415"/>
      <c r="E969" s="2415"/>
      <c r="F969" s="2847" t="str">
        <f>IF(L969="Ground lease/Option","Ground lease/Option:","")</f>
        <v/>
      </c>
      <c r="G969" s="2415"/>
      <c r="H969" s="2848" t="str">
        <f>IF(L969="Ground lease/Option","Annual Pymt:","")</f>
        <v/>
      </c>
      <c r="I969" s="2849" t="str">
        <f>IF(M1009="Ground lease/Option",'Part V-Revenues &amp; Expenses'!$F$275,"")</f>
        <v/>
      </c>
      <c r="J969" s="2850" t="str">
        <f>IF(L969="Ground lease/Option","Term (yrs):","")</f>
        <v/>
      </c>
      <c r="K969" s="2851" t="str">
        <f>IF(M1009="Ground lease/Option",'Part V-Revenues &amp; Expenses'!$L$275,"")</f>
        <v/>
      </c>
      <c r="L969" s="2834" t="str">
        <f>'Part VII-Threshold Criteria'!L87</f>
        <v>&lt;&lt;Select&gt;&gt;</v>
      </c>
      <c r="M969" s="2420"/>
      <c r="N969" s="2420"/>
      <c r="O969" s="2420" t="s">
        <v>1641</v>
      </c>
      <c r="P969" s="2420"/>
      <c r="Q969" s="2420"/>
    </row>
    <row r="970" spans="1:17" ht="13.8">
      <c r="A970" s="2832"/>
      <c r="B970" s="2415" t="s">
        <v>635</v>
      </c>
      <c r="C970" s="2415"/>
      <c r="D970" s="2415"/>
      <c r="E970" s="2415"/>
      <c r="F970" s="2415"/>
      <c r="G970" s="2415"/>
      <c r="H970" s="2415"/>
      <c r="I970" s="2415"/>
      <c r="J970" s="2415"/>
      <c r="K970" s="2415"/>
      <c r="L970" s="2834">
        <f>'Part VII-Threshold Criteria'!L88</f>
        <v>0</v>
      </c>
      <c r="M970" s="2415"/>
      <c r="N970" s="2415"/>
      <c r="O970" s="2415"/>
      <c r="P970" s="2415"/>
      <c r="Q970" s="2415"/>
    </row>
    <row r="971" spans="1:17" ht="14.4">
      <c r="A971" s="2415"/>
      <c r="B971" s="2837" t="s">
        <v>3154</v>
      </c>
      <c r="C971" s="2415"/>
      <c r="D971" s="2837"/>
      <c r="E971" s="2837"/>
      <c r="F971" s="2837"/>
      <c r="G971" s="2837"/>
      <c r="H971" s="2416"/>
      <c r="I971" s="2417"/>
      <c r="J971" s="2417"/>
      <c r="K971" s="2417"/>
      <c r="L971" s="2420"/>
      <c r="M971" s="2420"/>
      <c r="N971" s="2420"/>
      <c r="O971" s="2420"/>
      <c r="P971" s="2420"/>
      <c r="Q971" s="2420"/>
    </row>
    <row r="972" spans="1:17" ht="13.8">
      <c r="A972" s="2834">
        <f>'Part VII-Threshold Criteria'!A90</f>
        <v>0</v>
      </c>
      <c r="B972" s="2834"/>
      <c r="C972" s="2834"/>
      <c r="D972" s="2834"/>
      <c r="E972" s="2834"/>
      <c r="F972" s="2834"/>
      <c r="G972" s="2834"/>
      <c r="H972" s="2834"/>
      <c r="I972" s="2834"/>
      <c r="J972" s="2834"/>
      <c r="K972" s="2834"/>
      <c r="L972" s="2834"/>
      <c r="M972" s="2834"/>
      <c r="N972" s="2834"/>
      <c r="O972" s="2834"/>
      <c r="P972" s="2834"/>
      <c r="Q972" s="2834"/>
    </row>
    <row r="973" spans="1:17" ht="14.4">
      <c r="A973" s="2415"/>
      <c r="B973" s="2833" t="s">
        <v>1724</v>
      </c>
      <c r="C973" s="2833"/>
      <c r="D973" s="2415"/>
      <c r="E973" s="2415"/>
      <c r="F973" s="2415"/>
      <c r="G973" s="2415"/>
      <c r="H973" s="2415"/>
      <c r="I973" s="2415"/>
      <c r="J973" s="2415"/>
      <c r="K973" s="2415"/>
      <c r="L973" s="2415"/>
      <c r="M973" s="2415"/>
      <c r="N973" s="2415"/>
      <c r="O973" s="2415"/>
      <c r="P973" s="2415"/>
      <c r="Q973" s="2415"/>
    </row>
    <row r="974" spans="1:17" ht="13.8">
      <c r="A974" s="2415"/>
      <c r="B974" s="2415"/>
      <c r="C974" s="2415"/>
      <c r="D974" s="2415"/>
      <c r="E974" s="2415"/>
      <c r="F974" s="2415"/>
      <c r="G974" s="2415"/>
      <c r="H974" s="2415"/>
      <c r="I974" s="2415"/>
      <c r="J974" s="2415"/>
      <c r="K974" s="2415"/>
      <c r="L974" s="2415"/>
      <c r="M974" s="2415"/>
      <c r="N974" s="2415"/>
      <c r="O974" s="2415"/>
      <c r="P974" s="2415"/>
      <c r="Q974" s="2415"/>
    </row>
    <row r="975" spans="1:17" ht="13.8">
      <c r="A975" s="2420"/>
      <c r="B975" s="2415"/>
      <c r="C975" s="2415"/>
      <c r="D975" s="2415"/>
      <c r="E975" s="2415"/>
      <c r="F975" s="2415"/>
      <c r="G975" s="2415"/>
      <c r="H975" s="2415"/>
      <c r="I975" s="2415"/>
      <c r="J975" s="2415"/>
      <c r="K975" s="2415"/>
      <c r="L975" s="2415"/>
      <c r="M975" s="2415"/>
      <c r="N975" s="2415"/>
      <c r="O975" s="2415"/>
      <c r="P975" s="2415"/>
      <c r="Q975" s="2420"/>
    </row>
    <row r="976" spans="1:17" ht="13.8">
      <c r="A976" s="2415"/>
      <c r="B976" s="2417"/>
      <c r="C976" s="2416"/>
      <c r="D976" s="2416"/>
      <c r="E976" s="2416"/>
      <c r="F976" s="2416"/>
      <c r="G976" s="2416"/>
      <c r="H976" s="2416"/>
      <c r="I976" s="2416"/>
      <c r="J976" s="2416"/>
      <c r="K976" s="2416"/>
      <c r="L976" s="2416"/>
      <c r="M976" s="2416"/>
      <c r="N976" s="2415"/>
      <c r="O976" s="2415"/>
      <c r="P976" s="2415"/>
      <c r="Q976" s="2418"/>
    </row>
    <row r="977" spans="1:17" ht="13.8">
      <c r="A977" s="2831" t="s">
        <v>280</v>
      </c>
      <c r="B977" s="2831" t="s">
        <v>2418</v>
      </c>
      <c r="C977" s="2831"/>
      <c r="D977" s="2416"/>
      <c r="E977" s="2416"/>
      <c r="F977" s="2416"/>
      <c r="G977" s="2416"/>
      <c r="H977" s="2416"/>
      <c r="I977" s="2416"/>
      <c r="J977" s="2416"/>
      <c r="K977" s="2416"/>
      <c r="L977" s="2416"/>
      <c r="M977" s="2416"/>
      <c r="N977" s="2415"/>
      <c r="O977" s="2832" t="s">
        <v>1725</v>
      </c>
      <c r="P977" s="2420"/>
      <c r="Q977" s="2420"/>
    </row>
    <row r="978" spans="1:17" ht="14.4">
      <c r="A978" s="2415"/>
      <c r="B978" s="2837" t="s">
        <v>3154</v>
      </c>
      <c r="C978" s="2415"/>
      <c r="D978" s="2837"/>
      <c r="E978" s="2837"/>
      <c r="F978" s="2837"/>
      <c r="G978" s="2837"/>
      <c r="H978" s="2416"/>
      <c r="I978" s="2417"/>
      <c r="J978" s="2417"/>
      <c r="K978" s="2417"/>
      <c r="L978" s="2418"/>
      <c r="M978" s="2418"/>
      <c r="N978" s="2418"/>
      <c r="O978" s="2418"/>
      <c r="P978" s="2420"/>
      <c r="Q978" s="2420"/>
    </row>
    <row r="979" spans="1:17" ht="13.8">
      <c r="A979" s="2834">
        <f>'Part VII-Threshold Criteria'!A97</f>
        <v>0</v>
      </c>
      <c r="B979" s="2834"/>
      <c r="C979" s="2834"/>
      <c r="D979" s="2834"/>
      <c r="E979" s="2834"/>
      <c r="F979" s="2834"/>
      <c r="G979" s="2834"/>
      <c r="H979" s="2834"/>
      <c r="I979" s="2834"/>
      <c r="J979" s="2834"/>
      <c r="K979" s="2834"/>
      <c r="L979" s="2834"/>
      <c r="M979" s="2834"/>
      <c r="N979" s="2834"/>
      <c r="O979" s="2834"/>
      <c r="P979" s="2834"/>
      <c r="Q979" s="2834"/>
    </row>
    <row r="980" spans="1:17" ht="14.4">
      <c r="A980" s="2415"/>
      <c r="B980" s="2833" t="s">
        <v>1724</v>
      </c>
      <c r="C980" s="2833"/>
      <c r="D980" s="2415"/>
      <c r="E980" s="2415"/>
      <c r="F980" s="2415"/>
      <c r="G980" s="2415"/>
      <c r="H980" s="2415"/>
      <c r="I980" s="2415"/>
      <c r="J980" s="2415"/>
      <c r="K980" s="2415"/>
      <c r="L980" s="2415"/>
      <c r="M980" s="2415"/>
      <c r="N980" s="2415"/>
      <c r="O980" s="2415"/>
      <c r="P980" s="2415"/>
      <c r="Q980" s="2415"/>
    </row>
    <row r="981" spans="1:17" ht="13.8">
      <c r="A981" s="2415"/>
      <c r="B981" s="2415"/>
      <c r="C981" s="2415"/>
      <c r="D981" s="2415"/>
      <c r="E981" s="2415"/>
      <c r="F981" s="2415"/>
      <c r="G981" s="2415"/>
      <c r="H981" s="2415"/>
      <c r="I981" s="2415"/>
      <c r="J981" s="2415"/>
      <c r="K981" s="2415"/>
      <c r="L981" s="2415"/>
      <c r="M981" s="2415"/>
      <c r="N981" s="2415"/>
      <c r="O981" s="2415"/>
      <c r="P981" s="2415"/>
      <c r="Q981" s="2415"/>
    </row>
    <row r="982" spans="1:17" ht="13.8">
      <c r="A982" s="2415"/>
      <c r="B982" s="2415"/>
      <c r="C982" s="2415"/>
      <c r="D982" s="2415"/>
      <c r="E982" s="2415"/>
      <c r="F982" s="2415"/>
      <c r="G982" s="2415"/>
      <c r="H982" s="2415"/>
      <c r="I982" s="2415"/>
      <c r="J982" s="2415"/>
      <c r="K982" s="2415"/>
      <c r="L982" s="2415"/>
      <c r="M982" s="2415"/>
      <c r="N982" s="2415"/>
      <c r="O982" s="2415"/>
      <c r="P982" s="2415"/>
      <c r="Q982" s="2420"/>
    </row>
    <row r="983" spans="1:17" ht="13.8">
      <c r="A983" s="2415"/>
      <c r="B983" s="2417"/>
      <c r="C983" s="2416"/>
      <c r="D983" s="2416"/>
      <c r="E983" s="2416"/>
      <c r="F983" s="2416"/>
      <c r="G983" s="2416"/>
      <c r="H983" s="2416"/>
      <c r="I983" s="2416"/>
      <c r="J983" s="2416"/>
      <c r="K983" s="2416"/>
      <c r="L983" s="2416"/>
      <c r="M983" s="2416"/>
      <c r="N983" s="2416"/>
      <c r="O983" s="2416"/>
      <c r="P983" s="2416"/>
      <c r="Q983" s="2418"/>
    </row>
    <row r="984" spans="1:17" ht="13.8">
      <c r="A984" s="2831" t="s">
        <v>400</v>
      </c>
      <c r="B984" s="2420" t="s">
        <v>2419</v>
      </c>
      <c r="C984" s="2420"/>
      <c r="D984" s="2420"/>
      <c r="E984" s="2415"/>
      <c r="F984" s="2415"/>
      <c r="G984" s="2415"/>
      <c r="H984" s="2415"/>
      <c r="I984" s="2415"/>
      <c r="J984" s="2415"/>
      <c r="K984" s="2415"/>
      <c r="L984" s="2415"/>
      <c r="M984" s="2415"/>
      <c r="N984" s="2415"/>
      <c r="O984" s="2832" t="s">
        <v>1725</v>
      </c>
      <c r="P984" s="2420"/>
      <c r="Q984" s="2420"/>
    </row>
    <row r="985" spans="1:17" ht="14.4">
      <c r="A985" s="2415"/>
      <c r="B985" s="2833" t="s">
        <v>3154</v>
      </c>
      <c r="C985" s="2415"/>
      <c r="D985" s="2833"/>
      <c r="E985" s="2837"/>
      <c r="F985" s="2837"/>
      <c r="G985" s="2837"/>
      <c r="H985" s="2416"/>
      <c r="I985" s="2417"/>
      <c r="J985" s="2417"/>
      <c r="K985" s="2417"/>
      <c r="L985" s="2418"/>
      <c r="M985" s="2418"/>
      <c r="N985" s="2418"/>
      <c r="O985" s="2418"/>
      <c r="P985" s="2420"/>
      <c r="Q985" s="2420"/>
    </row>
    <row r="986" spans="1:17" ht="13.8">
      <c r="A986" s="2834">
        <f>'Part VII-Threshold Criteria'!A104</f>
        <v>0</v>
      </c>
      <c r="B986" s="2834"/>
      <c r="C986" s="2834"/>
      <c r="D986" s="2834"/>
      <c r="E986" s="2834"/>
      <c r="F986" s="2834"/>
      <c r="G986" s="2834"/>
      <c r="H986" s="2834"/>
      <c r="I986" s="2834"/>
      <c r="J986" s="2834"/>
      <c r="K986" s="2834"/>
      <c r="L986" s="2834"/>
      <c r="M986" s="2834"/>
      <c r="N986" s="2834"/>
      <c r="O986" s="2834"/>
      <c r="P986" s="2834"/>
      <c r="Q986" s="2834"/>
    </row>
    <row r="987" spans="1:17" ht="14.4">
      <c r="A987" s="2415"/>
      <c r="B987" s="2833" t="s">
        <v>1724</v>
      </c>
      <c r="C987" s="2833"/>
      <c r="D987" s="2415"/>
      <c r="E987" s="2415"/>
      <c r="F987" s="2415"/>
      <c r="G987" s="2415"/>
      <c r="H987" s="2415"/>
      <c r="I987" s="2415"/>
      <c r="J987" s="2415"/>
      <c r="K987" s="2415"/>
      <c r="L987" s="2415"/>
      <c r="M987" s="2415"/>
      <c r="N987" s="2415"/>
      <c r="O987" s="2415"/>
      <c r="P987" s="2415"/>
      <c r="Q987" s="2415"/>
    </row>
    <row r="988" spans="1:17" ht="13.8">
      <c r="A988" s="2415"/>
      <c r="B988" s="2415"/>
      <c r="C988" s="2415"/>
      <c r="D988" s="2415"/>
      <c r="E988" s="2415"/>
      <c r="F988" s="2415"/>
      <c r="G988" s="2415"/>
      <c r="H988" s="2415"/>
      <c r="I988" s="2415"/>
      <c r="J988" s="2415"/>
      <c r="K988" s="2415"/>
      <c r="L988" s="2415"/>
      <c r="M988" s="2415"/>
      <c r="N988" s="2415"/>
      <c r="O988" s="2415"/>
      <c r="P988" s="2415"/>
      <c r="Q988" s="2415"/>
    </row>
    <row r="989" spans="1:17" ht="13.8">
      <c r="A989" s="2420"/>
      <c r="B989" s="2415"/>
      <c r="C989" s="2415"/>
      <c r="D989" s="2415"/>
      <c r="E989" s="2415"/>
      <c r="F989" s="2415"/>
      <c r="G989" s="2415"/>
      <c r="H989" s="2415"/>
      <c r="I989" s="2415"/>
      <c r="J989" s="2415"/>
      <c r="K989" s="2415"/>
      <c r="L989" s="2415"/>
      <c r="M989" s="2415"/>
      <c r="N989" s="2415"/>
      <c r="O989" s="2415"/>
      <c r="P989" s="2415"/>
      <c r="Q989" s="2420"/>
    </row>
    <row r="990" spans="1:17" ht="13.8">
      <c r="A990" s="2415"/>
      <c r="B990" s="2417"/>
      <c r="C990" s="2416"/>
      <c r="D990" s="2416"/>
      <c r="E990" s="2416"/>
      <c r="F990" s="2416"/>
      <c r="G990" s="2416"/>
      <c r="H990" s="2416"/>
      <c r="I990" s="2416"/>
      <c r="J990" s="2416"/>
      <c r="K990" s="2416"/>
      <c r="L990" s="2416"/>
      <c r="M990" s="2416"/>
      <c r="N990" s="2416"/>
      <c r="O990" s="2416"/>
      <c r="P990" s="2416"/>
      <c r="Q990" s="2418"/>
    </row>
    <row r="991" spans="1:17" ht="13.8">
      <c r="A991" s="2831" t="s">
        <v>342</v>
      </c>
      <c r="B991" s="2831" t="s">
        <v>2420</v>
      </c>
      <c r="C991" s="2831"/>
      <c r="D991" s="2416"/>
      <c r="E991" s="2416"/>
      <c r="F991" s="2415"/>
      <c r="G991" s="2416"/>
      <c r="H991" s="2415"/>
      <c r="I991" s="2415"/>
      <c r="J991" s="2415"/>
      <c r="K991" s="2415"/>
      <c r="L991" s="2415"/>
      <c r="M991" s="2415"/>
      <c r="N991" s="2415"/>
      <c r="O991" s="2832" t="s">
        <v>1725</v>
      </c>
      <c r="P991" s="2420"/>
      <c r="Q991" s="2420"/>
    </row>
    <row r="992" spans="1:17" ht="13.8">
      <c r="A992" s="2832"/>
      <c r="B992" s="2415" t="s">
        <v>4652</v>
      </c>
      <c r="C992" s="2415"/>
      <c r="D992" s="2415"/>
      <c r="E992" s="2415"/>
      <c r="F992" s="2415"/>
      <c r="G992" s="2415"/>
      <c r="H992" s="2415"/>
      <c r="I992" s="2415"/>
      <c r="J992" s="2415" t="s">
        <v>4653</v>
      </c>
      <c r="K992" s="2415"/>
      <c r="L992" s="2415"/>
      <c r="M992" s="2834" t="str">
        <f>'Part VII-Threshold Criteria'!M110</f>
        <v>&lt;&lt;Enter Provider Name Here&gt;&gt;</v>
      </c>
      <c r="N992" s="2420"/>
      <c r="O992" s="2420"/>
      <c r="P992" s="2420"/>
      <c r="Q992" s="2420"/>
    </row>
    <row r="993" spans="1:17" ht="13.8">
      <c r="A993" s="2832"/>
      <c r="B993" s="2832"/>
      <c r="C993" s="2415"/>
      <c r="D993" s="2415"/>
      <c r="E993" s="2415"/>
      <c r="F993" s="2415"/>
      <c r="G993" s="2415"/>
      <c r="H993" s="2415"/>
      <c r="I993" s="2415"/>
      <c r="J993" s="2415" t="s">
        <v>4654</v>
      </c>
      <c r="K993" s="2415"/>
      <c r="L993" s="2415"/>
      <c r="M993" s="2834" t="str">
        <f>'Part VII-Threshold Criteria'!M111</f>
        <v>&lt;&lt;Enter Provider Name Here&gt;&gt;</v>
      </c>
      <c r="N993" s="2420"/>
      <c r="O993" s="2420"/>
      <c r="P993" s="2420"/>
      <c r="Q993" s="2420"/>
    </row>
    <row r="994" spans="1:17" ht="14.4">
      <c r="A994" s="2832"/>
      <c r="B994" s="2837" t="s">
        <v>3154</v>
      </c>
      <c r="C994" s="2415"/>
      <c r="D994" s="2415"/>
      <c r="E994" s="2415"/>
      <c r="F994" s="2415"/>
      <c r="G994" s="2415"/>
      <c r="H994" s="2415"/>
      <c r="I994" s="2415"/>
      <c r="J994" s="2415"/>
      <c r="K994" s="2415"/>
      <c r="L994" s="2415"/>
      <c r="M994" s="2415"/>
      <c r="N994" s="2415"/>
      <c r="O994" s="2415"/>
      <c r="P994" s="2415"/>
      <c r="Q994" s="2415"/>
    </row>
    <row r="995" spans="1:17" ht="13.8">
      <c r="A995" s="2834">
        <f>'Part VII-Threshold Criteria'!A113</f>
        <v>0</v>
      </c>
      <c r="B995" s="2834"/>
      <c r="C995" s="2834"/>
      <c r="D995" s="2834"/>
      <c r="E995" s="2834"/>
      <c r="F995" s="2834"/>
      <c r="G995" s="2834"/>
      <c r="H995" s="2834"/>
      <c r="I995" s="2834"/>
      <c r="J995" s="2834"/>
      <c r="K995" s="2834"/>
      <c r="L995" s="2834"/>
      <c r="M995" s="2834"/>
      <c r="N995" s="2834"/>
      <c r="O995" s="2834"/>
      <c r="P995" s="2834"/>
      <c r="Q995" s="2834"/>
    </row>
    <row r="996" spans="1:17" ht="14.4">
      <c r="A996" s="2415"/>
      <c r="B996" s="2833" t="s">
        <v>1724</v>
      </c>
      <c r="C996" s="2833"/>
      <c r="D996" s="2415"/>
      <c r="E996" s="2415"/>
      <c r="F996" s="2415"/>
      <c r="G996" s="2415"/>
      <c r="H996" s="2415"/>
      <c r="I996" s="2415"/>
      <c r="J996" s="2415"/>
      <c r="K996" s="2415"/>
      <c r="L996" s="2415"/>
      <c r="M996" s="2415"/>
      <c r="N996" s="2415"/>
      <c r="O996" s="2415"/>
      <c r="P996" s="2415"/>
      <c r="Q996" s="2415"/>
    </row>
    <row r="997" spans="1:17" ht="13.8">
      <c r="A997" s="2415"/>
      <c r="B997" s="2415"/>
      <c r="C997" s="2415"/>
      <c r="D997" s="2415"/>
      <c r="E997" s="2415"/>
      <c r="F997" s="2415"/>
      <c r="G997" s="2415"/>
      <c r="H997" s="2415"/>
      <c r="I997" s="2415"/>
      <c r="J997" s="2415"/>
      <c r="K997" s="2415"/>
      <c r="L997" s="2415"/>
      <c r="M997" s="2415"/>
      <c r="N997" s="2415"/>
      <c r="O997" s="2415"/>
      <c r="P997" s="2415"/>
      <c r="Q997" s="2415"/>
    </row>
    <row r="998" spans="1:17" ht="13.8">
      <c r="A998" s="2415"/>
      <c r="B998" s="2415"/>
      <c r="C998" s="2415"/>
      <c r="D998" s="2415"/>
      <c r="E998" s="2415"/>
      <c r="F998" s="2415"/>
      <c r="G998" s="2415"/>
      <c r="H998" s="2415"/>
      <c r="I998" s="2415"/>
      <c r="J998" s="2415"/>
      <c r="K998" s="2415"/>
      <c r="L998" s="2415"/>
      <c r="M998" s="2415"/>
      <c r="N998" s="2415"/>
      <c r="O998" s="2415"/>
      <c r="P998" s="2415"/>
      <c r="Q998" s="2420"/>
    </row>
    <row r="999" spans="1:17" ht="13.8">
      <c r="A999" s="2415"/>
      <c r="B999" s="2417"/>
      <c r="C999" s="2416"/>
      <c r="D999" s="2416"/>
      <c r="E999" s="2416"/>
      <c r="F999" s="2416"/>
      <c r="G999" s="2416"/>
      <c r="H999" s="2416"/>
      <c r="I999" s="2416"/>
      <c r="J999" s="2416"/>
      <c r="K999" s="2416"/>
      <c r="L999" s="2416"/>
      <c r="M999" s="2416"/>
      <c r="N999" s="2415"/>
      <c r="O999" s="2415"/>
      <c r="P999" s="2415"/>
      <c r="Q999" s="2418"/>
    </row>
    <row r="1000" spans="1:17" ht="13.8">
      <c r="A1000" s="2831" t="s">
        <v>343</v>
      </c>
      <c r="B1000" s="2420" t="s">
        <v>4655</v>
      </c>
      <c r="C1000" s="2420"/>
      <c r="D1000" s="2420"/>
      <c r="E1000" s="2420"/>
      <c r="F1000" s="2420"/>
      <c r="G1000" s="2416"/>
      <c r="H1000" s="2416"/>
      <c r="I1000" s="2415"/>
      <c r="J1000" s="2416"/>
      <c r="K1000" s="2416"/>
      <c r="L1000" s="2416"/>
      <c r="M1000" s="2416"/>
      <c r="N1000" s="2415"/>
      <c r="O1000" s="2832" t="s">
        <v>1725</v>
      </c>
      <c r="P1000" s="2420"/>
      <c r="Q1000" s="2420"/>
    </row>
    <row r="1001" spans="1:17" ht="13.8">
      <c r="A1001" s="2832"/>
      <c r="B1001" s="2415" t="s">
        <v>4656</v>
      </c>
      <c r="C1001" s="2415"/>
      <c r="D1001" s="2415"/>
      <c r="E1001" s="2415"/>
      <c r="F1001" s="2415"/>
      <c r="G1001" s="2415"/>
      <c r="H1001" s="2415"/>
      <c r="I1001" s="2415"/>
      <c r="J1001" s="2415" t="s">
        <v>4657</v>
      </c>
      <c r="K1001" s="2415"/>
      <c r="L1001" s="2415"/>
      <c r="M1001" s="2834" t="str">
        <f>'Part VII-Threshold Criteria'!M119</f>
        <v>&lt;&lt;Enter Provider Name Here&gt;&gt;</v>
      </c>
      <c r="N1001" s="2420"/>
      <c r="O1001" s="2420"/>
      <c r="P1001" s="2420"/>
      <c r="Q1001" s="2420"/>
    </row>
    <row r="1002" spans="1:17" ht="13.8">
      <c r="A1002" s="2415"/>
      <c r="B1002" s="2832"/>
      <c r="C1002" s="2415"/>
      <c r="D1002" s="2415"/>
      <c r="E1002" s="2415"/>
      <c r="F1002" s="2415"/>
      <c r="G1002" s="2415"/>
      <c r="H1002" s="2415"/>
      <c r="I1002" s="2415"/>
      <c r="J1002" s="2415" t="s">
        <v>4658</v>
      </c>
      <c r="K1002" s="2415"/>
      <c r="L1002" s="2415"/>
      <c r="M1002" s="2834" t="str">
        <f>'Part VII-Threshold Criteria'!M120</f>
        <v>&lt;&lt;Enter Provider Name Here&gt;&gt;</v>
      </c>
      <c r="N1002" s="2420"/>
      <c r="O1002" s="2420"/>
      <c r="P1002" s="2420"/>
      <c r="Q1002" s="2420"/>
    </row>
    <row r="1003" spans="1:17" ht="14.4">
      <c r="A1003" s="2415"/>
      <c r="B1003" s="2837" t="s">
        <v>3154</v>
      </c>
      <c r="C1003" s="2415"/>
      <c r="D1003" s="2837"/>
      <c r="E1003" s="2837"/>
      <c r="F1003" s="2837"/>
      <c r="G1003" s="2837"/>
      <c r="H1003" s="2416"/>
      <c r="I1003" s="2417"/>
      <c r="J1003" s="2417"/>
      <c r="K1003" s="2417"/>
      <c r="L1003" s="2418"/>
      <c r="M1003" s="2420"/>
      <c r="N1003" s="2420"/>
      <c r="O1003" s="2420"/>
      <c r="P1003" s="2420"/>
      <c r="Q1003" s="2420"/>
    </row>
    <row r="1004" spans="1:17" ht="13.8">
      <c r="A1004" s="2834">
        <f>'Part VII-Threshold Criteria'!A122</f>
        <v>0</v>
      </c>
      <c r="B1004" s="2834"/>
      <c r="C1004" s="2834"/>
      <c r="D1004" s="2834"/>
      <c r="E1004" s="2834"/>
      <c r="F1004" s="2834"/>
      <c r="G1004" s="2834"/>
      <c r="H1004" s="2834"/>
      <c r="I1004" s="2834"/>
      <c r="J1004" s="2834"/>
      <c r="K1004" s="2834"/>
      <c r="L1004" s="2834"/>
      <c r="M1004" s="2834"/>
      <c r="N1004" s="2834"/>
      <c r="O1004" s="2834"/>
      <c r="P1004" s="2834"/>
      <c r="Q1004" s="2834"/>
    </row>
    <row r="1005" spans="1:17" ht="14.4">
      <c r="A1005" s="2415"/>
      <c r="B1005" s="2833" t="s">
        <v>1724</v>
      </c>
      <c r="C1005" s="2833"/>
      <c r="D1005" s="2415"/>
      <c r="E1005" s="2415"/>
      <c r="F1005" s="2415"/>
      <c r="G1005" s="2415"/>
      <c r="H1005" s="2415"/>
      <c r="I1005" s="2415"/>
      <c r="J1005" s="2415"/>
      <c r="K1005" s="2415"/>
      <c r="L1005" s="2415"/>
      <c r="M1005" s="2415"/>
      <c r="N1005" s="2415"/>
      <c r="O1005" s="2415"/>
      <c r="P1005" s="2415"/>
      <c r="Q1005" s="2415"/>
    </row>
    <row r="1006" spans="1:17" ht="13.8">
      <c r="A1006" s="2415"/>
      <c r="B1006" s="2415"/>
      <c r="C1006" s="2415"/>
      <c r="D1006" s="2415"/>
      <c r="E1006" s="2415"/>
      <c r="F1006" s="2415"/>
      <c r="G1006" s="2415"/>
      <c r="H1006" s="2415"/>
      <c r="I1006" s="2415"/>
      <c r="J1006" s="2415"/>
      <c r="K1006" s="2415"/>
      <c r="L1006" s="2415"/>
      <c r="M1006" s="2415"/>
      <c r="N1006" s="2415"/>
      <c r="O1006" s="2415"/>
      <c r="P1006" s="2415"/>
      <c r="Q1006" s="2415"/>
    </row>
    <row r="1007" spans="1:17" ht="13.8">
      <c r="A1007" s="2420"/>
      <c r="B1007" s="2415"/>
      <c r="C1007" s="2415"/>
      <c r="D1007" s="2415"/>
      <c r="E1007" s="2415"/>
      <c r="F1007" s="2415"/>
      <c r="G1007" s="2415"/>
      <c r="H1007" s="2415"/>
      <c r="I1007" s="2415"/>
      <c r="J1007" s="2415"/>
      <c r="K1007" s="2415"/>
      <c r="L1007" s="2415"/>
      <c r="M1007" s="2415"/>
      <c r="N1007" s="2415"/>
      <c r="O1007" s="2415"/>
      <c r="P1007" s="2415"/>
      <c r="Q1007" s="2420"/>
    </row>
    <row r="1008" spans="1:17" ht="13.8">
      <c r="A1008" s="2415"/>
      <c r="B1008" s="2417"/>
      <c r="C1008" s="2416"/>
      <c r="D1008" s="2416"/>
      <c r="E1008" s="2416"/>
      <c r="F1008" s="2416"/>
      <c r="G1008" s="2416"/>
      <c r="H1008" s="2416"/>
      <c r="I1008" s="2416"/>
      <c r="J1008" s="2416"/>
      <c r="K1008" s="2416"/>
      <c r="L1008" s="2416"/>
      <c r="M1008" s="2416"/>
      <c r="N1008" s="2415"/>
      <c r="O1008" s="2415"/>
      <c r="P1008" s="2415"/>
      <c r="Q1008" s="2418"/>
    </row>
    <row r="1009" spans="1:17" ht="13.8">
      <c r="A1009" s="2831" t="s">
        <v>344</v>
      </c>
      <c r="B1009" s="2831" t="s">
        <v>2422</v>
      </c>
      <c r="C1009" s="2831"/>
      <c r="D1009" s="2416"/>
      <c r="E1009" s="2416"/>
      <c r="F1009" s="2416"/>
      <c r="G1009" s="2416"/>
      <c r="H1009" s="2416"/>
      <c r="I1009" s="2416"/>
      <c r="J1009" s="2416"/>
      <c r="K1009" s="2416"/>
      <c r="L1009" s="2416"/>
      <c r="M1009" s="2416"/>
      <c r="N1009" s="2415"/>
      <c r="O1009" s="2832" t="s">
        <v>1725</v>
      </c>
      <c r="P1009" s="2420"/>
      <c r="Q1009" s="2420"/>
    </row>
    <row r="1010" spans="1:17" ht="15" customHeight="1">
      <c r="A1010" s="2415"/>
      <c r="B1010" s="2415" t="s">
        <v>5048</v>
      </c>
      <c r="C1010" s="2415"/>
      <c r="D1010" s="2415"/>
      <c r="E1010" s="2415"/>
      <c r="F1010" s="2415"/>
      <c r="G1010" s="2415"/>
      <c r="H1010" s="2415"/>
      <c r="I1010" s="2415"/>
      <c r="J1010" s="2415"/>
      <c r="K1010" s="2415"/>
      <c r="L1010" s="2415"/>
      <c r="M1010" s="2415"/>
      <c r="N1010" s="2415"/>
      <c r="O1010" s="2415"/>
      <c r="P1010" s="2420" t="str">
        <f>'Part VII-Threshold Criteria'!P128</f>
        <v>Yes</v>
      </c>
      <c r="Q1010" s="2420"/>
    </row>
    <row r="1011" spans="1:17" ht="14.4">
      <c r="A1011" s="2832" t="s">
        <v>1835</v>
      </c>
      <c r="B1011" s="2415" t="s">
        <v>5163</v>
      </c>
      <c r="C1011" s="2415"/>
      <c r="D1011" s="2415"/>
      <c r="E1011" s="2415"/>
      <c r="F1011" s="2415"/>
      <c r="G1011" s="2415"/>
      <c r="H1011" s="2415"/>
      <c r="I1011" s="2415"/>
      <c r="J1011" s="2415"/>
      <c r="K1011" s="2415"/>
      <c r="L1011" s="2415"/>
      <c r="M1011" s="2415"/>
      <c r="N1011" s="2415"/>
      <c r="O1011" s="2415"/>
      <c r="P1011" s="2415"/>
      <c r="Q1011" s="2415"/>
    </row>
    <row r="1012" spans="1:17" ht="13.8">
      <c r="A1012" s="2832"/>
      <c r="B1012" s="2416"/>
      <c r="C1012" s="2415" t="s">
        <v>1786</v>
      </c>
      <c r="D1012" s="2415"/>
      <c r="E1012" s="2415"/>
      <c r="F1012" s="2415"/>
      <c r="G1012" s="2415"/>
      <c r="H1012" s="2415"/>
      <c r="I1012" s="2415"/>
      <c r="J1012" s="2842"/>
      <c r="K1012" s="2415"/>
      <c r="L1012" s="2415"/>
      <c r="M1012" s="2834" t="str">
        <f>'Part VII-Threshold Criteria'!M130</f>
        <v>Room</v>
      </c>
      <c r="N1012" s="2420"/>
      <c r="O1012" s="2420"/>
      <c r="P1012" s="2420"/>
      <c r="Q1012" s="2420"/>
    </row>
    <row r="1013" spans="1:17" ht="13.8">
      <c r="A1013" s="2832"/>
      <c r="B1013" s="2416"/>
      <c r="C1013" s="2416" t="s">
        <v>4599</v>
      </c>
      <c r="D1013" s="2415"/>
      <c r="E1013" s="2416"/>
      <c r="F1013" s="2416"/>
      <c r="G1013" s="2416"/>
      <c r="H1013" s="2416"/>
      <c r="I1013" s="2415"/>
      <c r="J1013" s="2842"/>
      <c r="K1013" s="2415"/>
      <c r="L1013" s="2415"/>
      <c r="M1013" s="2834" t="str">
        <f>'Part VII-Threshold Criteria'!M131</f>
        <v>Gazebo</v>
      </c>
      <c r="N1013" s="2420"/>
      <c r="O1013" s="2420"/>
      <c r="P1013" s="2420"/>
      <c r="Q1013" s="2420"/>
    </row>
    <row r="1014" spans="1:17" ht="15" customHeight="1">
      <c r="A1014" s="2832"/>
      <c r="B1014" s="2416"/>
      <c r="C1014" s="2834" t="str">
        <f>'Part VII-Threshold Criteria'!C132</f>
        <v>If "Other Pre-Approved", explain here</v>
      </c>
      <c r="D1014" s="2415"/>
      <c r="E1014" s="2415"/>
      <c r="F1014" s="2415"/>
      <c r="G1014" s="2415"/>
      <c r="H1014" s="2415"/>
      <c r="I1014" s="2415"/>
      <c r="J1014" s="2415"/>
      <c r="K1014" s="2415"/>
      <c r="L1014" s="2415"/>
      <c r="M1014" s="2415"/>
      <c r="N1014" s="2415"/>
      <c r="O1014" s="2415"/>
      <c r="P1014" s="2415"/>
      <c r="Q1014" s="2415"/>
    </row>
    <row r="1015" spans="1:17" ht="13.8">
      <c r="A1015" s="2832"/>
      <c r="B1015" s="2416"/>
      <c r="C1015" s="2415" t="s">
        <v>3660</v>
      </c>
      <c r="D1015" s="2415"/>
      <c r="E1015" s="2415"/>
      <c r="F1015" s="2415"/>
      <c r="G1015" s="2415"/>
      <c r="H1015" s="2415"/>
      <c r="I1015" s="2415"/>
      <c r="J1015" s="2415"/>
      <c r="K1015" s="2415"/>
      <c r="L1015" s="2415"/>
      <c r="M1015" s="2834" t="str">
        <f>'Part VII-Threshold Criteria'!M133</f>
        <v>On-site laundry</v>
      </c>
      <c r="N1015" s="2420"/>
      <c r="O1015" s="2420"/>
      <c r="P1015" s="2420"/>
      <c r="Q1015" s="2420"/>
    </row>
    <row r="1016" spans="1:17" ht="15" customHeight="1">
      <c r="A1016" s="2832" t="s">
        <v>1837</v>
      </c>
      <c r="B1016" s="2415" t="s">
        <v>5164</v>
      </c>
      <c r="C1016" s="2415"/>
      <c r="D1016" s="2415"/>
      <c r="E1016" s="2415"/>
      <c r="F1016" s="2415"/>
      <c r="G1016" s="2415"/>
      <c r="H1016" s="2415"/>
      <c r="I1016" s="2415"/>
      <c r="J1016" s="2415"/>
      <c r="K1016" s="2415"/>
      <c r="L1016" s="2415"/>
      <c r="M1016" s="2415"/>
      <c r="N1016" s="2415"/>
      <c r="O1016" s="2415"/>
      <c r="P1016" s="2420"/>
      <c r="Q1016" s="2420"/>
    </row>
    <row r="1017" spans="1:17" ht="15" customHeight="1">
      <c r="A1017" s="2554"/>
      <c r="B1017" s="2415"/>
      <c r="C1017" s="2415" t="s">
        <v>5165</v>
      </c>
      <c r="D1017" s="2415"/>
      <c r="E1017" s="2415"/>
      <c r="F1017" s="2415"/>
      <c r="G1017" s="2415"/>
      <c r="H1017" s="2415"/>
      <c r="I1017" s="2415"/>
      <c r="J1017" s="2415"/>
      <c r="K1017" s="2415"/>
      <c r="L1017" s="2415"/>
      <c r="M1017" s="2415"/>
      <c r="N1017" s="2415"/>
      <c r="O1017" s="2415"/>
      <c r="P1017" s="2415"/>
      <c r="Q1017" s="2415"/>
    </row>
    <row r="1018" spans="1:17" ht="15" customHeight="1">
      <c r="A1018" s="2418"/>
      <c r="B1018" s="2846" t="s">
        <v>1611</v>
      </c>
      <c r="C1018" s="2834" t="str">
        <f>'Part VII-Threshold Criteria'!C136</f>
        <v>Fenced community gardens</v>
      </c>
      <c r="D1018" s="2834"/>
      <c r="E1018" s="2834"/>
      <c r="F1018" s="2834"/>
      <c r="G1018" s="2834"/>
      <c r="H1018" s="2834"/>
      <c r="I1018" s="2415"/>
      <c r="J1018" s="2834" t="str">
        <f>'Part VII-Threshold Criteria'!J136</f>
        <v>(If DCA Pre-Approved amenity not listed in Architectural Manual, describe here)</v>
      </c>
      <c r="K1018" s="2834"/>
      <c r="L1018" s="2834"/>
      <c r="M1018" s="2834"/>
      <c r="N1018" s="2834"/>
      <c r="O1018" s="2834"/>
      <c r="P1018" s="2834"/>
      <c r="Q1018" s="2834"/>
    </row>
    <row r="1019" spans="1:17" ht="15" customHeight="1">
      <c r="A1019" s="2418"/>
      <c r="B1019" s="2846" t="s">
        <v>1612</v>
      </c>
      <c r="C1019" s="2834" t="str">
        <f>'Part VII-Threshold Criteria'!C137</f>
        <v>Furnished Exercise /Fitness Center</v>
      </c>
      <c r="D1019" s="2834"/>
      <c r="E1019" s="2834"/>
      <c r="F1019" s="2834"/>
      <c r="G1019" s="2834"/>
      <c r="H1019" s="2834"/>
      <c r="I1019" s="2415"/>
      <c r="J1019" s="2834" t="str">
        <f>'Part VII-Threshold Criteria'!J137</f>
        <v>(If DCA Pre-Approved amenity not listed in Architectural Manual, describe here)</v>
      </c>
      <c r="K1019" s="2834"/>
      <c r="L1019" s="2834"/>
      <c r="M1019" s="2834"/>
      <c r="N1019" s="2834"/>
      <c r="O1019" s="2834"/>
      <c r="P1019" s="2834"/>
      <c r="Q1019" s="2834"/>
    </row>
    <row r="1020" spans="1:17" ht="15" customHeight="1">
      <c r="A1020" s="2418"/>
      <c r="B1020" s="2846" t="s">
        <v>1613</v>
      </c>
      <c r="C1020" s="2834" t="str">
        <f>'Part VII-Threshold Criteria'!C138</f>
        <v xml:space="preserve">Covered pavilion with picnic/BBQ facilities </v>
      </c>
      <c r="D1020" s="2834"/>
      <c r="E1020" s="2834"/>
      <c r="F1020" s="2834"/>
      <c r="G1020" s="2834"/>
      <c r="H1020" s="2834"/>
      <c r="I1020" s="2415"/>
      <c r="J1020" s="2834" t="str">
        <f>'Part VII-Threshold Criteria'!J138</f>
        <v>(If DCA Pre-Approved amenity not listed in Architectural Manual, describe here)</v>
      </c>
      <c r="K1020" s="2834"/>
      <c r="L1020" s="2834"/>
      <c r="M1020" s="2834"/>
      <c r="N1020" s="2834"/>
      <c r="O1020" s="2834"/>
      <c r="P1020" s="2834"/>
      <c r="Q1020" s="2834"/>
    </row>
    <row r="1021" spans="1:17" ht="15" customHeight="1">
      <c r="A1021" s="2418"/>
      <c r="B1021" s="2846" t="s">
        <v>2175</v>
      </c>
      <c r="C1021" s="2834" t="str">
        <f>'Part VII-Threshold Criteria'!C139</f>
        <v xml:space="preserve">Furnished Arts &amp; Craft /Activity Center </v>
      </c>
      <c r="D1021" s="2834"/>
      <c r="E1021" s="2834"/>
      <c r="F1021" s="2834"/>
      <c r="G1021" s="2834"/>
      <c r="H1021" s="2834"/>
      <c r="I1021" s="2415"/>
      <c r="J1021" s="2834" t="str">
        <f>'Part VII-Threshold Criteria'!J139</f>
        <v>(If DCA Pre-Approved amenity not listed in Architectural Manual, describe here)</v>
      </c>
      <c r="K1021" s="2834"/>
      <c r="L1021" s="2834"/>
      <c r="M1021" s="2834"/>
      <c r="N1021" s="2834"/>
      <c r="O1021" s="2834"/>
      <c r="P1021" s="2834"/>
      <c r="Q1021" s="2834"/>
    </row>
    <row r="1022" spans="1:17" ht="14.4">
      <c r="A1022" s="2415"/>
      <c r="B1022" s="2837" t="s">
        <v>3154</v>
      </c>
      <c r="C1022" s="2415"/>
      <c r="D1022" s="2833"/>
      <c r="E1022" s="2833"/>
      <c r="F1022" s="2833"/>
      <c r="G1022" s="2833"/>
      <c r="H1022" s="2415"/>
      <c r="I1022" s="2417"/>
      <c r="J1022" s="2415"/>
      <c r="K1022" s="2415"/>
      <c r="L1022" s="2420"/>
      <c r="M1022" s="2420"/>
      <c r="N1022" s="2420"/>
      <c r="O1022" s="2420"/>
      <c r="P1022" s="2415"/>
      <c r="Q1022" s="2415"/>
    </row>
    <row r="1023" spans="1:17" ht="13.8">
      <c r="A1023" s="2834">
        <f>'Part VII-Threshold Criteria'!A141</f>
        <v>0</v>
      </c>
      <c r="B1023" s="2834"/>
      <c r="C1023" s="2834"/>
      <c r="D1023" s="2834"/>
      <c r="E1023" s="2834"/>
      <c r="F1023" s="2834"/>
      <c r="G1023" s="2834"/>
      <c r="H1023" s="2834"/>
      <c r="I1023" s="2834"/>
      <c r="J1023" s="2834"/>
      <c r="K1023" s="2834"/>
      <c r="L1023" s="2834"/>
      <c r="M1023" s="2834"/>
      <c r="N1023" s="2834"/>
      <c r="O1023" s="2834"/>
      <c r="P1023" s="2834"/>
      <c r="Q1023" s="2834"/>
    </row>
    <row r="1024" spans="1:17" ht="14.4">
      <c r="A1024" s="2415"/>
      <c r="B1024" s="2833" t="s">
        <v>1724</v>
      </c>
      <c r="C1024" s="2833"/>
      <c r="D1024" s="2415"/>
      <c r="E1024" s="2415"/>
      <c r="F1024" s="2415"/>
      <c r="G1024" s="2415"/>
      <c r="H1024" s="2415"/>
      <c r="I1024" s="2415"/>
      <c r="J1024" s="2415"/>
      <c r="K1024" s="2415"/>
      <c r="L1024" s="2415"/>
      <c r="M1024" s="2415"/>
      <c r="N1024" s="2415"/>
      <c r="O1024" s="2415"/>
      <c r="P1024" s="2415"/>
      <c r="Q1024" s="2415"/>
    </row>
    <row r="1025" spans="1:17" ht="13.8">
      <c r="A1025" s="2415"/>
      <c r="B1025" s="2415"/>
      <c r="C1025" s="2415"/>
      <c r="D1025" s="2415"/>
      <c r="E1025" s="2415"/>
      <c r="F1025" s="2415"/>
      <c r="G1025" s="2415"/>
      <c r="H1025" s="2415"/>
      <c r="I1025" s="2415"/>
      <c r="J1025" s="2415"/>
      <c r="K1025" s="2415"/>
      <c r="L1025" s="2415"/>
      <c r="M1025" s="2415"/>
      <c r="N1025" s="2415"/>
      <c r="O1025" s="2415"/>
      <c r="P1025" s="2415"/>
      <c r="Q1025" s="2415"/>
    </row>
    <row r="1026" spans="1:17" ht="13.8">
      <c r="A1026" s="2420"/>
      <c r="B1026" s="2415"/>
      <c r="C1026" s="2415"/>
      <c r="D1026" s="2415"/>
      <c r="E1026" s="2415"/>
      <c r="F1026" s="2415"/>
      <c r="G1026" s="2415"/>
      <c r="H1026" s="2415"/>
      <c r="I1026" s="2415"/>
      <c r="J1026" s="2415"/>
      <c r="K1026" s="2415"/>
      <c r="L1026" s="2415"/>
      <c r="M1026" s="2415"/>
      <c r="N1026" s="2415"/>
      <c r="O1026" s="2415"/>
      <c r="P1026" s="2415"/>
      <c r="Q1026" s="2420"/>
    </row>
    <row r="1027" spans="1:17" ht="13.8">
      <c r="A1027" s="2415"/>
      <c r="B1027" s="2417"/>
      <c r="C1027" s="2416"/>
      <c r="D1027" s="2416"/>
      <c r="E1027" s="2416"/>
      <c r="F1027" s="2416"/>
      <c r="G1027" s="2416"/>
      <c r="H1027" s="2416"/>
      <c r="I1027" s="2416"/>
      <c r="J1027" s="2416"/>
      <c r="K1027" s="2416"/>
      <c r="L1027" s="2416"/>
      <c r="M1027" s="2416"/>
      <c r="N1027" s="2415"/>
      <c r="O1027" s="2415"/>
      <c r="P1027" s="2415"/>
      <c r="Q1027" s="2418"/>
    </row>
    <row r="1028" spans="1:17" ht="13.8">
      <c r="A1028" s="2831" t="s">
        <v>1602</v>
      </c>
      <c r="B1028" s="2420" t="s">
        <v>3822</v>
      </c>
      <c r="C1028" s="2420"/>
      <c r="D1028" s="2420"/>
      <c r="E1028" s="2420"/>
      <c r="F1028" s="2420"/>
      <c r="G1028" s="2420"/>
      <c r="H1028" s="2416"/>
      <c r="I1028" s="2416"/>
      <c r="J1028" s="2416"/>
      <c r="K1028" s="2416"/>
      <c r="L1028" s="2836"/>
      <c r="M1028" s="2852"/>
      <c r="N1028" s="2415"/>
      <c r="O1028" s="2832" t="s">
        <v>1725</v>
      </c>
      <c r="P1028" s="2420"/>
      <c r="Q1028" s="2420"/>
    </row>
    <row r="1029" spans="1:17" ht="13.8">
      <c r="A1029" s="2415"/>
      <c r="B1029" s="2415" t="s">
        <v>4662</v>
      </c>
      <c r="C1029" s="2415"/>
      <c r="D1029" s="2415"/>
      <c r="E1029" s="2415"/>
      <c r="F1029" s="2415"/>
      <c r="G1029" s="2415"/>
      <c r="H1029" s="2415"/>
      <c r="I1029" s="2415"/>
      <c r="J1029" s="2415"/>
      <c r="K1029" s="2415"/>
      <c r="L1029" s="2415"/>
      <c r="M1029" s="2415"/>
      <c r="N1029" s="2417"/>
      <c r="O1029" s="2415"/>
      <c r="P1029" s="2420">
        <f>'Part VII-Threshold Criteria'!P147</f>
        <v>0</v>
      </c>
      <c r="Q1029" s="2420"/>
    </row>
    <row r="1030" spans="1:17" ht="15" customHeight="1">
      <c r="A1030" s="2832"/>
      <c r="B1030" s="2415" t="s">
        <v>1190</v>
      </c>
      <c r="C1030" s="2415"/>
      <c r="D1030" s="2415"/>
      <c r="E1030" s="2415"/>
      <c r="F1030" s="2415"/>
      <c r="G1030" s="2415"/>
      <c r="H1030" s="2415"/>
      <c r="I1030" s="2415"/>
      <c r="J1030" s="2415"/>
      <c r="K1030" s="2415"/>
      <c r="L1030" s="2415"/>
      <c r="M1030" s="2834" t="str">
        <f>'Part VII-Threshold Criteria'!M148</f>
        <v>&lt;&lt;Select&gt;&gt;</v>
      </c>
      <c r="N1030" s="2415"/>
      <c r="O1030" s="2415"/>
      <c r="P1030" s="2415"/>
      <c r="Q1030" s="2415"/>
    </row>
    <row r="1031" spans="1:17" ht="13.8">
      <c r="A1031" s="2832"/>
      <c r="B1031" s="2415" t="s">
        <v>1800</v>
      </c>
      <c r="C1031" s="2415"/>
      <c r="D1031" s="2415"/>
      <c r="E1031" s="2415"/>
      <c r="F1031" s="2415"/>
      <c r="G1031" s="2415"/>
      <c r="H1031" s="2415"/>
      <c r="I1031" s="2415"/>
      <c r="J1031" s="2415"/>
      <c r="K1031" s="2415"/>
      <c r="L1031" s="2415"/>
      <c r="M1031" s="2834">
        <f>'Part VII-Threshold Criteria'!M149</f>
        <v>0</v>
      </c>
      <c r="N1031" s="2415"/>
      <c r="O1031" s="2415"/>
      <c r="P1031" s="2415"/>
      <c r="Q1031" s="2415"/>
    </row>
    <row r="1032" spans="1:17" ht="14.4">
      <c r="A1032" s="2415"/>
      <c r="B1032" s="2837" t="s">
        <v>3154</v>
      </c>
      <c r="C1032" s="2415"/>
      <c r="D1032" s="2837"/>
      <c r="E1032" s="2837"/>
      <c r="F1032" s="2837"/>
      <c r="G1032" s="2837"/>
      <c r="H1032" s="2416"/>
      <c r="I1032" s="2417"/>
      <c r="J1032" s="2417"/>
      <c r="K1032" s="2417"/>
      <c r="L1032" s="2418"/>
      <c r="M1032" s="2420"/>
      <c r="N1032" s="2420"/>
      <c r="O1032" s="2420"/>
      <c r="P1032" s="2420"/>
      <c r="Q1032" s="2420"/>
    </row>
    <row r="1033" spans="1:17" ht="13.8">
      <c r="A1033" s="2834">
        <f>'Part VII-Threshold Criteria'!A151</f>
        <v>0</v>
      </c>
      <c r="B1033" s="2834"/>
      <c r="C1033" s="2834"/>
      <c r="D1033" s="2834"/>
      <c r="E1033" s="2834"/>
      <c r="F1033" s="2834"/>
      <c r="G1033" s="2834"/>
      <c r="H1033" s="2834"/>
      <c r="I1033" s="2834"/>
      <c r="J1033" s="2834"/>
      <c r="K1033" s="2834"/>
      <c r="L1033" s="2834"/>
      <c r="M1033" s="2834"/>
      <c r="N1033" s="2834"/>
      <c r="O1033" s="2834"/>
      <c r="P1033" s="2834"/>
      <c r="Q1033" s="2834"/>
    </row>
    <row r="1034" spans="1:17" ht="14.4">
      <c r="A1034" s="2415"/>
      <c r="B1034" s="2833" t="s">
        <v>1724</v>
      </c>
      <c r="C1034" s="2833"/>
      <c r="D1034" s="2415"/>
      <c r="E1034" s="2415"/>
      <c r="F1034" s="2415"/>
      <c r="G1034" s="2415"/>
      <c r="H1034" s="2415"/>
      <c r="I1034" s="2415"/>
      <c r="J1034" s="2415"/>
      <c r="K1034" s="2415"/>
      <c r="L1034" s="2415"/>
      <c r="M1034" s="2415"/>
      <c r="N1034" s="2415"/>
      <c r="O1034" s="2415"/>
      <c r="P1034" s="2415"/>
      <c r="Q1034" s="2415"/>
    </row>
    <row r="1035" spans="1:17" ht="13.8">
      <c r="A1035" s="2415"/>
      <c r="B1035" s="2415"/>
      <c r="C1035" s="2415"/>
      <c r="D1035" s="2415"/>
      <c r="E1035" s="2415"/>
      <c r="F1035" s="2415"/>
      <c r="G1035" s="2415"/>
      <c r="H1035" s="2415"/>
      <c r="I1035" s="2415"/>
      <c r="J1035" s="2415"/>
      <c r="K1035" s="2415"/>
      <c r="L1035" s="2415"/>
      <c r="M1035" s="2415"/>
      <c r="N1035" s="2415"/>
      <c r="O1035" s="2415"/>
      <c r="P1035" s="2415"/>
      <c r="Q1035" s="2415"/>
    </row>
    <row r="1036" spans="1:17" ht="13.8">
      <c r="A1036" s="2420"/>
      <c r="B1036" s="2415"/>
      <c r="C1036" s="2415"/>
      <c r="D1036" s="2415"/>
      <c r="E1036" s="2415"/>
      <c r="F1036" s="2415"/>
      <c r="G1036" s="2415"/>
      <c r="H1036" s="2415"/>
      <c r="I1036" s="2415"/>
      <c r="J1036" s="2415"/>
      <c r="K1036" s="2415"/>
      <c r="L1036" s="2415"/>
      <c r="M1036" s="2415"/>
      <c r="N1036" s="2415"/>
      <c r="O1036" s="2415"/>
      <c r="P1036" s="2415"/>
      <c r="Q1036" s="2420"/>
    </row>
    <row r="1037" spans="1:17" ht="13.8">
      <c r="A1037" s="2415"/>
      <c r="B1037" s="2417"/>
      <c r="C1037" s="2416"/>
      <c r="D1037" s="2416"/>
      <c r="E1037" s="2416"/>
      <c r="F1037" s="2416"/>
      <c r="G1037" s="2416"/>
      <c r="H1037" s="2416"/>
      <c r="I1037" s="2416"/>
      <c r="J1037" s="2416"/>
      <c r="K1037" s="2416"/>
      <c r="L1037" s="2416"/>
      <c r="M1037" s="2416"/>
      <c r="N1037" s="2415"/>
      <c r="O1037" s="2415"/>
      <c r="P1037" s="2415"/>
      <c r="Q1037" s="2418"/>
    </row>
    <row r="1038" spans="1:17" ht="13.8">
      <c r="A1038" s="2831" t="s">
        <v>2487</v>
      </c>
      <c r="B1038" s="2420" t="s">
        <v>2423</v>
      </c>
      <c r="C1038" s="2420"/>
      <c r="D1038" s="2420"/>
      <c r="E1038" s="2420"/>
      <c r="F1038" s="2420"/>
      <c r="G1038" s="2420"/>
      <c r="H1038" s="2416"/>
      <c r="I1038" s="2416"/>
      <c r="J1038" s="2416"/>
      <c r="K1038" s="2416"/>
      <c r="L1038" s="2416"/>
      <c r="M1038" s="2416"/>
      <c r="N1038" s="2415"/>
      <c r="O1038" s="2832" t="s">
        <v>1725</v>
      </c>
      <c r="P1038" s="2420"/>
      <c r="Q1038" s="2420"/>
    </row>
    <row r="1039" spans="1:17" ht="14.4">
      <c r="A1039" s="2415"/>
      <c r="B1039" s="2837" t="s">
        <v>3154</v>
      </c>
      <c r="C1039" s="2415"/>
      <c r="D1039" s="2837"/>
      <c r="E1039" s="2837"/>
      <c r="F1039" s="2837"/>
      <c r="G1039" s="2837"/>
      <c r="H1039" s="2416"/>
      <c r="I1039" s="2417"/>
      <c r="J1039" s="2417"/>
      <c r="K1039" s="2417"/>
      <c r="L1039" s="2418"/>
      <c r="M1039" s="2418"/>
      <c r="N1039" s="2418"/>
      <c r="O1039" s="2418"/>
      <c r="P1039" s="2420"/>
      <c r="Q1039" s="2420"/>
    </row>
    <row r="1040" spans="1:17" ht="13.8">
      <c r="A1040" s="2834">
        <f>'Part VII-Threshold Criteria'!A158</f>
        <v>0</v>
      </c>
      <c r="B1040" s="2834"/>
      <c r="C1040" s="2834"/>
      <c r="D1040" s="2834"/>
      <c r="E1040" s="2834"/>
      <c r="F1040" s="2834"/>
      <c r="G1040" s="2834"/>
      <c r="H1040" s="2834"/>
      <c r="I1040" s="2834"/>
      <c r="J1040" s="2834"/>
      <c r="K1040" s="2834"/>
      <c r="L1040" s="2834"/>
      <c r="M1040" s="2834"/>
      <c r="N1040" s="2834"/>
      <c r="O1040" s="2834"/>
      <c r="P1040" s="2834"/>
      <c r="Q1040" s="2834"/>
    </row>
    <row r="1041" spans="1:17" ht="14.4">
      <c r="A1041" s="2415"/>
      <c r="B1041" s="2833" t="s">
        <v>1724</v>
      </c>
      <c r="C1041" s="2833"/>
      <c r="D1041" s="2415"/>
      <c r="E1041" s="2415"/>
      <c r="F1041" s="2415"/>
      <c r="G1041" s="2415"/>
      <c r="H1041" s="2415"/>
      <c r="I1041" s="2415"/>
      <c r="J1041" s="2415"/>
      <c r="K1041" s="2415"/>
      <c r="L1041" s="2415"/>
      <c r="M1041" s="2415"/>
      <c r="N1041" s="2415"/>
      <c r="O1041" s="2415"/>
      <c r="P1041" s="2415"/>
      <c r="Q1041" s="2415"/>
    </row>
    <row r="1042" spans="1:17" ht="13.8">
      <c r="A1042" s="2415"/>
      <c r="B1042" s="2415"/>
      <c r="C1042" s="2415"/>
      <c r="D1042" s="2415"/>
      <c r="E1042" s="2415"/>
      <c r="F1042" s="2415"/>
      <c r="G1042" s="2415"/>
      <c r="H1042" s="2415"/>
      <c r="I1042" s="2415"/>
      <c r="J1042" s="2415"/>
      <c r="K1042" s="2415"/>
      <c r="L1042" s="2415"/>
      <c r="M1042" s="2415"/>
      <c r="N1042" s="2415"/>
      <c r="O1042" s="2415"/>
      <c r="P1042" s="2415"/>
      <c r="Q1042" s="2415"/>
    </row>
    <row r="1043" spans="1:17" ht="13.8">
      <c r="A1043" s="2415"/>
      <c r="B1043" s="2415"/>
      <c r="C1043" s="2415"/>
      <c r="D1043" s="2415"/>
      <c r="E1043" s="2415"/>
      <c r="F1043" s="2415"/>
      <c r="G1043" s="2415"/>
      <c r="H1043" s="2415"/>
      <c r="I1043" s="2415"/>
      <c r="J1043" s="2415"/>
      <c r="K1043" s="2415"/>
      <c r="L1043" s="2415"/>
      <c r="M1043" s="2415"/>
      <c r="N1043" s="2415"/>
      <c r="O1043" s="2415"/>
      <c r="P1043" s="2415"/>
      <c r="Q1043" s="2415"/>
    </row>
    <row r="1044" spans="1:17" ht="13.8">
      <c r="A1044" s="2415"/>
      <c r="B1044" s="2415"/>
      <c r="C1044" s="2415"/>
      <c r="D1044" s="2415"/>
      <c r="E1044" s="2415"/>
      <c r="F1044" s="2415"/>
      <c r="G1044" s="2415"/>
      <c r="H1044" s="2415"/>
      <c r="I1044" s="2415"/>
      <c r="J1044" s="2415"/>
      <c r="K1044" s="2415"/>
      <c r="L1044" s="2415"/>
      <c r="M1044" s="2415"/>
      <c r="N1044" s="2415"/>
      <c r="O1044" s="2415"/>
      <c r="P1044" s="2415"/>
      <c r="Q1044" s="2415"/>
    </row>
    <row r="1045" spans="1:17" ht="13.8">
      <c r="A1045" s="2831" t="s">
        <v>2074</v>
      </c>
      <c r="B1045" s="2831" t="s">
        <v>2424</v>
      </c>
      <c r="C1045" s="2831"/>
      <c r="D1045" s="2416"/>
      <c r="E1045" s="2416"/>
      <c r="F1045" s="2416"/>
      <c r="G1045" s="2416"/>
      <c r="H1045" s="2416"/>
      <c r="I1045" s="2416"/>
      <c r="J1045" s="2416"/>
      <c r="K1045" s="2416"/>
      <c r="L1045" s="2416"/>
      <c r="M1045" s="2416"/>
      <c r="N1045" s="2415"/>
      <c r="O1045" s="2832" t="s">
        <v>1725</v>
      </c>
      <c r="P1045" s="2420"/>
      <c r="Q1045" s="2420"/>
    </row>
    <row r="1046" spans="1:17" ht="13.8">
      <c r="A1046" s="2832" t="s">
        <v>1835</v>
      </c>
      <c r="B1046" s="2420" t="s">
        <v>4089</v>
      </c>
      <c r="C1046" s="2415"/>
      <c r="D1046" s="2415"/>
      <c r="E1046" s="2415"/>
      <c r="F1046" s="2415"/>
      <c r="G1046" s="2415"/>
      <c r="H1046" s="2415"/>
      <c r="I1046" s="2415"/>
      <c r="J1046" s="2415"/>
      <c r="K1046" s="2415"/>
      <c r="L1046" s="2415"/>
      <c r="M1046" s="2415"/>
      <c r="N1046" s="2415"/>
      <c r="O1046" s="2842"/>
      <c r="P1046" s="2415"/>
      <c r="Q1046" s="2415"/>
    </row>
    <row r="1047" spans="1:17" ht="15" customHeight="1">
      <c r="A1047" s="2415"/>
      <c r="B1047" s="2834" t="s">
        <v>5049</v>
      </c>
      <c r="C1047" s="2834"/>
      <c r="D1047" s="2834"/>
      <c r="E1047" s="2834"/>
      <c r="F1047" s="2834"/>
      <c r="G1047" s="2834"/>
      <c r="H1047" s="2834"/>
      <c r="I1047" s="2834"/>
      <c r="J1047" s="2834"/>
      <c r="K1047" s="2834"/>
      <c r="L1047" s="2834"/>
      <c r="M1047" s="2834"/>
      <c r="N1047" s="2834"/>
      <c r="O1047" s="2834"/>
      <c r="P1047" s="2420">
        <f>'Part VII-Threshold Criteria'!P165</f>
        <v>0</v>
      </c>
      <c r="Q1047" s="2841"/>
    </row>
    <row r="1048" spans="1:17" ht="13.8">
      <c r="A1048" s="2832" t="s">
        <v>1837</v>
      </c>
      <c r="B1048" s="2420" t="s">
        <v>297</v>
      </c>
      <c r="C1048" s="2415"/>
      <c r="D1048" s="2415"/>
      <c r="E1048" s="2415"/>
      <c r="F1048" s="2415"/>
      <c r="G1048" s="2415"/>
      <c r="H1048" s="2415"/>
      <c r="I1048" s="2415"/>
      <c r="J1048" s="2415"/>
      <c r="K1048" s="2415"/>
      <c r="L1048" s="2834" t="str">
        <f>'Part VII-Threshold Criteria'!L166</f>
        <v>&lt;&lt; Select a Sustainable Development Certification &gt;&gt;</v>
      </c>
      <c r="M1048" s="2420"/>
      <c r="N1048" s="2420"/>
      <c r="O1048" s="2420"/>
      <c r="P1048" s="2420"/>
      <c r="Q1048" s="2420"/>
    </row>
    <row r="1049" spans="1:17" ht="14.4">
      <c r="A1049" s="2415"/>
      <c r="B1049" s="2837" t="s">
        <v>3154</v>
      </c>
      <c r="C1049" s="2415"/>
      <c r="D1049" s="2415"/>
      <c r="E1049" s="2415"/>
      <c r="F1049" s="2415"/>
      <c r="G1049" s="2415"/>
      <c r="H1049" s="2415"/>
      <c r="I1049" s="2415"/>
      <c r="J1049" s="2415"/>
      <c r="K1049" s="2415"/>
      <c r="L1049" s="2415"/>
      <c r="M1049" s="2415"/>
      <c r="N1049" s="2415"/>
      <c r="O1049" s="2853"/>
      <c r="P1049" s="2420"/>
      <c r="Q1049" s="2415"/>
    </row>
    <row r="1050" spans="1:17" ht="13.8">
      <c r="A1050" s="2834">
        <f>'Part VII-Threshold Criteria'!A168</f>
        <v>0</v>
      </c>
      <c r="B1050" s="2834"/>
      <c r="C1050" s="2834"/>
      <c r="D1050" s="2834"/>
      <c r="E1050" s="2834"/>
      <c r="F1050" s="2834"/>
      <c r="G1050" s="2834"/>
      <c r="H1050" s="2834"/>
      <c r="I1050" s="2834"/>
      <c r="J1050" s="2834"/>
      <c r="K1050" s="2834"/>
      <c r="L1050" s="2834"/>
      <c r="M1050" s="2834"/>
      <c r="N1050" s="2834"/>
      <c r="O1050" s="2834"/>
      <c r="P1050" s="2834"/>
      <c r="Q1050" s="2834"/>
    </row>
    <row r="1051" spans="1:17" ht="14.4">
      <c r="A1051" s="2415"/>
      <c r="B1051" s="2833" t="s">
        <v>1724</v>
      </c>
      <c r="C1051" s="2833"/>
      <c r="D1051" s="2415"/>
      <c r="E1051" s="2415"/>
      <c r="F1051" s="2415"/>
      <c r="G1051" s="2415"/>
      <c r="H1051" s="2415"/>
      <c r="I1051" s="2415"/>
      <c r="J1051" s="2415"/>
      <c r="K1051" s="2415"/>
      <c r="L1051" s="2415"/>
      <c r="M1051" s="2415"/>
      <c r="N1051" s="2415"/>
      <c r="O1051" s="2415"/>
      <c r="P1051" s="2415"/>
      <c r="Q1051" s="2415"/>
    </row>
    <row r="1052" spans="1:17" ht="13.8">
      <c r="A1052" s="2415"/>
      <c r="B1052" s="2415"/>
      <c r="C1052" s="2415"/>
      <c r="D1052" s="2415"/>
      <c r="E1052" s="2415"/>
      <c r="F1052" s="2415"/>
      <c r="G1052" s="2415"/>
      <c r="H1052" s="2415"/>
      <c r="I1052" s="2415"/>
      <c r="J1052" s="2415"/>
      <c r="K1052" s="2415"/>
      <c r="L1052" s="2415"/>
      <c r="M1052" s="2415"/>
      <c r="N1052" s="2415"/>
      <c r="O1052" s="2415"/>
      <c r="P1052" s="2415"/>
      <c r="Q1052" s="2415"/>
    </row>
    <row r="1053" spans="1:17" ht="13.8">
      <c r="A1053" s="2415"/>
      <c r="B1053" s="2415"/>
      <c r="C1053" s="2415"/>
      <c r="D1053" s="2415"/>
      <c r="E1053" s="2415"/>
      <c r="F1053" s="2420"/>
      <c r="G1053" s="2420"/>
      <c r="H1053" s="2420"/>
      <c r="I1053" s="2420"/>
      <c r="J1053" s="2415"/>
      <c r="K1053" s="2415"/>
      <c r="L1053" s="2415"/>
      <c r="M1053" s="2415"/>
      <c r="N1053" s="2420"/>
      <c r="O1053" s="2420"/>
      <c r="P1053" s="2853"/>
      <c r="Q1053" s="2415"/>
    </row>
    <row r="1054" spans="1:17" ht="13.8">
      <c r="A1054" s="2415"/>
      <c r="B1054" s="2415"/>
      <c r="C1054" s="2415"/>
      <c r="D1054" s="2415"/>
      <c r="E1054" s="2415"/>
      <c r="F1054" s="2418"/>
      <c r="G1054" s="2418"/>
      <c r="H1054" s="2418"/>
      <c r="I1054" s="2418"/>
      <c r="J1054" s="2416"/>
      <c r="K1054" s="2416"/>
      <c r="L1054" s="2416"/>
      <c r="M1054" s="2417"/>
      <c r="N1054" s="2418"/>
      <c r="O1054" s="2418"/>
      <c r="P1054" s="2854"/>
      <c r="Q1054" s="2415"/>
    </row>
    <row r="1055" spans="1:17" ht="13.8">
      <c r="A1055" s="2831" t="s">
        <v>3279</v>
      </c>
      <c r="B1055" s="2831" t="s">
        <v>2425</v>
      </c>
      <c r="C1055" s="2831"/>
      <c r="D1055" s="2831"/>
      <c r="E1055" s="2416"/>
      <c r="F1055" s="2416"/>
      <c r="G1055" s="2416"/>
      <c r="H1055" s="2416"/>
      <c r="I1055" s="2416"/>
      <c r="J1055" s="2416"/>
      <c r="K1055" s="2416"/>
      <c r="L1055" s="2416"/>
      <c r="M1055" s="2416"/>
      <c r="N1055" s="2415"/>
      <c r="O1055" s="2832" t="s">
        <v>1725</v>
      </c>
      <c r="P1055" s="2420"/>
      <c r="Q1055" s="2420"/>
    </row>
    <row r="1056" spans="1:17" ht="13.8">
      <c r="A1056" s="2415"/>
      <c r="B1056" s="2415" t="s">
        <v>4662</v>
      </c>
      <c r="C1056" s="2415"/>
      <c r="D1056" s="2415"/>
      <c r="E1056" s="2415"/>
      <c r="F1056" s="2415"/>
      <c r="G1056" s="2415"/>
      <c r="H1056" s="2415"/>
      <c r="I1056" s="2415"/>
      <c r="J1056" s="2415"/>
      <c r="K1056" s="2415"/>
      <c r="L1056" s="2415"/>
      <c r="M1056" s="2415"/>
      <c r="N1056" s="2417"/>
      <c r="O1056" s="2415"/>
      <c r="P1056" s="2420">
        <f>'Part VII-Threshold Criteria'!P174</f>
        <v>0</v>
      </c>
      <c r="Q1056" s="2420"/>
    </row>
    <row r="1057" spans="1:17" ht="15" customHeight="1">
      <c r="A1057" s="2415"/>
      <c r="B1057" s="2415" t="s">
        <v>5050</v>
      </c>
      <c r="C1057" s="2415"/>
      <c r="D1057" s="2415"/>
      <c r="E1057" s="2415"/>
      <c r="F1057" s="2415"/>
      <c r="G1057" s="2415"/>
      <c r="H1057" s="2415"/>
      <c r="I1057" s="2415"/>
      <c r="J1057" s="2415"/>
      <c r="K1057" s="2415"/>
      <c r="L1057" s="2415"/>
      <c r="M1057" s="2415"/>
      <c r="N1057" s="2415"/>
      <c r="O1057" s="2415"/>
      <c r="P1057" s="2420">
        <f>'Part VII-Threshold Criteria'!P175</f>
        <v>0</v>
      </c>
      <c r="Q1057" s="2420"/>
    </row>
    <row r="1058" spans="1:17" ht="13.8">
      <c r="A1058" s="2832" t="s">
        <v>1835</v>
      </c>
      <c r="B1058" s="2420" t="s">
        <v>4972</v>
      </c>
      <c r="C1058" s="2415"/>
      <c r="D1058" s="2415"/>
      <c r="E1058" s="2415"/>
      <c r="F1058" s="2415"/>
      <c r="G1058" s="2415"/>
      <c r="H1058" s="2415"/>
      <c r="I1058" s="2415"/>
      <c r="J1058" s="2415"/>
      <c r="K1058" s="2415"/>
      <c r="L1058" s="2855"/>
      <c r="M1058" s="2856"/>
      <c r="N1058" s="2847"/>
      <c r="O1058" s="2415"/>
      <c r="P1058" s="2415"/>
      <c r="Q1058" s="2415"/>
    </row>
    <row r="1059" spans="1:17" ht="14.25" customHeight="1">
      <c r="A1059" s="2415"/>
      <c r="B1059" s="2834" t="s">
        <v>5166</v>
      </c>
      <c r="C1059" s="2834"/>
      <c r="D1059" s="2834"/>
      <c r="E1059" s="2834"/>
      <c r="F1059" s="2834"/>
      <c r="G1059" s="2834"/>
      <c r="H1059" s="2834"/>
      <c r="I1059" s="2834"/>
      <c r="J1059" s="2834"/>
      <c r="K1059" s="2834"/>
      <c r="L1059" s="2834"/>
      <c r="M1059" s="2834"/>
      <c r="N1059" s="2834"/>
      <c r="O1059" s="2834"/>
      <c r="P1059" s="2842"/>
      <c r="Q1059" s="2842"/>
    </row>
    <row r="1060" spans="1:17" ht="15.75" customHeight="1">
      <c r="A1060" s="2415"/>
      <c r="B1060" s="2415"/>
      <c r="C1060" s="2834"/>
      <c r="D1060" s="2834" t="s">
        <v>4984</v>
      </c>
      <c r="E1060" s="2834"/>
      <c r="F1060" s="2834"/>
      <c r="G1060" s="2834"/>
      <c r="H1060" s="2834"/>
      <c r="I1060" s="2834"/>
      <c r="J1060" s="2834"/>
      <c r="K1060" s="2834"/>
      <c r="L1060" s="2834"/>
      <c r="M1060" s="2834"/>
      <c r="N1060" s="2834"/>
      <c r="O1060" s="2834"/>
      <c r="P1060" s="2857">
        <f>'Part VII-Threshold Criteria'!P178</f>
        <v>0</v>
      </c>
      <c r="Q1060" s="2826"/>
    </row>
    <row r="1061" spans="1:17" ht="13.8">
      <c r="A1061" s="2415"/>
      <c r="B1061" s="2415"/>
      <c r="C1061" s="2415"/>
      <c r="D1061" s="2415"/>
      <c r="E1061" s="2415"/>
      <c r="F1061" s="2415"/>
      <c r="G1061" s="2415"/>
      <c r="H1061" s="2415"/>
      <c r="I1061" s="2415"/>
      <c r="J1061" s="2415"/>
      <c r="K1061" s="2415"/>
      <c r="L1061" s="2858" t="s">
        <v>4663</v>
      </c>
      <c r="M1061" s="2858"/>
      <c r="N1061" s="2415"/>
      <c r="O1061" s="2415"/>
      <c r="P1061" s="2420"/>
      <c r="Q1061" s="2420"/>
    </row>
    <row r="1062" spans="1:17" ht="13.8">
      <c r="A1062" s="2832" t="s">
        <v>1837</v>
      </c>
      <c r="B1062" s="2831" t="s">
        <v>4775</v>
      </c>
      <c r="C1062" s="2415"/>
      <c r="D1062" s="2859"/>
      <c r="E1062" s="2859"/>
      <c r="F1062" s="2859"/>
      <c r="G1062" s="2859"/>
      <c r="H1062" s="2859"/>
      <c r="I1062" s="2859"/>
      <c r="J1062" s="2859"/>
      <c r="K1062" s="2859"/>
      <c r="L1062" s="2415" t="s">
        <v>4664</v>
      </c>
      <c r="M1062" s="2415" t="s">
        <v>4665</v>
      </c>
      <c r="N1062" s="2859"/>
      <c r="O1062" s="2842"/>
      <c r="P1062" s="2415" t="s">
        <v>4997</v>
      </c>
      <c r="Q1062" s="2415"/>
    </row>
    <row r="1063" spans="1:17" ht="13.8">
      <c r="A1063" s="2832"/>
      <c r="B1063" s="2415" t="s">
        <v>4666</v>
      </c>
      <c r="C1063" s="2415"/>
      <c r="D1063" s="2415"/>
      <c r="E1063" s="2415"/>
      <c r="F1063" s="2415"/>
      <c r="G1063" s="2415"/>
      <c r="H1063" s="2415"/>
      <c r="I1063" s="2415"/>
      <c r="J1063" s="2415"/>
      <c r="K1063" s="2860"/>
      <c r="L1063" s="2861">
        <f>'Part VII-Threshold Criteria'!L181</f>
        <v>8</v>
      </c>
      <c r="M1063" s="2862">
        <f>'DCA Underwriting Assumptions'!$Q$148</f>
        <v>0.05</v>
      </c>
      <c r="N1063" s="2847" t="s">
        <v>4776</v>
      </c>
      <c r="O1063" s="2842"/>
      <c r="P1063" s="2420">
        <f>'Part VII-Threshold Criteria'!P181</f>
        <v>0</v>
      </c>
      <c r="Q1063" s="2420"/>
    </row>
    <row r="1064" spans="1:17" ht="15" customHeight="1">
      <c r="A1064" s="2832"/>
      <c r="B1064" s="2416"/>
      <c r="C1064" s="2415"/>
      <c r="D1064" s="2415" t="s">
        <v>5052</v>
      </c>
      <c r="E1064" s="2415"/>
      <c r="F1064" s="2415"/>
      <c r="G1064" s="2415"/>
      <c r="H1064" s="2415"/>
      <c r="I1064" s="2415"/>
      <c r="J1064" s="2415"/>
      <c r="K1064" s="2860"/>
      <c r="L1064" s="2861">
        <f>'Part VII-Threshold Criteria'!L182</f>
        <v>4</v>
      </c>
      <c r="M1064" s="2862">
        <f>'DCA Underwriting Assumptions'!$Q$149</f>
        <v>0.4</v>
      </c>
      <c r="N1064" s="2847" t="s">
        <v>4777</v>
      </c>
      <c r="O1064" s="2842"/>
      <c r="P1064" s="2420">
        <f>'Part VII-Threshold Criteria'!P182</f>
        <v>0</v>
      </c>
      <c r="Q1064" s="2420"/>
    </row>
    <row r="1065" spans="1:17" ht="15" customHeight="1">
      <c r="A1065" s="2832"/>
      <c r="B1065" s="2415" t="s">
        <v>4667</v>
      </c>
      <c r="C1065" s="2415"/>
      <c r="D1065" s="2415"/>
      <c r="E1065" s="2415"/>
      <c r="F1065" s="2415"/>
      <c r="G1065" s="2415"/>
      <c r="H1065" s="2415"/>
      <c r="I1065" s="2415"/>
      <c r="J1065" s="2415"/>
      <c r="K1065" s="2415"/>
      <c r="L1065" s="2861">
        <f>'Part VII-Threshold Criteria'!L183</f>
        <v>4</v>
      </c>
      <c r="M1065" s="2862">
        <f>'DCA Underwriting Assumptions'!$Q$150</f>
        <v>0.02</v>
      </c>
      <c r="N1065" s="2847" t="s">
        <v>4776</v>
      </c>
      <c r="O1065" s="2842"/>
      <c r="P1065" s="2420">
        <f>'Part VII-Threshold Criteria'!P183</f>
        <v>0</v>
      </c>
      <c r="Q1065" s="2420"/>
    </row>
    <row r="1066" spans="1:17" ht="13.8">
      <c r="A1066" s="2832" t="s">
        <v>697</v>
      </c>
      <c r="B1066" s="2420" t="s">
        <v>4778</v>
      </c>
      <c r="C1066" s="2415"/>
      <c r="D1066" s="2415"/>
      <c r="E1066" s="2415"/>
      <c r="F1066" s="2415"/>
      <c r="G1066" s="2415"/>
      <c r="H1066" s="2415"/>
      <c r="I1066" s="2415"/>
      <c r="J1066" s="2415"/>
      <c r="K1066" s="2415"/>
      <c r="L1066" s="2861"/>
      <c r="M1066" s="2862"/>
      <c r="N1066" s="2847"/>
      <c r="O1066" s="2842"/>
      <c r="P1066" s="2415"/>
      <c r="Q1066" s="2415"/>
    </row>
    <row r="1067" spans="1:17" ht="13.8">
      <c r="A1067" s="2832"/>
      <c r="B1067" s="2415" t="s">
        <v>4781</v>
      </c>
      <c r="C1067" s="2415"/>
      <c r="D1067" s="2415"/>
      <c r="E1067" s="2415"/>
      <c r="F1067" s="2415"/>
      <c r="G1067" s="2415"/>
      <c r="H1067" s="2415"/>
      <c r="I1067" s="2415"/>
      <c r="J1067" s="2415"/>
      <c r="K1067" s="2415"/>
      <c r="L1067" s="2415"/>
      <c r="M1067" s="2834">
        <f>'Part VII-Threshold Criteria'!M185</f>
        <v>0</v>
      </c>
      <c r="N1067" s="2820"/>
      <c r="O1067" s="2820"/>
      <c r="P1067" s="2820"/>
      <c r="Q1067" s="2820"/>
    </row>
    <row r="1068" spans="1:17" ht="13.8">
      <c r="A1068" s="2832"/>
      <c r="B1068" s="2415"/>
      <c r="C1068" s="2415"/>
      <c r="D1068" s="2415" t="s">
        <v>4779</v>
      </c>
      <c r="E1068" s="2415"/>
      <c r="F1068" s="2415"/>
      <c r="G1068" s="2415"/>
      <c r="H1068" s="2415"/>
      <c r="I1068" s="2415"/>
      <c r="J1068" s="2415"/>
      <c r="K1068" s="2415"/>
      <c r="L1068" s="2415"/>
      <c r="M1068" s="2415"/>
      <c r="N1068" s="2415"/>
      <c r="O1068" s="2415"/>
      <c r="P1068" s="2420">
        <f>'Part VII-Threshold Criteria'!P186</f>
        <v>0</v>
      </c>
      <c r="Q1068" s="2420"/>
    </row>
    <row r="1069" spans="1:17" ht="13.8">
      <c r="A1069" s="2832"/>
      <c r="B1069" s="2415"/>
      <c r="C1069" s="2415"/>
      <c r="D1069" s="2415" t="s">
        <v>4780</v>
      </c>
      <c r="E1069" s="2415"/>
      <c r="F1069" s="2415"/>
      <c r="G1069" s="2415"/>
      <c r="H1069" s="2415"/>
      <c r="I1069" s="2415"/>
      <c r="J1069" s="2415"/>
      <c r="K1069" s="2415"/>
      <c r="L1069" s="2415"/>
      <c r="M1069" s="2415"/>
      <c r="N1069" s="2415"/>
      <c r="O1069" s="2842"/>
      <c r="P1069" s="2420">
        <f>'Part VII-Threshold Criteria'!P187</f>
        <v>0</v>
      </c>
      <c r="Q1069" s="2418"/>
    </row>
    <row r="1070" spans="1:17" ht="14.4">
      <c r="A1070" s="2415"/>
      <c r="B1070" s="2837" t="s">
        <v>3154</v>
      </c>
      <c r="C1070" s="2415"/>
      <c r="D1070" s="2837"/>
      <c r="E1070" s="2837"/>
      <c r="F1070" s="2837"/>
      <c r="G1070" s="2837"/>
      <c r="H1070" s="2416"/>
      <c r="I1070" s="2417"/>
      <c r="J1070" s="2417"/>
      <c r="K1070" s="2417"/>
      <c r="L1070" s="2418"/>
      <c r="M1070" s="2418"/>
      <c r="N1070" s="2418"/>
      <c r="O1070" s="2418"/>
      <c r="P1070" s="2418"/>
      <c r="Q1070" s="2418"/>
    </row>
    <row r="1071" spans="1:17" ht="13.8">
      <c r="A1071" s="2834">
        <f>'Part VII-Threshold Criteria'!A189</f>
        <v>0</v>
      </c>
      <c r="B1071" s="2834"/>
      <c r="C1071" s="2834"/>
      <c r="D1071" s="2834"/>
      <c r="E1071" s="2834"/>
      <c r="F1071" s="2834"/>
      <c r="G1071" s="2834"/>
      <c r="H1071" s="2834"/>
      <c r="I1071" s="2834"/>
      <c r="J1071" s="2834"/>
      <c r="K1071" s="2834"/>
      <c r="L1071" s="2834"/>
      <c r="M1071" s="2834"/>
      <c r="N1071" s="2834"/>
      <c r="O1071" s="2834"/>
      <c r="P1071" s="2834"/>
      <c r="Q1071" s="2834"/>
    </row>
    <row r="1072" spans="1:17" ht="14.4">
      <c r="A1072" s="2415"/>
      <c r="B1072" s="2833" t="s">
        <v>1724</v>
      </c>
      <c r="C1072" s="2833"/>
      <c r="D1072" s="2415"/>
      <c r="E1072" s="2415"/>
      <c r="F1072" s="2415"/>
      <c r="G1072" s="2415"/>
      <c r="H1072" s="2415"/>
      <c r="I1072" s="2415"/>
      <c r="J1072" s="2415"/>
      <c r="K1072" s="2415"/>
      <c r="L1072" s="2415"/>
      <c r="M1072" s="2415"/>
      <c r="N1072" s="2415"/>
      <c r="O1072" s="2415"/>
      <c r="P1072" s="2415"/>
      <c r="Q1072" s="2415"/>
    </row>
    <row r="1073" spans="1:17" ht="13.8">
      <c r="A1073" s="2415"/>
      <c r="B1073" s="2415"/>
      <c r="C1073" s="2415"/>
      <c r="D1073" s="2415"/>
      <c r="E1073" s="2415"/>
      <c r="F1073" s="2415"/>
      <c r="G1073" s="2415"/>
      <c r="H1073" s="2415"/>
      <c r="I1073" s="2415"/>
      <c r="J1073" s="2415"/>
      <c r="K1073" s="2415"/>
      <c r="L1073" s="2415"/>
      <c r="M1073" s="2415"/>
      <c r="N1073" s="2415"/>
      <c r="O1073" s="2415"/>
      <c r="P1073" s="2415"/>
      <c r="Q1073" s="2415"/>
    </row>
    <row r="1074" spans="1:17" ht="13.8">
      <c r="A1074" s="2415"/>
      <c r="B1074" s="2415"/>
      <c r="C1074" s="2415"/>
      <c r="D1074" s="2415"/>
      <c r="E1074" s="2415"/>
      <c r="F1074" s="2415"/>
      <c r="G1074" s="2415"/>
      <c r="H1074" s="2415"/>
      <c r="I1074" s="2415"/>
      <c r="J1074" s="2415"/>
      <c r="K1074" s="2415"/>
      <c r="L1074" s="2415"/>
      <c r="M1074" s="2415"/>
      <c r="N1074" s="2415"/>
      <c r="O1074" s="2415"/>
      <c r="P1074" s="2415"/>
      <c r="Q1074" s="2415"/>
    </row>
    <row r="1075" spans="1:17" ht="13.8">
      <c r="A1075" s="2415"/>
      <c r="B1075" s="2416"/>
      <c r="C1075" s="2416"/>
      <c r="D1075" s="2416"/>
      <c r="E1075" s="2416"/>
      <c r="F1075" s="2416"/>
      <c r="G1075" s="2416"/>
      <c r="H1075" s="2416"/>
      <c r="I1075" s="2416"/>
      <c r="J1075" s="2416"/>
      <c r="K1075" s="2416"/>
      <c r="L1075" s="2416"/>
      <c r="M1075" s="2416"/>
      <c r="N1075" s="2416"/>
      <c r="O1075" s="2416"/>
      <c r="P1075" s="2416"/>
      <c r="Q1075" s="2416"/>
    </row>
    <row r="1076" spans="1:17" ht="13.8">
      <c r="A1076" s="2831" t="s">
        <v>3280</v>
      </c>
      <c r="B1076" s="2420" t="s">
        <v>2426</v>
      </c>
      <c r="C1076" s="2420"/>
      <c r="D1076" s="2420"/>
      <c r="E1076" s="2420"/>
      <c r="F1076" s="2420"/>
      <c r="G1076" s="2420"/>
      <c r="H1076" s="2416"/>
      <c r="I1076" s="2416"/>
      <c r="J1076" s="2416"/>
      <c r="K1076" s="2416"/>
      <c r="L1076" s="2416"/>
      <c r="M1076" s="2416"/>
      <c r="N1076" s="2415"/>
      <c r="O1076" s="2832" t="s">
        <v>1725</v>
      </c>
      <c r="P1076" s="2420"/>
      <c r="Q1076" s="2420"/>
    </row>
    <row r="1077" spans="1:17" ht="13.8">
      <c r="A1077" s="2415"/>
      <c r="B1077" s="2415" t="s">
        <v>4662</v>
      </c>
      <c r="C1077" s="2415"/>
      <c r="D1077" s="2415"/>
      <c r="E1077" s="2415"/>
      <c r="F1077" s="2415"/>
      <c r="G1077" s="2415"/>
      <c r="H1077" s="2415"/>
      <c r="I1077" s="2415"/>
      <c r="J1077" s="2415"/>
      <c r="K1077" s="2415"/>
      <c r="L1077" s="2415"/>
      <c r="M1077" s="2415"/>
      <c r="N1077" s="2415"/>
      <c r="O1077" s="2415"/>
      <c r="P1077" s="2420">
        <f>'Part VII-Threshold Criteria'!P195</f>
        <v>0</v>
      </c>
      <c r="Q1077" s="2420"/>
    </row>
    <row r="1078" spans="1:17" ht="15" customHeight="1">
      <c r="A1078" s="2415"/>
      <c r="B1078" s="2415" t="s">
        <v>5053</v>
      </c>
      <c r="C1078" s="2415"/>
      <c r="D1078" s="2415"/>
      <c r="E1078" s="2415"/>
      <c r="F1078" s="2415"/>
      <c r="G1078" s="2415"/>
      <c r="H1078" s="2415"/>
      <c r="I1078" s="2415"/>
      <c r="J1078" s="2415"/>
      <c r="K1078" s="2415"/>
      <c r="L1078" s="2415"/>
      <c r="M1078" s="2415"/>
      <c r="N1078" s="2415"/>
      <c r="O1078" s="2415"/>
      <c r="P1078" s="2420">
        <f>'Part VII-Threshold Criteria'!P196</f>
        <v>0</v>
      </c>
      <c r="Q1078" s="2420"/>
    </row>
    <row r="1079" spans="1:17" ht="13.8">
      <c r="A1079" s="2832" t="s">
        <v>1835</v>
      </c>
      <c r="B1079" s="2420" t="s">
        <v>432</v>
      </c>
      <c r="C1079" s="2415"/>
      <c r="D1079" s="2420"/>
      <c r="E1079" s="2420"/>
      <c r="F1079" s="2420"/>
      <c r="G1079" s="2420"/>
      <c r="H1079" s="2420"/>
      <c r="I1079" s="2420"/>
      <c r="J1079" s="2420"/>
      <c r="K1079" s="2420"/>
      <c r="L1079" s="2420"/>
      <c r="M1079" s="2420"/>
      <c r="N1079" s="2415"/>
      <c r="O1079" s="2842"/>
      <c r="P1079" s="2420"/>
      <c r="Q1079" s="2420"/>
    </row>
    <row r="1080" spans="1:17" ht="14.25" customHeight="1">
      <c r="A1080" s="2415"/>
      <c r="B1080" s="2846" t="s">
        <v>1611</v>
      </c>
      <c r="C1080" s="2834" t="s">
        <v>4717</v>
      </c>
      <c r="D1080" s="2834"/>
      <c r="E1080" s="2834"/>
      <c r="F1080" s="2834" t="str">
        <f>'Part VII-Threshold Criteria'!F198</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80" s="2834"/>
      <c r="H1080" s="2834"/>
      <c r="I1080" s="2834"/>
      <c r="J1080" s="2834"/>
      <c r="K1080" s="2834"/>
      <c r="L1080" s="2834"/>
      <c r="M1080" s="2834"/>
      <c r="N1080" s="2834"/>
      <c r="O1080" s="2834"/>
      <c r="P1080" s="2834"/>
      <c r="Q1080" s="2834"/>
    </row>
    <row r="1081" spans="1:17" ht="14.25" customHeight="1">
      <c r="A1081" s="2415"/>
      <c r="B1081" s="2846" t="s">
        <v>1612</v>
      </c>
      <c r="C1081" s="2834" t="s">
        <v>5082</v>
      </c>
      <c r="D1081" s="2834"/>
      <c r="E1081" s="2834"/>
      <c r="F1081" s="2834" t="str">
        <f>'Part VII-Threshold Criteria'!F199</f>
        <v>Upgraded "architectural dimensional" shingles, or roofing materials  (warranty 40 years or greater)</v>
      </c>
      <c r="G1081" s="2834"/>
      <c r="H1081" s="2834"/>
      <c r="I1081" s="2834"/>
      <c r="J1081" s="2834"/>
      <c r="K1081" s="2834"/>
      <c r="L1081" s="2834"/>
      <c r="M1081" s="2834"/>
      <c r="N1081" s="2834"/>
      <c r="O1081" s="2834"/>
      <c r="P1081" s="2834"/>
      <c r="Q1081" s="2834"/>
    </row>
    <row r="1082" spans="1:17" ht="15" customHeight="1">
      <c r="A1082" s="2832"/>
      <c r="B1082" s="2846" t="s">
        <v>1613</v>
      </c>
      <c r="C1082" s="2415" t="s">
        <v>4668</v>
      </c>
      <c r="D1082" s="2415"/>
      <c r="E1082" s="2415"/>
      <c r="F1082" s="2415"/>
      <c r="G1082" s="2415"/>
      <c r="H1082" s="2415"/>
      <c r="I1082" s="2415"/>
      <c r="J1082" s="2415"/>
      <c r="K1082" s="2415"/>
      <c r="L1082" s="2415"/>
      <c r="M1082" s="2415"/>
      <c r="N1082" s="2415"/>
      <c r="O1082" s="2415"/>
      <c r="P1082" s="2415"/>
      <c r="Q1082" s="2415"/>
    </row>
    <row r="1083" spans="1:17" ht="13.8">
      <c r="A1083" s="2832"/>
      <c r="B1083" s="2842"/>
      <c r="C1083" s="2834">
        <f>'Part VII-Threshold Criteria'!C201</f>
        <v>0</v>
      </c>
      <c r="D1083" s="2415"/>
      <c r="E1083" s="2415"/>
      <c r="F1083" s="2415"/>
      <c r="G1083" s="2415"/>
      <c r="H1083" s="2415"/>
      <c r="I1083" s="2415"/>
      <c r="J1083" s="2415"/>
      <c r="K1083" s="2415"/>
      <c r="L1083" s="2415"/>
      <c r="M1083" s="2415"/>
      <c r="N1083" s="2415"/>
      <c r="O1083" s="2415"/>
      <c r="P1083" s="2415"/>
      <c r="Q1083" s="2415"/>
    </row>
    <row r="1084" spans="1:17" ht="13.8">
      <c r="A1084" s="2832"/>
      <c r="B1084" s="2842"/>
      <c r="C1084" s="2834">
        <f>'Part VII-Threshold Criteria'!C202</f>
        <v>0</v>
      </c>
      <c r="D1084" s="2415"/>
      <c r="E1084" s="2415"/>
      <c r="F1084" s="2415"/>
      <c r="G1084" s="2415"/>
      <c r="H1084" s="2415"/>
      <c r="I1084" s="2415"/>
      <c r="J1084" s="2415"/>
      <c r="K1084" s="2415"/>
      <c r="L1084" s="2415"/>
      <c r="M1084" s="2415"/>
      <c r="N1084" s="2415"/>
      <c r="O1084" s="2415"/>
      <c r="P1084" s="2415"/>
      <c r="Q1084" s="2415"/>
    </row>
    <row r="1085" spans="1:17" ht="14.4">
      <c r="A1085" s="2415"/>
      <c r="B1085" s="2837" t="s">
        <v>3154</v>
      </c>
      <c r="C1085" s="2415"/>
      <c r="D1085" s="2833"/>
      <c r="E1085" s="2833"/>
      <c r="F1085" s="2833"/>
      <c r="G1085" s="2833"/>
      <c r="H1085" s="2415"/>
      <c r="I1085" s="2415"/>
      <c r="J1085" s="2415"/>
      <c r="K1085" s="2415"/>
      <c r="L1085" s="2420"/>
      <c r="M1085" s="2420"/>
      <c r="N1085" s="2420"/>
      <c r="O1085" s="2420"/>
      <c r="P1085" s="2420"/>
      <c r="Q1085" s="2420"/>
    </row>
    <row r="1086" spans="1:17" ht="13.8">
      <c r="A1086" s="2834">
        <f>'Part VII-Threshold Criteria'!A204</f>
        <v>0</v>
      </c>
      <c r="B1086" s="2834"/>
      <c r="C1086" s="2834"/>
      <c r="D1086" s="2834"/>
      <c r="E1086" s="2834"/>
      <c r="F1086" s="2834"/>
      <c r="G1086" s="2834"/>
      <c r="H1086" s="2834"/>
      <c r="I1086" s="2834"/>
      <c r="J1086" s="2834"/>
      <c r="K1086" s="2834"/>
      <c r="L1086" s="2834"/>
      <c r="M1086" s="2834"/>
      <c r="N1086" s="2834"/>
      <c r="O1086" s="2834"/>
      <c r="P1086" s="2834"/>
      <c r="Q1086" s="2834"/>
    </row>
    <row r="1087" spans="1:17" ht="14.4">
      <c r="A1087" s="2415"/>
      <c r="B1087" s="2833" t="s">
        <v>1724</v>
      </c>
      <c r="C1087" s="2833"/>
      <c r="D1087" s="2415"/>
      <c r="E1087" s="2415"/>
      <c r="F1087" s="2415"/>
      <c r="G1087" s="2415"/>
      <c r="H1087" s="2415"/>
      <c r="I1087" s="2415"/>
      <c r="J1087" s="2415"/>
      <c r="K1087" s="2415"/>
      <c r="L1087" s="2415"/>
      <c r="M1087" s="2415"/>
      <c r="N1087" s="2415"/>
      <c r="O1087" s="2415"/>
      <c r="P1087" s="2415"/>
      <c r="Q1087" s="2415"/>
    </row>
    <row r="1088" spans="1:17" ht="13.8">
      <c r="A1088" s="2415"/>
      <c r="B1088" s="2415"/>
      <c r="C1088" s="2415"/>
      <c r="D1088" s="2415"/>
      <c r="E1088" s="2415"/>
      <c r="F1088" s="2415"/>
      <c r="G1088" s="2415"/>
      <c r="H1088" s="2415"/>
      <c r="I1088" s="2415"/>
      <c r="J1088" s="2415"/>
      <c r="K1088" s="2415"/>
      <c r="L1088" s="2415"/>
      <c r="M1088" s="2415"/>
      <c r="N1088" s="2415"/>
      <c r="O1088" s="2415"/>
      <c r="P1088" s="2415"/>
      <c r="Q1088" s="2415"/>
    </row>
    <row r="1089" spans="1:17" ht="13.8">
      <c r="A1089" s="2415"/>
      <c r="B1089" s="2415"/>
      <c r="C1089" s="2415"/>
      <c r="D1089" s="2415"/>
      <c r="E1089" s="2415"/>
      <c r="F1089" s="2415"/>
      <c r="G1089" s="2415"/>
      <c r="H1089" s="2415"/>
      <c r="I1089" s="2415"/>
      <c r="J1089" s="2415"/>
      <c r="K1089" s="2415"/>
      <c r="L1089" s="2415"/>
      <c r="M1089" s="2415"/>
      <c r="N1089" s="2415"/>
      <c r="O1089" s="2415"/>
      <c r="P1089" s="2415"/>
      <c r="Q1089" s="2415"/>
    </row>
    <row r="1090" spans="1:17" ht="13.8">
      <c r="A1090" s="2415"/>
      <c r="B1090" s="2416"/>
      <c r="C1090" s="2416"/>
      <c r="D1090" s="2416"/>
      <c r="E1090" s="2416"/>
      <c r="F1090" s="2416"/>
      <c r="G1090" s="2416"/>
      <c r="H1090" s="2416"/>
      <c r="I1090" s="2416"/>
      <c r="J1090" s="2416"/>
      <c r="K1090" s="2416"/>
      <c r="L1090" s="2416"/>
      <c r="M1090" s="2416"/>
      <c r="N1090" s="2416"/>
      <c r="O1090" s="2416"/>
      <c r="P1090" s="2416"/>
      <c r="Q1090" s="2416"/>
    </row>
    <row r="1091" spans="1:17" ht="13.8">
      <c r="A1091" s="2831" t="s">
        <v>3278</v>
      </c>
      <c r="B1091" s="2831" t="s">
        <v>4782</v>
      </c>
      <c r="C1091" s="2831"/>
      <c r="D1091" s="2416"/>
      <c r="E1091" s="2416"/>
      <c r="F1091" s="2416"/>
      <c r="G1091" s="2416"/>
      <c r="H1091" s="2416"/>
      <c r="I1091" s="2415"/>
      <c r="J1091" s="2415"/>
      <c r="K1091" s="2415"/>
      <c r="L1091" s="2415"/>
      <c r="M1091" s="2415"/>
      <c r="N1091" s="2415"/>
      <c r="O1091" s="2832" t="s">
        <v>1725</v>
      </c>
      <c r="P1091" s="2420"/>
      <c r="Q1091" s="2420"/>
    </row>
    <row r="1092" spans="1:17" ht="13.8">
      <c r="A1092" s="2832"/>
      <c r="B1092" s="2415" t="s">
        <v>5054</v>
      </c>
      <c r="C1092" s="2415"/>
      <c r="D1092" s="2415"/>
      <c r="E1092" s="2415"/>
      <c r="F1092" s="2415"/>
      <c r="G1092" s="2415"/>
      <c r="H1092" s="2415"/>
      <c r="I1092" s="2415"/>
      <c r="J1092" s="2415"/>
      <c r="K1092" s="2415"/>
      <c r="L1092" s="2415"/>
      <c r="M1092" s="2415"/>
      <c r="N1092" s="2415"/>
      <c r="O1092" s="2842"/>
      <c r="P1092" s="2420" t="str">
        <f>'Part VII-Threshold Criteria'!P210</f>
        <v>&lt;&lt;Select&gt;&gt;</v>
      </c>
      <c r="Q1092" s="2420"/>
    </row>
    <row r="1093" spans="1:17" ht="13.8">
      <c r="A1093" s="2832"/>
      <c r="B1093" s="2415" t="s">
        <v>5055</v>
      </c>
      <c r="C1093" s="2415"/>
      <c r="D1093" s="2415"/>
      <c r="E1093" s="2415"/>
      <c r="F1093" s="2415"/>
      <c r="G1093" s="2415"/>
      <c r="H1093" s="2415"/>
      <c r="I1093" s="2415"/>
      <c r="J1093" s="2415"/>
      <c r="K1093" s="2415"/>
      <c r="L1093" s="2415"/>
      <c r="M1093" s="2415"/>
      <c r="N1093" s="2415"/>
      <c r="O1093" s="2842"/>
      <c r="P1093" s="2420" t="str">
        <f>'Part VII-Threshold Criteria'!P211</f>
        <v>&lt;&lt;Select&gt;&gt;</v>
      </c>
      <c r="Q1093" s="2420"/>
    </row>
    <row r="1094" spans="1:17" ht="13.8">
      <c r="A1094" s="2832"/>
      <c r="B1094" s="2415" t="s">
        <v>5056</v>
      </c>
      <c r="C1094" s="2415"/>
      <c r="D1094" s="2415"/>
      <c r="E1094" s="2415"/>
      <c r="F1094" s="2415"/>
      <c r="G1094" s="2415"/>
      <c r="H1094" s="2415"/>
      <c r="I1094" s="2415"/>
      <c r="J1094" s="2415"/>
      <c r="K1094" s="2417"/>
      <c r="L1094" s="2415"/>
      <c r="M1094" s="2842"/>
      <c r="N1094" s="2415"/>
      <c r="O1094" s="2415"/>
      <c r="P1094" s="2420" t="str">
        <f>'Part VII-Threshold Criteria'!P212</f>
        <v>&lt;&lt;Select&gt;&gt;</v>
      </c>
      <c r="Q1094" s="2420"/>
    </row>
    <row r="1095" spans="1:17" ht="15" customHeight="1">
      <c r="A1095" s="2832"/>
      <c r="B1095" s="2415" t="s">
        <v>5057</v>
      </c>
      <c r="C1095" s="2415"/>
      <c r="D1095" s="2415"/>
      <c r="E1095" s="2415"/>
      <c r="F1095" s="2415"/>
      <c r="G1095" s="2415"/>
      <c r="H1095" s="2415"/>
      <c r="I1095" s="2415"/>
      <c r="J1095" s="2415"/>
      <c r="K1095" s="2415"/>
      <c r="L1095" s="2415"/>
      <c r="M1095" s="2415"/>
      <c r="N1095" s="2415"/>
      <c r="O1095" s="2415"/>
      <c r="P1095" s="2420" t="str">
        <f>'Part VII-Threshold Criteria'!P213</f>
        <v>&lt;&lt;Select&gt;&gt;</v>
      </c>
      <c r="Q1095" s="2841"/>
    </row>
    <row r="1096" spans="1:17" ht="13.8">
      <c r="A1096" s="2832"/>
      <c r="B1096" s="2415" t="s">
        <v>5058</v>
      </c>
      <c r="C1096" s="2415"/>
      <c r="D1096" s="2415"/>
      <c r="E1096" s="2415"/>
      <c r="F1096" s="2415"/>
      <c r="G1096" s="2415"/>
      <c r="H1096" s="2415"/>
      <c r="I1096" s="2415"/>
      <c r="J1096" s="2415"/>
      <c r="K1096" s="2415"/>
      <c r="L1096" s="2415"/>
      <c r="M1096" s="2415"/>
      <c r="N1096" s="2415"/>
      <c r="O1096" s="2420" t="str">
        <f>'Part VII-Threshold Criteria'!O214</f>
        <v>&lt;&lt;Select&gt;&gt;</v>
      </c>
      <c r="P1096" s="2420"/>
      <c r="Q1096" s="2420"/>
    </row>
    <row r="1097" spans="1:17" ht="13.8">
      <c r="A1097" s="2832"/>
      <c r="B1097" s="2420" t="s">
        <v>4669</v>
      </c>
      <c r="C1097" s="2415"/>
      <c r="D1097" s="2415"/>
      <c r="E1097" s="2415"/>
      <c r="F1097" s="2415"/>
      <c r="G1097" s="2415"/>
      <c r="H1097" s="2415"/>
      <c r="I1097" s="2420" t="s">
        <v>1641</v>
      </c>
      <c r="J1097" s="2420"/>
      <c r="K1097" s="2420"/>
      <c r="L1097" s="2420"/>
      <c r="M1097" s="2415"/>
      <c r="N1097" s="2415"/>
      <c r="O1097" s="2415"/>
      <c r="P1097" s="2415"/>
      <c r="Q1097" s="2415"/>
    </row>
    <row r="1098" spans="1:17" ht="14.4">
      <c r="A1098" s="2415"/>
      <c r="B1098" s="2837" t="s">
        <v>3154</v>
      </c>
      <c r="C1098" s="2415"/>
      <c r="D1098" s="2837"/>
      <c r="E1098" s="2837"/>
      <c r="F1098" s="2837"/>
      <c r="G1098" s="2837"/>
      <c r="H1098" s="2416"/>
      <c r="I1098" s="2415"/>
      <c r="J1098" s="2415"/>
      <c r="K1098" s="2415"/>
      <c r="L1098" s="2420"/>
      <c r="M1098" s="2418"/>
      <c r="N1098" s="2418"/>
      <c r="O1098" s="2418"/>
      <c r="P1098" s="2418"/>
      <c r="Q1098" s="2418"/>
    </row>
    <row r="1099" spans="1:17" ht="13.8">
      <c r="A1099" s="2834">
        <f>'Part VII-Threshold Criteria'!A217</f>
        <v>0</v>
      </c>
      <c r="B1099" s="2834"/>
      <c r="C1099" s="2834"/>
      <c r="D1099" s="2834"/>
      <c r="E1099" s="2834"/>
      <c r="F1099" s="2834"/>
      <c r="G1099" s="2834"/>
      <c r="H1099" s="2834"/>
      <c r="I1099" s="2834"/>
      <c r="J1099" s="2834"/>
      <c r="K1099" s="2834"/>
      <c r="L1099" s="2834"/>
      <c r="M1099" s="2834"/>
      <c r="N1099" s="2834"/>
      <c r="O1099" s="2834"/>
      <c r="P1099" s="2834"/>
      <c r="Q1099" s="2834"/>
    </row>
    <row r="1100" spans="1:17" ht="14.4">
      <c r="A1100" s="2415"/>
      <c r="B1100" s="2833" t="s">
        <v>1724</v>
      </c>
      <c r="C1100" s="2833"/>
      <c r="D1100" s="2415"/>
      <c r="E1100" s="2415"/>
      <c r="F1100" s="2415"/>
      <c r="G1100" s="2415"/>
      <c r="H1100" s="2415"/>
      <c r="I1100" s="2415"/>
      <c r="J1100" s="2415"/>
      <c r="K1100" s="2415"/>
      <c r="L1100" s="2415"/>
      <c r="M1100" s="2415"/>
      <c r="N1100" s="2415"/>
      <c r="O1100" s="2415"/>
      <c r="P1100" s="2415"/>
      <c r="Q1100" s="2415"/>
    </row>
    <row r="1101" spans="1:17" ht="13.8">
      <c r="A1101" s="2415"/>
      <c r="B1101" s="2415"/>
      <c r="C1101" s="2415"/>
      <c r="D1101" s="2415"/>
      <c r="E1101" s="2415"/>
      <c r="F1101" s="2415"/>
      <c r="G1101" s="2415"/>
      <c r="H1101" s="2415"/>
      <c r="I1101" s="2415"/>
      <c r="J1101" s="2415"/>
      <c r="K1101" s="2415"/>
      <c r="L1101" s="2415"/>
      <c r="M1101" s="2415"/>
      <c r="N1101" s="2415"/>
      <c r="O1101" s="2415"/>
      <c r="P1101" s="2415"/>
      <c r="Q1101" s="2415"/>
    </row>
    <row r="1102" spans="1:17" ht="13.8">
      <c r="A1102" s="2420"/>
      <c r="B1102" s="2415"/>
      <c r="C1102" s="2415"/>
      <c r="D1102" s="2415"/>
      <c r="E1102" s="2415"/>
      <c r="F1102" s="2415"/>
      <c r="G1102" s="2415"/>
      <c r="H1102" s="2415"/>
      <c r="I1102" s="2415"/>
      <c r="J1102" s="2415"/>
      <c r="K1102" s="2415"/>
      <c r="L1102" s="2415"/>
      <c r="M1102" s="2415"/>
      <c r="N1102" s="2415"/>
      <c r="O1102" s="2415"/>
      <c r="P1102" s="2415"/>
      <c r="Q1102" s="2420"/>
    </row>
    <row r="1103" spans="1:17" ht="13.8">
      <c r="A1103" s="2415"/>
      <c r="B1103" s="2417"/>
      <c r="C1103" s="2416"/>
      <c r="D1103" s="2416"/>
      <c r="E1103" s="2416"/>
      <c r="F1103" s="2416"/>
      <c r="G1103" s="2416"/>
      <c r="H1103" s="2416"/>
      <c r="I1103" s="2416"/>
      <c r="J1103" s="2416"/>
      <c r="K1103" s="2416"/>
      <c r="L1103" s="2416"/>
      <c r="M1103" s="2416"/>
      <c r="N1103" s="2416"/>
      <c r="O1103" s="2416"/>
      <c r="P1103" s="2416"/>
      <c r="Q1103" s="2418"/>
    </row>
    <row r="1104" spans="1:17" ht="13.8">
      <c r="A1104" s="2831" t="s">
        <v>3281</v>
      </c>
      <c r="B1104" s="2420" t="s">
        <v>4427</v>
      </c>
      <c r="C1104" s="2420"/>
      <c r="D1104" s="2420"/>
      <c r="E1104" s="2420"/>
      <c r="F1104" s="2420"/>
      <c r="G1104" s="2420"/>
      <c r="H1104" s="2416"/>
      <c r="I1104" s="2416"/>
      <c r="J1104" s="2416"/>
      <c r="K1104" s="2416"/>
      <c r="L1104" s="2416"/>
      <c r="M1104" s="2416"/>
      <c r="N1104" s="2842"/>
      <c r="O1104" s="2832" t="s">
        <v>1725</v>
      </c>
      <c r="P1104" s="2420"/>
      <c r="Q1104" s="2420"/>
    </row>
    <row r="1105" spans="1:17" ht="15" customHeight="1">
      <c r="A1105" s="2831"/>
      <c r="B1105" s="2415" t="s">
        <v>4670</v>
      </c>
      <c r="C1105" s="2415"/>
      <c r="D1105" s="2415"/>
      <c r="E1105" s="2415"/>
      <c r="F1105" s="2415"/>
      <c r="G1105" s="2415"/>
      <c r="H1105" s="2415"/>
      <c r="I1105" s="2415"/>
      <c r="J1105" s="2415"/>
      <c r="K1105" s="2415"/>
      <c r="L1105" s="2415"/>
      <c r="M1105" s="2415"/>
      <c r="N1105" s="2415"/>
      <c r="O1105" s="2415"/>
      <c r="P1105" s="2420">
        <f>'Part VII-Threshold Criteria'!P223</f>
        <v>0</v>
      </c>
      <c r="Q1105" s="2420"/>
    </row>
    <row r="1106" spans="1:17" ht="13.8">
      <c r="A1106" s="2554" t="s">
        <v>1835</v>
      </c>
      <c r="B1106" s="2841" t="s">
        <v>4784</v>
      </c>
      <c r="C1106" s="2841"/>
      <c r="D1106" s="2841"/>
      <c r="E1106" s="2841"/>
      <c r="F1106" s="2841"/>
      <c r="G1106" s="2841"/>
      <c r="H1106" s="2841"/>
      <c r="I1106" s="2841"/>
      <c r="J1106" s="2841"/>
      <c r="K1106" s="2841"/>
      <c r="L1106" s="2841"/>
      <c r="M1106" s="2841"/>
      <c r="N1106" s="2841"/>
      <c r="O1106" s="2841"/>
      <c r="P1106" s="2841"/>
      <c r="Q1106" s="2841"/>
    </row>
    <row r="1107" spans="1:17" ht="15" customHeight="1">
      <c r="A1107" s="2554"/>
      <c r="B1107" s="2416"/>
      <c r="C1107" s="2555" t="s">
        <v>4783</v>
      </c>
      <c r="D1107" s="2843"/>
      <c r="E1107" s="2843"/>
      <c r="F1107" s="2416"/>
      <c r="G1107" s="2834" t="s">
        <v>4959</v>
      </c>
      <c r="H1107" s="2834"/>
      <c r="I1107" s="2834"/>
      <c r="J1107" s="2834"/>
      <c r="K1107" s="2834"/>
      <c r="L1107" s="2834"/>
      <c r="M1107" s="2834"/>
      <c r="N1107" s="2834"/>
      <c r="O1107" s="2834"/>
      <c r="P1107" s="2420">
        <f>'Part VII-Threshold Criteria'!P225</f>
        <v>0</v>
      </c>
      <c r="Q1107" s="2418"/>
    </row>
    <row r="1108" spans="1:17" ht="15" customHeight="1">
      <c r="A1108" s="2554"/>
      <c r="B1108" s="2416"/>
      <c r="C1108" s="2834" t="s">
        <v>4785</v>
      </c>
      <c r="D1108" s="2834"/>
      <c r="E1108" s="2834"/>
      <c r="F1108" s="2834"/>
      <c r="G1108" s="2834" t="s">
        <v>4960</v>
      </c>
      <c r="H1108" s="2834"/>
      <c r="I1108" s="2834"/>
      <c r="J1108" s="2834"/>
      <c r="K1108" s="2834"/>
      <c r="L1108" s="2834"/>
      <c r="M1108" s="2834"/>
      <c r="N1108" s="2834"/>
      <c r="O1108" s="2834"/>
      <c r="P1108" s="2420">
        <f>'Part VII-Threshold Criteria'!P226</f>
        <v>0</v>
      </c>
      <c r="Q1108" s="2418"/>
    </row>
    <row r="1109" spans="1:17" ht="15" customHeight="1">
      <c r="A1109" s="2554" t="s">
        <v>1837</v>
      </c>
      <c r="B1109" s="2834" t="s">
        <v>5167</v>
      </c>
      <c r="C1109" s="2834"/>
      <c r="D1109" s="2834"/>
      <c r="E1109" s="2834"/>
      <c r="F1109" s="2834"/>
      <c r="G1109" s="2834"/>
      <c r="H1109" s="2834"/>
      <c r="I1109" s="2834"/>
      <c r="J1109" s="2834"/>
      <c r="K1109" s="2834"/>
      <c r="L1109" s="2834"/>
      <c r="M1109" s="2834"/>
      <c r="N1109" s="2834"/>
      <c r="O1109" s="2834"/>
      <c r="P1109" s="2420">
        <f>'Part VII-Threshold Criteria'!P227</f>
        <v>0</v>
      </c>
      <c r="Q1109" s="2418"/>
    </row>
    <row r="1110" spans="1:17" ht="13.8">
      <c r="A1110" s="2832" t="s">
        <v>697</v>
      </c>
      <c r="B1110" s="2415" t="s">
        <v>5168</v>
      </c>
      <c r="C1110" s="2415"/>
      <c r="D1110" s="2415"/>
      <c r="E1110" s="2415"/>
      <c r="F1110" s="2415"/>
      <c r="G1110" s="2415" t="s">
        <v>5169</v>
      </c>
      <c r="H1110" s="2415"/>
      <c r="I1110" s="2415"/>
      <c r="J1110" s="2415"/>
      <c r="K1110" s="2415"/>
      <c r="L1110" s="2415"/>
      <c r="M1110" s="2415"/>
      <c r="N1110" s="2415"/>
      <c r="O1110" s="2415"/>
      <c r="P1110" s="2420">
        <f>'Part VII-Threshold Criteria'!P228</f>
        <v>0</v>
      </c>
      <c r="Q1110" s="2418"/>
    </row>
    <row r="1111" spans="1:17" ht="15" customHeight="1">
      <c r="A1111" s="2554" t="s">
        <v>1956</v>
      </c>
      <c r="B1111" s="2834" t="s">
        <v>5170</v>
      </c>
      <c r="C1111" s="2834"/>
      <c r="D1111" s="2834"/>
      <c r="E1111" s="2834"/>
      <c r="F1111" s="2834"/>
      <c r="G1111" s="2834"/>
      <c r="H1111" s="2834"/>
      <c r="I1111" s="2834"/>
      <c r="J1111" s="2834"/>
      <c r="K1111" s="2834"/>
      <c r="L1111" s="2834"/>
      <c r="M1111" s="2834"/>
      <c r="N1111" s="2834"/>
      <c r="O1111" s="2834"/>
      <c r="P1111" s="2420">
        <f>'Part VII-Threshold Criteria'!P229</f>
        <v>0</v>
      </c>
      <c r="Q1111" s="2418"/>
    </row>
    <row r="1112" spans="1:17" ht="14.4">
      <c r="A1112" s="2415"/>
      <c r="B1112" s="2833" t="s">
        <v>3154</v>
      </c>
      <c r="C1112" s="2415"/>
      <c r="D1112" s="2833"/>
      <c r="E1112" s="2833"/>
      <c r="F1112" s="2833"/>
      <c r="G1112" s="2833"/>
      <c r="H1112" s="2415"/>
      <c r="I1112" s="2415"/>
      <c r="J1112" s="2415"/>
      <c r="K1112" s="2415"/>
      <c r="L1112" s="2420"/>
      <c r="M1112" s="2420"/>
      <c r="N1112" s="2420"/>
      <c r="O1112" s="2420"/>
      <c r="P1112" s="2418"/>
      <c r="Q1112" s="2418"/>
    </row>
    <row r="1113" spans="1:17" ht="13.8">
      <c r="A1113" s="2834">
        <f>'Part VII-Threshold Criteria'!A231</f>
        <v>0</v>
      </c>
      <c r="B1113" s="2834"/>
      <c r="C1113" s="2834"/>
      <c r="D1113" s="2834"/>
      <c r="E1113" s="2834"/>
      <c r="F1113" s="2834"/>
      <c r="G1113" s="2834"/>
      <c r="H1113" s="2834"/>
      <c r="I1113" s="2834"/>
      <c r="J1113" s="2834"/>
      <c r="K1113" s="2834"/>
      <c r="L1113" s="2834"/>
      <c r="M1113" s="2834"/>
      <c r="N1113" s="2834"/>
      <c r="O1113" s="2834"/>
      <c r="P1113" s="2834"/>
      <c r="Q1113" s="2834"/>
    </row>
    <row r="1114" spans="1:17" ht="14.4">
      <c r="A1114" s="2415"/>
      <c r="B1114" s="2833" t="s">
        <v>1724</v>
      </c>
      <c r="C1114" s="2833"/>
      <c r="D1114" s="2415"/>
      <c r="E1114" s="2415"/>
      <c r="F1114" s="2415"/>
      <c r="G1114" s="2415"/>
      <c r="H1114" s="2415"/>
      <c r="I1114" s="2415"/>
      <c r="J1114" s="2415"/>
      <c r="K1114" s="2415"/>
      <c r="L1114" s="2415"/>
      <c r="M1114" s="2415"/>
      <c r="N1114" s="2415"/>
      <c r="O1114" s="2415"/>
      <c r="P1114" s="2415"/>
      <c r="Q1114" s="2415"/>
    </row>
    <row r="1115" spans="1:17" ht="13.8">
      <c r="A1115" s="2415"/>
      <c r="B1115" s="2415"/>
      <c r="C1115" s="2415"/>
      <c r="D1115" s="2415"/>
      <c r="E1115" s="2415"/>
      <c r="F1115" s="2415"/>
      <c r="G1115" s="2415"/>
      <c r="H1115" s="2415"/>
      <c r="I1115" s="2415"/>
      <c r="J1115" s="2415"/>
      <c r="K1115" s="2415"/>
      <c r="L1115" s="2415"/>
      <c r="M1115" s="2415"/>
      <c r="N1115" s="2415"/>
      <c r="O1115" s="2415"/>
      <c r="P1115" s="2415"/>
      <c r="Q1115" s="2415"/>
    </row>
    <row r="1116" spans="1:17" ht="13.8">
      <c r="A1116" s="2420"/>
      <c r="B1116" s="2415"/>
      <c r="C1116" s="2415"/>
      <c r="D1116" s="2415"/>
      <c r="E1116" s="2415"/>
      <c r="F1116" s="2415"/>
      <c r="G1116" s="2415"/>
      <c r="H1116" s="2415"/>
      <c r="I1116" s="2415"/>
      <c r="J1116" s="2415"/>
      <c r="K1116" s="2415"/>
      <c r="L1116" s="2415"/>
      <c r="M1116" s="2415"/>
      <c r="N1116" s="2415"/>
      <c r="O1116" s="2415"/>
      <c r="P1116" s="2415"/>
      <c r="Q1116" s="2420"/>
    </row>
    <row r="1117" spans="1:17" ht="13.8">
      <c r="A1117" s="2831"/>
      <c r="B1117" s="2417"/>
      <c r="C1117" s="2416"/>
      <c r="D1117" s="2416"/>
      <c r="E1117" s="2416"/>
      <c r="F1117" s="2416"/>
      <c r="G1117" s="2416"/>
      <c r="H1117" s="2416"/>
      <c r="I1117" s="2416"/>
      <c r="J1117" s="2416"/>
      <c r="K1117" s="2416"/>
      <c r="L1117" s="2416"/>
      <c r="M1117" s="2416"/>
      <c r="N1117" s="2416"/>
      <c r="O1117" s="2416"/>
      <c r="P1117" s="2416"/>
      <c r="Q1117" s="2418"/>
    </row>
    <row r="1118" spans="1:17" ht="13.8">
      <c r="A1118" s="2831" t="s">
        <v>3282</v>
      </c>
      <c r="B1118" s="2420" t="s">
        <v>3267</v>
      </c>
      <c r="C1118" s="2420"/>
      <c r="D1118" s="2420"/>
      <c r="E1118" s="2420"/>
      <c r="F1118" s="2420"/>
      <c r="G1118" s="2420"/>
      <c r="H1118" s="2416"/>
      <c r="I1118" s="2416"/>
      <c r="J1118" s="2416"/>
      <c r="K1118" s="2416"/>
      <c r="L1118" s="2416"/>
      <c r="M1118" s="2416"/>
      <c r="N1118" s="2832"/>
      <c r="O1118" s="2832" t="s">
        <v>1725</v>
      </c>
      <c r="P1118" s="2420"/>
      <c r="Q1118" s="2420"/>
    </row>
    <row r="1119" spans="1:17" ht="13.8">
      <c r="A1119" s="2832"/>
      <c r="B1119" s="2415" t="s">
        <v>3268</v>
      </c>
      <c r="C1119" s="2415"/>
      <c r="D1119" s="2415"/>
      <c r="E1119" s="2415"/>
      <c r="F1119" s="2415"/>
      <c r="G1119" s="2415"/>
      <c r="H1119" s="2415"/>
      <c r="I1119" s="2834">
        <f>'Part VII-Threshold Criteria'!I237</f>
        <v>0</v>
      </c>
      <c r="J1119" s="2420"/>
      <c r="K1119" s="2420"/>
      <c r="L1119" s="2420"/>
      <c r="M1119" s="2420"/>
      <c r="N1119" s="2420"/>
      <c r="O1119" s="2420"/>
      <c r="P1119" s="2420"/>
      <c r="Q1119" s="2420"/>
    </row>
    <row r="1120" spans="1:17" ht="13.8">
      <c r="A1120" s="2832"/>
      <c r="B1120" s="2415" t="s">
        <v>3269</v>
      </c>
      <c r="C1120" s="2415"/>
      <c r="D1120" s="2415"/>
      <c r="E1120" s="2415"/>
      <c r="F1120" s="2415"/>
      <c r="G1120" s="2415"/>
      <c r="H1120" s="2415"/>
      <c r="I1120" s="2834">
        <f>'Part VII-Threshold Criteria'!I238</f>
        <v>0</v>
      </c>
      <c r="J1120" s="2420"/>
      <c r="K1120" s="2420"/>
      <c r="L1120" s="2420"/>
      <c r="M1120" s="2420"/>
      <c r="N1120" s="2420"/>
      <c r="O1120" s="2420"/>
      <c r="P1120" s="2420"/>
      <c r="Q1120" s="2420"/>
    </row>
    <row r="1121" spans="1:17" ht="15.75" customHeight="1">
      <c r="A1121" s="2832"/>
      <c r="B1121" s="2834" t="s">
        <v>4961</v>
      </c>
      <c r="C1121" s="2834"/>
      <c r="D1121" s="2834"/>
      <c r="E1121" s="2834"/>
      <c r="F1121" s="2834"/>
      <c r="G1121" s="2834"/>
      <c r="H1121" s="2834"/>
      <c r="I1121" s="2834"/>
      <c r="J1121" s="2834"/>
      <c r="K1121" s="2834"/>
      <c r="L1121" s="2834"/>
      <c r="M1121" s="2834"/>
      <c r="N1121" s="2834"/>
      <c r="O1121" s="2834"/>
      <c r="P1121" s="2420">
        <f>'Part VII-Threshold Criteria'!P239</f>
        <v>0</v>
      </c>
      <c r="Q1121" s="2841"/>
    </row>
    <row r="1122" spans="1:17" ht="14.4">
      <c r="A1122" s="2415"/>
      <c r="B1122" s="2833" t="s">
        <v>3154</v>
      </c>
      <c r="C1122" s="2415"/>
      <c r="D1122" s="2833"/>
      <c r="E1122" s="2833"/>
      <c r="F1122" s="2833"/>
      <c r="G1122" s="2833"/>
      <c r="H1122" s="2415"/>
      <c r="I1122" s="2415"/>
      <c r="J1122" s="2415"/>
      <c r="K1122" s="2415"/>
      <c r="L1122" s="2420"/>
      <c r="M1122" s="2420"/>
      <c r="N1122" s="2420"/>
      <c r="O1122" s="2420"/>
      <c r="P1122" s="2420"/>
      <c r="Q1122" s="2420"/>
    </row>
    <row r="1123" spans="1:17" ht="13.8">
      <c r="A1123" s="2834">
        <f>'Part VII-Threshold Criteria'!A241</f>
        <v>0</v>
      </c>
      <c r="B1123" s="2834"/>
      <c r="C1123" s="2834"/>
      <c r="D1123" s="2834"/>
      <c r="E1123" s="2834"/>
      <c r="F1123" s="2834"/>
      <c r="G1123" s="2834"/>
      <c r="H1123" s="2834"/>
      <c r="I1123" s="2834"/>
      <c r="J1123" s="2834"/>
      <c r="K1123" s="2834"/>
      <c r="L1123" s="2834"/>
      <c r="M1123" s="2834"/>
      <c r="N1123" s="2834"/>
      <c r="O1123" s="2834"/>
      <c r="P1123" s="2834"/>
      <c r="Q1123" s="2834"/>
    </row>
    <row r="1124" spans="1:17" ht="14.4">
      <c r="A1124" s="2415"/>
      <c r="B1124" s="2833" t="s">
        <v>1724</v>
      </c>
      <c r="C1124" s="2833"/>
      <c r="D1124" s="2415"/>
      <c r="E1124" s="2415"/>
      <c r="F1124" s="2415"/>
      <c r="G1124" s="2415"/>
      <c r="H1124" s="2415"/>
      <c r="I1124" s="2415"/>
      <c r="J1124" s="2415"/>
      <c r="K1124" s="2415"/>
      <c r="L1124" s="2415"/>
      <c r="M1124" s="2415"/>
      <c r="N1124" s="2415"/>
      <c r="O1124" s="2415"/>
      <c r="P1124" s="2415"/>
      <c r="Q1124" s="2415"/>
    </row>
    <row r="1125" spans="1:17" ht="13.8">
      <c r="A1125" s="2415"/>
      <c r="B1125" s="2415"/>
      <c r="C1125" s="2415"/>
      <c r="D1125" s="2415"/>
      <c r="E1125" s="2415"/>
      <c r="F1125" s="2415"/>
      <c r="G1125" s="2415"/>
      <c r="H1125" s="2415"/>
      <c r="I1125" s="2415"/>
      <c r="J1125" s="2415"/>
      <c r="K1125" s="2415"/>
      <c r="L1125" s="2415"/>
      <c r="M1125" s="2415"/>
      <c r="N1125" s="2415"/>
      <c r="O1125" s="2415"/>
      <c r="P1125" s="2415"/>
      <c r="Q1125" s="2415"/>
    </row>
    <row r="1126" spans="1:17" ht="13.8">
      <c r="A1126" s="2420"/>
      <c r="B1126" s="2415"/>
      <c r="C1126" s="2415"/>
      <c r="D1126" s="2415"/>
      <c r="E1126" s="2415"/>
      <c r="F1126" s="2415"/>
      <c r="G1126" s="2415"/>
      <c r="H1126" s="2415"/>
      <c r="I1126" s="2415"/>
      <c r="J1126" s="2415"/>
      <c r="K1126" s="2415"/>
      <c r="L1126" s="2415"/>
      <c r="M1126" s="2415"/>
      <c r="N1126" s="2415"/>
      <c r="O1126" s="2415"/>
      <c r="P1126" s="2415"/>
      <c r="Q1126" s="2420"/>
    </row>
    <row r="1127" spans="1:17" ht="13.8">
      <c r="A1127" s="2415"/>
      <c r="B1127" s="2417"/>
      <c r="C1127" s="2416"/>
      <c r="D1127" s="2416"/>
      <c r="E1127" s="2416"/>
      <c r="F1127" s="2416"/>
      <c r="G1127" s="2416"/>
      <c r="H1127" s="2416"/>
      <c r="I1127" s="2416"/>
      <c r="J1127" s="2416"/>
      <c r="K1127" s="2416"/>
      <c r="L1127" s="2416"/>
      <c r="M1127" s="2416"/>
      <c r="N1127" s="2415"/>
      <c r="O1127" s="2415"/>
      <c r="P1127" s="2415"/>
      <c r="Q1127" s="2418"/>
    </row>
    <row r="1128" spans="1:17" ht="13.8">
      <c r="A1128" s="2831" t="s">
        <v>3285</v>
      </c>
      <c r="B1128" s="2420" t="s">
        <v>2427</v>
      </c>
      <c r="C1128" s="2420"/>
      <c r="D1128" s="2420"/>
      <c r="E1128" s="2416"/>
      <c r="F1128" s="2415"/>
      <c r="G1128" s="2415" t="s">
        <v>654</v>
      </c>
      <c r="H1128" s="2416"/>
      <c r="I1128" s="2416"/>
      <c r="J1128" s="2416"/>
      <c r="K1128" s="2416"/>
      <c r="L1128" s="2416"/>
      <c r="M1128" s="2416"/>
      <c r="N1128" s="2415"/>
      <c r="O1128" s="2832" t="s">
        <v>1725</v>
      </c>
      <c r="P1128" s="2420"/>
      <c r="Q1128" s="2420"/>
    </row>
    <row r="1129" spans="1:17" ht="13.8">
      <c r="A1129" s="2832"/>
      <c r="B1129" s="2415" t="s">
        <v>2430</v>
      </c>
      <c r="C1129" s="2415"/>
      <c r="D1129" s="2415"/>
      <c r="E1129" s="2415"/>
      <c r="F1129" s="2415"/>
      <c r="G1129" s="2415"/>
      <c r="H1129" s="2415"/>
      <c r="I1129" s="2415"/>
      <c r="J1129" s="2415"/>
      <c r="K1129" s="2415"/>
      <c r="L1129" s="2415"/>
      <c r="M1129" s="2415"/>
      <c r="N1129" s="2415"/>
      <c r="O1129" s="2842"/>
      <c r="P1129" s="2420">
        <f>'Part VII-Threshold Criteria'!P247</f>
        <v>0</v>
      </c>
      <c r="Q1129" s="2420"/>
    </row>
    <row r="1130" spans="1:17" ht="13.8">
      <c r="A1130" s="2832"/>
      <c r="B1130" s="2415" t="s">
        <v>3056</v>
      </c>
      <c r="C1130" s="2415"/>
      <c r="D1130" s="2415"/>
      <c r="E1130" s="2415"/>
      <c r="F1130" s="2415"/>
      <c r="G1130" s="2415"/>
      <c r="H1130" s="2415"/>
      <c r="I1130" s="2415"/>
      <c r="J1130" s="2415"/>
      <c r="K1130" s="2415"/>
      <c r="L1130" s="2415"/>
      <c r="M1130" s="2415"/>
      <c r="N1130" s="2415"/>
      <c r="O1130" s="2842"/>
      <c r="P1130" s="2420">
        <f>'Part VII-Threshold Criteria'!P248</f>
        <v>0</v>
      </c>
      <c r="Q1130" s="2420"/>
    </row>
    <row r="1131" spans="1:17" ht="13.8">
      <c r="A1131" s="2832"/>
      <c r="B1131" s="2415" t="s">
        <v>689</v>
      </c>
      <c r="C1131" s="2415"/>
      <c r="D1131" s="2834">
        <f>'Part VII-Threshold Criteria'!D249</f>
        <v>0</v>
      </c>
      <c r="E1131" s="2415"/>
      <c r="F1131" s="2415"/>
      <c r="G1131" s="2415"/>
      <c r="H1131" s="2415"/>
      <c r="I1131" s="2415"/>
      <c r="J1131" s="2415"/>
      <c r="K1131" s="2415"/>
      <c r="L1131" s="2415"/>
      <c r="M1131" s="2415"/>
      <c r="N1131" s="2415"/>
      <c r="O1131" s="2415"/>
      <c r="P1131" s="2415"/>
      <c r="Q1131" s="2415"/>
    </row>
    <row r="1132" spans="1:17" ht="14.4">
      <c r="A1132" s="2415"/>
      <c r="B1132" s="2837" t="s">
        <v>3154</v>
      </c>
      <c r="C1132" s="2415"/>
      <c r="D1132" s="2833"/>
      <c r="E1132" s="2833"/>
      <c r="F1132" s="2833"/>
      <c r="G1132" s="2833"/>
      <c r="H1132" s="2415"/>
      <c r="I1132" s="2415"/>
      <c r="J1132" s="2415"/>
      <c r="K1132" s="2415"/>
      <c r="L1132" s="2420"/>
      <c r="M1132" s="2420"/>
      <c r="N1132" s="2420"/>
      <c r="O1132" s="2420"/>
      <c r="P1132" s="2420"/>
      <c r="Q1132" s="2420"/>
    </row>
    <row r="1133" spans="1:17" ht="13.8">
      <c r="A1133" s="2834">
        <f>'Part VII-Threshold Criteria'!A251</f>
        <v>0</v>
      </c>
      <c r="B1133" s="2834"/>
      <c r="C1133" s="2834"/>
      <c r="D1133" s="2834"/>
      <c r="E1133" s="2834"/>
      <c r="F1133" s="2834"/>
      <c r="G1133" s="2834"/>
      <c r="H1133" s="2834"/>
      <c r="I1133" s="2834"/>
      <c r="J1133" s="2834"/>
      <c r="K1133" s="2834"/>
      <c r="L1133" s="2834"/>
      <c r="M1133" s="2834"/>
      <c r="N1133" s="2834"/>
      <c r="O1133" s="2834"/>
      <c r="P1133" s="2834"/>
      <c r="Q1133" s="2834"/>
    </row>
    <row r="1134" spans="1:17" ht="14.4">
      <c r="A1134" s="2415"/>
      <c r="B1134" s="2833" t="s">
        <v>1724</v>
      </c>
      <c r="C1134" s="2833"/>
      <c r="D1134" s="2415"/>
      <c r="E1134" s="2415"/>
      <c r="F1134" s="2415"/>
      <c r="G1134" s="2415"/>
      <c r="H1134" s="2415"/>
      <c r="I1134" s="2415"/>
      <c r="J1134" s="2415"/>
      <c r="K1134" s="2415"/>
      <c r="L1134" s="2415"/>
      <c r="M1134" s="2415"/>
      <c r="N1134" s="2415"/>
      <c r="O1134" s="2415"/>
      <c r="P1134" s="2415"/>
      <c r="Q1134" s="2415"/>
    </row>
    <row r="1135" spans="1:17" ht="13.8">
      <c r="A1135" s="2415"/>
      <c r="B1135" s="2415"/>
      <c r="C1135" s="2415"/>
      <c r="D1135" s="2415"/>
      <c r="E1135" s="2415"/>
      <c r="F1135" s="2415"/>
      <c r="G1135" s="2415"/>
      <c r="H1135" s="2415"/>
      <c r="I1135" s="2415"/>
      <c r="J1135" s="2415"/>
      <c r="K1135" s="2415"/>
      <c r="L1135" s="2415"/>
      <c r="M1135" s="2415"/>
      <c r="N1135" s="2415"/>
      <c r="O1135" s="2415"/>
      <c r="P1135" s="2415"/>
      <c r="Q1135" s="2415"/>
    </row>
    <row r="1136" spans="1:17" ht="13.8">
      <c r="A1136" s="2420"/>
      <c r="B1136" s="2415"/>
      <c r="C1136" s="2415"/>
      <c r="D1136" s="2415"/>
      <c r="E1136" s="2415"/>
      <c r="F1136" s="2415"/>
      <c r="G1136" s="2415"/>
      <c r="H1136" s="2415"/>
      <c r="I1136" s="2415"/>
      <c r="J1136" s="2415"/>
      <c r="K1136" s="2415"/>
      <c r="L1136" s="2415"/>
      <c r="M1136" s="2415"/>
      <c r="N1136" s="2415"/>
      <c r="O1136" s="2415"/>
      <c r="P1136" s="2415"/>
      <c r="Q1136" s="2420"/>
    </row>
    <row r="1137" spans="1:17" ht="13.8">
      <c r="A1137" s="2415"/>
      <c r="B1137" s="2417"/>
      <c r="C1137" s="2416"/>
      <c r="D1137" s="2416"/>
      <c r="E1137" s="2416"/>
      <c r="F1137" s="2416"/>
      <c r="G1137" s="2416"/>
      <c r="H1137" s="2416"/>
      <c r="I1137" s="2416"/>
      <c r="J1137" s="2416"/>
      <c r="K1137" s="2416"/>
      <c r="L1137" s="2416"/>
      <c r="M1137" s="2416"/>
      <c r="N1137" s="2416"/>
      <c r="O1137" s="2416"/>
      <c r="P1137" s="2416"/>
      <c r="Q1137" s="2418"/>
    </row>
    <row r="1138" spans="1:17" ht="13.8">
      <c r="A1138" s="2831" t="s">
        <v>3286</v>
      </c>
      <c r="B1138" s="2420" t="s">
        <v>3810</v>
      </c>
      <c r="C1138" s="2420"/>
      <c r="D1138" s="2420"/>
      <c r="E1138" s="2420"/>
      <c r="F1138" s="2420"/>
      <c r="G1138" s="2420"/>
      <c r="H1138" s="2416"/>
      <c r="I1138" s="2416"/>
      <c r="J1138" s="2416"/>
      <c r="K1138" s="2416"/>
      <c r="L1138" s="2416"/>
      <c r="M1138" s="2416"/>
      <c r="N1138" s="2415"/>
      <c r="O1138" s="2832" t="s">
        <v>1725</v>
      </c>
      <c r="P1138" s="2420"/>
      <c r="Q1138" s="2420"/>
    </row>
    <row r="1139" spans="1:17" ht="13.8">
      <c r="A1139" s="2415"/>
      <c r="B1139" s="2415" t="s">
        <v>4142</v>
      </c>
      <c r="C1139" s="2415"/>
      <c r="D1139" s="2415"/>
      <c r="E1139" s="2415"/>
      <c r="F1139" s="2415"/>
      <c r="G1139" s="2415"/>
      <c r="H1139" s="2415"/>
      <c r="I1139" s="2415"/>
      <c r="J1139" s="2415"/>
      <c r="K1139" s="2415"/>
      <c r="L1139" s="2415"/>
      <c r="M1139" s="2415"/>
      <c r="N1139" s="2415"/>
      <c r="O1139" s="2842"/>
      <c r="P1139" s="2420">
        <f>'Part VII-Threshold Criteria'!P257</f>
        <v>0</v>
      </c>
      <c r="Q1139" s="2420"/>
    </row>
    <row r="1140" spans="1:17" ht="13.8">
      <c r="A1140" s="2832"/>
      <c r="B1140" s="2415" t="s">
        <v>700</v>
      </c>
      <c r="C1140" s="2415"/>
      <c r="D1140" s="2415"/>
      <c r="E1140" s="2415"/>
      <c r="F1140" s="2415"/>
      <c r="G1140" s="2415"/>
      <c r="H1140" s="2415"/>
      <c r="I1140" s="2415"/>
      <c r="J1140" s="2415"/>
      <c r="K1140" s="2415"/>
      <c r="L1140" s="2415"/>
      <c r="M1140" s="2415"/>
      <c r="N1140" s="2415"/>
      <c r="O1140" s="2415"/>
      <c r="P1140" s="2420">
        <f>'Part VII-Threshold Criteria'!P258</f>
        <v>0</v>
      </c>
      <c r="Q1140" s="2420"/>
    </row>
    <row r="1141" spans="1:17" ht="13.8">
      <c r="A1141" s="2415"/>
      <c r="B1141" s="2415" t="s">
        <v>4789</v>
      </c>
      <c r="C1141" s="2415"/>
      <c r="D1141" s="2415"/>
      <c r="E1141" s="2415"/>
      <c r="F1141" s="2415"/>
      <c r="G1141" s="2415"/>
      <c r="H1141" s="2415"/>
      <c r="I1141" s="2415"/>
      <c r="J1141" s="2415"/>
      <c r="K1141" s="2415"/>
      <c r="L1141" s="2415"/>
      <c r="M1141" s="2415"/>
      <c r="N1141" s="2415"/>
      <c r="O1141" s="2415"/>
      <c r="P1141" s="2420">
        <f>'Part VII-Threshold Criteria'!P259</f>
        <v>0</v>
      </c>
      <c r="Q1141" s="2420"/>
    </row>
    <row r="1142" spans="1:17" ht="15" customHeight="1">
      <c r="A1142" s="2832"/>
      <c r="B1142" s="2415" t="s">
        <v>5060</v>
      </c>
      <c r="C1142" s="2415"/>
      <c r="D1142" s="2415"/>
      <c r="E1142" s="2415"/>
      <c r="F1142" s="2415"/>
      <c r="G1142" s="2415"/>
      <c r="H1142" s="2415"/>
      <c r="I1142" s="2415"/>
      <c r="J1142" s="2415"/>
      <c r="K1142" s="2415"/>
      <c r="L1142" s="2415"/>
      <c r="M1142" s="2415"/>
      <c r="N1142" s="2415"/>
      <c r="O1142" s="2415"/>
      <c r="P1142" s="2420">
        <f>'Part VII-Threshold Criteria'!P260</f>
        <v>0</v>
      </c>
      <c r="Q1142" s="2420"/>
    </row>
    <row r="1143" spans="1:17" ht="14.4">
      <c r="A1143" s="2415"/>
      <c r="B1143" s="2833" t="s">
        <v>3154</v>
      </c>
      <c r="C1143" s="2415"/>
      <c r="D1143" s="2833"/>
      <c r="E1143" s="2833"/>
      <c r="F1143" s="2833"/>
      <c r="G1143" s="2833"/>
      <c r="H1143" s="2415"/>
      <c r="I1143" s="2415"/>
      <c r="J1143" s="2415"/>
      <c r="K1143" s="2415"/>
      <c r="L1143" s="2415"/>
      <c r="M1143" s="2415"/>
      <c r="N1143" s="2415"/>
      <c r="O1143" s="2415"/>
      <c r="P1143" s="2415"/>
      <c r="Q1143" s="2415"/>
    </row>
    <row r="1144" spans="1:17" ht="13.8">
      <c r="A1144" s="2834">
        <f>'Part VII-Threshold Criteria'!A262</f>
        <v>0</v>
      </c>
      <c r="B1144" s="2834"/>
      <c r="C1144" s="2834"/>
      <c r="D1144" s="2834"/>
      <c r="E1144" s="2834"/>
      <c r="F1144" s="2834"/>
      <c r="G1144" s="2834"/>
      <c r="H1144" s="2834"/>
      <c r="I1144" s="2834"/>
      <c r="J1144" s="2834"/>
      <c r="K1144" s="2834"/>
      <c r="L1144" s="2834"/>
      <c r="M1144" s="2834"/>
      <c r="N1144" s="2834"/>
      <c r="O1144" s="2834"/>
      <c r="P1144" s="2834"/>
      <c r="Q1144" s="2834"/>
    </row>
    <row r="1145" spans="1:17" ht="14.4">
      <c r="A1145" s="2415"/>
      <c r="B1145" s="2833" t="s">
        <v>1724</v>
      </c>
      <c r="C1145" s="2833"/>
      <c r="D1145" s="2415"/>
      <c r="E1145" s="2415"/>
      <c r="F1145" s="2415"/>
      <c r="G1145" s="2415"/>
      <c r="H1145" s="2415"/>
      <c r="I1145" s="2415"/>
      <c r="J1145" s="2415"/>
      <c r="K1145" s="2415"/>
      <c r="L1145" s="2415"/>
      <c r="M1145" s="2415"/>
      <c r="N1145" s="2415"/>
      <c r="O1145" s="2415"/>
      <c r="P1145" s="2415"/>
      <c r="Q1145" s="2415"/>
    </row>
    <row r="1146" spans="1:17" ht="13.8">
      <c r="A1146" s="2415"/>
      <c r="B1146" s="2415"/>
      <c r="C1146" s="2415"/>
      <c r="D1146" s="2415"/>
      <c r="E1146" s="2415"/>
      <c r="F1146" s="2415"/>
      <c r="G1146" s="2415"/>
      <c r="H1146" s="2415"/>
      <c r="I1146" s="2415"/>
      <c r="J1146" s="2415"/>
      <c r="K1146" s="2415"/>
      <c r="L1146" s="2415"/>
      <c r="M1146" s="2415"/>
      <c r="N1146" s="2415"/>
      <c r="O1146" s="2415"/>
      <c r="P1146" s="2415"/>
      <c r="Q1146" s="2415"/>
    </row>
    <row r="1147" spans="1:17" ht="13.8">
      <c r="A1147" s="2420"/>
      <c r="B1147" s="2415"/>
      <c r="C1147" s="2415"/>
      <c r="D1147" s="2415"/>
      <c r="E1147" s="2415"/>
      <c r="F1147" s="2415"/>
      <c r="G1147" s="2415"/>
      <c r="H1147" s="2415"/>
      <c r="I1147" s="2415"/>
      <c r="J1147" s="2415"/>
      <c r="K1147" s="2415"/>
      <c r="L1147" s="2415"/>
      <c r="M1147" s="2415"/>
      <c r="N1147" s="2415"/>
      <c r="O1147" s="2415"/>
      <c r="P1147" s="2415"/>
      <c r="Q1147" s="2420"/>
    </row>
    <row r="1148" spans="1:17" ht="13.8">
      <c r="A1148" s="2415"/>
      <c r="B1148" s="2417"/>
      <c r="C1148" s="2416"/>
      <c r="D1148" s="2416"/>
      <c r="E1148" s="2416"/>
      <c r="F1148" s="2416"/>
      <c r="G1148" s="2416"/>
      <c r="H1148" s="2416"/>
      <c r="I1148" s="2416"/>
      <c r="J1148" s="2416"/>
      <c r="K1148" s="2416"/>
      <c r="L1148" s="2416"/>
      <c r="M1148" s="2416"/>
      <c r="N1148" s="2415"/>
      <c r="O1148" s="2415"/>
      <c r="P1148" s="2415"/>
      <c r="Q1148" s="2418"/>
    </row>
    <row r="1149" spans="1:17" ht="13.8">
      <c r="A1149" s="2831" t="s">
        <v>3287</v>
      </c>
      <c r="B1149" s="2420" t="s">
        <v>2500</v>
      </c>
      <c r="C1149" s="2420"/>
      <c r="D1149" s="2420"/>
      <c r="E1149" s="2416"/>
      <c r="F1149" s="2416"/>
      <c r="G1149" s="2416"/>
      <c r="H1149" s="2416"/>
      <c r="I1149" s="2415"/>
      <c r="J1149" s="2415"/>
      <c r="K1149" s="2415"/>
      <c r="L1149" s="2415"/>
      <c r="M1149" s="2415"/>
      <c r="N1149" s="2415"/>
      <c r="O1149" s="2832" t="s">
        <v>1725</v>
      </c>
      <c r="P1149" s="2420"/>
      <c r="Q1149" s="2420"/>
    </row>
    <row r="1150" spans="1:17" ht="15" customHeight="1">
      <c r="A1150" s="2415"/>
      <c r="B1150" s="2415" t="s">
        <v>5059</v>
      </c>
      <c r="C1150" s="2415"/>
      <c r="D1150" s="2415"/>
      <c r="E1150" s="2415"/>
      <c r="F1150" s="2415"/>
      <c r="G1150" s="2415"/>
      <c r="H1150" s="2415"/>
      <c r="I1150" s="2415"/>
      <c r="J1150" s="2415"/>
      <c r="K1150" s="2415"/>
      <c r="L1150" s="2415"/>
      <c r="M1150" s="2415"/>
      <c r="N1150" s="2415"/>
      <c r="O1150" s="2420"/>
      <c r="P1150" s="2420">
        <f>'Part VII-Threshold Criteria'!P268</f>
        <v>0</v>
      </c>
      <c r="Q1150" s="2420"/>
    </row>
    <row r="1151" spans="1:17" ht="15" customHeight="1">
      <c r="A1151" s="2554"/>
      <c r="B1151" s="2834" t="s">
        <v>4674</v>
      </c>
      <c r="C1151" s="2834"/>
      <c r="D1151" s="2834"/>
      <c r="E1151" s="2834"/>
      <c r="F1151" s="2834"/>
      <c r="G1151" s="2834"/>
      <c r="H1151" s="2834"/>
      <c r="I1151" s="2834"/>
      <c r="J1151" s="2834"/>
      <c r="K1151" s="2834"/>
      <c r="L1151" s="2834"/>
      <c r="M1151" s="2834"/>
      <c r="N1151" s="2834"/>
      <c r="O1151" s="2834"/>
      <c r="P1151" s="2420">
        <f>'Part VII-Threshold Criteria'!P269</f>
        <v>0</v>
      </c>
      <c r="Q1151" s="2420"/>
    </row>
    <row r="1152" spans="1:17" ht="14.4">
      <c r="A1152" s="2415"/>
      <c r="B1152" s="2833" t="s">
        <v>3154</v>
      </c>
      <c r="C1152" s="2415"/>
      <c r="D1152" s="2833"/>
      <c r="E1152" s="2833"/>
      <c r="F1152" s="2833"/>
      <c r="G1152" s="2833"/>
      <c r="H1152" s="2415"/>
      <c r="I1152" s="2415"/>
      <c r="J1152" s="2415"/>
      <c r="K1152" s="2415"/>
      <c r="L1152" s="2420"/>
      <c r="M1152" s="2420"/>
      <c r="N1152" s="2420"/>
      <c r="O1152" s="2420"/>
      <c r="P1152" s="2420"/>
      <c r="Q1152" s="2420"/>
    </row>
    <row r="1153" spans="1:17" ht="13.8">
      <c r="A1153" s="2834">
        <f>'Part VII-Threshold Criteria'!A271</f>
        <v>0</v>
      </c>
      <c r="B1153" s="2834"/>
      <c r="C1153" s="2834"/>
      <c r="D1153" s="2834"/>
      <c r="E1153" s="2834"/>
      <c r="F1153" s="2834"/>
      <c r="G1153" s="2834"/>
      <c r="H1153" s="2834"/>
      <c r="I1153" s="2834"/>
      <c r="J1153" s="2834"/>
      <c r="K1153" s="2834"/>
      <c r="L1153" s="2834"/>
      <c r="M1153" s="2834"/>
      <c r="N1153" s="2834"/>
      <c r="O1153" s="2834"/>
      <c r="P1153" s="2834"/>
      <c r="Q1153" s="2834"/>
    </row>
    <row r="1154" spans="1:17" ht="14.4">
      <c r="A1154" s="2415"/>
      <c r="B1154" s="2833" t="s">
        <v>1724</v>
      </c>
      <c r="C1154" s="2833"/>
      <c r="D1154" s="2415"/>
      <c r="E1154" s="2415"/>
      <c r="F1154" s="2415"/>
      <c r="G1154" s="2415"/>
      <c r="H1154" s="2415"/>
      <c r="I1154" s="2415"/>
      <c r="J1154" s="2415"/>
      <c r="K1154" s="2415"/>
      <c r="L1154" s="2415"/>
      <c r="M1154" s="2415"/>
      <c r="N1154" s="2415"/>
      <c r="O1154" s="2415"/>
      <c r="P1154" s="2415"/>
      <c r="Q1154" s="2415"/>
    </row>
    <row r="1155" spans="1:17" ht="13.8">
      <c r="A1155" s="2415"/>
      <c r="B1155" s="2415"/>
      <c r="C1155" s="2415"/>
      <c r="D1155" s="2415"/>
      <c r="E1155" s="2415"/>
      <c r="F1155" s="2415"/>
      <c r="G1155" s="2415"/>
      <c r="H1155" s="2415"/>
      <c r="I1155" s="2415"/>
      <c r="J1155" s="2415"/>
      <c r="K1155" s="2415"/>
      <c r="L1155" s="2415"/>
      <c r="M1155" s="2415"/>
      <c r="N1155" s="2415"/>
      <c r="O1155" s="2415"/>
      <c r="P1155" s="2415"/>
      <c r="Q1155" s="2415"/>
    </row>
    <row r="1156" spans="1:17" ht="13.8">
      <c r="A1156" s="2420"/>
      <c r="B1156" s="2415"/>
      <c r="C1156" s="2415"/>
      <c r="D1156" s="2415"/>
      <c r="E1156" s="2415"/>
      <c r="F1156" s="2415"/>
      <c r="G1156" s="2415"/>
      <c r="H1156" s="2415"/>
      <c r="I1156" s="2415"/>
      <c r="J1156" s="2415"/>
      <c r="K1156" s="2415"/>
      <c r="L1156" s="2415"/>
      <c r="M1156" s="2415"/>
      <c r="N1156" s="2415"/>
      <c r="O1156" s="2415"/>
      <c r="P1156" s="2415"/>
      <c r="Q1156" s="2420"/>
    </row>
    <row r="1157" spans="1:17" ht="13.8">
      <c r="A1157" s="2418"/>
      <c r="B1157" s="2417"/>
      <c r="C1157" s="2416"/>
      <c r="D1157" s="2416"/>
      <c r="E1157" s="2416"/>
      <c r="F1157" s="2416"/>
      <c r="G1157" s="2416"/>
      <c r="H1157" s="2416"/>
      <c r="I1157" s="2416"/>
      <c r="J1157" s="2416"/>
      <c r="K1157" s="2416"/>
      <c r="L1157" s="2416"/>
      <c r="M1157" s="2416"/>
      <c r="N1157" s="2415"/>
      <c r="O1157" s="2415"/>
      <c r="P1157" s="2415"/>
      <c r="Q1157" s="2418"/>
    </row>
    <row r="1158" spans="1:17" ht="13.8">
      <c r="A1158" s="2831" t="s">
        <v>3288</v>
      </c>
      <c r="B1158" s="2831" t="s">
        <v>4790</v>
      </c>
      <c r="C1158" s="2416"/>
      <c r="D1158" s="2416"/>
      <c r="E1158" s="2416"/>
      <c r="F1158" s="2416"/>
      <c r="G1158" s="2416"/>
      <c r="H1158" s="2416"/>
      <c r="I1158" s="2416"/>
      <c r="J1158" s="2416"/>
      <c r="K1158" s="2416"/>
      <c r="L1158" s="2416"/>
      <c r="M1158" s="2416"/>
      <c r="N1158" s="2415"/>
      <c r="O1158" s="2832" t="s">
        <v>1725</v>
      </c>
      <c r="P1158" s="2420"/>
      <c r="Q1158" s="2420"/>
    </row>
    <row r="1159" spans="1:17" ht="13.8">
      <c r="A1159" s="2554" t="s">
        <v>1835</v>
      </c>
      <c r="B1159" s="2831" t="s">
        <v>4791</v>
      </c>
      <c r="C1159" s="2831"/>
      <c r="D1159" s="2416"/>
      <c r="E1159" s="2416"/>
      <c r="F1159" s="2416"/>
      <c r="G1159" s="2416"/>
      <c r="H1159" s="2416"/>
      <c r="I1159" s="2416"/>
      <c r="J1159" s="2416"/>
      <c r="K1159" s="2416"/>
      <c r="L1159" s="2416"/>
      <c r="M1159" s="2416"/>
      <c r="N1159" s="2415"/>
      <c r="O1159" s="2415"/>
      <c r="P1159" s="2420">
        <f>'Part VII-Threshold Criteria'!P277</f>
        <v>0</v>
      </c>
      <c r="Q1159" s="2841"/>
    </row>
    <row r="1160" spans="1:17" ht="14.25" customHeight="1">
      <c r="A1160" s="2416"/>
      <c r="B1160" s="2834" t="s">
        <v>4962</v>
      </c>
      <c r="C1160" s="2834"/>
      <c r="D1160" s="2834"/>
      <c r="E1160" s="2834"/>
      <c r="F1160" s="2834"/>
      <c r="G1160" s="2834"/>
      <c r="H1160" s="2834"/>
      <c r="I1160" s="2834"/>
      <c r="J1160" s="2834"/>
      <c r="K1160" s="2834"/>
      <c r="L1160" s="2834"/>
      <c r="M1160" s="2834"/>
      <c r="N1160" s="2834"/>
      <c r="O1160" s="2834"/>
      <c r="P1160" s="2420">
        <f>'Part VII-Threshold Criteria'!P278</f>
        <v>0</v>
      </c>
      <c r="Q1160" s="2841"/>
    </row>
    <row r="1161" spans="1:17" ht="13.8">
      <c r="A1161" s="2554" t="s">
        <v>1837</v>
      </c>
      <c r="B1161" s="2420" t="s">
        <v>4792</v>
      </c>
      <c r="C1161" s="2415"/>
      <c r="D1161" s="2415"/>
      <c r="E1161" s="2415"/>
      <c r="F1161" s="2415"/>
      <c r="G1161" s="2415"/>
      <c r="H1161" s="2415"/>
      <c r="I1161" s="2415"/>
      <c r="J1161" s="2415"/>
      <c r="K1161" s="2415"/>
      <c r="L1161" s="2415"/>
      <c r="M1161" s="2415"/>
      <c r="N1161" s="2415"/>
      <c r="O1161" s="2415"/>
      <c r="P1161" s="2420">
        <f>'Part VII-Threshold Criteria'!P279</f>
        <v>0</v>
      </c>
      <c r="Q1161" s="2841"/>
    </row>
    <row r="1162" spans="1:17" ht="14.25" customHeight="1">
      <c r="A1162" s="2416"/>
      <c r="B1162" s="2834" t="s">
        <v>4968</v>
      </c>
      <c r="C1162" s="2834"/>
      <c r="D1162" s="2834"/>
      <c r="E1162" s="2834"/>
      <c r="F1162" s="2834"/>
      <c r="G1162" s="2834"/>
      <c r="H1162" s="2834"/>
      <c r="I1162" s="2834"/>
      <c r="J1162" s="2834"/>
      <c r="K1162" s="2834"/>
      <c r="L1162" s="2834"/>
      <c r="M1162" s="2834"/>
      <c r="N1162" s="2834"/>
      <c r="O1162" s="2834"/>
      <c r="P1162" s="2420">
        <f>'Part VII-Threshold Criteria'!P280</f>
        <v>0</v>
      </c>
      <c r="Q1162" s="2841"/>
    </row>
    <row r="1163" spans="1:17" ht="14.4">
      <c r="A1163" s="2831"/>
      <c r="B1163" s="2833" t="s">
        <v>3154</v>
      </c>
      <c r="C1163" s="2415"/>
      <c r="D1163" s="2833"/>
      <c r="E1163" s="2833"/>
      <c r="F1163" s="2833"/>
      <c r="G1163" s="2833"/>
      <c r="H1163" s="2415"/>
      <c r="I1163" s="2415"/>
      <c r="J1163" s="2415"/>
      <c r="K1163" s="2415"/>
      <c r="L1163" s="2420"/>
      <c r="M1163" s="2420"/>
      <c r="N1163" s="2420"/>
      <c r="O1163" s="2420"/>
      <c r="P1163" s="2420"/>
      <c r="Q1163" s="2420"/>
    </row>
    <row r="1164" spans="1:17" ht="13.8">
      <c r="A1164" s="2834">
        <f>'Part VII-Threshold Criteria'!A282</f>
        <v>0</v>
      </c>
      <c r="B1164" s="2834"/>
      <c r="C1164" s="2834"/>
      <c r="D1164" s="2834"/>
      <c r="E1164" s="2834"/>
      <c r="F1164" s="2834"/>
      <c r="G1164" s="2834"/>
      <c r="H1164" s="2834"/>
      <c r="I1164" s="2834"/>
      <c r="J1164" s="2834"/>
      <c r="K1164" s="2834"/>
      <c r="L1164" s="2834"/>
      <c r="M1164" s="2834"/>
      <c r="N1164" s="2834"/>
      <c r="O1164" s="2834"/>
      <c r="P1164" s="2834"/>
      <c r="Q1164" s="2834"/>
    </row>
    <row r="1165" spans="1:17" ht="14.4">
      <c r="A1165" s="2415"/>
      <c r="B1165" s="2833" t="s">
        <v>1724</v>
      </c>
      <c r="C1165" s="2833"/>
      <c r="D1165" s="2415"/>
      <c r="E1165" s="2415"/>
      <c r="F1165" s="2415"/>
      <c r="G1165" s="2415"/>
      <c r="H1165" s="2415"/>
      <c r="I1165" s="2415"/>
      <c r="J1165" s="2415"/>
      <c r="K1165" s="2415"/>
      <c r="L1165" s="2415"/>
      <c r="M1165" s="2415"/>
      <c r="N1165" s="2415"/>
      <c r="O1165" s="2415"/>
      <c r="P1165" s="2415"/>
      <c r="Q1165" s="2415"/>
    </row>
    <row r="1166" spans="1:17" ht="13.8">
      <c r="A1166" s="2415"/>
      <c r="B1166" s="2415"/>
      <c r="C1166" s="2415"/>
      <c r="D1166" s="2415"/>
      <c r="E1166" s="2415"/>
      <c r="F1166" s="2415"/>
      <c r="G1166" s="2415"/>
      <c r="H1166" s="2415"/>
      <c r="I1166" s="2415"/>
      <c r="J1166" s="2415"/>
      <c r="K1166" s="2415"/>
      <c r="L1166" s="2415"/>
      <c r="M1166" s="2415"/>
      <c r="N1166" s="2415"/>
      <c r="O1166" s="2415"/>
      <c r="P1166" s="2415"/>
      <c r="Q1166" s="2415"/>
    </row>
    <row r="1167" spans="1:17" ht="13.8">
      <c r="A1167" s="2420"/>
      <c r="B1167" s="2415"/>
      <c r="C1167" s="2415"/>
      <c r="D1167" s="2415"/>
      <c r="E1167" s="2415"/>
      <c r="F1167" s="2415"/>
      <c r="G1167" s="2415"/>
      <c r="H1167" s="2415"/>
      <c r="I1167" s="2415"/>
      <c r="J1167" s="2415"/>
      <c r="K1167" s="2415"/>
      <c r="L1167" s="2415"/>
      <c r="M1167" s="2415"/>
      <c r="N1167" s="2415"/>
      <c r="O1167" s="2415"/>
      <c r="P1167" s="2415"/>
      <c r="Q1167" s="2420"/>
    </row>
    <row r="1168" spans="1:17" ht="13.8">
      <c r="A1168" s="2831"/>
      <c r="B1168" s="2417"/>
      <c r="C1168" s="2416"/>
      <c r="D1168" s="2416"/>
      <c r="E1168" s="2416"/>
      <c r="F1168" s="2416"/>
      <c r="G1168" s="2416"/>
      <c r="H1168" s="2416"/>
      <c r="I1168" s="2416"/>
      <c r="J1168" s="2416"/>
      <c r="K1168" s="2416"/>
      <c r="L1168" s="2416"/>
      <c r="M1168" s="2416"/>
      <c r="N1168" s="2415"/>
      <c r="O1168" s="2415"/>
      <c r="P1168" s="2415"/>
      <c r="Q1168" s="2418"/>
    </row>
    <row r="1169" spans="1:17" ht="13.8">
      <c r="A1169" s="2831" t="s">
        <v>3289</v>
      </c>
      <c r="B1169" s="2831" t="s">
        <v>4793</v>
      </c>
      <c r="C1169" s="2416"/>
      <c r="D1169" s="2416"/>
      <c r="E1169" s="2416"/>
      <c r="F1169" s="2416"/>
      <c r="G1169" s="2416"/>
      <c r="H1169" s="2416"/>
      <c r="I1169" s="2416"/>
      <c r="J1169" s="2416"/>
      <c r="K1169" s="2416"/>
      <c r="L1169" s="2416"/>
      <c r="M1169" s="2416"/>
      <c r="N1169" s="2415"/>
      <c r="O1169" s="2832" t="s">
        <v>1725</v>
      </c>
      <c r="P1169" s="2420"/>
      <c r="Q1169" s="2420"/>
    </row>
    <row r="1170" spans="1:17" ht="15" customHeight="1">
      <c r="A1170" s="2831"/>
      <c r="B1170" s="2415" t="s">
        <v>5061</v>
      </c>
      <c r="C1170" s="2415"/>
      <c r="D1170" s="2415"/>
      <c r="E1170" s="2415"/>
      <c r="F1170" s="2415"/>
      <c r="G1170" s="2415"/>
      <c r="H1170" s="2415"/>
      <c r="I1170" s="2415"/>
      <c r="J1170" s="2415"/>
      <c r="K1170" s="2415"/>
      <c r="L1170" s="2415"/>
      <c r="M1170" s="2415"/>
      <c r="N1170" s="2415"/>
      <c r="O1170" s="2415"/>
      <c r="P1170" s="2420">
        <f>'Part VII-Threshold Criteria'!P288</f>
        <v>0</v>
      </c>
      <c r="Q1170" s="2420"/>
    </row>
    <row r="1171" spans="1:17" ht="14.4">
      <c r="A1171" s="2831"/>
      <c r="B1171" s="2833" t="s">
        <v>3154</v>
      </c>
      <c r="C1171" s="2415"/>
      <c r="D1171" s="2833"/>
      <c r="E1171" s="2833"/>
      <c r="F1171" s="2833"/>
      <c r="G1171" s="2833"/>
      <c r="H1171" s="2415"/>
      <c r="I1171" s="2415"/>
      <c r="J1171" s="2415"/>
      <c r="K1171" s="2415"/>
      <c r="L1171" s="2420"/>
      <c r="M1171" s="2420"/>
      <c r="N1171" s="2420"/>
      <c r="O1171" s="2420"/>
      <c r="P1171" s="2420"/>
      <c r="Q1171" s="2420"/>
    </row>
    <row r="1172" spans="1:17" ht="13.8">
      <c r="A1172" s="2834">
        <f>'Part VII-Threshold Criteria'!A290</f>
        <v>0</v>
      </c>
      <c r="B1172" s="2834"/>
      <c r="C1172" s="2834"/>
      <c r="D1172" s="2834"/>
      <c r="E1172" s="2834"/>
      <c r="F1172" s="2834"/>
      <c r="G1172" s="2834"/>
      <c r="H1172" s="2834"/>
      <c r="I1172" s="2834"/>
      <c r="J1172" s="2834"/>
      <c r="K1172" s="2834"/>
      <c r="L1172" s="2834"/>
      <c r="M1172" s="2834"/>
      <c r="N1172" s="2834"/>
      <c r="O1172" s="2834"/>
      <c r="P1172" s="2834"/>
      <c r="Q1172" s="2834"/>
    </row>
    <row r="1173" spans="1:17" ht="14.4">
      <c r="A1173" s="2415"/>
      <c r="B1173" s="2833" t="s">
        <v>1724</v>
      </c>
      <c r="C1173" s="2833"/>
      <c r="D1173" s="2415"/>
      <c r="E1173" s="2415"/>
      <c r="F1173" s="2415"/>
      <c r="G1173" s="2415"/>
      <c r="H1173" s="2415"/>
      <c r="I1173" s="2415"/>
      <c r="J1173" s="2415"/>
      <c r="K1173" s="2415"/>
      <c r="L1173" s="2415"/>
      <c r="M1173" s="2415"/>
      <c r="N1173" s="2415"/>
      <c r="O1173" s="2415"/>
      <c r="P1173" s="2415"/>
      <c r="Q1173" s="2415"/>
    </row>
    <row r="1174" spans="1:17" ht="13.8">
      <c r="A1174" s="2415"/>
      <c r="B1174" s="2415"/>
      <c r="C1174" s="2415"/>
      <c r="D1174" s="2415"/>
      <c r="E1174" s="2415"/>
      <c r="F1174" s="2415"/>
      <c r="G1174" s="2415"/>
      <c r="H1174" s="2415"/>
      <c r="I1174" s="2415"/>
      <c r="J1174" s="2415"/>
      <c r="K1174" s="2415"/>
      <c r="L1174" s="2415"/>
      <c r="M1174" s="2415"/>
      <c r="N1174" s="2415"/>
      <c r="O1174" s="2415"/>
      <c r="P1174" s="2415"/>
      <c r="Q1174" s="2415"/>
    </row>
    <row r="1175" spans="1:17" ht="13.8">
      <c r="A1175" s="2420"/>
      <c r="B1175" s="2415"/>
      <c r="C1175" s="2415"/>
      <c r="D1175" s="2415"/>
      <c r="E1175" s="2415"/>
      <c r="F1175" s="2415"/>
      <c r="G1175" s="2415"/>
      <c r="H1175" s="2415"/>
      <c r="I1175" s="2415"/>
      <c r="J1175" s="2415"/>
      <c r="K1175" s="2415"/>
      <c r="L1175" s="2415"/>
      <c r="M1175" s="2415"/>
      <c r="N1175" s="2415"/>
      <c r="O1175" s="2415"/>
      <c r="P1175" s="2415"/>
      <c r="Q1175" s="2420"/>
    </row>
    <row r="1176" spans="1:17" ht="13.8">
      <c r="A1176" s="2831"/>
      <c r="B1176" s="2417"/>
      <c r="C1176" s="2416"/>
      <c r="D1176" s="2416"/>
      <c r="E1176" s="2416"/>
      <c r="F1176" s="2416"/>
      <c r="G1176" s="2416"/>
      <c r="H1176" s="2416"/>
      <c r="I1176" s="2416"/>
      <c r="J1176" s="2416"/>
      <c r="K1176" s="2416"/>
      <c r="L1176" s="2416"/>
      <c r="M1176" s="2416"/>
      <c r="N1176" s="2415"/>
      <c r="O1176" s="2415"/>
      <c r="P1176" s="2415"/>
      <c r="Q1176" s="2418"/>
    </row>
    <row r="1177" spans="1:17" ht="13.8">
      <c r="A1177" s="2831" t="s">
        <v>3290</v>
      </c>
      <c r="B1177" s="2420" t="s">
        <v>4795</v>
      </c>
      <c r="C1177" s="2415"/>
      <c r="D1177" s="2420"/>
      <c r="E1177" s="2416"/>
      <c r="F1177" s="2416"/>
      <c r="G1177" s="2416"/>
      <c r="H1177" s="2416"/>
      <c r="I1177" s="2415"/>
      <c r="J1177" s="2416"/>
      <c r="K1177" s="2416"/>
      <c r="L1177" s="2416"/>
      <c r="M1177" s="2416"/>
      <c r="N1177" s="2415"/>
      <c r="O1177" s="2832" t="s">
        <v>1725</v>
      </c>
      <c r="P1177" s="2420"/>
      <c r="Q1177" s="2420"/>
    </row>
    <row r="1178" spans="1:17" ht="15" customHeight="1">
      <c r="A1178" s="2831"/>
      <c r="B1178" s="2415" t="s">
        <v>4971</v>
      </c>
      <c r="C1178" s="2415"/>
      <c r="D1178" s="2415"/>
      <c r="E1178" s="2415"/>
      <c r="F1178" s="2415"/>
      <c r="G1178" s="2415"/>
      <c r="H1178" s="2415"/>
      <c r="I1178" s="2415"/>
      <c r="J1178" s="2415"/>
      <c r="K1178" s="2415"/>
      <c r="L1178" s="2415"/>
      <c r="M1178" s="2415"/>
      <c r="N1178" s="2415"/>
      <c r="O1178" s="2415"/>
      <c r="P1178" s="2420">
        <f>'Part VII-Threshold Criteria'!P296</f>
        <v>0</v>
      </c>
      <c r="Q1178" s="2420"/>
    </row>
    <row r="1179" spans="1:17" ht="15" customHeight="1">
      <c r="A1179" s="2831"/>
      <c r="B1179" s="2834" t="s">
        <v>4796</v>
      </c>
      <c r="C1179" s="2834"/>
      <c r="D1179" s="2834"/>
      <c r="E1179" s="2834"/>
      <c r="F1179" s="2834"/>
      <c r="G1179" s="2834"/>
      <c r="H1179" s="2834"/>
      <c r="I1179" s="2834"/>
      <c r="J1179" s="2834"/>
      <c r="K1179" s="2834"/>
      <c r="L1179" s="2834"/>
      <c r="M1179" s="2834"/>
      <c r="N1179" s="2834"/>
      <c r="O1179" s="2834"/>
      <c r="P1179" s="2420">
        <f>'Part VII-Threshold Criteria'!P297</f>
        <v>0</v>
      </c>
      <c r="Q1179" s="2841"/>
    </row>
    <row r="1180" spans="1:17" ht="14.4">
      <c r="A1180" s="2831"/>
      <c r="B1180" s="2833" t="s">
        <v>3154</v>
      </c>
      <c r="C1180" s="2415"/>
      <c r="D1180" s="2833"/>
      <c r="E1180" s="2833"/>
      <c r="F1180" s="2833"/>
      <c r="G1180" s="2833"/>
      <c r="H1180" s="2415"/>
      <c r="I1180" s="2415"/>
      <c r="J1180" s="2415"/>
      <c r="K1180" s="2415"/>
      <c r="L1180" s="2420"/>
      <c r="M1180" s="2420"/>
      <c r="N1180" s="2420"/>
      <c r="O1180" s="2420"/>
      <c r="P1180" s="2420"/>
      <c r="Q1180" s="2420"/>
    </row>
    <row r="1181" spans="1:17" ht="13.8">
      <c r="A1181" s="2834">
        <f>'Part VII-Threshold Criteria'!A299</f>
        <v>0</v>
      </c>
      <c r="B1181" s="2834"/>
      <c r="C1181" s="2834"/>
      <c r="D1181" s="2834"/>
      <c r="E1181" s="2834"/>
      <c r="F1181" s="2834"/>
      <c r="G1181" s="2834"/>
      <c r="H1181" s="2834"/>
      <c r="I1181" s="2834"/>
      <c r="J1181" s="2834"/>
      <c r="K1181" s="2834"/>
      <c r="L1181" s="2834"/>
      <c r="M1181" s="2834"/>
      <c r="N1181" s="2834"/>
      <c r="O1181" s="2834"/>
      <c r="P1181" s="2834"/>
      <c r="Q1181" s="2834"/>
    </row>
    <row r="1182" spans="1:17" ht="14.4">
      <c r="A1182" s="2415"/>
      <c r="B1182" s="2833" t="s">
        <v>1724</v>
      </c>
      <c r="C1182" s="2833"/>
      <c r="D1182" s="2415"/>
      <c r="E1182" s="2415"/>
      <c r="F1182" s="2415"/>
      <c r="G1182" s="2415"/>
      <c r="H1182" s="2415"/>
      <c r="I1182" s="2415"/>
      <c r="J1182" s="2415"/>
      <c r="K1182" s="2415"/>
      <c r="L1182" s="2415"/>
      <c r="M1182" s="2415"/>
      <c r="N1182" s="2415"/>
      <c r="O1182" s="2415"/>
      <c r="P1182" s="2415"/>
      <c r="Q1182" s="2415"/>
    </row>
    <row r="1183" spans="1:17" ht="13.8">
      <c r="A1183" s="2415"/>
      <c r="B1183" s="2415"/>
      <c r="C1183" s="2415"/>
      <c r="D1183" s="2415"/>
      <c r="E1183" s="2415"/>
      <c r="F1183" s="2415"/>
      <c r="G1183" s="2415"/>
      <c r="H1183" s="2415"/>
      <c r="I1183" s="2415"/>
      <c r="J1183" s="2415"/>
      <c r="K1183" s="2415"/>
      <c r="L1183" s="2415"/>
      <c r="M1183" s="2415"/>
      <c r="N1183" s="2415"/>
      <c r="O1183" s="2415"/>
      <c r="P1183" s="2415"/>
      <c r="Q1183" s="2415"/>
    </row>
    <row r="1184" spans="1:17" ht="13.8">
      <c r="A1184" s="2420"/>
      <c r="B1184" s="2415"/>
      <c r="C1184" s="2415"/>
      <c r="D1184" s="2415"/>
      <c r="E1184" s="2415"/>
      <c r="F1184" s="2415"/>
      <c r="G1184" s="2415"/>
      <c r="H1184" s="2415"/>
      <c r="I1184" s="2415"/>
      <c r="J1184" s="2415"/>
      <c r="K1184" s="2415"/>
      <c r="L1184" s="2415"/>
      <c r="M1184" s="2415"/>
      <c r="N1184" s="2415"/>
      <c r="O1184" s="2415"/>
      <c r="P1184" s="2415"/>
      <c r="Q1184" s="2420"/>
    </row>
    <row r="1185" spans="1:32" ht="13.8">
      <c r="A1185" s="2831"/>
      <c r="B1185" s="2417"/>
      <c r="C1185" s="2416"/>
      <c r="D1185" s="2416"/>
      <c r="E1185" s="2416"/>
      <c r="F1185" s="2416"/>
      <c r="G1185" s="2416"/>
      <c r="H1185" s="2416"/>
      <c r="I1185" s="2416"/>
      <c r="J1185" s="2416"/>
      <c r="K1185" s="2416"/>
      <c r="L1185" s="2416"/>
      <c r="M1185" s="2416"/>
      <c r="N1185" s="2415"/>
      <c r="O1185" s="2415"/>
      <c r="P1185" s="2415"/>
      <c r="Q1185" s="2418"/>
    </row>
    <row r="1186" spans="1:32" ht="13.8">
      <c r="A1186" s="2831" t="s">
        <v>3677</v>
      </c>
      <c r="B1186" s="2420" t="s">
        <v>2428</v>
      </c>
      <c r="C1186" s="2415"/>
      <c r="D1186" s="2420"/>
      <c r="E1186" s="2416"/>
      <c r="F1186" s="2416"/>
      <c r="G1186" s="2416"/>
      <c r="H1186" s="2416"/>
      <c r="I1186" s="2415"/>
      <c r="J1186" s="2416"/>
      <c r="K1186" s="2416"/>
      <c r="L1186" s="2416"/>
      <c r="M1186" s="2416"/>
      <c r="N1186" s="2415"/>
      <c r="O1186" s="2832" t="s">
        <v>1725</v>
      </c>
      <c r="P1186" s="2420"/>
      <c r="Q1186" s="2420"/>
    </row>
    <row r="1187" spans="1:32" ht="14.4">
      <c r="A1187" s="2831"/>
      <c r="B1187" s="2837" t="s">
        <v>3154</v>
      </c>
      <c r="C1187" s="2415"/>
      <c r="D1187" s="2837"/>
      <c r="E1187" s="2837"/>
      <c r="F1187" s="2837"/>
      <c r="G1187" s="2837"/>
      <c r="H1187" s="2416"/>
      <c r="I1187" s="2417"/>
      <c r="J1187" s="2417"/>
      <c r="K1187" s="2417"/>
      <c r="L1187" s="2418"/>
      <c r="M1187" s="2418"/>
      <c r="N1187" s="2418"/>
      <c r="O1187" s="2418"/>
      <c r="P1187" s="2420"/>
      <c r="Q1187" s="2420"/>
    </row>
    <row r="1188" spans="1:32" ht="13.8">
      <c r="A1188" s="2834">
        <f>'Part VII-Threshold Criteria'!A306</f>
        <v>0</v>
      </c>
      <c r="B1188" s="2834"/>
      <c r="C1188" s="2834"/>
      <c r="D1188" s="2834"/>
      <c r="E1188" s="2834"/>
      <c r="F1188" s="2834"/>
      <c r="G1188" s="2834"/>
      <c r="H1188" s="2834"/>
      <c r="I1188" s="2834"/>
      <c r="J1188" s="2834"/>
      <c r="K1188" s="2834"/>
      <c r="L1188" s="2834"/>
      <c r="M1188" s="2834"/>
      <c r="N1188" s="2834"/>
      <c r="O1188" s="2834"/>
      <c r="P1188" s="2834"/>
      <c r="Q1188" s="2834"/>
    </row>
    <row r="1189" spans="1:32" ht="14.4">
      <c r="A1189" s="2415"/>
      <c r="B1189" s="2833" t="s">
        <v>1724</v>
      </c>
      <c r="C1189" s="2833"/>
      <c r="D1189" s="2415"/>
      <c r="E1189" s="2415"/>
      <c r="F1189" s="2415"/>
      <c r="G1189" s="2415"/>
      <c r="H1189" s="2415"/>
      <c r="I1189" s="2415"/>
      <c r="J1189" s="2415"/>
      <c r="K1189" s="2415"/>
      <c r="L1189" s="2415"/>
      <c r="M1189" s="2415"/>
      <c r="N1189" s="2415"/>
      <c r="O1189" s="2415"/>
      <c r="P1189" s="2415"/>
      <c r="Q1189" s="2415"/>
    </row>
    <row r="1190" spans="1:32" ht="13.8">
      <c r="A1190" s="2415"/>
      <c r="B1190" s="2415"/>
      <c r="C1190" s="2415"/>
      <c r="D1190" s="2415"/>
      <c r="E1190" s="2415"/>
      <c r="F1190" s="2415"/>
      <c r="G1190" s="2415"/>
      <c r="H1190" s="2415"/>
      <c r="I1190" s="2415"/>
      <c r="J1190" s="2415"/>
      <c r="K1190" s="2415"/>
      <c r="L1190" s="2415"/>
      <c r="M1190" s="2415"/>
      <c r="N1190" s="2415"/>
      <c r="O1190" s="2415"/>
      <c r="P1190" s="2415"/>
      <c r="Q1190" s="2415"/>
    </row>
    <row r="1195" spans="1:32" ht="13.8">
      <c r="A1195" s="1973" t="str">
        <f>CONCATENATE("PART EIGHT - SCORING CRITERIA","  -  ",'Part I-Project Identification'!$O$7," ",'Part I-Project Identification'!$F$26,", ",'Part I-Project Identification'!F1217,", ",'Part I-Project Identification'!J1217," County")</f>
        <v>PART EIGHT - SCORING CRITERIA  -  2025-0 Retreat at Madison Place, ,  County</v>
      </c>
      <c r="B1195" s="1973"/>
      <c r="C1195" s="1973"/>
      <c r="D1195" s="1973"/>
      <c r="E1195" s="1973"/>
      <c r="F1195" s="1973"/>
      <c r="G1195" s="1973"/>
      <c r="H1195" s="1973"/>
      <c r="I1195" s="1973"/>
      <c r="J1195" s="1973"/>
      <c r="K1195" s="1973"/>
      <c r="L1195" s="1973"/>
      <c r="M1195" s="1973"/>
      <c r="N1195" s="1973"/>
      <c r="O1195" s="1973"/>
      <c r="P1195" s="1973"/>
      <c r="Q1195" s="1973"/>
      <c r="R1195" s="1973"/>
      <c r="S1195" s="1973"/>
      <c r="T1195" s="1973"/>
      <c r="U1195" s="1973"/>
      <c r="V1195" s="1973"/>
      <c r="W1195" s="1973"/>
      <c r="X1195" s="2863"/>
      <c r="Y1195" s="2001"/>
      <c r="Z1195" s="2001"/>
      <c r="AA1195" s="2001"/>
      <c r="AB1195" s="2001"/>
      <c r="AC1195" s="2001"/>
      <c r="AD1195" s="2001"/>
      <c r="AE1195" s="2001"/>
      <c r="AF1195" s="2001"/>
    </row>
    <row r="1196" spans="1:32" ht="13.8">
      <c r="A1196" s="1974"/>
      <c r="B1196" s="1974"/>
      <c r="C1196" s="2864"/>
      <c r="D1196" s="1974"/>
      <c r="E1196" s="1974"/>
      <c r="F1196" s="1974"/>
      <c r="G1196" s="1974"/>
      <c r="H1196" s="1974"/>
      <c r="I1196" s="1974"/>
      <c r="J1196" s="1974"/>
      <c r="K1196" s="1974"/>
      <c r="L1196" s="1974"/>
      <c r="M1196" s="1974"/>
      <c r="N1196" s="1974"/>
      <c r="O1196" s="1973"/>
      <c r="P1196" s="1973"/>
      <c r="Q1196" s="1973"/>
      <c r="R1196" s="1973"/>
      <c r="S1196" s="1973"/>
      <c r="T1196" s="1973"/>
      <c r="U1196" s="1973"/>
      <c r="V1196" s="1973"/>
      <c r="W1196" s="1973"/>
      <c r="X1196" s="2863"/>
      <c r="Y1196" s="2001"/>
      <c r="Z1196" s="2001"/>
      <c r="AA1196" s="2001"/>
      <c r="AB1196" s="2001"/>
      <c r="AC1196" s="2001"/>
      <c r="AD1196" s="2001"/>
      <c r="AE1196" s="2001"/>
      <c r="AF1196" s="2001"/>
    </row>
    <row r="1197" spans="1:32" ht="15" customHeight="1">
      <c r="A1197" s="2865" t="s">
        <v>4970</v>
      </c>
      <c r="B1197" s="2865"/>
      <c r="C1197" s="2865"/>
      <c r="D1197" s="2865"/>
      <c r="E1197" s="2865"/>
      <c r="F1197" s="2865"/>
      <c r="G1197" s="2865"/>
      <c r="H1197" s="2865"/>
      <c r="I1197" s="2865"/>
      <c r="J1197" s="2865"/>
      <c r="K1197" s="2865"/>
      <c r="L1197" s="2865"/>
      <c r="M1197" s="2404" t="s">
        <v>4713</v>
      </c>
      <c r="N1197" s="1987"/>
      <c r="O1197" s="2404" t="s">
        <v>2044</v>
      </c>
      <c r="P1197" s="2404" t="s">
        <v>245</v>
      </c>
      <c r="Q1197" s="1973"/>
      <c r="R1197" s="1973"/>
      <c r="S1197" s="1973"/>
      <c r="T1197" s="1973"/>
      <c r="U1197" s="1973"/>
      <c r="V1197" s="1973"/>
      <c r="W1197" s="1973"/>
      <c r="X1197" s="2863"/>
      <c r="Y1197" s="1974"/>
      <c r="Z1197" s="1974"/>
      <c r="AA1197" s="1974"/>
      <c r="AB1197" s="1974"/>
      <c r="AC1197" s="1974"/>
      <c r="AD1197" s="1974"/>
      <c r="AE1197" s="1974"/>
      <c r="AF1197" s="1974"/>
    </row>
    <row r="1198" spans="1:32" ht="15" customHeight="1">
      <c r="A1198" s="2865"/>
      <c r="B1198" s="2865"/>
      <c r="C1198" s="2865"/>
      <c r="D1198" s="2865"/>
      <c r="E1198" s="2865"/>
      <c r="F1198" s="2865"/>
      <c r="G1198" s="2865"/>
      <c r="H1198" s="2865"/>
      <c r="I1198" s="2865"/>
      <c r="J1198" s="2865"/>
      <c r="K1198" s="2865"/>
      <c r="L1198" s="2865"/>
      <c r="M1198" s="2404" t="s">
        <v>2045</v>
      </c>
      <c r="N1198" s="1973"/>
      <c r="O1198" s="2404" t="s">
        <v>2045</v>
      </c>
      <c r="P1198" s="2404" t="s">
        <v>2045</v>
      </c>
      <c r="Q1198" s="1973"/>
      <c r="R1198" s="1973"/>
      <c r="S1198" s="1973"/>
      <c r="T1198" s="1973"/>
      <c r="U1198" s="1973"/>
      <c r="V1198" s="1973"/>
      <c r="W1198" s="1974"/>
      <c r="X1198" s="1974"/>
      <c r="Y1198" s="1974"/>
      <c r="Z1198" s="1974"/>
      <c r="AA1198" s="1974"/>
      <c r="AB1198" s="1974"/>
      <c r="AC1198" s="1974"/>
      <c r="AD1198" s="1974"/>
      <c r="AE1198" s="1974"/>
      <c r="AF1198" s="1974"/>
    </row>
    <row r="1199" spans="1:32" ht="13.8">
      <c r="A1199" s="1974"/>
      <c r="B1199" s="1974"/>
      <c r="C1199" s="1974"/>
      <c r="D1199" s="1974"/>
      <c r="E1199" s="1974"/>
      <c r="F1199" s="1974"/>
      <c r="G1199" s="1974"/>
      <c r="H1199" s="1974"/>
      <c r="I1199" s="1974"/>
      <c r="J1199" s="1974"/>
      <c r="K1199" s="1974"/>
      <c r="L1199" s="1974"/>
      <c r="M1199" s="2003"/>
      <c r="N1199" s="1973"/>
      <c r="O1199" s="2404"/>
      <c r="P1199" s="2003"/>
      <c r="Q1199" s="1973"/>
      <c r="R1199" s="1973"/>
      <c r="S1199" s="1973"/>
      <c r="T1199" s="1973"/>
      <c r="U1199" s="1973"/>
      <c r="V1199" s="1973"/>
      <c r="W1199" s="1974"/>
      <c r="X1199" s="1974"/>
      <c r="Y1199" s="1974"/>
      <c r="Z1199" s="1974"/>
      <c r="AA1199" s="1974"/>
      <c r="AB1199" s="1974"/>
      <c r="AC1199" s="1974"/>
      <c r="AD1199" s="1974"/>
      <c r="AE1199" s="1974"/>
      <c r="AF1199" s="1974"/>
    </row>
    <row r="1200" spans="1:32" ht="13.8">
      <c r="A1200" s="1974"/>
      <c r="B1200" s="2866" t="str">
        <f>'Part I-Project Identification'!$A$6</f>
        <v>May 31, 2025</v>
      </c>
      <c r="C1200" s="2866"/>
      <c r="D1200" s="2866"/>
      <c r="E1200" s="2866"/>
      <c r="F1200" s="2866"/>
      <c r="G1200" s="1974"/>
      <c r="H1200" s="1974"/>
      <c r="I1200" s="1974"/>
      <c r="J1200" s="1974"/>
      <c r="K1200" s="1974"/>
      <c r="L1200" s="2404" t="s">
        <v>1151</v>
      </c>
      <c r="M1200" s="2000"/>
      <c r="N1200" s="2867"/>
      <c r="O1200" s="2868">
        <f>O1602</f>
        <v>65</v>
      </c>
      <c r="P1200" s="2868">
        <f>P1602</f>
        <v>12</v>
      </c>
      <c r="Q1200" s="1973" t="s">
        <v>4676</v>
      </c>
      <c r="R1200" s="1974"/>
      <c r="S1200" s="1974"/>
      <c r="T1200" s="1974"/>
      <c r="U1200" s="1974"/>
      <c r="V1200" s="1974"/>
      <c r="W1200" s="1974"/>
      <c r="X1200" s="1974"/>
      <c r="Y1200" s="1974"/>
      <c r="Z1200" s="1974"/>
      <c r="AA1200" s="1974"/>
      <c r="AB1200" s="1974"/>
      <c r="AC1200" s="1974"/>
      <c r="AD1200" s="1974"/>
      <c r="AE1200" s="1974"/>
      <c r="AF1200" s="1974"/>
    </row>
    <row r="1201" spans="1:32" ht="13.8">
      <c r="A1201" s="1974"/>
      <c r="B1201" s="1973"/>
      <c r="C1201" s="1974"/>
      <c r="D1201" s="1974"/>
      <c r="E1201" s="1974"/>
      <c r="F1201" s="1974"/>
      <c r="G1201" s="1974"/>
      <c r="H1201" s="1974"/>
      <c r="I1201" s="1974"/>
      <c r="J1201" s="1974"/>
      <c r="K1201" s="1974"/>
      <c r="L1201" s="1974"/>
      <c r="M1201" s="1987"/>
      <c r="N1201" s="1992"/>
      <c r="O1201" s="2000"/>
      <c r="P1201" s="2404"/>
      <c r="Q1201" s="1974"/>
      <c r="R1201" s="1974"/>
      <c r="S1201" s="1974"/>
      <c r="T1201" s="1974"/>
      <c r="U1201" s="1974"/>
      <c r="V1201" s="1974"/>
      <c r="W1201" s="1974"/>
      <c r="X1201" s="1974"/>
      <c r="Y1201" s="1974"/>
      <c r="Z1201" s="2001"/>
      <c r="AA1201" s="2001"/>
      <c r="AB1201" s="2001"/>
      <c r="AC1201" s="2001"/>
      <c r="AD1201" s="2001"/>
      <c r="AE1201" s="2001"/>
      <c r="AF1201" s="2001"/>
    </row>
    <row r="1202" spans="1:32" ht="14.4">
      <c r="A1202" s="2399" t="s">
        <v>688</v>
      </c>
      <c r="B1202" s="2400" t="s">
        <v>4032</v>
      </c>
      <c r="C1202" s="1973"/>
      <c r="D1202" s="1974"/>
      <c r="E1202" s="1974"/>
      <c r="F1202" s="1974"/>
      <c r="G1202" s="2869"/>
      <c r="H1202" s="1974"/>
      <c r="I1202" s="2869"/>
      <c r="J1202" s="2869"/>
      <c r="K1202" s="2869"/>
      <c r="L1202" s="2869"/>
      <c r="M1202" s="2869"/>
      <c r="N1202" s="2869"/>
      <c r="O1202" s="2869"/>
      <c r="P1202" s="2869"/>
      <c r="Q1202" s="1974"/>
      <c r="R1202" s="1974"/>
      <c r="S1202" s="1974"/>
      <c r="T1202" s="1974"/>
      <c r="U1202" s="1974"/>
      <c r="V1202" s="1974"/>
      <c r="W1202" s="1974"/>
      <c r="X1202" s="1974"/>
      <c r="Y1202" s="1974"/>
      <c r="Z1202" s="1974"/>
      <c r="AA1202" s="1974"/>
      <c r="AB1202" s="1974"/>
      <c r="AC1202" s="1974"/>
      <c r="AD1202" s="1974"/>
      <c r="AE1202" s="1974"/>
      <c r="AF1202" s="1974"/>
    </row>
    <row r="1203" spans="1:32" ht="13.8">
      <c r="A1203" s="2001"/>
      <c r="B1203" s="2001"/>
      <c r="C1203" s="2001"/>
      <c r="D1203" s="2001"/>
      <c r="E1203" s="2001"/>
      <c r="F1203" s="2001"/>
      <c r="G1203" s="2001"/>
      <c r="H1203" s="2001"/>
      <c r="I1203" s="2001"/>
      <c r="J1203" s="2001"/>
      <c r="K1203" s="2001"/>
      <c r="L1203" s="2001"/>
      <c r="M1203" s="2001"/>
      <c r="N1203" s="1992"/>
      <c r="O1203" s="2003"/>
      <c r="P1203" s="2003"/>
      <c r="Q1203" s="2001"/>
      <c r="R1203" s="2001"/>
      <c r="S1203" s="2001"/>
      <c r="T1203" s="2001"/>
      <c r="U1203" s="2001"/>
      <c r="V1203" s="2001"/>
      <c r="W1203" s="2001"/>
      <c r="X1203" s="2001"/>
      <c r="Y1203" s="2001"/>
      <c r="Z1203" s="2001"/>
      <c r="AA1203" s="2001"/>
      <c r="AB1203" s="2001"/>
      <c r="AC1203" s="2001"/>
      <c r="AD1203" s="2001"/>
      <c r="AE1203" s="2001"/>
      <c r="AF1203" s="2001"/>
    </row>
    <row r="1204" spans="1:32" ht="13.8">
      <c r="A1204" s="2870" t="str">
        <f>IF(OR((D1206-C1206&gt;0),(E1206-C1206&gt;0)),"Points Exceed Max!","")</f>
        <v/>
      </c>
      <c r="B1204" s="2870"/>
      <c r="C1204" s="2001" t="s">
        <v>4731</v>
      </c>
      <c r="D1204" s="2001"/>
      <c r="E1204" s="2001"/>
      <c r="F1204" s="2001"/>
      <c r="G1204" s="2001"/>
      <c r="H1204" s="2001"/>
      <c r="I1204" s="2001"/>
      <c r="J1204" s="2001"/>
      <c r="K1204" s="2001"/>
      <c r="L1204" s="2001"/>
      <c r="M1204" s="2001"/>
      <c r="N1204" s="1992"/>
      <c r="O1204" s="2003"/>
      <c r="P1204" s="1973"/>
      <c r="Q1204" s="2001"/>
      <c r="R1204" s="2001"/>
      <c r="S1204" s="2001"/>
      <c r="T1204" s="2001"/>
      <c r="U1204" s="2001"/>
      <c r="V1204" s="2001"/>
      <c r="W1204" s="2001"/>
      <c r="X1204" s="2001"/>
      <c r="Y1204" s="2001"/>
      <c r="Z1204" s="2001"/>
      <c r="AA1204" s="2001"/>
      <c r="AB1204" s="2001"/>
      <c r="AC1204" s="2001"/>
      <c r="AD1204" s="2001"/>
      <c r="AE1204" s="2001"/>
      <c r="AF1204" s="2001"/>
    </row>
    <row r="1205" spans="1:32" ht="15" customHeight="1">
      <c r="A1205" s="2870"/>
      <c r="B1205" s="2870"/>
      <c r="C1205" s="1987" t="s">
        <v>4713</v>
      </c>
      <c r="D1205" s="1987" t="s">
        <v>2879</v>
      </c>
      <c r="E1205" s="1987" t="s">
        <v>245</v>
      </c>
      <c r="F1205" s="1973" t="s">
        <v>5068</v>
      </c>
      <c r="G1205" s="1973"/>
      <c r="H1205" s="1973" t="str">
        <f>'Part VIII Scoring Criteria'!H11</f>
        <v>Preservation</v>
      </c>
      <c r="I1205" s="1973"/>
      <c r="J1205" s="1973"/>
      <c r="K1205" s="1973" t="s">
        <v>4035</v>
      </c>
      <c r="L1205" s="1973" t="str">
        <f>'Part VIII Scoring Criteria'!L11</f>
        <v>Atlanta Metro</v>
      </c>
      <c r="M1205" s="1973"/>
      <c r="N1205" s="1973"/>
      <c r="O1205" s="2003"/>
      <c r="P1205" s="1973"/>
      <c r="Q1205" s="2001"/>
      <c r="R1205" s="2001"/>
      <c r="S1205" s="2001"/>
      <c r="T1205" s="2001"/>
      <c r="U1205" s="2001"/>
      <c r="V1205" s="2001"/>
      <c r="W1205" s="2001"/>
      <c r="X1205" s="2001"/>
      <c r="Y1205" s="2001"/>
      <c r="Z1205" s="2001"/>
      <c r="AA1205" s="2001"/>
      <c r="AB1205" s="2001"/>
      <c r="AC1205" s="2001"/>
      <c r="AD1205" s="2001"/>
      <c r="AE1205" s="2001"/>
      <c r="AF1205" s="2001"/>
    </row>
    <row r="1206" spans="1:32" ht="13.8">
      <c r="A1206" s="2870"/>
      <c r="B1206" s="2870"/>
      <c r="C1206" s="2404">
        <v>33</v>
      </c>
      <c r="D1206" s="2404">
        <f>IF($C$16="4%",O1354+O1363+O1384+O1400+O1432+O1459,0)</f>
        <v>0</v>
      </c>
      <c r="E1206" s="2404">
        <f>IF($C$16="4%",P1354+P1363+P1384+P1400+P1432+P1459,0)</f>
        <v>0</v>
      </c>
      <c r="F1206" s="1973"/>
      <c r="G1206" s="1973"/>
      <c r="H1206" s="1973" t="s">
        <v>4593</v>
      </c>
      <c r="I1206" s="1973"/>
      <c r="J1206" s="1973"/>
      <c r="K1206" s="1973"/>
      <c r="L1206" s="1973" t="s">
        <v>4594</v>
      </c>
      <c r="M1206" s="1973"/>
      <c r="N1206" s="1973"/>
      <c r="O1206" s="2003"/>
      <c r="P1206" s="1973"/>
      <c r="Q1206" s="2001"/>
      <c r="R1206" s="2001"/>
      <c r="S1206" s="2001"/>
      <c r="T1206" s="2001"/>
      <c r="U1206" s="2001"/>
      <c r="V1206" s="2001"/>
      <c r="W1206" s="2001"/>
      <c r="X1206" s="2001"/>
      <c r="Y1206" s="2001"/>
      <c r="Z1206" s="2001"/>
      <c r="AA1206" s="2001"/>
      <c r="AB1206" s="2001"/>
      <c r="AC1206" s="2001"/>
      <c r="AD1206" s="2001"/>
      <c r="AE1206" s="2001"/>
      <c r="AF1206" s="2001"/>
    </row>
    <row r="1207" spans="1:32" ht="13.8">
      <c r="A1207" s="2870"/>
      <c r="B1207" s="2870"/>
      <c r="C1207" s="1973"/>
      <c r="D1207" s="1973"/>
      <c r="E1207" s="1973"/>
      <c r="F1207" s="1973"/>
      <c r="G1207" s="1973"/>
      <c r="H1207" s="1973"/>
      <c r="I1207" s="1973"/>
      <c r="J1207" s="1973"/>
      <c r="K1207" s="1973"/>
      <c r="L1207" s="1973"/>
      <c r="M1207" s="1973"/>
      <c r="N1207" s="1973"/>
      <c r="O1207" s="2003"/>
      <c r="P1207" s="1973"/>
      <c r="Q1207" s="2001"/>
      <c r="R1207" s="2001"/>
      <c r="S1207" s="2001"/>
      <c r="T1207" s="2001"/>
      <c r="U1207" s="2001"/>
      <c r="V1207" s="2001"/>
      <c r="W1207" s="2001"/>
      <c r="X1207" s="2001"/>
      <c r="Y1207" s="2001"/>
      <c r="Z1207" s="2001"/>
      <c r="AA1207" s="2001"/>
      <c r="AB1207" s="2001"/>
      <c r="AC1207" s="2001"/>
      <c r="AD1207" s="2001"/>
      <c r="AE1207" s="2001"/>
      <c r="AF1207" s="2001"/>
    </row>
    <row r="1208" spans="1:32" ht="13.8">
      <c r="A1208" s="1974"/>
      <c r="B1208" s="1973"/>
      <c r="C1208" s="2001"/>
      <c r="D1208" s="1973"/>
      <c r="E1208" s="1974"/>
      <c r="F1208" s="1974"/>
      <c r="G1208" s="2871"/>
      <c r="H1208" s="2871"/>
      <c r="I1208" s="2871"/>
      <c r="J1208" s="2871"/>
      <c r="K1208" s="2871"/>
      <c r="L1208" s="2871"/>
      <c r="M1208" s="1974"/>
      <c r="N1208" s="2001"/>
      <c r="O1208" s="2000"/>
      <c r="P1208" s="2404"/>
      <c r="Q1208" s="2001"/>
      <c r="R1208" s="2001"/>
      <c r="S1208" s="2001"/>
      <c r="T1208" s="2001"/>
      <c r="U1208" s="2001"/>
      <c r="V1208" s="2001"/>
      <c r="W1208" s="1974"/>
      <c r="X1208" s="2409"/>
      <c r="Y1208" s="2409"/>
      <c r="Z1208" s="2409"/>
      <c r="AA1208" s="2409"/>
      <c r="AB1208" s="2409"/>
      <c r="AC1208" s="2409"/>
      <c r="AD1208" s="2409"/>
      <c r="AE1208" s="2409"/>
      <c r="AF1208" s="2409"/>
    </row>
    <row r="1209" spans="1:32" ht="15" customHeight="1">
      <c r="A1209" s="2001"/>
      <c r="B1209" s="2001"/>
      <c r="C1209" s="1973" t="s">
        <v>4697</v>
      </c>
      <c r="D1209" s="1973"/>
      <c r="E1209" s="2001"/>
      <c r="F1209" s="1973" t="s">
        <v>5065</v>
      </c>
      <c r="G1209" s="1973"/>
      <c r="H1209" s="1973" t="str">
        <f>'Part VIII Scoring Criteria'!H15</f>
        <v>&lt;&lt; Select Scoring Track &gt;&gt;</v>
      </c>
      <c r="I1209" s="1973"/>
      <c r="J1209" s="1973"/>
      <c r="K1209" s="1973"/>
      <c r="L1209" s="1973"/>
      <c r="M1209" s="1973"/>
      <c r="N1209" s="1973"/>
      <c r="O1209" s="2003"/>
      <c r="P1209" s="2003"/>
      <c r="Q1209" s="2001"/>
      <c r="R1209" s="2001"/>
      <c r="S1209" s="2001"/>
      <c r="T1209" s="2001"/>
      <c r="U1209" s="2001"/>
      <c r="V1209" s="2001"/>
      <c r="W1209" s="2001"/>
      <c r="X1209" s="2001"/>
      <c r="Y1209" s="2001"/>
      <c r="Z1209" s="2001"/>
      <c r="AA1209" s="1974"/>
      <c r="AB1209" s="1974"/>
      <c r="AC1209" s="1974"/>
      <c r="AD1209" s="1974"/>
      <c r="AE1209" s="1974"/>
      <c r="AF1209" s="2409"/>
    </row>
    <row r="1210" spans="1:32" ht="13.8">
      <c r="A1210" s="2001"/>
      <c r="B1210" s="2001"/>
      <c r="C1210" s="197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210" s="1973"/>
      <c r="E1210" s="2001"/>
      <c r="F1210" s="1973"/>
      <c r="G1210" s="1973"/>
      <c r="H1210" s="1973" t="s">
        <v>4916</v>
      </c>
      <c r="I1210" s="1973"/>
      <c r="J1210" s="1973"/>
      <c r="K1210" s="1973"/>
      <c r="L1210" s="1973"/>
      <c r="M1210" s="1973"/>
      <c r="N1210" s="1973"/>
      <c r="O1210" s="2003"/>
      <c r="P1210" s="2003"/>
      <c r="Q1210" s="2001"/>
      <c r="R1210" s="2001"/>
      <c r="S1210" s="2001"/>
      <c r="T1210" s="2001"/>
      <c r="U1210" s="2001"/>
      <c r="V1210" s="2001"/>
      <c r="W1210" s="2001"/>
      <c r="X1210" s="2001"/>
      <c r="Y1210" s="2001"/>
      <c r="Z1210" s="2001"/>
      <c r="AA1210" s="1974"/>
      <c r="AB1210" s="1974"/>
      <c r="AC1210" s="1974"/>
      <c r="AD1210" s="1974"/>
      <c r="AE1210" s="1974"/>
      <c r="AF1210" s="2409"/>
    </row>
    <row r="1211" spans="1:32" ht="13.8">
      <c r="A1211" s="2001"/>
      <c r="B1211" s="2001"/>
      <c r="C1211" s="1973"/>
      <c r="D1211" s="2001"/>
      <c r="E1211" s="2001"/>
      <c r="F1211" s="2001"/>
      <c r="G1211" s="2001"/>
      <c r="H1211" s="2001"/>
      <c r="I1211" s="2001"/>
      <c r="J1211" s="2001"/>
      <c r="K1211" s="2001"/>
      <c r="L1211" s="2001"/>
      <c r="M1211" s="2001"/>
      <c r="N1211" s="2001"/>
      <c r="O1211" s="2003"/>
      <c r="P1211" s="2003"/>
      <c r="Q1211" s="1974"/>
      <c r="R1211" s="1974"/>
      <c r="S1211" s="1974"/>
      <c r="T1211" s="1974"/>
      <c r="U1211" s="1974"/>
      <c r="V1211" s="1974"/>
      <c r="W1211" s="1974"/>
      <c r="X1211" s="1974"/>
      <c r="Y1211" s="1974"/>
      <c r="Z1211" s="1974"/>
      <c r="AA1211" s="1974"/>
      <c r="AB1211" s="1974"/>
      <c r="AC1211" s="1974"/>
      <c r="AD1211" s="1974"/>
      <c r="AE1211" s="1974"/>
      <c r="AF1211" s="2001"/>
    </row>
    <row r="1212" spans="1:32" ht="47.25" customHeight="1">
      <c r="A1212" s="2001"/>
      <c r="B1212" s="2001"/>
      <c r="C1212" s="2872" t="s">
        <v>5066</v>
      </c>
      <c r="D1212" s="1974" t="s">
        <v>5067</v>
      </c>
      <c r="E1212" s="1974"/>
      <c r="F1212" s="1974"/>
      <c r="G1212" s="1974"/>
      <c r="H1212" s="1974"/>
      <c r="I1212" s="1974"/>
      <c r="J1212" s="1974"/>
      <c r="K1212" s="1974"/>
      <c r="L1212" s="1974"/>
      <c r="M1212" s="1974"/>
      <c r="N1212" s="1974"/>
      <c r="O1212" s="1974"/>
      <c r="P1212" s="1987"/>
      <c r="Q1212" s="1974"/>
      <c r="R1212" s="1974"/>
      <c r="S1212" s="1974"/>
      <c r="T1212" s="1974"/>
      <c r="U1212" s="1974"/>
      <c r="V1212" s="1974"/>
      <c r="W1212" s="1974"/>
      <c r="X1212" s="1974"/>
      <c r="Y1212" s="1974"/>
      <c r="Z1212" s="1974"/>
      <c r="AA1212" s="1974"/>
      <c r="AB1212" s="1974"/>
      <c r="AC1212" s="1974"/>
      <c r="AD1212" s="1974"/>
      <c r="AE1212" s="1974"/>
      <c r="AF1212" s="2001"/>
    </row>
    <row r="1213" spans="1:32" ht="13.8">
      <c r="A1213" s="2001"/>
      <c r="B1213" s="2001"/>
      <c r="C1213" s="2001"/>
      <c r="D1213" s="2001"/>
      <c r="E1213" s="2001"/>
      <c r="F1213" s="2001"/>
      <c r="G1213" s="2001"/>
      <c r="H1213" s="2001"/>
      <c r="I1213" s="2001"/>
      <c r="J1213" s="2001"/>
      <c r="K1213" s="2001"/>
      <c r="L1213" s="2001"/>
      <c r="M1213" s="2001"/>
      <c r="N1213" s="2001"/>
      <c r="O1213" s="2003"/>
      <c r="P1213" s="2003"/>
      <c r="Q1213" s="1974"/>
      <c r="R1213" s="1974"/>
      <c r="S1213" s="1974"/>
      <c r="T1213" s="1974"/>
      <c r="U1213" s="1974"/>
      <c r="V1213" s="1974"/>
      <c r="W1213" s="1974"/>
      <c r="X1213" s="1974"/>
      <c r="Y1213" s="1974"/>
      <c r="Z1213" s="1974"/>
      <c r="AA1213" s="1974"/>
      <c r="AB1213" s="1974"/>
      <c r="AC1213" s="1974"/>
      <c r="AD1213" s="1974"/>
      <c r="AE1213" s="1974"/>
      <c r="AF1213" s="2001"/>
    </row>
    <row r="1214" spans="1:32" ht="13.8">
      <c r="A1214" s="2399" t="s">
        <v>690</v>
      </c>
      <c r="B1214" s="2400" t="s">
        <v>2507</v>
      </c>
      <c r="C1214" s="2001"/>
      <c r="D1214" s="2001"/>
      <c r="E1214" s="2001"/>
      <c r="F1214" s="2001"/>
      <c r="G1214" s="2001"/>
      <c r="H1214" s="2004"/>
      <c r="I1214" s="2001"/>
      <c r="J1214" s="1987"/>
      <c r="K1214" s="1974"/>
      <c r="L1214" s="2873" t="s">
        <v>4865</v>
      </c>
      <c r="M1214" s="2404">
        <v>6</v>
      </c>
      <c r="N1214" s="1987"/>
      <c r="O1214" s="2000">
        <f>'Part VIII Scoring Criteria'!O20</f>
        <v>5</v>
      </c>
      <c r="P1214" s="2000">
        <f>'Part VIII Scoring Criteria'!P20</f>
        <v>0</v>
      </c>
      <c r="Q1214" s="2404" t="s">
        <v>415</v>
      </c>
      <c r="R1214" s="2001"/>
      <c r="S1214" s="2001"/>
      <c r="T1214" s="2400"/>
      <c r="U1214" s="2400"/>
      <c r="V1214" s="2001"/>
      <c r="W1214" s="2001"/>
      <c r="X1214" s="2001"/>
      <c r="Y1214" s="2001"/>
      <c r="Z1214" s="2001"/>
      <c r="AA1214" s="2001"/>
      <c r="AB1214" s="2001"/>
      <c r="AC1214" s="2001"/>
      <c r="AD1214" s="2001"/>
      <c r="AE1214" s="2001"/>
      <c r="AF1214" s="2001"/>
    </row>
    <row r="1215" spans="1:32" ht="13.8">
      <c r="A1215" s="2404" t="s">
        <v>1835</v>
      </c>
      <c r="B1215" s="1973" t="s">
        <v>2059</v>
      </c>
      <c r="C1215" s="1974"/>
      <c r="D1215" s="2874"/>
      <c r="E1215" s="2874"/>
      <c r="F1215" s="1974"/>
      <c r="G1215" s="2001"/>
      <c r="H1215" s="1974"/>
      <c r="I1215" s="1974"/>
      <c r="J1215" s="1974"/>
      <c r="K1215" s="1974"/>
      <c r="L1215" s="2875"/>
      <c r="M1215" s="1987">
        <v>5</v>
      </c>
      <c r="N1215" s="2402"/>
      <c r="O1215" s="2000">
        <f>'Part VIII Scoring Criteria'!O21</f>
        <v>5</v>
      </c>
      <c r="P1215" s="2000">
        <f>'Part VIII Scoring Criteria'!P21</f>
        <v>0</v>
      </c>
      <c r="Q1215" s="2876"/>
      <c r="R1215" s="2877"/>
      <c r="S1215" s="1974"/>
      <c r="T1215" s="2400"/>
      <c r="U1215" s="2400"/>
      <c r="V1215" s="1974"/>
      <c r="W1215" s="1974"/>
      <c r="X1215" s="1974"/>
      <c r="Y1215" s="1974"/>
      <c r="Z1215" s="1974"/>
      <c r="AA1215" s="1974"/>
      <c r="AB1215" s="1974"/>
      <c r="AC1215" s="1974"/>
      <c r="AD1215" s="1974"/>
      <c r="AE1215" s="1974"/>
      <c r="AF1215" s="1974"/>
    </row>
    <row r="1216" spans="1:32" ht="13.8">
      <c r="A1216" s="2404"/>
      <c r="B1216" s="2878" t="s">
        <v>1838</v>
      </c>
      <c r="C1216" s="2004" t="s">
        <v>4917</v>
      </c>
      <c r="D1216" s="2874"/>
      <c r="E1216" s="2874"/>
      <c r="F1216" s="1974"/>
      <c r="G1216" s="2001"/>
      <c r="H1216" s="1974"/>
      <c r="I1216" s="1974"/>
      <c r="J1216" s="1974"/>
      <c r="K1216" s="1974"/>
      <c r="L1216" s="2875"/>
      <c r="M1216" s="1987">
        <v>5</v>
      </c>
      <c r="N1216" s="2879"/>
      <c r="O1216" s="2404" t="str">
        <f>'Part VIII Scoring Criteria'!O22</f>
        <v>Yes</v>
      </c>
      <c r="P1216" s="2404"/>
      <c r="Q1216" s="2876"/>
      <c r="R1216" s="2877"/>
      <c r="S1216" s="1974"/>
      <c r="T1216" s="2400"/>
      <c r="U1216" s="2400"/>
      <c r="V1216" s="1974"/>
      <c r="W1216" s="1974"/>
      <c r="X1216" s="1974"/>
      <c r="Y1216" s="1974"/>
      <c r="Z1216" s="1974"/>
      <c r="AA1216" s="1974"/>
      <c r="AB1216" s="1974"/>
      <c r="AC1216" s="1974"/>
      <c r="AD1216" s="1974"/>
      <c r="AE1216" s="1974"/>
      <c r="AF1216" s="1974"/>
    </row>
    <row r="1217" spans="1:32" ht="13.8">
      <c r="A1217" s="2404"/>
      <c r="B1217" s="2880" t="s">
        <v>1840</v>
      </c>
      <c r="C1217" s="2004" t="s">
        <v>4918</v>
      </c>
      <c r="D1217" s="2874"/>
      <c r="E1217" s="2874"/>
      <c r="F1217" s="1974"/>
      <c r="G1217" s="2001"/>
      <c r="H1217" s="1974"/>
      <c r="I1217" s="1974"/>
      <c r="J1217" s="1974"/>
      <c r="K1217" s="1974"/>
      <c r="L1217" s="2875"/>
      <c r="M1217" s="1987">
        <v>3</v>
      </c>
      <c r="N1217" s="2879"/>
      <c r="O1217" s="2404" t="str">
        <f>'Part VIII Scoring Criteria'!O23</f>
        <v>No</v>
      </c>
      <c r="P1217" s="2404"/>
      <c r="Q1217" s="2876"/>
      <c r="R1217" s="2877"/>
      <c r="S1217" s="1974"/>
      <c r="T1217" s="2400"/>
      <c r="U1217" s="2400"/>
      <c r="V1217" s="1974"/>
      <c r="W1217" s="1974"/>
      <c r="X1217" s="1974"/>
      <c r="Y1217" s="1974"/>
      <c r="Z1217" s="1974"/>
      <c r="AA1217" s="1974"/>
      <c r="AB1217" s="1974"/>
      <c r="AC1217" s="1974"/>
      <c r="AD1217" s="1974"/>
      <c r="AE1217" s="1974"/>
      <c r="AF1217" s="1974"/>
    </row>
    <row r="1218" spans="1:32" ht="13.8">
      <c r="A1218" s="2404"/>
      <c r="B1218" s="2880" t="s">
        <v>2325</v>
      </c>
      <c r="C1218" s="2004" t="s">
        <v>4919</v>
      </c>
      <c r="D1218" s="2874"/>
      <c r="E1218" s="2874"/>
      <c r="F1218" s="1974"/>
      <c r="G1218" s="2001"/>
      <c r="H1218" s="1974"/>
      <c r="I1218" s="1974"/>
      <c r="J1218" s="1974"/>
      <c r="K1218" s="2402"/>
      <c r="L1218" s="1974"/>
      <c r="M1218" s="1987">
        <v>1</v>
      </c>
      <c r="N1218" s="2879"/>
      <c r="O1218" s="2404" t="str">
        <f>'Part VIII Scoring Criteria'!O24</f>
        <v>No</v>
      </c>
      <c r="P1218" s="2404"/>
      <c r="Q1218" s="1974"/>
      <c r="R1218" s="2001"/>
      <c r="S1218" s="1974"/>
      <c r="T1218" s="2400"/>
      <c r="U1218" s="2400"/>
      <c r="V1218" s="1974"/>
      <c r="W1218" s="1974"/>
      <c r="X1218" s="1974"/>
      <c r="Y1218" s="1974"/>
      <c r="Z1218" s="1974"/>
      <c r="AA1218" s="1974"/>
      <c r="AB1218" s="1974"/>
      <c r="AC1218" s="1974"/>
      <c r="AD1218" s="1974"/>
      <c r="AE1218" s="1974"/>
      <c r="AF1218" s="1974"/>
    </row>
    <row r="1219" spans="1:32" ht="13.8">
      <c r="A1219" s="2404" t="s">
        <v>1837</v>
      </c>
      <c r="B1219" s="1973" t="s">
        <v>3824</v>
      </c>
      <c r="C1219" s="2001"/>
      <c r="D1219" s="1974"/>
      <c r="E1219" s="2001"/>
      <c r="F1219" s="2001"/>
      <c r="G1219" s="2001"/>
      <c r="H1219" s="2001"/>
      <c r="I1219" s="2001"/>
      <c r="J1219" s="2001"/>
      <c r="K1219" s="1974"/>
      <c r="L1219" s="2875" t="str">
        <f>IF(OR($O1219=$M1219,$O1219=0,$O1219=""),"","* * Check Score! * *")</f>
        <v/>
      </c>
      <c r="M1219" s="1987">
        <v>1</v>
      </c>
      <c r="N1219" s="2402"/>
      <c r="O1219" s="2000">
        <f>'Part VIII Scoring Criteria'!O25</f>
        <v>0</v>
      </c>
      <c r="P1219" s="2000">
        <f>'Part VIII Scoring Criteria'!P25</f>
        <v>0</v>
      </c>
      <c r="Q1219" s="2876" t="str">
        <f>IF(OR($O1219=$M1219,$O1219=0,$O1219=""),"","*CHECK!*")</f>
        <v/>
      </c>
      <c r="R1219" s="2877"/>
      <c r="S1219" s="2001"/>
      <c r="T1219" s="2400"/>
      <c r="U1219" s="2400"/>
      <c r="V1219" s="2001"/>
      <c r="W1219" s="2001"/>
      <c r="X1219" s="2001"/>
      <c r="Y1219" s="2001"/>
      <c r="Z1219" s="2001"/>
      <c r="AA1219" s="2001"/>
      <c r="AB1219" s="2001"/>
      <c r="AC1219" s="2001"/>
      <c r="AD1219" s="2001"/>
      <c r="AE1219" s="2001"/>
      <c r="AF1219" s="2001"/>
    </row>
    <row r="1220" spans="1:32" ht="15" customHeight="1">
      <c r="A1220" s="2881"/>
      <c r="B1220" s="1974" t="s">
        <v>4920</v>
      </c>
      <c r="C1220" s="1974"/>
      <c r="D1220" s="1974"/>
      <c r="E1220" s="1974"/>
      <c r="F1220" s="1974"/>
      <c r="G1220" s="1974"/>
      <c r="H1220" s="1974"/>
      <c r="I1220" s="1974"/>
      <c r="J1220" s="1974"/>
      <c r="K1220" s="1974"/>
      <c r="L1220" s="1974"/>
      <c r="M1220" s="1987"/>
      <c r="N1220" s="2402"/>
      <c r="O1220" s="2404" t="str">
        <f>'Part VIII Scoring Criteria'!O26</f>
        <v>No</v>
      </c>
      <c r="P1220" s="2882"/>
      <c r="Q1220" s="2001"/>
      <c r="R1220" s="2875"/>
      <c r="S1220" s="2001"/>
      <c r="T1220" s="2400"/>
      <c r="U1220" s="2400"/>
      <c r="V1220" s="2001"/>
      <c r="W1220" s="2001"/>
      <c r="X1220" s="2001"/>
      <c r="Y1220" s="2001"/>
      <c r="Z1220" s="2001"/>
      <c r="AA1220" s="2001"/>
      <c r="AB1220" s="2001"/>
      <c r="AC1220" s="2001"/>
      <c r="AD1220" s="2001"/>
      <c r="AE1220" s="2001"/>
      <c r="AF1220" s="2001"/>
    </row>
    <row r="1221" spans="1:32" ht="13.8">
      <c r="A1221" s="2404" t="s">
        <v>697</v>
      </c>
      <c r="B1221" s="1973" t="s">
        <v>5171</v>
      </c>
      <c r="C1221" s="2001"/>
      <c r="D1221" s="1974"/>
      <c r="E1221" s="2001"/>
      <c r="F1221" s="2001"/>
      <c r="G1221" s="2001"/>
      <c r="H1221" s="1974"/>
      <c r="I1221" s="2001"/>
      <c r="J1221" s="2001"/>
      <c r="K1221" s="1974"/>
      <c r="L1221" s="2400"/>
      <c r="M1221" s="1987">
        <v>1</v>
      </c>
      <c r="N1221" s="2402"/>
      <c r="O1221" s="2000">
        <f>'Part VIII Scoring Criteria'!O27</f>
        <v>0</v>
      </c>
      <c r="P1221" s="2000">
        <f>'Part VIII Scoring Criteria'!P27</f>
        <v>0</v>
      </c>
      <c r="Q1221" s="2876" t="str">
        <f>IF(OR($O1221=$M1221,$O1221=0,$O1221=""),"","*CHECK!*")</f>
        <v/>
      </c>
      <c r="R1221" s="2877"/>
      <c r="S1221" s="2001"/>
      <c r="T1221" s="2400"/>
      <c r="U1221" s="2400"/>
      <c r="V1221" s="2001"/>
      <c r="W1221" s="2001"/>
      <c r="X1221" s="2001"/>
      <c r="Y1221" s="2001"/>
      <c r="Z1221" s="2001"/>
      <c r="AA1221" s="2001"/>
      <c r="AB1221" s="2001"/>
      <c r="AC1221" s="2001"/>
      <c r="AD1221" s="2001"/>
      <c r="AE1221" s="2001"/>
      <c r="AF1221" s="2001"/>
    </row>
    <row r="1222" spans="1:32" ht="14.25" customHeight="1">
      <c r="A1222" s="2001"/>
      <c r="B1222" s="2007" t="s">
        <v>5172</v>
      </c>
      <c r="C1222" s="2007"/>
      <c r="D1222" s="2007"/>
      <c r="E1222" s="2007"/>
      <c r="F1222" s="2007"/>
      <c r="G1222" s="2007"/>
      <c r="H1222" s="2007"/>
      <c r="I1222" s="2007"/>
      <c r="J1222" s="2007"/>
      <c r="K1222" s="2007"/>
      <c r="L1222" s="2007"/>
      <c r="M1222" s="1987"/>
      <c r="N1222" s="1987"/>
      <c r="O1222" s="1987"/>
      <c r="P1222" s="1987"/>
      <c r="Q1222" s="2001"/>
      <c r="R1222" s="2875"/>
      <c r="S1222" s="2001"/>
      <c r="T1222" s="2400"/>
      <c r="U1222" s="2400"/>
      <c r="V1222" s="2001"/>
      <c r="W1222" s="2001"/>
      <c r="X1222" s="2001"/>
      <c r="Y1222" s="2001"/>
      <c r="Z1222" s="2001"/>
      <c r="AA1222" s="2001"/>
      <c r="AB1222" s="2001"/>
      <c r="AC1222" s="2001"/>
      <c r="AD1222" s="2001"/>
      <c r="AE1222" s="2001"/>
      <c r="AF1222" s="2001"/>
    </row>
    <row r="1223" spans="1:32" ht="13.8">
      <c r="A1223" s="2007"/>
      <c r="B1223" s="2883" t="s">
        <v>1838</v>
      </c>
      <c r="C1223" s="2007" t="s">
        <v>4921</v>
      </c>
      <c r="D1223" s="2007"/>
      <c r="E1223" s="2007"/>
      <c r="F1223" s="2007"/>
      <c r="G1223" s="2007"/>
      <c r="H1223" s="2007"/>
      <c r="I1223" s="2007"/>
      <c r="J1223" s="2007"/>
      <c r="K1223" s="2007"/>
      <c r="L1223" s="2007"/>
      <c r="M1223" s="2006"/>
      <c r="N1223" s="2884"/>
      <c r="O1223" s="2404" t="str">
        <f>'Part VIII Scoring Criteria'!O29</f>
        <v>No</v>
      </c>
      <c r="P1223" s="2882"/>
      <c r="Q1223" s="2007"/>
      <c r="R1223" s="2885"/>
      <c r="S1223" s="2007"/>
      <c r="T1223" s="2886"/>
      <c r="U1223" s="2886"/>
      <c r="V1223" s="2007"/>
      <c r="W1223" s="2007"/>
      <c r="X1223" s="2007"/>
      <c r="Y1223" s="2007"/>
      <c r="Z1223" s="2007"/>
      <c r="AA1223" s="2007"/>
      <c r="AB1223" s="2007"/>
      <c r="AC1223" s="2007"/>
      <c r="AD1223" s="2007"/>
      <c r="AE1223" s="2007"/>
      <c r="AF1223" s="2007"/>
    </row>
    <row r="1224" spans="1:32" ht="13.8">
      <c r="A1224" s="2007"/>
      <c r="B1224" s="2880" t="s">
        <v>1840</v>
      </c>
      <c r="C1224" s="2008" t="s">
        <v>4922</v>
      </c>
      <c r="D1224" s="2008"/>
      <c r="E1224" s="2008"/>
      <c r="F1224" s="2008"/>
      <c r="G1224" s="2008"/>
      <c r="H1224" s="2008"/>
      <c r="I1224" s="2008"/>
      <c r="J1224" s="2008"/>
      <c r="K1224" s="2008"/>
      <c r="L1224" s="2008"/>
      <c r="M1224" s="2006"/>
      <c r="N1224" s="2884"/>
      <c r="O1224" s="2404" t="str">
        <f>'Part VIII Scoring Criteria'!O30</f>
        <v>No</v>
      </c>
      <c r="P1224" s="2882"/>
      <c r="Q1224" s="2007"/>
      <c r="R1224" s="2885"/>
      <c r="S1224" s="2007"/>
      <c r="T1224" s="2886"/>
      <c r="U1224" s="2886"/>
      <c r="V1224" s="2007"/>
      <c r="W1224" s="2007"/>
      <c r="X1224" s="2007"/>
      <c r="Y1224" s="2007"/>
      <c r="Z1224" s="2007"/>
      <c r="AA1224" s="2007"/>
      <c r="AB1224" s="2007"/>
      <c r="AC1224" s="2007"/>
      <c r="AD1224" s="2007"/>
      <c r="AE1224" s="2007"/>
      <c r="AF1224" s="2007"/>
    </row>
    <row r="1225" spans="1:32" ht="13.8">
      <c r="A1225" s="2007"/>
      <c r="B1225" s="2007"/>
      <c r="C1225" s="2008" t="s">
        <v>4923</v>
      </c>
      <c r="D1225" s="2008"/>
      <c r="E1225" s="2008"/>
      <c r="F1225" s="2008"/>
      <c r="G1225" s="2008"/>
      <c r="H1225" s="2008"/>
      <c r="I1225" s="2007"/>
      <c r="J1225" s="2004">
        <f>'Part VIII Scoring Criteria'!J31</f>
        <v>0</v>
      </c>
      <c r="K1225" s="1973"/>
      <c r="L1225" s="1973"/>
      <c r="M1225" s="1973"/>
      <c r="N1225" s="1973"/>
      <c r="O1225" s="2884"/>
      <c r="P1225" s="2884"/>
      <c r="Q1225" s="2007"/>
      <c r="R1225" s="2885"/>
      <c r="S1225" s="2007"/>
      <c r="T1225" s="2886"/>
      <c r="U1225" s="2886"/>
      <c r="V1225" s="2007"/>
      <c r="W1225" s="2007"/>
      <c r="X1225" s="2007"/>
      <c r="Y1225" s="2007"/>
      <c r="Z1225" s="2007"/>
      <c r="AA1225" s="2007"/>
      <c r="AB1225" s="2007"/>
      <c r="AC1225" s="2007"/>
      <c r="AD1225" s="2007"/>
      <c r="AE1225" s="2007"/>
      <c r="AF1225" s="2007"/>
    </row>
    <row r="1226" spans="1:32" ht="15" customHeight="1">
      <c r="A1226" s="2007"/>
      <c r="B1226" s="2880" t="s">
        <v>2325</v>
      </c>
      <c r="C1226" s="2007" t="s">
        <v>4924</v>
      </c>
      <c r="D1226" s="2007"/>
      <c r="E1226" s="2007"/>
      <c r="F1226" s="2007"/>
      <c r="G1226" s="2007"/>
      <c r="H1226" s="2007"/>
      <c r="I1226" s="2007"/>
      <c r="J1226" s="2007"/>
      <c r="K1226" s="2007"/>
      <c r="L1226" s="2007"/>
      <c r="M1226" s="2007"/>
      <c r="N1226" s="2007"/>
      <c r="O1226" s="2404" t="str">
        <f>'Part VIII Scoring Criteria'!O32</f>
        <v>No</v>
      </c>
      <c r="P1226" s="2882"/>
      <c r="Q1226" s="2007"/>
      <c r="R1226" s="2885"/>
      <c r="S1226" s="2007"/>
      <c r="T1226" s="2886"/>
      <c r="U1226" s="2886"/>
      <c r="V1226" s="2007"/>
      <c r="W1226" s="2007"/>
      <c r="X1226" s="2007"/>
      <c r="Y1226" s="2007"/>
      <c r="Z1226" s="2007"/>
      <c r="AA1226" s="2007"/>
      <c r="AB1226" s="2007"/>
      <c r="AC1226" s="2007"/>
      <c r="AD1226" s="2007"/>
      <c r="AE1226" s="2007"/>
      <c r="AF1226" s="2007"/>
    </row>
    <row r="1227" spans="1:32" ht="14.4">
      <c r="A1227" s="1974"/>
      <c r="B1227" s="2887" t="s">
        <v>1724</v>
      </c>
      <c r="C1227" s="1974"/>
      <c r="D1227" s="2887"/>
      <c r="E1227" s="2007"/>
      <c r="F1227" s="2007"/>
      <c r="G1227" s="2007"/>
      <c r="H1227" s="2007"/>
      <c r="I1227" s="2007"/>
      <c r="J1227" s="2007"/>
      <c r="K1227" s="2007"/>
      <c r="L1227" s="2007"/>
      <c r="M1227" s="2008"/>
      <c r="N1227" s="2006"/>
      <c r="O1227" s="2882"/>
      <c r="P1227" s="2404"/>
      <c r="Q1227" s="2001"/>
      <c r="R1227" s="2001"/>
      <c r="S1227" s="2001"/>
      <c r="T1227" s="2001"/>
      <c r="U1227" s="2001"/>
      <c r="V1227" s="2001"/>
      <c r="W1227" s="2001"/>
      <c r="X1227" s="2001"/>
      <c r="Y1227" s="2001"/>
      <c r="Z1227" s="2001"/>
      <c r="AA1227" s="2001"/>
      <c r="AB1227" s="2001"/>
      <c r="AC1227" s="2001"/>
      <c r="AD1227" s="2001"/>
      <c r="AE1227" s="2001"/>
      <c r="AF1227" s="2001"/>
    </row>
    <row r="1228" spans="1:32" ht="13.8">
      <c r="A1228" s="2007"/>
      <c r="B1228" s="2007"/>
      <c r="C1228" s="2007"/>
      <c r="D1228" s="2007"/>
      <c r="E1228" s="2007"/>
      <c r="F1228" s="2007"/>
      <c r="G1228" s="2007"/>
      <c r="H1228" s="2007"/>
      <c r="I1228" s="2007"/>
      <c r="J1228" s="2007"/>
      <c r="K1228" s="2007"/>
      <c r="L1228" s="2007"/>
      <c r="M1228" s="2007"/>
      <c r="N1228" s="2007"/>
      <c r="O1228" s="2007"/>
      <c r="P1228" s="2007"/>
      <c r="Q1228" s="1973"/>
      <c r="R1228" s="2001"/>
      <c r="S1228" s="2001"/>
      <c r="T1228" s="2001"/>
      <c r="U1228" s="2001"/>
      <c r="V1228" s="2001"/>
      <c r="W1228" s="2001"/>
      <c r="X1228" s="2001"/>
      <c r="Y1228" s="2001"/>
      <c r="Z1228" s="2001"/>
      <c r="AA1228" s="2001"/>
      <c r="AB1228" s="2001"/>
      <c r="AC1228" s="2001"/>
      <c r="AD1228" s="2001"/>
      <c r="AE1228" s="2001"/>
      <c r="AF1228" s="2001"/>
    </row>
    <row r="1229" spans="1:32" ht="13.8">
      <c r="A1229" s="1974"/>
      <c r="B1229" s="1973"/>
      <c r="C1229" s="1974"/>
      <c r="D1229" s="1973"/>
      <c r="E1229" s="1974"/>
      <c r="F1229" s="1974"/>
      <c r="G1229" s="2871"/>
      <c r="H1229" s="2871"/>
      <c r="I1229" s="2871"/>
      <c r="J1229" s="2871"/>
      <c r="K1229" s="2871"/>
      <c r="L1229" s="2871"/>
      <c r="M1229" s="1974"/>
      <c r="N1229" s="2001"/>
      <c r="O1229" s="2888"/>
      <c r="P1229" s="1973"/>
      <c r="Q1229" s="2001"/>
      <c r="R1229" s="1974"/>
      <c r="S1229" s="1974"/>
      <c r="T1229" s="1974"/>
      <c r="U1229" s="1974"/>
      <c r="V1229" s="1974"/>
      <c r="W1229" s="1974"/>
      <c r="X1229" s="2409"/>
      <c r="Y1229" s="2409"/>
      <c r="Z1229" s="2409"/>
      <c r="AA1229" s="2409"/>
      <c r="AB1229" s="2409"/>
      <c r="AC1229" s="2409"/>
      <c r="AD1229" s="2409"/>
      <c r="AE1229" s="2409"/>
      <c r="AF1229" s="2409"/>
    </row>
    <row r="1230" spans="1:32" ht="13.8">
      <c r="A1230" s="2001"/>
      <c r="B1230" s="2001"/>
      <c r="C1230" s="2001"/>
      <c r="D1230" s="2001"/>
      <c r="E1230" s="2001"/>
      <c r="F1230" s="2001"/>
      <c r="G1230" s="2001"/>
      <c r="H1230" s="2001"/>
      <c r="I1230" s="2001"/>
      <c r="J1230" s="2001"/>
      <c r="K1230" s="2001"/>
      <c r="L1230" s="2001"/>
      <c r="M1230" s="2001"/>
      <c r="N1230" s="1992"/>
      <c r="O1230" s="2003"/>
      <c r="P1230" s="2003"/>
      <c r="Q1230" s="2001"/>
      <c r="R1230" s="2001"/>
      <c r="S1230" s="2001"/>
      <c r="T1230" s="2400"/>
      <c r="U1230" s="2400"/>
      <c r="V1230" s="2001"/>
      <c r="W1230" s="2001"/>
      <c r="X1230" s="2001"/>
      <c r="Y1230" s="2001"/>
      <c r="Z1230" s="2001"/>
      <c r="AA1230" s="2001"/>
      <c r="AB1230" s="2001"/>
      <c r="AC1230" s="2001"/>
      <c r="AD1230" s="2001"/>
      <c r="AE1230" s="2001"/>
      <c r="AF1230" s="2001"/>
    </row>
    <row r="1231" spans="1:32" ht="14.4">
      <c r="A1231" s="2399" t="s">
        <v>1661</v>
      </c>
      <c r="B1231" s="2400" t="s">
        <v>4466</v>
      </c>
      <c r="C1231" s="1974"/>
      <c r="D1231" s="2400"/>
      <c r="E1231" s="2400"/>
      <c r="F1231" s="1974"/>
      <c r="G1231" s="2889"/>
      <c r="H1231" s="1974"/>
      <c r="I1231" s="1974"/>
      <c r="J1231" s="1974"/>
      <c r="K1231" s="1974"/>
      <c r="L1231" s="2407" t="str">
        <f>IF(AND(O1238&gt;0,O1240&gt;0), "Choose only one option!","")</f>
        <v/>
      </c>
      <c r="M1231" s="2404">
        <v>2</v>
      </c>
      <c r="N1231" s="1987"/>
      <c r="O1231" s="2000">
        <f>'Part VIII Scoring Criteria'!O37</f>
        <v>2</v>
      </c>
      <c r="P1231" s="2000">
        <f>'Part VIII Scoring Criteria'!P37</f>
        <v>0</v>
      </c>
      <c r="Q1231" s="2404" t="s">
        <v>415</v>
      </c>
      <c r="R1231" s="1973"/>
      <c r="S1231" s="1973"/>
      <c r="T1231" s="1973"/>
      <c r="U1231" s="1973"/>
      <c r="V1231" s="1973"/>
      <c r="W1231" s="1974"/>
      <c r="X1231" s="1974"/>
      <c r="Y1231" s="1974"/>
      <c r="Z1231" s="1974"/>
      <c r="AA1231" s="1974"/>
      <c r="AB1231" s="1974"/>
      <c r="AC1231" s="1974"/>
      <c r="AD1231" s="1974"/>
      <c r="AE1231" s="1974"/>
      <c r="AF1231" s="1974"/>
    </row>
    <row r="1232" spans="1:32" ht="15" customHeight="1">
      <c r="A1232" s="2399"/>
      <c r="B1232" s="1974" t="s">
        <v>4706</v>
      </c>
      <c r="C1232" s="1974"/>
      <c r="D1232" s="2400"/>
      <c r="E1232" s="2400"/>
      <c r="F1232" s="1974"/>
      <c r="G1232" s="1974"/>
      <c r="H1232" s="1974"/>
      <c r="I1232" s="1974"/>
      <c r="J1232" s="2890"/>
      <c r="K1232" s="1974"/>
      <c r="L1232" s="1974"/>
      <c r="M1232" s="2404"/>
      <c r="N1232" s="1974"/>
      <c r="O1232" s="2891" t="s">
        <v>4707</v>
      </c>
      <c r="P1232" s="2891" t="s">
        <v>3064</v>
      </c>
      <c r="Q1232" s="2404"/>
      <c r="R1232" s="1973"/>
      <c r="S1232" s="1973"/>
      <c r="T1232" s="1973"/>
      <c r="U1232" s="1973"/>
      <c r="V1232" s="1973"/>
      <c r="W1232" s="2001"/>
      <c r="X1232" s="2001"/>
      <c r="Y1232" s="1974"/>
      <c r="Z1232" s="1974"/>
      <c r="AA1232" s="1974"/>
      <c r="AB1232" s="1974"/>
      <c r="AC1232" s="1974"/>
      <c r="AD1232" s="1974"/>
      <c r="AE1232" s="1974"/>
      <c r="AF1232" s="1974"/>
    </row>
    <row r="1233" spans="1:32" ht="13.8">
      <c r="A1233" s="2399"/>
      <c r="B1233" s="1974"/>
      <c r="C1233" s="1974" t="s">
        <v>4574</v>
      </c>
      <c r="D1233" s="1974"/>
      <c r="E1233" s="1974"/>
      <c r="F1233" s="1974"/>
      <c r="G1233" s="1974"/>
      <c r="H1233" s="1974"/>
      <c r="I1233" s="1974"/>
      <c r="J1233" s="2004" t="str">
        <f>'Part VIII Scoring Criteria'!J39</f>
        <v>TBD</v>
      </c>
      <c r="K1233" s="1973"/>
      <c r="L1233" s="1973"/>
      <c r="M1233" s="1973"/>
      <c r="N1233" s="1973"/>
      <c r="O1233" s="2891"/>
      <c r="P1233" s="2891"/>
      <c r="Q1233" s="2404"/>
      <c r="R1233" s="1974"/>
      <c r="S1233" s="1974"/>
      <c r="T1233" s="1974"/>
      <c r="U1233" s="1974"/>
      <c r="V1233" s="1973"/>
      <c r="W1233" s="2001"/>
      <c r="X1233" s="2001"/>
      <c r="Y1233" s="1974"/>
      <c r="Z1233" s="1974"/>
      <c r="AA1233" s="1974"/>
      <c r="AB1233" s="1974"/>
      <c r="AC1233" s="1974"/>
      <c r="AD1233" s="1974"/>
      <c r="AE1233" s="1974"/>
      <c r="AF1233" s="1974"/>
    </row>
    <row r="1234" spans="1:32" ht="13.8">
      <c r="A1234" s="2399"/>
      <c r="B1234" s="1974"/>
      <c r="C1234" s="1974" t="s">
        <v>4925</v>
      </c>
      <c r="D1234" s="1974"/>
      <c r="E1234" s="1974"/>
      <c r="F1234" s="1974"/>
      <c r="G1234" s="1974"/>
      <c r="H1234" s="1974"/>
      <c r="I1234" s="1974"/>
      <c r="J1234" s="2004" t="str">
        <f>'Part VIII Scoring Criteria'!J40</f>
        <v>For Profit</v>
      </c>
      <c r="K1234" s="1973"/>
      <c r="L1234" s="1974"/>
      <c r="M1234" s="1974"/>
      <c r="N1234" s="1974"/>
      <c r="O1234" s="2891"/>
      <c r="P1234" s="2891"/>
      <c r="Q1234" s="2404"/>
      <c r="R1234" s="1974"/>
      <c r="S1234" s="1974"/>
      <c r="T1234" s="1974"/>
      <c r="U1234" s="1974"/>
      <c r="V1234" s="1974"/>
      <c r="W1234" s="1974"/>
      <c r="X1234" s="2001"/>
      <c r="Y1234" s="1974"/>
      <c r="Z1234" s="1974"/>
      <c r="AA1234" s="1974"/>
      <c r="AB1234" s="1974"/>
      <c r="AC1234" s="1974"/>
      <c r="AD1234" s="1974"/>
      <c r="AE1234" s="1974"/>
      <c r="AF1234" s="1974"/>
    </row>
    <row r="1235" spans="1:32" ht="13.8">
      <c r="A1235" s="2399"/>
      <c r="B1235" s="1974"/>
      <c r="C1235" s="1974" t="s">
        <v>4573</v>
      </c>
      <c r="D1235" s="1974"/>
      <c r="E1235" s="1974"/>
      <c r="F1235" s="1974"/>
      <c r="G1235" s="1974"/>
      <c r="H1235" s="1974"/>
      <c r="I1235" s="1974"/>
      <c r="J1235" s="2004" t="str">
        <f>'Part VIII Scoring Criteria'!J41</f>
        <v>TBD</v>
      </c>
      <c r="K1235" s="1973"/>
      <c r="L1235" s="1974"/>
      <c r="M1235" s="1974"/>
      <c r="N1235" s="1974"/>
      <c r="O1235" s="2891"/>
      <c r="P1235" s="2891"/>
      <c r="Q1235" s="2404"/>
      <c r="R1235" s="1974"/>
      <c r="S1235" s="1974"/>
      <c r="T1235" s="1974"/>
      <c r="U1235" s="1974"/>
      <c r="V1235" s="1974"/>
      <c r="W1235" s="1974"/>
      <c r="X1235" s="2001"/>
      <c r="Y1235" s="1974"/>
      <c r="Z1235" s="1974"/>
      <c r="AA1235" s="1974"/>
      <c r="AB1235" s="1974"/>
      <c r="AC1235" s="1974"/>
      <c r="AD1235" s="1974"/>
      <c r="AE1235" s="1974"/>
      <c r="AF1235" s="1974"/>
    </row>
    <row r="1236" spans="1:32" ht="15" customHeight="1">
      <c r="A1236" s="2892"/>
      <c r="B1236" s="2402"/>
      <c r="C1236" s="1974" t="s">
        <v>4826</v>
      </c>
      <c r="D1236" s="1974"/>
      <c r="E1236" s="1974"/>
      <c r="F1236" s="1974"/>
      <c r="G1236" s="1974"/>
      <c r="H1236" s="1974"/>
      <c r="I1236" s="1974"/>
      <c r="J1236" s="1974"/>
      <c r="K1236" s="1974"/>
      <c r="L1236" s="1974"/>
      <c r="M1236" s="1974"/>
      <c r="N1236" s="2402"/>
      <c r="O1236" s="2404" t="str">
        <f>'Part VIII Scoring Criteria'!O42</f>
        <v>Yes</v>
      </c>
      <c r="P1236" s="1973"/>
      <c r="Q1236" s="2404"/>
      <c r="R1236" s="1974"/>
      <c r="S1236" s="1974"/>
      <c r="T1236" s="2001"/>
      <c r="U1236" s="2001"/>
      <c r="V1236" s="2001"/>
      <c r="W1236" s="2001"/>
      <c r="X1236" s="2001"/>
      <c r="Y1236" s="2001"/>
      <c r="Z1236" s="2001"/>
      <c r="AA1236" s="2001"/>
      <c r="AB1236" s="2001"/>
      <c r="AC1236" s="2001"/>
      <c r="AD1236" s="2001"/>
      <c r="AE1236" s="2001"/>
      <c r="AF1236" s="2001"/>
    </row>
    <row r="1237" spans="1:32" ht="13.8">
      <c r="A1237" s="1974"/>
      <c r="B1237" s="2001"/>
      <c r="C1237" s="2001"/>
      <c r="D1237" s="1974"/>
      <c r="E1237" s="1974"/>
      <c r="F1237" s="1973"/>
      <c r="G1237" s="1973"/>
      <c r="H1237" s="1973"/>
      <c r="I1237" s="1973"/>
      <c r="J1237" s="1974"/>
      <c r="K1237" s="1974"/>
      <c r="L1237" s="1974"/>
      <c r="M1237" s="1987"/>
      <c r="N1237" s="2404"/>
      <c r="O1237" s="2003"/>
      <c r="P1237" s="2000"/>
      <c r="Q1237" s="2001"/>
      <c r="R1237" s="2001"/>
      <c r="S1237" s="2001"/>
      <c r="T1237" s="2001"/>
      <c r="U1237" s="2001"/>
      <c r="V1237" s="2001"/>
      <c r="W1237" s="2001"/>
      <c r="X1237" s="2001"/>
      <c r="Y1237" s="2001"/>
      <c r="Z1237" s="2001"/>
      <c r="AA1237" s="2001"/>
      <c r="AB1237" s="2001"/>
      <c r="AC1237" s="2001"/>
      <c r="AD1237" s="2001"/>
      <c r="AE1237" s="2001"/>
      <c r="AF1237" s="2001"/>
    </row>
    <row r="1238" spans="1:32" ht="13.8">
      <c r="A1238" s="2404" t="s">
        <v>1835</v>
      </c>
      <c r="B1238" s="2893" t="s">
        <v>4467</v>
      </c>
      <c r="C1238" s="2001"/>
      <c r="D1238" s="2008"/>
      <c r="E1238" s="2008"/>
      <c r="F1238" s="2001"/>
      <c r="G1238" s="2001"/>
      <c r="H1238" s="2008"/>
      <c r="I1238" s="2001"/>
      <c r="J1238" s="2001"/>
      <c r="K1238" s="2001"/>
      <c r="L1238" s="2008"/>
      <c r="M1238" s="1992">
        <v>2</v>
      </c>
      <c r="N1238" s="2402"/>
      <c r="O1238" s="2000">
        <f>'Part VIII Scoring Criteria'!O44</f>
        <v>2</v>
      </c>
      <c r="P1238" s="2000">
        <f>'Part VIII Scoring Criteria'!P44</f>
        <v>0</v>
      </c>
      <c r="Q1238" s="2003" t="str">
        <f>IF(OR(O1238=0,O1238="",O1238=$M1238),"","Check!")</f>
        <v/>
      </c>
      <c r="R1238" s="2877"/>
      <c r="S1238" s="1973"/>
      <c r="T1238" s="1973"/>
      <c r="U1238" s="1973"/>
      <c r="V1238" s="1973"/>
      <c r="W1238" s="2001"/>
      <c r="X1238" s="2001"/>
      <c r="Y1238" s="2001"/>
      <c r="Z1238" s="2001"/>
      <c r="AA1238" s="2001"/>
      <c r="AB1238" s="2001"/>
      <c r="AC1238" s="2001"/>
      <c r="AD1238" s="2001"/>
      <c r="AE1238" s="2001"/>
      <c r="AF1238" s="2001"/>
    </row>
    <row r="1239" spans="1:32" ht="13.8">
      <c r="A1239" s="2894"/>
      <c r="B1239" s="2008" t="s">
        <v>4926</v>
      </c>
      <c r="C1239" s="2007"/>
      <c r="D1239" s="2007"/>
      <c r="E1239" s="2007"/>
      <c r="F1239" s="2007"/>
      <c r="G1239" s="2007"/>
      <c r="H1239" s="2007"/>
      <c r="I1239" s="2007"/>
      <c r="J1239" s="2007"/>
      <c r="K1239" s="2007"/>
      <c r="L1239" s="2007"/>
      <c r="M1239" s="2007"/>
      <c r="N1239" s="2879"/>
      <c r="O1239" s="2404" t="str">
        <f>'Part VIII Scoring Criteria'!O45</f>
        <v>Yes</v>
      </c>
      <c r="P1239" s="2404"/>
      <c r="Q1239" s="2882"/>
      <c r="R1239" s="2007"/>
      <c r="S1239" s="2007"/>
      <c r="T1239" s="2007"/>
      <c r="U1239" s="2007"/>
      <c r="V1239" s="2007"/>
      <c r="W1239" s="2007"/>
      <c r="X1239" s="2007"/>
      <c r="Y1239" s="2007"/>
      <c r="Z1239" s="2007"/>
      <c r="AA1239" s="2007"/>
      <c r="AB1239" s="2007"/>
      <c r="AC1239" s="2007"/>
      <c r="AD1239" s="2007"/>
      <c r="AE1239" s="2007"/>
      <c r="AF1239" s="2007"/>
    </row>
    <row r="1240" spans="1:32" ht="13.8">
      <c r="A1240" s="2404" t="s">
        <v>1837</v>
      </c>
      <c r="B1240" s="2893" t="s">
        <v>4468</v>
      </c>
      <c r="C1240" s="2001"/>
      <c r="D1240" s="2008"/>
      <c r="E1240" s="2001"/>
      <c r="F1240" s="2001"/>
      <c r="G1240" s="2001"/>
      <c r="H1240" s="2001"/>
      <c r="I1240" s="2001"/>
      <c r="J1240" s="2001"/>
      <c r="K1240" s="2001"/>
      <c r="L1240" s="2008"/>
      <c r="M1240" s="1992">
        <v>2</v>
      </c>
      <c r="N1240" s="2402"/>
      <c r="O1240" s="2000">
        <f>'Part VIII Scoring Criteria'!O46</f>
        <v>0</v>
      </c>
      <c r="P1240" s="2000">
        <f>'Part VIII Scoring Criteria'!P46</f>
        <v>0</v>
      </c>
      <c r="Q1240" s="2003" t="str">
        <f>IF(OR(O1240=0,O1240="",O1240=$M1240),"","Check!")</f>
        <v/>
      </c>
      <c r="R1240" s="2877"/>
      <c r="S1240" s="1973"/>
      <c r="T1240" s="1973"/>
      <c r="U1240" s="1973"/>
      <c r="V1240" s="1973"/>
      <c r="W1240" s="2001"/>
      <c r="X1240" s="2001"/>
      <c r="Y1240" s="2001"/>
      <c r="Z1240" s="2001"/>
      <c r="AA1240" s="2001"/>
      <c r="AB1240" s="2001"/>
      <c r="AC1240" s="2001"/>
      <c r="AD1240" s="2001"/>
      <c r="AE1240" s="2001"/>
      <c r="AF1240" s="2001"/>
    </row>
    <row r="1241" spans="1:32" ht="13.8">
      <c r="A1241" s="2404"/>
      <c r="B1241" s="1974" t="s">
        <v>4927</v>
      </c>
      <c r="C1241" s="2001"/>
      <c r="D1241" s="2008"/>
      <c r="E1241" s="2001"/>
      <c r="F1241" s="2001"/>
      <c r="G1241" s="2001"/>
      <c r="H1241" s="2001"/>
      <c r="I1241" s="2001"/>
      <c r="J1241" s="2001"/>
      <c r="K1241" s="2001"/>
      <c r="L1241" s="2008"/>
      <c r="M1241" s="1992"/>
      <c r="N1241" s="2402"/>
      <c r="O1241" s="2404" t="str">
        <f>'Part VIII Scoring Criteria'!O47</f>
        <v>No</v>
      </c>
      <c r="P1241" s="2404"/>
      <c r="Q1241" s="2003"/>
      <c r="R1241" s="2877"/>
      <c r="S1241" s="1973"/>
      <c r="T1241" s="1973"/>
      <c r="U1241" s="1973"/>
      <c r="V1241" s="1973"/>
      <c r="W1241" s="2001"/>
      <c r="X1241" s="2001"/>
      <c r="Y1241" s="2001"/>
      <c r="Z1241" s="2001"/>
      <c r="AA1241" s="2001"/>
      <c r="AB1241" s="2001"/>
      <c r="AC1241" s="2001"/>
      <c r="AD1241" s="2001"/>
      <c r="AE1241" s="2001"/>
      <c r="AF1241" s="2001"/>
    </row>
    <row r="1242" spans="1:32" ht="15" customHeight="1">
      <c r="A1242" s="2404"/>
      <c r="B1242" s="2007" t="s">
        <v>4827</v>
      </c>
      <c r="C1242" s="2007"/>
      <c r="D1242" s="2007"/>
      <c r="E1242" s="2007"/>
      <c r="F1242" s="2007"/>
      <c r="G1242" s="2007"/>
      <c r="H1242" s="2007"/>
      <c r="I1242" s="2007"/>
      <c r="J1242" s="2007"/>
      <c r="K1242" s="2007"/>
      <c r="L1242" s="2007"/>
      <c r="M1242" s="2007"/>
      <c r="N1242" s="2402"/>
      <c r="O1242" s="2404" t="str">
        <f>'Part VIII Scoring Criteria'!O48</f>
        <v>No</v>
      </c>
      <c r="P1242" s="2882"/>
      <c r="Q1242" s="2003"/>
      <c r="R1242" s="2877"/>
      <c r="S1242" s="1973"/>
      <c r="T1242" s="1973"/>
      <c r="U1242" s="1973"/>
      <c r="V1242" s="1973"/>
      <c r="W1242" s="2001"/>
      <c r="X1242" s="2001"/>
      <c r="Y1242" s="2001"/>
      <c r="Z1242" s="2001"/>
      <c r="AA1242" s="2001"/>
      <c r="AB1242" s="2001"/>
      <c r="AC1242" s="2001"/>
      <c r="AD1242" s="2001"/>
      <c r="AE1242" s="2001"/>
      <c r="AF1242" s="2001"/>
    </row>
    <row r="1243" spans="1:32" ht="14.4">
      <c r="A1243" s="1974"/>
      <c r="B1243" s="2869" t="s">
        <v>5173</v>
      </c>
      <c r="C1243" s="1974"/>
      <c r="D1243" s="1974"/>
      <c r="E1243" s="1974"/>
      <c r="F1243" s="1974"/>
      <c r="G1243" s="1974"/>
      <c r="H1243" s="1974"/>
      <c r="I1243" s="1974"/>
      <c r="J1243" s="1974"/>
      <c r="K1243" s="1974"/>
      <c r="L1243" s="2001"/>
      <c r="M1243" s="1974"/>
      <c r="N1243" s="1992"/>
      <c r="O1243" s="2000"/>
      <c r="P1243" s="2003"/>
      <c r="Q1243" s="2001"/>
      <c r="R1243" s="1973"/>
      <c r="S1243" s="1973"/>
      <c r="T1243" s="1973"/>
      <c r="U1243" s="1973"/>
      <c r="V1243" s="1973"/>
      <c r="W1243" s="2001"/>
      <c r="X1243" s="2001"/>
      <c r="Y1243" s="2001"/>
      <c r="Z1243" s="2001"/>
      <c r="AA1243" s="2001"/>
      <c r="AB1243" s="2001"/>
      <c r="AC1243" s="2001"/>
      <c r="AD1243" s="2001"/>
      <c r="AE1243" s="2001"/>
      <c r="AF1243" s="2001"/>
    </row>
    <row r="1244" spans="1:32" ht="13.8">
      <c r="A1244" s="2008" t="str">
        <f>'Part VIII Scoring Criteria'!A50</f>
        <v>Applicant commits to engage QBs in the development and/or operation of the proposed Retreat at Madison Place rehabilitation in amounts equal to approximately 10% of total construction hard costs as certified by an Independent Auditor Report in the Final Allocation Application. Supporting documentation is provided in folder "04MinorityWoman".</v>
      </c>
      <c r="B1244" s="2007"/>
      <c r="C1244" s="2007"/>
      <c r="D1244" s="2007"/>
      <c r="E1244" s="2007"/>
      <c r="F1244" s="2007"/>
      <c r="G1244" s="2007"/>
      <c r="H1244" s="2007"/>
      <c r="I1244" s="2007"/>
      <c r="J1244" s="2007"/>
      <c r="K1244" s="2007"/>
      <c r="L1244" s="2007"/>
      <c r="M1244" s="2007"/>
      <c r="N1244" s="2007"/>
      <c r="O1244" s="2007"/>
      <c r="P1244" s="2007"/>
      <c r="Q1244" s="1973"/>
      <c r="R1244" s="2001"/>
      <c r="S1244" s="2001"/>
      <c r="T1244" s="2001"/>
      <c r="U1244" s="2001"/>
      <c r="V1244" s="2001"/>
      <c r="W1244" s="2001"/>
      <c r="X1244" s="2001"/>
      <c r="Y1244" s="2001"/>
      <c r="Z1244" s="2001"/>
      <c r="AA1244" s="2001"/>
      <c r="AB1244" s="2001"/>
      <c r="AC1244" s="2001"/>
      <c r="AD1244" s="2001"/>
      <c r="AE1244" s="2001"/>
      <c r="AF1244" s="2001"/>
    </row>
    <row r="1245" spans="1:32" ht="14.4">
      <c r="A1245" s="1974"/>
      <c r="B1245" s="2887" t="s">
        <v>1724</v>
      </c>
      <c r="C1245" s="1974"/>
      <c r="D1245" s="2887"/>
      <c r="E1245" s="2007"/>
      <c r="F1245" s="2007"/>
      <c r="G1245" s="2007"/>
      <c r="H1245" s="2007"/>
      <c r="I1245" s="2007"/>
      <c r="J1245" s="2007"/>
      <c r="K1245" s="2007"/>
      <c r="L1245" s="2007"/>
      <c r="M1245" s="2007"/>
      <c r="N1245" s="2007"/>
      <c r="O1245" s="2863"/>
      <c r="P1245" s="1973"/>
      <c r="Q1245" s="2001"/>
      <c r="R1245" s="2001"/>
      <c r="S1245" s="2001"/>
      <c r="T1245" s="2001"/>
      <c r="U1245" s="2001"/>
      <c r="V1245" s="2001"/>
      <c r="W1245" s="2001"/>
      <c r="X1245" s="2001"/>
      <c r="Y1245" s="2001"/>
      <c r="Z1245" s="2001"/>
      <c r="AA1245" s="2001"/>
      <c r="AB1245" s="2001"/>
      <c r="AC1245" s="2001"/>
      <c r="AD1245" s="2001"/>
      <c r="AE1245" s="2001"/>
      <c r="AF1245" s="2001"/>
    </row>
    <row r="1246" spans="1:32" ht="13.8">
      <c r="A1246" s="2007"/>
      <c r="B1246" s="2007"/>
      <c r="C1246" s="2007"/>
      <c r="D1246" s="2007"/>
      <c r="E1246" s="2007"/>
      <c r="F1246" s="2007"/>
      <c r="G1246" s="2007"/>
      <c r="H1246" s="2007"/>
      <c r="I1246" s="2007"/>
      <c r="J1246" s="2007"/>
      <c r="K1246" s="2007"/>
      <c r="L1246" s="2007"/>
      <c r="M1246" s="2007"/>
      <c r="N1246" s="2007"/>
      <c r="O1246" s="2007"/>
      <c r="P1246" s="2007"/>
      <c r="Q1246" s="1973"/>
      <c r="R1246" s="2001"/>
      <c r="S1246" s="2001"/>
      <c r="T1246" s="2001"/>
      <c r="U1246" s="2001"/>
      <c r="V1246" s="2001"/>
      <c r="W1246" s="2001"/>
      <c r="X1246" s="2001"/>
      <c r="Y1246" s="2001"/>
      <c r="Z1246" s="2001"/>
      <c r="AA1246" s="2001"/>
      <c r="AB1246" s="2001"/>
      <c r="AC1246" s="2001"/>
      <c r="AD1246" s="2001"/>
      <c r="AE1246" s="2001"/>
      <c r="AF1246" s="2001"/>
    </row>
    <row r="1247" spans="1:32" ht="13.8">
      <c r="A1247" s="1974"/>
      <c r="B1247" s="1973"/>
      <c r="C1247" s="1974"/>
      <c r="D1247" s="1973"/>
      <c r="E1247" s="1974"/>
      <c r="F1247" s="1974"/>
      <c r="G1247" s="2871"/>
      <c r="H1247" s="2871"/>
      <c r="I1247" s="2871"/>
      <c r="J1247" s="2871"/>
      <c r="K1247" s="2871"/>
      <c r="L1247" s="2871"/>
      <c r="M1247" s="1974"/>
      <c r="N1247" s="2001"/>
      <c r="O1247" s="2888"/>
      <c r="P1247" s="1973"/>
      <c r="Q1247" s="2001"/>
      <c r="R1247" s="1974"/>
      <c r="S1247" s="1974"/>
      <c r="T1247" s="1974"/>
      <c r="U1247" s="1974"/>
      <c r="V1247" s="1974"/>
      <c r="W1247" s="1974"/>
      <c r="X1247" s="2409"/>
      <c r="Y1247" s="2409"/>
      <c r="Z1247" s="2409"/>
      <c r="AA1247" s="2409"/>
      <c r="AB1247" s="2409"/>
      <c r="AC1247" s="2409"/>
      <c r="AD1247" s="2409"/>
      <c r="AE1247" s="2409"/>
      <c r="AF1247" s="2409"/>
    </row>
    <row r="1248" spans="1:32" ht="13.8">
      <c r="A1248" s="2001"/>
      <c r="B1248" s="2001"/>
      <c r="C1248" s="2001"/>
      <c r="D1248" s="2001"/>
      <c r="E1248" s="2001"/>
      <c r="F1248" s="2001"/>
      <c r="G1248" s="2001"/>
      <c r="H1248" s="2001"/>
      <c r="I1248" s="2001"/>
      <c r="J1248" s="2001"/>
      <c r="K1248" s="2001"/>
      <c r="L1248" s="2001"/>
      <c r="M1248" s="2001"/>
      <c r="N1248" s="1992"/>
      <c r="O1248" s="2003"/>
      <c r="P1248" s="2003"/>
      <c r="Q1248" s="2001"/>
      <c r="R1248" s="2001"/>
      <c r="S1248" s="2001"/>
      <c r="T1248" s="2400"/>
      <c r="U1248" s="2400"/>
      <c r="V1248" s="2001"/>
      <c r="W1248" s="2001"/>
      <c r="X1248" s="2001"/>
      <c r="Y1248" s="2001"/>
      <c r="Z1248" s="2001"/>
      <c r="AA1248" s="2001"/>
      <c r="AB1248" s="2001"/>
      <c r="AC1248" s="2001"/>
      <c r="AD1248" s="2001"/>
      <c r="AE1248" s="2001"/>
      <c r="AF1248" s="2001"/>
    </row>
    <row r="1249" spans="1:32" ht="13.8">
      <c r="A1249" s="2399" t="s">
        <v>1663</v>
      </c>
      <c r="B1249" s="2400" t="s">
        <v>3256</v>
      </c>
      <c r="C1249" s="2001"/>
      <c r="D1249" s="2009"/>
      <c r="E1249" s="2009"/>
      <c r="F1249" s="1974"/>
      <c r="G1249" s="1974"/>
      <c r="H1249" s="1974"/>
      <c r="I1249" s="2001"/>
      <c r="J1249" s="2895"/>
      <c r="K1249" s="2404"/>
      <c r="L1249" s="2873" t="s">
        <v>4865</v>
      </c>
      <c r="M1249" s="2000">
        <v>5</v>
      </c>
      <c r="N1249" s="1987"/>
      <c r="O1249" s="2868">
        <f>'Part VIII Scoring Criteria'!O55</f>
        <v>2</v>
      </c>
      <c r="P1249" s="2868">
        <f>'Part VIII Scoring Criteria'!P55</f>
        <v>0</v>
      </c>
      <c r="Q1249" s="2404" t="s">
        <v>415</v>
      </c>
      <c r="R1249" s="2001"/>
      <c r="S1249" s="2001"/>
      <c r="T1249" s="2001"/>
      <c r="U1249" s="2001"/>
      <c r="V1249" s="2001"/>
      <c r="W1249" s="2001"/>
      <c r="X1249" s="2001"/>
      <c r="Y1249" s="2001"/>
      <c r="Z1249" s="2001"/>
      <c r="AA1249" s="2001"/>
      <c r="AB1249" s="2001"/>
      <c r="AC1249" s="2001"/>
      <c r="AD1249" s="2001"/>
      <c r="AE1249" s="2001"/>
      <c r="AF1249" s="2001"/>
    </row>
    <row r="1250" spans="1:32" ht="13.8">
      <c r="A1250" s="2896" t="s">
        <v>1835</v>
      </c>
      <c r="B1250" s="1973" t="s">
        <v>3257</v>
      </c>
      <c r="C1250" s="2001"/>
      <c r="D1250" s="2001"/>
      <c r="E1250" s="2001"/>
      <c r="F1250" s="2001"/>
      <c r="G1250" s="2001"/>
      <c r="H1250" s="2001"/>
      <c r="I1250" s="2001"/>
      <c r="J1250" s="2001"/>
      <c r="K1250" s="2001"/>
      <c r="L1250" s="2875" t="str">
        <f>IF(O1250&lt;=M1250,"","* * Check Score! * *")</f>
        <v/>
      </c>
      <c r="M1250" s="1987">
        <v>4</v>
      </c>
      <c r="N1250" s="2402"/>
      <c r="O1250" s="2404">
        <f>'Part VIII Scoring Criteria'!O56</f>
        <v>2</v>
      </c>
      <c r="P1250" s="2000"/>
      <c r="Q1250" s="2876" t="str">
        <f>IF(O1250&lt;=M1250,"","*CHECK!*")</f>
        <v/>
      </c>
      <c r="R1250" s="1973"/>
      <c r="S1250" s="1973"/>
      <c r="T1250" s="2863"/>
      <c r="U1250" s="2001"/>
      <c r="V1250" s="2001"/>
      <c r="W1250" s="2001"/>
      <c r="X1250" s="2001"/>
      <c r="Y1250" s="2001"/>
      <c r="Z1250" s="2001"/>
      <c r="AA1250" s="2001"/>
      <c r="AB1250" s="2001"/>
      <c r="AC1250" s="2001"/>
      <c r="AD1250" s="2001"/>
      <c r="AE1250" s="2001"/>
      <c r="AF1250" s="2001"/>
    </row>
    <row r="1251" spans="1:32" ht="15" customHeight="1">
      <c r="A1251" s="2896"/>
      <c r="B1251" s="2892" t="s">
        <v>4830</v>
      </c>
      <c r="C1251" s="2892"/>
      <c r="D1251" s="2892"/>
      <c r="E1251" s="2892"/>
      <c r="F1251" s="2892"/>
      <c r="G1251" s="2892"/>
      <c r="H1251" s="2892"/>
      <c r="I1251" s="2892"/>
      <c r="J1251" s="2892"/>
      <c r="K1251" s="2892"/>
      <c r="L1251" s="2892"/>
      <c r="M1251" s="2001"/>
      <c r="N1251" s="2001"/>
      <c r="O1251" s="2404" t="str">
        <f>'Part VIII Scoring Criteria'!O57</f>
        <v>Yes</v>
      </c>
      <c r="P1251" s="2404"/>
      <c r="Q1251" s="2001"/>
      <c r="R1251" s="1973"/>
      <c r="S1251" s="1973"/>
      <c r="T1251" s="2863"/>
      <c r="U1251" s="2001"/>
      <c r="V1251" s="2001"/>
      <c r="W1251" s="2001"/>
      <c r="X1251" s="2001"/>
      <c r="Y1251" s="2001"/>
      <c r="Z1251" s="2001"/>
      <c r="AA1251" s="2001"/>
      <c r="AB1251" s="2001"/>
      <c r="AC1251" s="2001"/>
      <c r="AD1251" s="2001"/>
      <c r="AE1251" s="2001"/>
      <c r="AF1251" s="2001"/>
    </row>
    <row r="1252" spans="1:32" ht="14.4">
      <c r="A1252" s="2896"/>
      <c r="B1252" s="2897"/>
      <c r="C1252" s="2007"/>
      <c r="D1252" s="2007"/>
      <c r="E1252" s="2007"/>
      <c r="F1252" s="2007"/>
      <c r="G1252" s="2007"/>
      <c r="H1252" s="2007"/>
      <c r="I1252" s="2007"/>
      <c r="J1252" s="2898" t="s">
        <v>1842</v>
      </c>
      <c r="K1252" s="2898"/>
      <c r="L1252" s="2001"/>
      <c r="M1252" s="2898" t="s">
        <v>1842</v>
      </c>
      <c r="N1252" s="2898"/>
      <c r="O1252" s="2898"/>
      <c r="P1252" s="2898"/>
      <c r="Q1252" s="2001"/>
      <c r="R1252" s="2877"/>
      <c r="S1252" s="2877"/>
      <c r="T1252" s="2863"/>
      <c r="U1252" s="2001"/>
      <c r="V1252" s="2001"/>
      <c r="W1252" s="2001"/>
      <c r="X1252" s="2001"/>
      <c r="Y1252" s="2001"/>
      <c r="Z1252" s="2001"/>
      <c r="AA1252" s="2001"/>
      <c r="AB1252" s="2001"/>
      <c r="AC1252" s="2001"/>
      <c r="AD1252" s="2001"/>
      <c r="AE1252" s="2001"/>
      <c r="AF1252" s="2001"/>
    </row>
    <row r="1253" spans="1:32" ht="13.8">
      <c r="A1253" s="2402"/>
      <c r="B1253" s="2878" t="s">
        <v>1838</v>
      </c>
      <c r="C1253" s="1974" t="s">
        <v>1386</v>
      </c>
      <c r="D1253" s="2001"/>
      <c r="E1253" s="2001"/>
      <c r="F1253" s="2001"/>
      <c r="G1253" s="2001"/>
      <c r="H1253" s="2001"/>
      <c r="I1253" s="2402"/>
      <c r="J1253" s="2899">
        <f>'Part VIII Scoring Criteria'!J59</f>
        <v>0</v>
      </c>
      <c r="K1253" s="2899"/>
      <c r="L1253" s="2402"/>
      <c r="M1253" s="2899"/>
      <c r="N1253" s="2899"/>
      <c r="O1253" s="2899"/>
      <c r="P1253" s="2899"/>
      <c r="Q1253" s="2001"/>
      <c r="R1253" s="2875"/>
      <c r="S1253" s="2001"/>
      <c r="T1253" s="2001"/>
      <c r="U1253" s="2001"/>
      <c r="V1253" s="2001"/>
      <c r="W1253" s="2001"/>
      <c r="X1253" s="2001"/>
      <c r="Y1253" s="2001"/>
      <c r="Z1253" s="2001"/>
      <c r="AA1253" s="2001"/>
      <c r="AB1253" s="2001"/>
      <c r="AC1253" s="2001"/>
      <c r="AD1253" s="2001"/>
      <c r="AE1253" s="2001"/>
      <c r="AF1253" s="2001"/>
    </row>
    <row r="1254" spans="1:32" ht="13.8">
      <c r="A1254" s="2873"/>
      <c r="B1254" s="2880" t="s">
        <v>1840</v>
      </c>
      <c r="C1254" s="1974" t="s">
        <v>3069</v>
      </c>
      <c r="D1254" s="2001"/>
      <c r="E1254" s="2001"/>
      <c r="F1254" s="2001"/>
      <c r="G1254" s="2001"/>
      <c r="H1254" s="2001"/>
      <c r="I1254" s="2884"/>
      <c r="J1254" s="2899">
        <f>'Part VIII Scoring Criteria'!J60</f>
        <v>0</v>
      </c>
      <c r="K1254" s="2899"/>
      <c r="L1254" s="2884"/>
      <c r="M1254" s="2899"/>
      <c r="N1254" s="2899"/>
      <c r="O1254" s="2899"/>
      <c r="P1254" s="2899"/>
      <c r="Q1254" s="2001"/>
      <c r="R1254" s="2001"/>
      <c r="S1254" s="2001"/>
      <c r="T1254" s="2001"/>
      <c r="U1254" s="2001"/>
      <c r="V1254" s="2001"/>
      <c r="W1254" s="2001"/>
      <c r="X1254" s="2001"/>
      <c r="Y1254" s="2001"/>
      <c r="Z1254" s="2001"/>
      <c r="AA1254" s="2001"/>
      <c r="AB1254" s="2001"/>
      <c r="AC1254" s="2001"/>
      <c r="AD1254" s="2001"/>
      <c r="AE1254" s="2001"/>
      <c r="AF1254" s="2001"/>
    </row>
    <row r="1255" spans="1:32" ht="13.8">
      <c r="A1255" s="2001"/>
      <c r="B1255" s="2878" t="s">
        <v>2325</v>
      </c>
      <c r="C1255" s="1974" t="s">
        <v>3825</v>
      </c>
      <c r="D1255" s="2001"/>
      <c r="E1255" s="2001"/>
      <c r="F1255" s="2001"/>
      <c r="G1255" s="2001"/>
      <c r="H1255" s="2001"/>
      <c r="I1255" s="2402"/>
      <c r="J1255" s="2899">
        <f>'Part VIII Scoring Criteria'!J61</f>
        <v>0</v>
      </c>
      <c r="K1255" s="2899"/>
      <c r="L1255" s="2402"/>
      <c r="M1255" s="2899"/>
      <c r="N1255" s="2899"/>
      <c r="O1255" s="2899"/>
      <c r="P1255" s="2899"/>
      <c r="Q1255" s="2001"/>
      <c r="R1255" s="2001"/>
      <c r="S1255" s="2001"/>
      <c r="T1255" s="2001"/>
      <c r="U1255" s="2001"/>
      <c r="V1255" s="2001"/>
      <c r="W1255" s="2001"/>
      <c r="X1255" s="2001"/>
      <c r="Y1255" s="2001"/>
      <c r="Z1255" s="2001"/>
      <c r="AA1255" s="2001"/>
      <c r="AB1255" s="2001"/>
      <c r="AC1255" s="2001"/>
      <c r="AD1255" s="2001"/>
      <c r="AE1255" s="2001"/>
      <c r="AF1255" s="2001"/>
    </row>
    <row r="1256" spans="1:32" ht="13.8">
      <c r="A1256" s="2001"/>
      <c r="B1256" s="2878" t="s">
        <v>1149</v>
      </c>
      <c r="C1256" s="1974" t="s">
        <v>4828</v>
      </c>
      <c r="D1256" s="2001"/>
      <c r="E1256" s="2001"/>
      <c r="F1256" s="2001"/>
      <c r="G1256" s="2001"/>
      <c r="H1256" s="2001"/>
      <c r="I1256" s="2402"/>
      <c r="J1256" s="2899">
        <f>'Part VIII Scoring Criteria'!J62</f>
        <v>0</v>
      </c>
      <c r="K1256" s="2899"/>
      <c r="L1256" s="2402"/>
      <c r="M1256" s="2899"/>
      <c r="N1256" s="2899"/>
      <c r="O1256" s="2899"/>
      <c r="P1256" s="2899"/>
      <c r="Q1256" s="2001"/>
      <c r="R1256" s="2001"/>
      <c r="S1256" s="2001"/>
      <c r="T1256" s="2001"/>
      <c r="U1256" s="2001"/>
      <c r="V1256" s="2001"/>
      <c r="W1256" s="2001"/>
      <c r="X1256" s="2001"/>
      <c r="Y1256" s="2001"/>
      <c r="Z1256" s="2001"/>
      <c r="AA1256" s="2001"/>
      <c r="AB1256" s="2001"/>
      <c r="AC1256" s="2001"/>
      <c r="AD1256" s="2001"/>
      <c r="AE1256" s="2001"/>
      <c r="AF1256" s="2001"/>
    </row>
    <row r="1257" spans="1:32" ht="13.8">
      <c r="A1257" s="2873"/>
      <c r="B1257" s="2880" t="s">
        <v>1150</v>
      </c>
      <c r="C1257" s="1974" t="s">
        <v>2986</v>
      </c>
      <c r="D1257" s="2001"/>
      <c r="E1257" s="2001"/>
      <c r="F1257" s="2001"/>
      <c r="G1257" s="2001"/>
      <c r="H1257" s="2001"/>
      <c r="I1257" s="2402"/>
      <c r="J1257" s="2899">
        <f>'Part VIII Scoring Criteria'!J63</f>
        <v>0</v>
      </c>
      <c r="K1257" s="2899"/>
      <c r="L1257" s="2402"/>
      <c r="M1257" s="2899"/>
      <c r="N1257" s="2899"/>
      <c r="O1257" s="2899"/>
      <c r="P1257" s="2899"/>
      <c r="Q1257" s="2001"/>
      <c r="R1257" s="2001"/>
      <c r="S1257" s="2001"/>
      <c r="T1257" s="2001"/>
      <c r="U1257" s="2001"/>
      <c r="V1257" s="2001"/>
      <c r="W1257" s="2001"/>
      <c r="X1257" s="2001"/>
      <c r="Y1257" s="2001"/>
      <c r="Z1257" s="2001"/>
      <c r="AA1257" s="2001"/>
      <c r="AB1257" s="2001"/>
      <c r="AC1257" s="2001"/>
      <c r="AD1257" s="2001"/>
      <c r="AE1257" s="2001"/>
      <c r="AF1257" s="2001"/>
    </row>
    <row r="1258" spans="1:32" ht="13.8">
      <c r="A1258" s="2402"/>
      <c r="B1258" s="2878" t="s">
        <v>1736</v>
      </c>
      <c r="C1258" s="1974" t="s">
        <v>2465</v>
      </c>
      <c r="D1258" s="2001"/>
      <c r="E1258" s="2001"/>
      <c r="F1258" s="2001"/>
      <c r="G1258" s="2001"/>
      <c r="H1258" s="2001"/>
      <c r="I1258" s="2884"/>
      <c r="J1258" s="2899">
        <f>'Part VIII Scoring Criteria'!J64</f>
        <v>0</v>
      </c>
      <c r="K1258" s="2899"/>
      <c r="L1258" s="2884"/>
      <c r="M1258" s="2899"/>
      <c r="N1258" s="2899"/>
      <c r="O1258" s="2899"/>
      <c r="P1258" s="2899"/>
      <c r="Q1258" s="2001"/>
      <c r="R1258" s="2001"/>
      <c r="S1258" s="2001"/>
      <c r="T1258" s="2001"/>
      <c r="U1258" s="2001"/>
      <c r="V1258" s="2001"/>
      <c r="W1258" s="2001"/>
      <c r="X1258" s="2001"/>
      <c r="Y1258" s="2001"/>
      <c r="Z1258" s="2001"/>
      <c r="AA1258" s="2001"/>
      <c r="AB1258" s="2001"/>
      <c r="AC1258" s="2001"/>
      <c r="AD1258" s="2001"/>
      <c r="AE1258" s="2001"/>
      <c r="AF1258" s="2001"/>
    </row>
    <row r="1259" spans="1:32" ht="13.8">
      <c r="A1259" s="2001"/>
      <c r="B1259" s="2878" t="s">
        <v>472</v>
      </c>
      <c r="C1259" s="1974" t="s">
        <v>1385</v>
      </c>
      <c r="D1259" s="2001"/>
      <c r="E1259" s="2001"/>
      <c r="F1259" s="2001"/>
      <c r="G1259" s="2001"/>
      <c r="H1259" s="2001"/>
      <c r="I1259" s="2402"/>
      <c r="J1259" s="2899">
        <f>'Part VIII Scoring Criteria'!J65</f>
        <v>0</v>
      </c>
      <c r="K1259" s="2899"/>
      <c r="L1259" s="2402"/>
      <c r="M1259" s="2899"/>
      <c r="N1259" s="2899"/>
      <c r="O1259" s="2899"/>
      <c r="P1259" s="2899"/>
      <c r="Q1259" s="2001"/>
      <c r="R1259" s="2001"/>
      <c r="S1259" s="2001"/>
      <c r="T1259" s="2001"/>
      <c r="U1259" s="2001"/>
      <c r="V1259" s="2001"/>
      <c r="W1259" s="2001"/>
      <c r="X1259" s="2001"/>
      <c r="Y1259" s="2001"/>
      <c r="Z1259" s="2001"/>
      <c r="AA1259" s="2001"/>
      <c r="AB1259" s="2001"/>
      <c r="AC1259" s="2001"/>
      <c r="AD1259" s="2001"/>
      <c r="AE1259" s="2001"/>
      <c r="AF1259" s="2001"/>
    </row>
    <row r="1260" spans="1:32" ht="13.8">
      <c r="A1260" s="2001"/>
      <c r="B1260" s="2878" t="s">
        <v>473</v>
      </c>
      <c r="C1260" s="1974" t="s">
        <v>4124</v>
      </c>
      <c r="D1260" s="2001"/>
      <c r="E1260" s="2001"/>
      <c r="F1260" s="2001"/>
      <c r="G1260" s="2001"/>
      <c r="H1260" s="2001"/>
      <c r="I1260" s="2402"/>
      <c r="J1260" s="2899">
        <f>'Part VIII Scoring Criteria'!J66</f>
        <v>0</v>
      </c>
      <c r="K1260" s="2899"/>
      <c r="L1260" s="2402"/>
      <c r="M1260" s="2899"/>
      <c r="N1260" s="2899"/>
      <c r="O1260" s="2899"/>
      <c r="P1260" s="2899"/>
      <c r="Q1260" s="2001"/>
      <c r="R1260" s="2875"/>
      <c r="S1260" s="2001"/>
      <c r="T1260" s="2001"/>
      <c r="U1260" s="2001"/>
      <c r="V1260" s="2001"/>
      <c r="W1260" s="2001"/>
      <c r="X1260" s="2001"/>
      <c r="Y1260" s="2001"/>
      <c r="Z1260" s="2001"/>
      <c r="AA1260" s="2001"/>
      <c r="AB1260" s="2001"/>
      <c r="AC1260" s="2001"/>
      <c r="AD1260" s="2001"/>
      <c r="AE1260" s="2001"/>
      <c r="AF1260" s="2001"/>
    </row>
    <row r="1261" spans="1:32" ht="13.8">
      <c r="A1261" s="2873"/>
      <c r="B1261" s="2878" t="s">
        <v>3763</v>
      </c>
      <c r="C1261" s="1974" t="s">
        <v>3068</v>
      </c>
      <c r="D1261" s="2001"/>
      <c r="E1261" s="2001"/>
      <c r="F1261" s="2001"/>
      <c r="G1261" s="2001"/>
      <c r="H1261" s="2001"/>
      <c r="I1261" s="2402"/>
      <c r="J1261" s="2899">
        <f>'Part VIII Scoring Criteria'!J67</f>
        <v>0</v>
      </c>
      <c r="K1261" s="2899"/>
      <c r="L1261" s="2402"/>
      <c r="M1261" s="2899"/>
      <c r="N1261" s="2899"/>
      <c r="O1261" s="2899"/>
      <c r="P1261" s="2899"/>
      <c r="Q1261" s="2001"/>
      <c r="R1261" s="2875"/>
      <c r="S1261" s="2001"/>
      <c r="T1261" s="2001"/>
      <c r="U1261" s="2001"/>
      <c r="V1261" s="2001"/>
      <c r="W1261" s="2001"/>
      <c r="X1261" s="2001"/>
      <c r="Y1261" s="2001"/>
      <c r="Z1261" s="2001"/>
      <c r="AA1261" s="2001"/>
      <c r="AB1261" s="2001"/>
      <c r="AC1261" s="2001"/>
      <c r="AD1261" s="2001"/>
      <c r="AE1261" s="2001"/>
      <c r="AF1261" s="2001"/>
    </row>
    <row r="1262" spans="1:32" ht="13.8">
      <c r="A1262" s="2001"/>
      <c r="B1262" s="2878" t="s">
        <v>4688</v>
      </c>
      <c r="C1262" s="1974" t="s">
        <v>4687</v>
      </c>
      <c r="D1262" s="2001"/>
      <c r="E1262" s="2001"/>
      <c r="F1262" s="2001"/>
      <c r="G1262" s="2001"/>
      <c r="H1262" s="2001"/>
      <c r="I1262" s="2402"/>
      <c r="J1262" s="2899">
        <f>'Part VIII Scoring Criteria'!J68</f>
        <v>0</v>
      </c>
      <c r="K1262" s="2899"/>
      <c r="L1262" s="2402"/>
      <c r="M1262" s="2899"/>
      <c r="N1262" s="2899"/>
      <c r="O1262" s="2899"/>
      <c r="P1262" s="2899"/>
      <c r="Q1262" s="2001"/>
      <c r="R1262" s="2875"/>
      <c r="S1262" s="2001"/>
      <c r="T1262" s="2001"/>
      <c r="U1262" s="2001"/>
      <c r="V1262" s="2001"/>
      <c r="W1262" s="2001"/>
      <c r="X1262" s="2001"/>
      <c r="Y1262" s="2001"/>
      <c r="Z1262" s="2001"/>
      <c r="AA1262" s="2001"/>
      <c r="AB1262" s="2001"/>
      <c r="AC1262" s="2001"/>
      <c r="AD1262" s="2001"/>
      <c r="AE1262" s="2001"/>
      <c r="AF1262" s="2001"/>
    </row>
    <row r="1263" spans="1:32" ht="13.8">
      <c r="A1263" s="2001"/>
      <c r="B1263" s="2878" t="s">
        <v>4689</v>
      </c>
      <c r="C1263" s="1974" t="s">
        <v>4708</v>
      </c>
      <c r="D1263" s="2001"/>
      <c r="E1263" s="2001"/>
      <c r="F1263" s="2001"/>
      <c r="G1263" s="2001"/>
      <c r="H1263" s="2001"/>
      <c r="I1263" s="2402"/>
      <c r="J1263" s="2899">
        <f>'Part VIII Scoring Criteria'!J69</f>
        <v>0</v>
      </c>
      <c r="K1263" s="2899"/>
      <c r="L1263" s="2402"/>
      <c r="M1263" s="2899"/>
      <c r="N1263" s="2899"/>
      <c r="O1263" s="2899"/>
      <c r="P1263" s="2899"/>
      <c r="Q1263" s="2001"/>
      <c r="R1263" s="2875"/>
      <c r="S1263" s="2001"/>
      <c r="T1263" s="2001"/>
      <c r="U1263" s="2001"/>
      <c r="V1263" s="2001"/>
      <c r="W1263" s="2001"/>
      <c r="X1263" s="2001"/>
      <c r="Y1263" s="2001"/>
      <c r="Z1263" s="2001"/>
      <c r="AA1263" s="2001"/>
      <c r="AB1263" s="2001"/>
      <c r="AC1263" s="2001"/>
      <c r="AD1263" s="2001"/>
      <c r="AE1263" s="2001"/>
      <c r="AF1263" s="2001"/>
    </row>
    <row r="1264" spans="1:32" ht="13.8">
      <c r="A1264" s="2001"/>
      <c r="B1264" s="2878" t="s">
        <v>4829</v>
      </c>
      <c r="C1264" s="1974" t="s">
        <v>4709</v>
      </c>
      <c r="D1264" s="2001"/>
      <c r="E1264" s="2001"/>
      <c r="F1264" s="2001"/>
      <c r="G1264" s="2001"/>
      <c r="H1264" s="2001"/>
      <c r="I1264" s="2402"/>
      <c r="J1264" s="2899">
        <f>'Part VIII Scoring Criteria'!J70</f>
        <v>1000000</v>
      </c>
      <c r="K1264" s="2899"/>
      <c r="L1264" s="2402"/>
      <c r="M1264" s="2899"/>
      <c r="N1264" s="2899"/>
      <c r="O1264" s="2899"/>
      <c r="P1264" s="2899"/>
      <c r="Q1264" s="2001"/>
      <c r="R1264" s="2875"/>
      <c r="S1264" s="2001"/>
      <c r="T1264" s="2001"/>
      <c r="U1264" s="2001"/>
      <c r="V1264" s="2001"/>
      <c r="W1264" s="2001"/>
      <c r="X1264" s="2001"/>
      <c r="Y1264" s="2001"/>
      <c r="Z1264" s="2001"/>
      <c r="AA1264" s="2001"/>
      <c r="AB1264" s="2001"/>
      <c r="AC1264" s="2001"/>
      <c r="AD1264" s="2001"/>
      <c r="AE1264" s="2001"/>
      <c r="AF1264" s="2001"/>
    </row>
    <row r="1265" spans="1:32" ht="13.8">
      <c r="A1265" s="2001"/>
      <c r="B1265" s="1974"/>
      <c r="C1265" s="2001"/>
      <c r="D1265" s="2001"/>
      <c r="E1265" s="2001"/>
      <c r="F1265" s="2001"/>
      <c r="G1265" s="2001"/>
      <c r="H1265" s="2001"/>
      <c r="I1265" s="2407" t="s">
        <v>2405</v>
      </c>
      <c r="J1265" s="2899">
        <f>SUM(J1253:K1264)</f>
        <v>1000000</v>
      </c>
      <c r="K1265" s="2899"/>
      <c r="L1265" s="2001"/>
      <c r="M1265" s="2899">
        <f>SUM($M1253:$M1264)</f>
        <v>0</v>
      </c>
      <c r="N1265" s="2899"/>
      <c r="O1265" s="2899"/>
      <c r="P1265" s="2899"/>
      <c r="Q1265" s="2001"/>
      <c r="R1265" s="2001"/>
      <c r="S1265" s="2001"/>
      <c r="T1265" s="2001"/>
      <c r="U1265" s="2001" t="s">
        <v>4714</v>
      </c>
      <c r="V1265" s="2001"/>
      <c r="W1265" s="2001"/>
      <c r="X1265" s="2001"/>
      <c r="Y1265" s="2001"/>
      <c r="Z1265" s="2001"/>
      <c r="AA1265" s="2001"/>
      <c r="AB1265" s="2001"/>
      <c r="AC1265" s="2001"/>
      <c r="AD1265" s="2001"/>
      <c r="AE1265" s="2001"/>
      <c r="AF1265" s="2001"/>
    </row>
    <row r="1266" spans="1:32" ht="13.8">
      <c r="A1266" s="2001"/>
      <c r="B1266" s="2001"/>
      <c r="C1266" s="2001"/>
      <c r="D1266" s="2001"/>
      <c r="E1266" s="2001"/>
      <c r="F1266" s="2001"/>
      <c r="G1266" s="2001"/>
      <c r="H1266" s="2001"/>
      <c r="I1266" s="2001"/>
      <c r="J1266" s="2001"/>
      <c r="K1266" s="2001"/>
      <c r="L1266" s="2001"/>
      <c r="M1266" s="1973"/>
      <c r="N1266" s="1973"/>
      <c r="O1266" s="2001"/>
      <c r="P1266" s="1973"/>
      <c r="Q1266" s="2001"/>
      <c r="R1266" s="2001"/>
      <c r="S1266" s="2001"/>
      <c r="T1266" s="2001"/>
      <c r="U1266" s="2900" t="s">
        <v>4712</v>
      </c>
      <c r="V1266" s="2900" t="s">
        <v>4713</v>
      </c>
      <c r="W1266" s="2900" t="s">
        <v>4712</v>
      </c>
      <c r="X1266" s="2900" t="s">
        <v>4713</v>
      </c>
      <c r="Y1266" s="2900" t="s">
        <v>4712</v>
      </c>
      <c r="Z1266" s="2900" t="s">
        <v>4713</v>
      </c>
      <c r="AA1266" s="2001"/>
      <c r="AB1266" s="2001"/>
      <c r="AC1266" s="2001"/>
      <c r="AD1266" s="2001"/>
      <c r="AE1266" s="2001"/>
      <c r="AF1266" s="2001"/>
    </row>
    <row r="1267" spans="1:32" ht="13.8">
      <c r="A1267" s="1974"/>
      <c r="B1267" s="2878"/>
      <c r="C1267" s="2009" t="s">
        <v>2404</v>
      </c>
      <c r="D1267" s="1974"/>
      <c r="E1267" s="1974"/>
      <c r="F1267" s="2001"/>
      <c r="G1267" s="2001"/>
      <c r="H1267" s="2001"/>
      <c r="I1267" s="2402" t="s">
        <v>4127</v>
      </c>
      <c r="J1267" s="2899">
        <f>'Part V-Revenues &amp; Expenses'!$P$76</f>
        <v>160</v>
      </c>
      <c r="K1267" s="2899"/>
      <c r="L1267" s="1973"/>
      <c r="M1267" s="1973"/>
      <c r="N1267" s="1973"/>
      <c r="O1267" s="2001"/>
      <c r="P1267" s="1973"/>
      <c r="Q1267" s="2001"/>
      <c r="R1267" s="2901" t="s">
        <v>4710</v>
      </c>
      <c r="S1267" s="2001"/>
      <c r="T1267" s="2001"/>
      <c r="U1267" s="2902">
        <v>500000</v>
      </c>
      <c r="V1267" s="2903">
        <v>999999.99</v>
      </c>
      <c r="W1267" s="2902">
        <v>1000000</v>
      </c>
      <c r="X1267" s="2903">
        <v>1999999.99</v>
      </c>
      <c r="Y1267" s="2902">
        <v>2000000</v>
      </c>
      <c r="Z1267" s="2902"/>
      <c r="AA1267" s="2001"/>
      <c r="AB1267" s="2001"/>
      <c r="AC1267" s="2001"/>
      <c r="AD1267" s="2001"/>
      <c r="AE1267" s="2001"/>
      <c r="AF1267" s="2001"/>
    </row>
    <row r="1268" spans="1:32" ht="13.8">
      <c r="A1268" s="2001"/>
      <c r="B1268" s="2001"/>
      <c r="C1268" s="1974"/>
      <c r="D1268" s="1974"/>
      <c r="E1268" s="1974"/>
      <c r="F1268" s="2001"/>
      <c r="G1268" s="2001"/>
      <c r="H1268" s="2001"/>
      <c r="I1268" s="2873" t="s">
        <v>4128</v>
      </c>
      <c r="J1268" s="2904">
        <f>IF(J1267=0,0,J1265/J1267)</f>
        <v>6250</v>
      </c>
      <c r="K1268" s="2904"/>
      <c r="L1268" s="2001"/>
      <c r="M1268" s="2904">
        <f>IF(J1267=0,0,M1265/J1267)</f>
        <v>0</v>
      </c>
      <c r="N1268" s="2904"/>
      <c r="O1268" s="2904"/>
      <c r="P1268" s="2904"/>
      <c r="Q1268" s="2001"/>
      <c r="R1268" s="2901" t="s">
        <v>4711</v>
      </c>
      <c r="S1268" s="2001"/>
      <c r="T1268" s="2001"/>
      <c r="U1268" s="2902">
        <v>10000</v>
      </c>
      <c r="V1268" s="2903">
        <v>19999.990000000002</v>
      </c>
      <c r="W1268" s="2902">
        <v>20000</v>
      </c>
      <c r="X1268" s="2903">
        <v>29999.99</v>
      </c>
      <c r="Y1268" s="2902">
        <v>30000</v>
      </c>
      <c r="Z1268" s="2902"/>
      <c r="AA1268" s="2001"/>
      <c r="AB1268" s="2001"/>
      <c r="AC1268" s="2001"/>
      <c r="AD1268" s="2001"/>
      <c r="AE1268" s="2001"/>
      <c r="AF1268" s="2001"/>
    </row>
    <row r="1269" spans="1:32" ht="13.8">
      <c r="A1269" s="2001"/>
      <c r="B1269" s="2001"/>
      <c r="C1269" s="1974"/>
      <c r="D1269" s="1974"/>
      <c r="E1269" s="1974"/>
      <c r="F1269" s="2001"/>
      <c r="G1269" s="2001"/>
      <c r="H1269" s="2001"/>
      <c r="I1269" s="2873" t="s">
        <v>4690</v>
      </c>
      <c r="J1269" s="2899">
        <f>'Part VIII Scoring Criteria'!J75</f>
        <v>2</v>
      </c>
      <c r="K1269" s="2899"/>
      <c r="L1269" s="2001"/>
      <c r="M1269" s="2899">
        <f>IF(AND(M1256+M1261&gt;0,M1265&gt;=$Y$73),$Y$75, IF(AND(M1256+M1261=0,M1265&gt;=$Y$73),$Y$76, IF(AND(M1256+M1261&gt;0,M1265&gt;=$W$73),$W$75,IF(AND(M1256+M1261=0,M1265&gt;=$W$73),$W$76, IF(AND(M1256+M1261&gt;0,M1265&gt;=$U$73),$U$75,IF(AND(M1256+M1261=0,M1265&gt;=$U$73),$U$76,0))))))</f>
        <v>0</v>
      </c>
      <c r="N1269" s="2899"/>
      <c r="O1269" s="2899">
        <f>IF(AND(O1256+O1261&gt;0,O1265&gt;=$Y$73),$Y$75, IF(AND(O1256+O1261=0,O1265&gt;=$Y$73),$Y$76, IF(AND(O1256+O1261&gt;0,O1265&gt;=$W$73),$W$75,IF(AND(O1256+O1261=0,O1265&gt;=$W$73),$W$76, IF(AND(O1256+O1261&gt;0,O1265&gt;=$U$73),$U$75,IF(AND(O1256+O1261=0,O1265&gt;=$U$73),$U$76,0))))))</f>
        <v>0</v>
      </c>
      <c r="P1269" s="2899"/>
      <c r="Q1269" s="2001"/>
      <c r="R1269" s="2901" t="s">
        <v>4831</v>
      </c>
      <c r="S1269" s="2001"/>
      <c r="T1269" s="2001"/>
      <c r="U1269" s="1974">
        <v>2</v>
      </c>
      <c r="V1269" s="1974"/>
      <c r="W1269" s="1974">
        <v>3</v>
      </c>
      <c r="X1269" s="1974"/>
      <c r="Y1269" s="1974">
        <v>4</v>
      </c>
      <c r="Z1269" s="1974"/>
      <c r="AA1269" s="2001"/>
      <c r="AB1269" s="2001"/>
      <c r="AC1269" s="2001"/>
      <c r="AD1269" s="2001"/>
      <c r="AE1269" s="2001"/>
      <c r="AF1269" s="2001"/>
    </row>
    <row r="1270" spans="1:32" ht="13.8">
      <c r="A1270" s="2001"/>
      <c r="B1270" s="2001"/>
      <c r="C1270" s="1974"/>
      <c r="D1270" s="1974"/>
      <c r="E1270" s="1974"/>
      <c r="F1270" s="2001"/>
      <c r="G1270" s="2001"/>
      <c r="H1270" s="2001"/>
      <c r="I1270" s="2873" t="s">
        <v>4129</v>
      </c>
      <c r="J1270" s="2905">
        <f>'Part VIII Scoring Criteria'!J76</f>
        <v>0</v>
      </c>
      <c r="K1270" s="2905"/>
      <c r="L1270" s="1973"/>
      <c r="M1270" s="2905">
        <f>IF(AND(M1256+M1261&gt;0,$M$74&gt;=$Y$74),$Y$75,IF(AND(M1256+M1261=0,$M$74&gt;=$Y$74),$Y$76,IF(AND(M1256+M1261&gt;0,$M$74&gt;=$W$74),$W$75,IF(AND(M1256+M1261=0,$M$74&gt;=$W$74),$W$76,IF(AND(M1256+M1261&gt;0,$M$74&gt;=$U$74),$U$75,IF(AND(M1256+M1261=0,$M$74&gt;=$U$74),$U$76,0))))))</f>
        <v>0</v>
      </c>
      <c r="N1270" s="2905"/>
      <c r="O1270" s="2905">
        <f t="shared" ref="O1270" si="446">IF(AND(O1256+O1261&gt;0,$J$73&gt;=$Y$74),$Y$75, IF(AND(O1256+O1261=0,$J$73&gt;=$Y$74),$Y$76, IF(AND(O1256+O1261&gt;0,$J$73&gt;=$W$74),$W$75,IF(AND(O1256+O1261=0,$J$73&gt;=$W$74),$W$76, IF(AND(O1256+O1261&gt;0,$J$73&gt;=$U$74),$U$75,IF(AND(O1256+O1261=0,$J$73&gt;=$U$74),$U$76,0))))))</f>
        <v>0</v>
      </c>
      <c r="P1270" s="2905"/>
      <c r="Q1270" s="2001"/>
      <c r="R1270" s="2901" t="s">
        <v>4832</v>
      </c>
      <c r="S1270" s="2001"/>
      <c r="T1270" s="2001"/>
      <c r="U1270" s="1974">
        <v>1</v>
      </c>
      <c r="V1270" s="1974"/>
      <c r="W1270" s="1974">
        <v>2</v>
      </c>
      <c r="X1270" s="1974"/>
      <c r="Y1270" s="1974">
        <v>3</v>
      </c>
      <c r="Z1270" s="1974"/>
      <c r="AA1270" s="2001"/>
      <c r="AB1270" s="2001"/>
      <c r="AC1270" s="2001"/>
      <c r="AD1270" s="2001"/>
      <c r="AE1270" s="2001"/>
      <c r="AF1270" s="2001"/>
    </row>
    <row r="1271" spans="1:32" ht="13.8">
      <c r="A1271" s="2001"/>
      <c r="B1271" s="2001"/>
      <c r="C1271" s="2001"/>
      <c r="D1271" s="2001"/>
      <c r="E1271" s="2001"/>
      <c r="F1271" s="2001"/>
      <c r="G1271" s="2001"/>
      <c r="H1271" s="2001"/>
      <c r="I1271" s="2001"/>
      <c r="J1271" s="2001"/>
      <c r="K1271" s="2001"/>
      <c r="L1271" s="2001"/>
      <c r="M1271" s="2001"/>
      <c r="N1271" s="2001"/>
      <c r="O1271" s="2009"/>
      <c r="P1271" s="2009"/>
      <c r="Q1271" s="2001"/>
      <c r="R1271" s="2001"/>
      <c r="S1271" s="2001"/>
      <c r="T1271" s="2001"/>
      <c r="U1271" s="2001"/>
      <c r="V1271" s="2001"/>
      <c r="W1271" s="2001"/>
      <c r="X1271" s="2001"/>
      <c r="Y1271" s="2001"/>
      <c r="Z1271" s="2001"/>
      <c r="AA1271" s="2001"/>
      <c r="AB1271" s="2001"/>
      <c r="AC1271" s="2001"/>
      <c r="AD1271" s="2001"/>
      <c r="AE1271" s="2001"/>
      <c r="AF1271" s="2001"/>
    </row>
    <row r="1272" spans="1:32" ht="13.8">
      <c r="A1272" s="2404" t="s">
        <v>1837</v>
      </c>
      <c r="B1272" s="1973" t="s">
        <v>4833</v>
      </c>
      <c r="C1272" s="2001"/>
      <c r="D1272" s="1974"/>
      <c r="E1272" s="2001"/>
      <c r="F1272" s="2906" t="s">
        <v>4837</v>
      </c>
      <c r="G1272" s="2001"/>
      <c r="H1272" s="2001"/>
      <c r="I1272" s="2001"/>
      <c r="J1272" s="2001"/>
      <c r="K1272" s="1974"/>
      <c r="L1272" s="2907" t="s">
        <v>4836</v>
      </c>
      <c r="M1272" s="1987">
        <v>1</v>
      </c>
      <c r="N1272" s="2402"/>
      <c r="O1272" s="2868">
        <f>'Part VIII Scoring Criteria'!O78</f>
        <v>0</v>
      </c>
      <c r="P1272" s="2868">
        <f>'Part VIII Scoring Criteria'!P78</f>
        <v>0</v>
      </c>
      <c r="Q1272" s="2876"/>
      <c r="R1272" s="2877"/>
      <c r="S1272" s="2001"/>
      <c r="T1272" s="2400"/>
      <c r="U1272" s="2400"/>
      <c r="V1272" s="2001"/>
      <c r="W1272" s="2001"/>
      <c r="X1272" s="2001"/>
      <c r="Y1272" s="2001"/>
      <c r="Z1272" s="2001"/>
      <c r="AA1272" s="2001"/>
      <c r="AB1272" s="2001"/>
      <c r="AC1272" s="2001"/>
      <c r="AD1272" s="2001"/>
      <c r="AE1272" s="2001"/>
      <c r="AF1272" s="2001"/>
    </row>
    <row r="1273" spans="1:32" ht="13.8">
      <c r="A1273" s="2404"/>
      <c r="B1273" s="2878" t="s">
        <v>1838</v>
      </c>
      <c r="C1273" s="2004" t="s">
        <v>4834</v>
      </c>
      <c r="D1273" s="1974"/>
      <c r="E1273" s="1974"/>
      <c r="F1273" s="2908" t="s">
        <v>4835</v>
      </c>
      <c r="G1273" s="1974"/>
      <c r="H1273" s="1974"/>
      <c r="I1273" s="2404"/>
      <c r="J1273" s="2004"/>
      <c r="K1273" s="2004"/>
      <c r="L1273" s="2875" t="str">
        <f>IF(OR($O1273=$M1273,$O1273=0,$O1273=""),"","* * Check Score! * *")</f>
        <v/>
      </c>
      <c r="M1273" s="2909">
        <v>0.5</v>
      </c>
      <c r="N1273" s="2402"/>
      <c r="O1273" s="2404">
        <f>'Part VIII Scoring Criteria'!O79</f>
        <v>0</v>
      </c>
      <c r="P1273" s="2868"/>
      <c r="Q1273" s="2877"/>
      <c r="R1273" s="1974"/>
      <c r="S1273" s="1974"/>
      <c r="T1273" s="1974"/>
      <c r="U1273" s="1974"/>
      <c r="V1273" s="2400"/>
      <c r="W1273" s="1974"/>
      <c r="X1273" s="1974"/>
      <c r="Y1273" s="1974"/>
      <c r="Z1273" s="1974"/>
      <c r="AA1273" s="1974"/>
      <c r="AB1273" s="1974"/>
      <c r="AC1273" s="1974"/>
      <c r="AD1273" s="1974"/>
      <c r="AE1273" s="1974"/>
      <c r="AF1273" s="1974"/>
    </row>
    <row r="1274" spans="1:32" ht="13.8">
      <c r="A1274" s="2404"/>
      <c r="B1274" s="2880" t="s">
        <v>1840</v>
      </c>
      <c r="C1274" s="2004" t="s">
        <v>3071</v>
      </c>
      <c r="D1274" s="1974"/>
      <c r="E1274" s="1974"/>
      <c r="F1274" s="2404"/>
      <c r="G1274" s="1974"/>
      <c r="H1274" s="1974"/>
      <c r="I1274" s="2404"/>
      <c r="J1274" s="2004"/>
      <c r="K1274" s="2004"/>
      <c r="L1274" s="2875" t="str">
        <f>IF(OR($O1274=$M1274,$O1274=0,$O1274=""),"","* * Check Score! * *")</f>
        <v/>
      </c>
      <c r="M1274" s="2909">
        <v>1</v>
      </c>
      <c r="N1274" s="2402"/>
      <c r="O1274" s="2000">
        <f>'Part VIII Scoring Criteria'!O80</f>
        <v>0</v>
      </c>
      <c r="P1274" s="2000">
        <f>'Part VIII Scoring Criteria'!P80</f>
        <v>0</v>
      </c>
      <c r="Q1274" s="2877"/>
      <c r="R1274" s="1974"/>
      <c r="S1274" s="1974"/>
      <c r="T1274" s="1974"/>
      <c r="U1274" s="1974"/>
      <c r="V1274" s="2400"/>
      <c r="W1274" s="1974"/>
      <c r="X1274" s="1974"/>
      <c r="Y1274" s="1974"/>
      <c r="Z1274" s="1974"/>
      <c r="AA1274" s="1974"/>
      <c r="AB1274" s="1974"/>
      <c r="AC1274" s="1974"/>
      <c r="AD1274" s="1974"/>
      <c r="AE1274" s="1974"/>
      <c r="AF1274" s="1974"/>
    </row>
    <row r="1275" spans="1:32" ht="13.8">
      <c r="A1275" s="2407"/>
      <c r="B1275" s="2910"/>
      <c r="C1275" s="2008" t="s">
        <v>4926</v>
      </c>
      <c r="D1275" s="2007"/>
      <c r="E1275" s="2007"/>
      <c r="F1275" s="2007"/>
      <c r="G1275" s="2007"/>
      <c r="H1275" s="2007"/>
      <c r="I1275" s="2007"/>
      <c r="J1275" s="2007"/>
      <c r="K1275" s="2007"/>
      <c r="L1275" s="2007"/>
      <c r="M1275" s="2007"/>
      <c r="N1275" s="2911"/>
      <c r="O1275" s="2404" t="str">
        <f>'Part VIII Scoring Criteria'!O81</f>
        <v>N/a</v>
      </c>
      <c r="P1275" s="2882"/>
      <c r="Q1275" s="2001"/>
      <c r="R1275" s="2001"/>
      <c r="S1275" s="2001"/>
      <c r="T1275" s="2001"/>
      <c r="U1275" s="2001"/>
      <c r="V1275" s="2400"/>
      <c r="W1275" s="2001"/>
      <c r="X1275" s="2001"/>
      <c r="Y1275" s="2001"/>
      <c r="Z1275" s="2001"/>
      <c r="AA1275" s="2001"/>
      <c r="AB1275" s="2001"/>
      <c r="AC1275" s="2001"/>
      <c r="AD1275" s="2001"/>
      <c r="AE1275" s="2001"/>
      <c r="AF1275" s="2001"/>
    </row>
    <row r="1276" spans="1:32" ht="13.8">
      <c r="A1276" s="2407"/>
      <c r="B1276" s="2910"/>
      <c r="C1276" s="1974" t="s">
        <v>4691</v>
      </c>
      <c r="D1276" s="1974"/>
      <c r="E1276" s="1974"/>
      <c r="F1276" s="1974"/>
      <c r="G1276" s="1974"/>
      <c r="H1276" s="1974"/>
      <c r="I1276" s="1974"/>
      <c r="J1276" s="1974"/>
      <c r="K1276" s="1974"/>
      <c r="L1276" s="2001"/>
      <c r="M1276" s="1974"/>
      <c r="N1276" s="2912"/>
      <c r="O1276" s="2404" t="str">
        <f>'Part VIII Scoring Criteria'!O82</f>
        <v>N/a</v>
      </c>
      <c r="P1276" s="2404"/>
      <c r="Q1276" s="2001"/>
      <c r="R1276" s="2001"/>
      <c r="S1276" s="2001"/>
      <c r="T1276" s="2001"/>
      <c r="U1276" s="2001"/>
      <c r="V1276" s="2400"/>
      <c r="W1276" s="2001"/>
      <c r="X1276" s="2001"/>
      <c r="Y1276" s="2001"/>
      <c r="Z1276" s="2001"/>
      <c r="AA1276" s="2001"/>
      <c r="AB1276" s="2001"/>
      <c r="AC1276" s="2001"/>
      <c r="AD1276" s="2001"/>
      <c r="AE1276" s="2001"/>
      <c r="AF1276" s="2001"/>
    </row>
    <row r="1277" spans="1:32" ht="14.4">
      <c r="A1277" s="1974"/>
      <c r="B1277" s="2869" t="s">
        <v>5173</v>
      </c>
      <c r="C1277" s="1974"/>
      <c r="D1277" s="1974"/>
      <c r="E1277" s="1974"/>
      <c r="F1277" s="1974"/>
      <c r="G1277" s="1974"/>
      <c r="H1277" s="1974"/>
      <c r="I1277" s="1974"/>
      <c r="J1277" s="1974"/>
      <c r="K1277" s="1974"/>
      <c r="L1277" s="2001"/>
      <c r="M1277" s="1987"/>
      <c r="N1277" s="1992"/>
      <c r="O1277" s="2000"/>
      <c r="P1277" s="2003"/>
      <c r="Q1277" s="2001"/>
      <c r="R1277" s="2001"/>
      <c r="S1277" s="2001"/>
      <c r="T1277" s="2001"/>
      <c r="U1277" s="2001"/>
      <c r="V1277" s="2001"/>
      <c r="W1277" s="2001"/>
      <c r="X1277" s="2001"/>
      <c r="Y1277" s="2001"/>
      <c r="Z1277" s="2001"/>
      <c r="AA1277" s="2001"/>
      <c r="AB1277" s="2001"/>
      <c r="AC1277" s="2001"/>
      <c r="AD1277" s="2001"/>
      <c r="AE1277" s="2001"/>
      <c r="AF1277" s="2001"/>
    </row>
    <row r="1278" spans="1:32" ht="13.8">
      <c r="A1278" s="2008" t="str">
        <f>'Part VIII Scoring Criteria'!A84</f>
        <v>Mercy loan is other federal funds number 12 - Capital Magnet Funds Program.</v>
      </c>
      <c r="B1278" s="2007"/>
      <c r="C1278" s="2007"/>
      <c r="D1278" s="2007"/>
      <c r="E1278" s="2007"/>
      <c r="F1278" s="2007"/>
      <c r="G1278" s="2007"/>
      <c r="H1278" s="2007"/>
      <c r="I1278" s="2007"/>
      <c r="J1278" s="2007"/>
      <c r="K1278" s="2007"/>
      <c r="L1278" s="2007"/>
      <c r="M1278" s="2007"/>
      <c r="N1278" s="2007"/>
      <c r="O1278" s="2007"/>
      <c r="P1278" s="2007"/>
      <c r="Q1278" s="1973"/>
      <c r="R1278" s="2001"/>
      <c r="S1278" s="2001"/>
      <c r="T1278" s="2001"/>
      <c r="U1278" s="2001"/>
      <c r="V1278" s="2001"/>
      <c r="W1278" s="2001"/>
      <c r="X1278" s="2001"/>
      <c r="Y1278" s="2001"/>
      <c r="Z1278" s="2001"/>
      <c r="AA1278" s="2001"/>
      <c r="AB1278" s="2001"/>
      <c r="AC1278" s="2001"/>
      <c r="AD1278" s="2001"/>
      <c r="AE1278" s="2001"/>
      <c r="AF1278" s="2001"/>
    </row>
    <row r="1279" spans="1:32" ht="14.4">
      <c r="A1279" s="1974"/>
      <c r="B1279" s="2869" t="s">
        <v>1724</v>
      </c>
      <c r="C1279" s="1974"/>
      <c r="D1279" s="2869"/>
      <c r="E1279" s="1974"/>
      <c r="F1279" s="1974"/>
      <c r="G1279" s="1974"/>
      <c r="H1279" s="1974"/>
      <c r="I1279" s="1974"/>
      <c r="J1279" s="1974"/>
      <c r="K1279" s="1974"/>
      <c r="L1279" s="1974"/>
      <c r="M1279" s="1974"/>
      <c r="N1279" s="1974"/>
      <c r="O1279" s="1973"/>
      <c r="P1279" s="1973"/>
      <c r="Q1279" s="2001"/>
      <c r="R1279" s="1974"/>
      <c r="S1279" s="1974"/>
      <c r="T1279" s="1974"/>
      <c r="U1279" s="1974"/>
      <c r="V1279" s="1974"/>
      <c r="W1279" s="1974"/>
      <c r="X1279" s="1974"/>
      <c r="Y1279" s="1974"/>
      <c r="Z1279" s="1974"/>
      <c r="AA1279" s="1974"/>
      <c r="AB1279" s="1974"/>
      <c r="AC1279" s="1974"/>
      <c r="AD1279" s="1974"/>
      <c r="AE1279" s="1974"/>
      <c r="AF1279" s="1974"/>
    </row>
    <row r="1280" spans="1:32" ht="13.8">
      <c r="A1280" s="2007"/>
      <c r="B1280" s="2007"/>
      <c r="C1280" s="2007"/>
      <c r="D1280" s="2007"/>
      <c r="E1280" s="2007"/>
      <c r="F1280" s="2007"/>
      <c r="G1280" s="2007"/>
      <c r="H1280" s="2007"/>
      <c r="I1280" s="2007"/>
      <c r="J1280" s="2007"/>
      <c r="K1280" s="2007"/>
      <c r="L1280" s="2007"/>
      <c r="M1280" s="2007"/>
      <c r="N1280" s="2007"/>
      <c r="O1280" s="2007"/>
      <c r="P1280" s="2007"/>
      <c r="Q1280" s="1973"/>
      <c r="R1280" s="2001"/>
      <c r="S1280" s="2001"/>
      <c r="T1280" s="2001"/>
      <c r="U1280" s="2001"/>
      <c r="V1280" s="2001"/>
      <c r="W1280" s="2001"/>
      <c r="X1280" s="2001"/>
      <c r="Y1280" s="2001"/>
      <c r="Z1280" s="2001"/>
      <c r="AA1280" s="2001"/>
      <c r="AB1280" s="2001"/>
      <c r="AC1280" s="2001"/>
      <c r="AD1280" s="2001"/>
      <c r="AE1280" s="2001"/>
      <c r="AF1280" s="2001"/>
    </row>
    <row r="1281" spans="1:32" ht="13.8">
      <c r="A1281" s="1974"/>
      <c r="B1281" s="1973"/>
      <c r="C1281" s="1974"/>
      <c r="D1281" s="1973"/>
      <c r="E1281" s="1974"/>
      <c r="F1281" s="1974"/>
      <c r="G1281" s="2871"/>
      <c r="H1281" s="2871"/>
      <c r="I1281" s="2871"/>
      <c r="J1281" s="2871"/>
      <c r="K1281" s="2871"/>
      <c r="L1281" s="2871"/>
      <c r="M1281" s="1974"/>
      <c r="N1281" s="2001"/>
      <c r="O1281" s="2888"/>
      <c r="P1281" s="1973"/>
      <c r="Q1281" s="2001"/>
      <c r="R1281" s="1974"/>
      <c r="S1281" s="1974"/>
      <c r="T1281" s="1974"/>
      <c r="U1281" s="1974"/>
      <c r="V1281" s="1974"/>
      <c r="W1281" s="1974"/>
      <c r="X1281" s="2409"/>
      <c r="Y1281" s="2409"/>
      <c r="Z1281" s="2409"/>
      <c r="AA1281" s="2409"/>
      <c r="AB1281" s="2409"/>
      <c r="AC1281" s="2409"/>
      <c r="AD1281" s="2409"/>
      <c r="AE1281" s="2409"/>
      <c r="AF1281" s="2409"/>
    </row>
    <row r="1282" spans="1:32" ht="13.8">
      <c r="A1282" s="2001"/>
      <c r="B1282" s="2001"/>
      <c r="C1282" s="2001"/>
      <c r="D1282" s="2001"/>
      <c r="E1282" s="2001"/>
      <c r="F1282" s="2001"/>
      <c r="G1282" s="2001"/>
      <c r="H1282" s="2001"/>
      <c r="I1282" s="2001"/>
      <c r="J1282" s="2001"/>
      <c r="K1282" s="2001"/>
      <c r="L1282" s="2001"/>
      <c r="M1282" s="2001"/>
      <c r="N1282" s="1992"/>
      <c r="O1282" s="2003"/>
      <c r="P1282" s="2003"/>
      <c r="Q1282" s="2001"/>
      <c r="R1282" s="2001"/>
      <c r="S1282" s="2001"/>
      <c r="T1282" s="2400"/>
      <c r="U1282" s="2400"/>
      <c r="V1282" s="2001"/>
      <c r="W1282" s="2001"/>
      <c r="X1282" s="2001"/>
      <c r="Y1282" s="2001"/>
      <c r="Z1282" s="2001"/>
      <c r="AA1282" s="2001"/>
      <c r="AB1282" s="2001"/>
      <c r="AC1282" s="2001"/>
      <c r="AD1282" s="2001"/>
      <c r="AE1282" s="2001"/>
      <c r="AF1282" s="2001"/>
    </row>
    <row r="1283" spans="1:32" ht="13.8">
      <c r="A1283" s="2913" t="s">
        <v>495</v>
      </c>
      <c r="B1283" s="2400" t="s">
        <v>3903</v>
      </c>
      <c r="C1283" s="1974"/>
      <c r="D1283" s="2400"/>
      <c r="E1283" s="2400"/>
      <c r="F1283" s="1974"/>
      <c r="G1283" s="1974"/>
      <c r="H1283" s="1974"/>
      <c r="I1283" s="1974"/>
      <c r="J1283" s="1974"/>
      <c r="K1283" s="2875"/>
      <c r="L1283" s="2873" t="s">
        <v>4865</v>
      </c>
      <c r="M1283" s="2404">
        <v>10</v>
      </c>
      <c r="N1283" s="1987"/>
      <c r="O1283" s="2000">
        <f>'Part VIII Scoring Criteria'!O89</f>
        <v>10</v>
      </c>
      <c r="P1283" s="2000">
        <f>'Part VIII Scoring Criteria'!P89</f>
        <v>10</v>
      </c>
      <c r="Q1283" s="2404" t="s">
        <v>415</v>
      </c>
      <c r="R1283" s="1974"/>
      <c r="S1283" s="1974"/>
      <c r="T1283" s="1974"/>
      <c r="U1283" s="1974"/>
      <c r="V1283" s="1974"/>
      <c r="W1283" s="1974"/>
      <c r="X1283" s="1974"/>
      <c r="Y1283" s="1974"/>
      <c r="Z1283" s="1974"/>
      <c r="AA1283" s="1974"/>
      <c r="AB1283" s="1974"/>
      <c r="AC1283" s="1974"/>
      <c r="AD1283" s="1974"/>
      <c r="AE1283" s="1974"/>
      <c r="AF1283" s="1974"/>
    </row>
    <row r="1284" spans="1:32" ht="13.8">
      <c r="A1284" s="2913"/>
      <c r="B1284" s="2400"/>
      <c r="C1284" s="1974"/>
      <c r="D1284" s="2400"/>
      <c r="E1284" s="2400"/>
      <c r="F1284" s="1974"/>
      <c r="G1284" s="1974"/>
      <c r="H1284" s="1974"/>
      <c r="I1284" s="1974"/>
      <c r="J1284" s="1974"/>
      <c r="K1284" s="1974"/>
      <c r="L1284" s="2875"/>
      <c r="M1284" s="2404"/>
      <c r="N1284" s="1987"/>
      <c r="O1284" s="1987"/>
      <c r="P1284" s="1987"/>
      <c r="Q1284" s="2404"/>
      <c r="R1284" s="1974"/>
      <c r="S1284" s="1974"/>
      <c r="T1284" s="1974"/>
      <c r="U1284" s="1974"/>
      <c r="V1284" s="1974"/>
      <c r="W1284" s="1974"/>
      <c r="X1284" s="1974"/>
      <c r="Y1284" s="1974"/>
      <c r="Z1284" s="1974"/>
      <c r="AA1284" s="1974"/>
      <c r="AB1284" s="1974"/>
      <c r="AC1284" s="1974"/>
      <c r="AD1284" s="1974"/>
      <c r="AE1284" s="1974"/>
      <c r="AF1284" s="1974"/>
    </row>
    <row r="1285" spans="1:32" ht="13.8">
      <c r="A1285" s="2913"/>
      <c r="B1285" s="1973" t="s">
        <v>3091</v>
      </c>
      <c r="C1285" s="1974"/>
      <c r="D1285" s="2400"/>
      <c r="E1285" s="2400"/>
      <c r="F1285" s="1974"/>
      <c r="G1285" s="1974"/>
      <c r="H1285" s="1974"/>
      <c r="I1285" s="1974"/>
      <c r="J1285" s="1974"/>
      <c r="K1285" s="1974"/>
      <c r="L1285" s="2875"/>
      <c r="M1285" s="2404"/>
      <c r="N1285" s="1987"/>
      <c r="O1285" s="2000">
        <v>10</v>
      </c>
      <c r="P1285" s="2000">
        <v>10</v>
      </c>
      <c r="Q1285" s="2404"/>
      <c r="R1285" s="1974"/>
      <c r="S1285" s="1974"/>
      <c r="T1285" s="1974"/>
      <c r="U1285" s="1974"/>
      <c r="V1285" s="1974"/>
      <c r="W1285" s="1974"/>
      <c r="X1285" s="1974"/>
      <c r="Y1285" s="1974"/>
      <c r="Z1285" s="1974"/>
      <c r="AA1285" s="1974"/>
      <c r="AB1285" s="1974"/>
      <c r="AC1285" s="1974"/>
      <c r="AD1285" s="1974"/>
      <c r="AE1285" s="1974"/>
      <c r="AF1285" s="1974"/>
    </row>
    <row r="1286" spans="1:32" ht="13.8">
      <c r="A1286" s="2404" t="s">
        <v>1835</v>
      </c>
      <c r="B1286" s="1973" t="s">
        <v>4726</v>
      </c>
      <c r="C1286" s="1974"/>
      <c r="D1286" s="2400"/>
      <c r="E1286" s="2400"/>
      <c r="F1286" s="1974"/>
      <c r="G1286" s="1974"/>
      <c r="H1286" s="1974"/>
      <c r="I1286" s="1974"/>
      <c r="J1286" s="1974"/>
      <c r="K1286" s="1974"/>
      <c r="L1286" s="2875"/>
      <c r="M1286" s="2404"/>
      <c r="N1286" s="1987"/>
      <c r="O1286" s="2000">
        <f>'Part VIII Scoring Criteria'!O92</f>
        <v>0</v>
      </c>
      <c r="P1286" s="2000">
        <f>'Part VIII Scoring Criteria'!P92</f>
        <v>0</v>
      </c>
      <c r="Q1286" s="2404"/>
      <c r="R1286" s="1974"/>
      <c r="S1286" s="1974"/>
      <c r="T1286" s="1974"/>
      <c r="U1286" s="1974"/>
      <c r="V1286" s="1974"/>
      <c r="W1286" s="1974"/>
      <c r="X1286" s="1974"/>
      <c r="Y1286" s="1974"/>
      <c r="Z1286" s="1974"/>
      <c r="AA1286" s="1974"/>
      <c r="AB1286" s="1974"/>
      <c r="AC1286" s="1974"/>
      <c r="AD1286" s="1974"/>
      <c r="AE1286" s="1974"/>
      <c r="AF1286" s="1974"/>
    </row>
    <row r="1287" spans="1:32" ht="13.8">
      <c r="A1287" s="2404"/>
      <c r="B1287" s="2878" t="s">
        <v>1838</v>
      </c>
      <c r="C1287" s="1974" t="s">
        <v>4907</v>
      </c>
      <c r="D1287" s="2400"/>
      <c r="E1287" s="2400"/>
      <c r="F1287" s="1974"/>
      <c r="G1287" s="1974"/>
      <c r="H1287" s="1974"/>
      <c r="I1287" s="1974"/>
      <c r="J1287" s="1974"/>
      <c r="K1287" s="1974"/>
      <c r="L1287" s="2875"/>
      <c r="M1287" s="2914"/>
      <c r="N1287" s="1987"/>
      <c r="O1287" s="2404">
        <f>'Part VIII Scoring Criteria'!O93</f>
        <v>0</v>
      </c>
      <c r="P1287" s="2000"/>
      <c r="Q1287" s="2404"/>
      <c r="R1287" s="1974"/>
      <c r="S1287" s="1974"/>
      <c r="T1287" s="1974"/>
      <c r="U1287" s="1974"/>
      <c r="V1287" s="1974"/>
      <c r="W1287" s="1974"/>
      <c r="X1287" s="1974"/>
      <c r="Y1287" s="1974"/>
      <c r="Z1287" s="1974"/>
      <c r="AA1287" s="1974"/>
      <c r="AB1287" s="1974"/>
      <c r="AC1287" s="1974"/>
      <c r="AD1287" s="1974"/>
      <c r="AE1287" s="1974"/>
      <c r="AF1287" s="1974"/>
    </row>
    <row r="1288" spans="1:32" ht="13.8">
      <c r="A1288" s="2404"/>
      <c r="B1288" s="2880" t="s">
        <v>1840</v>
      </c>
      <c r="C1288" s="1974" t="s">
        <v>4908</v>
      </c>
      <c r="D1288" s="2400"/>
      <c r="E1288" s="2400"/>
      <c r="F1288" s="1974"/>
      <c r="G1288" s="1974"/>
      <c r="H1288" s="1974"/>
      <c r="I1288" s="1974"/>
      <c r="J1288" s="1974"/>
      <c r="K1288" s="1974"/>
      <c r="L1288" s="2875"/>
      <c r="M1288" s="2914"/>
      <c r="N1288" s="1987"/>
      <c r="O1288" s="2404">
        <f>'Part VIII Scoring Criteria'!O94</f>
        <v>0</v>
      </c>
      <c r="P1288" s="2000"/>
      <c r="Q1288" s="2404"/>
      <c r="R1288" s="1974"/>
      <c r="S1288" s="1974"/>
      <c r="T1288" s="1974"/>
      <c r="U1288" s="1974"/>
      <c r="V1288" s="1974"/>
      <c r="W1288" s="1974"/>
      <c r="X1288" s="1974"/>
      <c r="Y1288" s="1974"/>
      <c r="Z1288" s="1974"/>
      <c r="AA1288" s="1974"/>
      <c r="AB1288" s="1974"/>
      <c r="AC1288" s="1974"/>
      <c r="AD1288" s="1974"/>
      <c r="AE1288" s="1974"/>
      <c r="AF1288" s="1974"/>
    </row>
    <row r="1289" spans="1:32" ht="13.8">
      <c r="A1289" s="2404" t="s">
        <v>1837</v>
      </c>
      <c r="B1289" s="1973" t="s">
        <v>4727</v>
      </c>
      <c r="C1289" s="1974"/>
      <c r="D1289" s="2400"/>
      <c r="E1289" s="2400"/>
      <c r="F1289" s="1974"/>
      <c r="G1289" s="1974"/>
      <c r="H1289" s="1974"/>
      <c r="I1289" s="1974"/>
      <c r="J1289" s="1974"/>
      <c r="K1289" s="1974"/>
      <c r="L1289" s="2875"/>
      <c r="M1289" s="2404"/>
      <c r="N1289" s="1987"/>
      <c r="O1289" s="2404">
        <f>'Part VIII Scoring Criteria'!O95</f>
        <v>0</v>
      </c>
      <c r="P1289" s="2000"/>
      <c r="Q1289" s="2404"/>
      <c r="R1289" s="1974"/>
      <c r="S1289" s="1974"/>
      <c r="T1289" s="1974"/>
      <c r="U1289" s="1974"/>
      <c r="V1289" s="1974"/>
      <c r="W1289" s="1974"/>
      <c r="X1289" s="1974"/>
      <c r="Y1289" s="1974"/>
      <c r="Z1289" s="1974"/>
      <c r="AA1289" s="1974"/>
      <c r="AB1289" s="1974"/>
      <c r="AC1289" s="1974"/>
      <c r="AD1289" s="1974"/>
      <c r="AE1289" s="1974"/>
      <c r="AF1289" s="1974"/>
    </row>
    <row r="1290" spans="1:32" ht="14.4">
      <c r="A1290" s="2869"/>
      <c r="B1290" s="2869" t="s">
        <v>1724</v>
      </c>
      <c r="C1290" s="1974"/>
      <c r="D1290" s="2869"/>
      <c r="E1290" s="2004"/>
      <c r="F1290" s="2004"/>
      <c r="G1290" s="2004"/>
      <c r="H1290" s="2004"/>
      <c r="I1290" s="2004"/>
      <c r="J1290" s="1974" t="s">
        <v>5000</v>
      </c>
      <c r="K1290" s="2004"/>
      <c r="L1290" s="2004"/>
      <c r="M1290" s="2004"/>
      <c r="N1290" s="1987"/>
      <c r="O1290" s="2404"/>
      <c r="P1290" s="2404"/>
      <c r="Q1290" s="1974"/>
      <c r="R1290" s="1974"/>
      <c r="S1290" s="1974"/>
      <c r="T1290" s="1974"/>
      <c r="U1290" s="1974"/>
      <c r="V1290" s="1974"/>
      <c r="W1290" s="1974"/>
      <c r="X1290" s="1974"/>
      <c r="Y1290" s="1974"/>
      <c r="Z1290" s="1974"/>
      <c r="AA1290" s="1974"/>
      <c r="AB1290" s="1974"/>
      <c r="AC1290" s="1974"/>
      <c r="AD1290" s="1974"/>
      <c r="AE1290" s="1974"/>
      <c r="AF1290" s="1974"/>
    </row>
    <row r="1291" spans="1:32" ht="13.8">
      <c r="A1291" s="2007"/>
      <c r="B1291" s="2007"/>
      <c r="C1291" s="2007"/>
      <c r="D1291" s="2007"/>
      <c r="E1291" s="2007"/>
      <c r="F1291" s="2007"/>
      <c r="G1291" s="2007"/>
      <c r="H1291" s="2007"/>
      <c r="I1291" s="2007"/>
      <c r="J1291" s="2007"/>
      <c r="K1291" s="2007"/>
      <c r="L1291" s="2007"/>
      <c r="M1291" s="2007"/>
      <c r="N1291" s="2007"/>
      <c r="O1291" s="2007"/>
      <c r="P1291" s="2007"/>
      <c r="Q1291" s="1973"/>
      <c r="R1291" s="1973"/>
      <c r="S1291" s="2001"/>
      <c r="T1291" s="2001"/>
      <c r="U1291" s="2001"/>
      <c r="V1291" s="2001"/>
      <c r="W1291" s="2001"/>
      <c r="X1291" s="2001"/>
      <c r="Y1291" s="2001"/>
      <c r="Z1291" s="2001"/>
      <c r="AA1291" s="2001"/>
      <c r="AB1291" s="2001"/>
      <c r="AC1291" s="2001"/>
      <c r="AD1291" s="2001"/>
      <c r="AE1291" s="2001"/>
      <c r="AF1291" s="2001"/>
    </row>
    <row r="1292" spans="1:32" ht="13.8">
      <c r="A1292" s="1974"/>
      <c r="B1292" s="1973"/>
      <c r="C1292" s="1974"/>
      <c r="D1292" s="1973"/>
      <c r="E1292" s="1974"/>
      <c r="F1292" s="1974"/>
      <c r="G1292" s="2871"/>
      <c r="H1292" s="2871"/>
      <c r="I1292" s="2871"/>
      <c r="J1292" s="2871"/>
      <c r="K1292" s="2871"/>
      <c r="L1292" s="2871"/>
      <c r="M1292" s="1974"/>
      <c r="N1292" s="2001"/>
      <c r="O1292" s="2888"/>
      <c r="P1292" s="1973"/>
      <c r="Q1292" s="2001"/>
      <c r="R1292" s="1974"/>
      <c r="S1292" s="1974"/>
      <c r="T1292" s="1974"/>
      <c r="U1292" s="1974"/>
      <c r="V1292" s="1974"/>
      <c r="W1292" s="1974"/>
      <c r="X1292" s="2409"/>
      <c r="Y1292" s="2409"/>
      <c r="Z1292" s="2409"/>
      <c r="AA1292" s="2409"/>
      <c r="AB1292" s="2409"/>
      <c r="AC1292" s="2409"/>
      <c r="AD1292" s="2409"/>
      <c r="AE1292" s="2409"/>
      <c r="AF1292" s="2409"/>
    </row>
    <row r="1293" spans="1:32" ht="13.8">
      <c r="A1293" s="2001"/>
      <c r="B1293" s="2001"/>
      <c r="C1293" s="2001"/>
      <c r="D1293" s="2001"/>
      <c r="E1293" s="2001"/>
      <c r="F1293" s="2001"/>
      <c r="G1293" s="2001"/>
      <c r="H1293" s="2001"/>
      <c r="I1293" s="2001"/>
      <c r="J1293" s="2001"/>
      <c r="K1293" s="2001"/>
      <c r="L1293" s="2001"/>
      <c r="M1293" s="2001"/>
      <c r="N1293" s="1992"/>
      <c r="O1293" s="2003"/>
      <c r="P1293" s="2003"/>
      <c r="Q1293" s="2001"/>
      <c r="R1293" s="2001"/>
      <c r="S1293" s="2001"/>
      <c r="T1293" s="2400"/>
      <c r="U1293" s="2400"/>
      <c r="V1293" s="2001"/>
      <c r="W1293" s="2001"/>
      <c r="X1293" s="2001"/>
      <c r="Y1293" s="2001"/>
      <c r="Z1293" s="2001"/>
      <c r="AA1293" s="2001"/>
      <c r="AB1293" s="2001"/>
      <c r="AC1293" s="2001"/>
      <c r="AD1293" s="2001"/>
      <c r="AE1293" s="2001"/>
      <c r="AF1293" s="2001"/>
    </row>
    <row r="1294" spans="1:32" ht="13.8">
      <c r="A1294" s="2913" t="s">
        <v>719</v>
      </c>
      <c r="B1294" s="2400" t="s">
        <v>4493</v>
      </c>
      <c r="C1294" s="2008"/>
      <c r="D1294" s="2008"/>
      <c r="E1294" s="2008"/>
      <c r="F1294" s="2008"/>
      <c r="G1294" s="2915" t="s">
        <v>4842</v>
      </c>
      <c r="H1294" s="2008"/>
      <c r="I1294" s="2001"/>
      <c r="J1294" s="2001"/>
      <c r="K1294" s="2008"/>
      <c r="L1294" s="2873" t="s">
        <v>4865</v>
      </c>
      <c r="M1294" s="2404">
        <v>5</v>
      </c>
      <c r="N1294" s="2006"/>
      <c r="O1294" s="2000">
        <f>'Part VIII Scoring Criteria'!O100</f>
        <v>5</v>
      </c>
      <c r="P1294" s="2000">
        <f>'Part VIII Scoring Criteria'!P100</f>
        <v>2</v>
      </c>
      <c r="Q1294" s="2404" t="s">
        <v>415</v>
      </c>
      <c r="R1294" s="2877"/>
      <c r="S1294" s="2001"/>
      <c r="T1294" s="2001"/>
      <c r="U1294" s="2001"/>
      <c r="V1294" s="2001"/>
      <c r="W1294" s="2001"/>
      <c r="X1294" s="2001"/>
      <c r="Y1294" s="2001"/>
      <c r="Z1294" s="2001"/>
      <c r="AA1294" s="2001"/>
      <c r="AB1294" s="2001"/>
      <c r="AC1294" s="2001"/>
      <c r="AD1294" s="2001"/>
      <c r="AE1294" s="2001"/>
      <c r="AF1294" s="2001"/>
    </row>
    <row r="1295" spans="1:32" ht="13.8">
      <c r="A1295" s="2404" t="s">
        <v>1835</v>
      </c>
      <c r="B1295" s="1973" t="s">
        <v>4839</v>
      </c>
      <c r="C1295" s="1974"/>
      <c r="D1295" s="1974"/>
      <c r="E1295" s="1973"/>
      <c r="F1295" s="1974"/>
      <c r="G1295" s="2906"/>
      <c r="H1295" s="1974"/>
      <c r="I1295" s="1974"/>
      <c r="J1295" s="1974"/>
      <c r="K1295" s="1987"/>
      <c r="L1295" s="2402"/>
      <c r="M1295" s="1987">
        <v>3</v>
      </c>
      <c r="N1295" s="2402"/>
      <c r="O1295" s="2000">
        <f>IF(AND(O1297&gt;0,O1298&gt;0),"1or2?",MIN($M1295,SUM(O1297,O1298)))</f>
        <v>3</v>
      </c>
      <c r="P1295" s="2000">
        <f>IF(AND(P1297&gt;0,P1298&gt;0),"1or2?",MIN($M1295,SUM(P1297,P1298)))</f>
        <v>0</v>
      </c>
      <c r="Q1295" s="2876"/>
      <c r="R1295" s="2877"/>
      <c r="S1295" s="2001"/>
      <c r="T1295" s="2001"/>
      <c r="U1295" s="2001"/>
      <c r="V1295" s="2001"/>
      <c r="W1295" s="2001"/>
      <c r="X1295" s="2001"/>
      <c r="Y1295" s="2001"/>
      <c r="Z1295" s="2001"/>
      <c r="AA1295" s="2001"/>
      <c r="AB1295" s="2001"/>
      <c r="AC1295" s="2001"/>
      <c r="AD1295" s="2001"/>
      <c r="AE1295" s="2001"/>
      <c r="AF1295" s="2001"/>
    </row>
    <row r="1296" spans="1:32" ht="15" customHeight="1">
      <c r="A1296" s="2404"/>
      <c r="B1296" s="1974" t="s">
        <v>4975</v>
      </c>
      <c r="C1296" s="1974"/>
      <c r="D1296" s="1974"/>
      <c r="E1296" s="1974"/>
      <c r="F1296" s="1974"/>
      <c r="G1296" s="1974"/>
      <c r="H1296" s="1974"/>
      <c r="I1296" s="1974"/>
      <c r="J1296" s="1974"/>
      <c r="K1296" s="1974"/>
      <c r="L1296" s="1974"/>
      <c r="M1296" s="1987"/>
      <c r="N1296" s="1987"/>
      <c r="O1296" s="1987"/>
      <c r="P1296" s="1987"/>
      <c r="Q1296" s="2876"/>
      <c r="R1296" s="2877"/>
      <c r="S1296" s="2001"/>
      <c r="T1296" s="2001"/>
      <c r="U1296" s="2001"/>
      <c r="V1296" s="2001"/>
      <c r="W1296" s="2001"/>
      <c r="X1296" s="2001"/>
      <c r="Y1296" s="2001"/>
      <c r="Z1296" s="2001"/>
      <c r="AA1296" s="2001"/>
      <c r="AB1296" s="2001"/>
      <c r="AC1296" s="2001"/>
      <c r="AD1296" s="2001"/>
      <c r="AE1296" s="2001"/>
      <c r="AF1296" s="2001"/>
    </row>
    <row r="1297" spans="1:32" ht="13.8">
      <c r="A1297" s="2404"/>
      <c r="B1297" s="2916" t="s">
        <v>1838</v>
      </c>
      <c r="C1297" s="1974" t="s">
        <v>4840</v>
      </c>
      <c r="D1297" s="1974"/>
      <c r="E1297" s="1974"/>
      <c r="F1297" s="1974"/>
      <c r="G1297" s="1974"/>
      <c r="H1297" s="1974"/>
      <c r="I1297" s="1974"/>
      <c r="J1297" s="2917" t="s">
        <v>4663</v>
      </c>
      <c r="K1297" s="2917"/>
      <c r="L1297" s="1974"/>
      <c r="M1297" s="2909">
        <v>2</v>
      </c>
      <c r="N1297" s="2914"/>
      <c r="O1297" s="2404">
        <f>'Part VIII Scoring Criteria'!O103</f>
        <v>0</v>
      </c>
      <c r="P1297" s="2000"/>
      <c r="Q1297" s="2876" t="str">
        <f>IF(OR($O1297=$M1297,$O1297=0,$O1297=""),"","*CHECK!*")</f>
        <v/>
      </c>
      <c r="R1297" s="2877"/>
      <c r="S1297" s="2007"/>
      <c r="T1297" s="2007"/>
      <c r="U1297" s="2007"/>
      <c r="V1297" s="2007"/>
      <c r="W1297" s="2007"/>
      <c r="X1297" s="2007"/>
      <c r="Y1297" s="2007"/>
      <c r="Z1297" s="2007"/>
      <c r="AA1297" s="2007"/>
      <c r="AB1297" s="2007"/>
      <c r="AC1297" s="2007"/>
      <c r="AD1297" s="2007"/>
      <c r="AE1297" s="2007"/>
      <c r="AF1297" s="2007"/>
    </row>
    <row r="1298" spans="1:32" ht="13.8">
      <c r="A1298" s="2404"/>
      <c r="B1298" s="2880" t="s">
        <v>1840</v>
      </c>
      <c r="C1298" s="1974" t="s">
        <v>4841</v>
      </c>
      <c r="D1298" s="1974"/>
      <c r="E1298" s="1974"/>
      <c r="F1298" s="1974"/>
      <c r="G1298" s="1974"/>
      <c r="H1298" s="1974"/>
      <c r="I1298" s="2007"/>
      <c r="J1298" s="2918" t="s">
        <v>4664</v>
      </c>
      <c r="K1298" s="2919" t="s">
        <v>4986</v>
      </c>
      <c r="L1298" s="2920"/>
      <c r="M1298" s="2909">
        <v>3</v>
      </c>
      <c r="N1298" s="2914"/>
      <c r="O1298" s="2404">
        <f>'Part VIII Scoring Criteria'!O104</f>
        <v>3</v>
      </c>
      <c r="P1298" s="2000"/>
      <c r="Q1298" s="2876" t="str">
        <f>IF(OR($O1298=$M1298,$O1298=0,$O1298=""),"","*CHECK!*")</f>
        <v/>
      </c>
      <c r="R1298" s="2877"/>
      <c r="S1298" s="2007"/>
      <c r="T1298" s="2007"/>
      <c r="U1298" s="2007"/>
      <c r="V1298" s="2007"/>
      <c r="W1298" s="2007"/>
      <c r="X1298" s="2007"/>
      <c r="Y1298" s="2007"/>
      <c r="Z1298" s="2007"/>
      <c r="AA1298" s="2007"/>
      <c r="AB1298" s="2007"/>
      <c r="AC1298" s="2007"/>
      <c r="AD1298" s="2007"/>
      <c r="AE1298" s="2007"/>
      <c r="AF1298" s="2007"/>
    </row>
    <row r="1299" spans="1:32" ht="13.8">
      <c r="A1299" s="2001"/>
      <c r="B1299" s="2001"/>
      <c r="C1299" s="2001" t="s">
        <v>4974</v>
      </c>
      <c r="D1299" s="2001"/>
      <c r="E1299" s="2001"/>
      <c r="F1299" s="2001"/>
      <c r="G1299" s="2001"/>
      <c r="H1299" s="2873"/>
      <c r="I1299" s="2001"/>
      <c r="J1299" s="2003">
        <f>'Part VIII Scoring Criteria'!J105</f>
        <v>16</v>
      </c>
      <c r="K1299" s="2921">
        <v>0.1</v>
      </c>
      <c r="L1299" s="2001"/>
      <c r="M1299" s="2001"/>
      <c r="N1299" s="2873" t="s">
        <v>5046</v>
      </c>
      <c r="O1299" s="2404">
        <f>'Part VIII Scoring Criteria'!O105</f>
        <v>0</v>
      </c>
      <c r="P1299" s="2000"/>
      <c r="Q1299" s="2001"/>
      <c r="R1299" s="2001"/>
      <c r="S1299" s="2001"/>
      <c r="T1299" s="2400"/>
      <c r="U1299" s="2400"/>
      <c r="V1299" s="2001"/>
      <c r="W1299" s="2001"/>
      <c r="X1299" s="2001"/>
      <c r="Y1299" s="2001"/>
      <c r="Z1299" s="2001"/>
      <c r="AA1299" s="2001"/>
      <c r="AB1299" s="2001"/>
      <c r="AC1299" s="2001"/>
      <c r="AD1299" s="2001"/>
      <c r="AE1299" s="2001"/>
      <c r="AF1299" s="2001"/>
    </row>
    <row r="1300" spans="1:32" ht="15" customHeight="1">
      <c r="A1300" s="2001"/>
      <c r="B1300" s="2001"/>
      <c r="C1300" s="1974" t="s">
        <v>5174</v>
      </c>
      <c r="D1300" s="1974"/>
      <c r="E1300" s="1974"/>
      <c r="F1300" s="1974"/>
      <c r="G1300" s="1974"/>
      <c r="H1300" s="1974"/>
      <c r="I1300" s="1974"/>
      <c r="J1300" s="1974"/>
      <c r="K1300" s="1974"/>
      <c r="L1300" s="1974"/>
      <c r="M1300" s="2001"/>
      <c r="N1300" s="1992"/>
      <c r="O1300" s="2404">
        <f>'Part VIII Scoring Criteria'!O106</f>
        <v>0</v>
      </c>
      <c r="P1300" s="2882"/>
      <c r="Q1300" s="2001"/>
      <c r="R1300" s="2001"/>
      <c r="S1300" s="2001"/>
      <c r="T1300" s="2400"/>
      <c r="U1300" s="2400"/>
      <c r="V1300" s="2001"/>
      <c r="W1300" s="2001"/>
      <c r="X1300" s="2001"/>
      <c r="Y1300" s="2001"/>
      <c r="Z1300" s="2001"/>
      <c r="AA1300" s="2001"/>
      <c r="AB1300" s="2001"/>
      <c r="AC1300" s="2001"/>
      <c r="AD1300" s="2001"/>
      <c r="AE1300" s="2001"/>
      <c r="AF1300" s="2001"/>
    </row>
    <row r="1301" spans="1:32" ht="13.8">
      <c r="A1301" s="2404" t="s">
        <v>1837</v>
      </c>
      <c r="B1301" s="1973" t="s">
        <v>4130</v>
      </c>
      <c r="C1301" s="1974"/>
      <c r="D1301" s="1974"/>
      <c r="E1301" s="1974"/>
      <c r="F1301" s="1974"/>
      <c r="G1301" s="1974"/>
      <c r="H1301" s="1974"/>
      <c r="I1301" s="1974"/>
      <c r="J1301" s="1974"/>
      <c r="K1301" s="1974"/>
      <c r="L1301" s="1974"/>
      <c r="M1301" s="1987">
        <v>1</v>
      </c>
      <c r="N1301" s="2402"/>
      <c r="O1301" s="2404">
        <f>'Part VIII Scoring Criteria'!O107</f>
        <v>0</v>
      </c>
      <c r="P1301" s="2000"/>
      <c r="Q1301" s="2876" t="str">
        <f>IF(OR($O1301=$M1301,$O1301=0,$O1301=""),"","*CHECK!*")</f>
        <v/>
      </c>
      <c r="R1301" s="2877"/>
      <c r="S1301" s="2001"/>
      <c r="T1301" s="2001"/>
      <c r="U1301" s="2001"/>
      <c r="V1301" s="2001"/>
      <c r="W1301" s="2001"/>
      <c r="X1301" s="2001"/>
      <c r="Y1301" s="2001"/>
      <c r="Z1301" s="2001"/>
      <c r="AA1301" s="2001"/>
      <c r="AB1301" s="2001"/>
      <c r="AC1301" s="2001"/>
      <c r="AD1301" s="2001"/>
      <c r="AE1301" s="2001"/>
      <c r="AF1301" s="2001"/>
    </row>
    <row r="1302" spans="1:32" ht="13.8">
      <c r="A1302" s="2404" t="s">
        <v>697</v>
      </c>
      <c r="B1302" s="1973" t="s">
        <v>4838</v>
      </c>
      <c r="C1302" s="1974"/>
      <c r="D1302" s="1974"/>
      <c r="E1302" s="1974"/>
      <c r="F1302" s="1974"/>
      <c r="G1302" s="2900" t="s">
        <v>4843</v>
      </c>
      <c r="H1302" s="1974"/>
      <c r="I1302" s="1974"/>
      <c r="J1302" s="1974"/>
      <c r="K1302" s="1974"/>
      <c r="L1302" s="1974"/>
      <c r="M1302" s="1987">
        <v>2</v>
      </c>
      <c r="N1302" s="2402"/>
      <c r="O1302" s="2000">
        <f>O1303-O1304</f>
        <v>2</v>
      </c>
      <c r="P1302" s="2000">
        <f>P1303-P1304</f>
        <v>2</v>
      </c>
      <c r="Q1302" s="2876" t="str">
        <f>IF(OR($O1302=$M1302,$O1302=0,$O1302=""),"","*CHECK!*")</f>
        <v/>
      </c>
      <c r="R1302" s="1974"/>
      <c r="S1302" s="1974"/>
      <c r="T1302" s="1974"/>
      <c r="U1302" s="1974"/>
      <c r="V1302" s="1974"/>
      <c r="W1302" s="1974"/>
      <c r="X1302" s="1974"/>
      <c r="Y1302" s="1974"/>
      <c r="Z1302" s="1974"/>
      <c r="AA1302" s="1974"/>
      <c r="AB1302" s="1974"/>
      <c r="AC1302" s="1974"/>
      <c r="AD1302" s="1974"/>
      <c r="AE1302" s="1974"/>
      <c r="AF1302" s="1974"/>
    </row>
    <row r="1303" spans="1:32" ht="13.8">
      <c r="A1303" s="2913"/>
      <c r="B1303" s="1974"/>
      <c r="C1303" s="1973" t="s">
        <v>3091</v>
      </c>
      <c r="D1303" s="2400"/>
      <c r="E1303" s="2400"/>
      <c r="F1303" s="1974"/>
      <c r="G1303" s="1974"/>
      <c r="H1303" s="1974"/>
      <c r="I1303" s="1974"/>
      <c r="J1303" s="1974"/>
      <c r="K1303" s="1974"/>
      <c r="L1303" s="2875"/>
      <c r="M1303" s="2404"/>
      <c r="N1303" s="1987"/>
      <c r="O1303" s="2000">
        <v>2</v>
      </c>
      <c r="P1303" s="2000">
        <v>2</v>
      </c>
      <c r="Q1303" s="2404"/>
      <c r="R1303" s="1974"/>
      <c r="S1303" s="1974"/>
      <c r="T1303" s="1974"/>
      <c r="U1303" s="1974"/>
      <c r="V1303" s="1974"/>
      <c r="W1303" s="1974"/>
      <c r="X1303" s="1974"/>
      <c r="Y1303" s="1974"/>
      <c r="Z1303" s="1974"/>
      <c r="AA1303" s="1974"/>
      <c r="AB1303" s="1974"/>
      <c r="AC1303" s="1974"/>
      <c r="AD1303" s="1974"/>
      <c r="AE1303" s="1974"/>
      <c r="AF1303" s="1974"/>
    </row>
    <row r="1304" spans="1:32" ht="13.8">
      <c r="A1304" s="2913"/>
      <c r="B1304" s="1974"/>
      <c r="C1304" s="1973" t="s">
        <v>3092</v>
      </c>
      <c r="D1304" s="2400"/>
      <c r="E1304" s="2400"/>
      <c r="F1304" s="1974"/>
      <c r="G1304" s="1974"/>
      <c r="H1304" s="1974"/>
      <c r="I1304" s="1974"/>
      <c r="J1304" s="1974"/>
      <c r="K1304" s="1974"/>
      <c r="L1304" s="2875"/>
      <c r="M1304" s="2404"/>
      <c r="N1304" s="1987"/>
      <c r="O1304" s="2404">
        <f>'Part VIII Scoring Criteria'!O110</f>
        <v>0</v>
      </c>
      <c r="P1304" s="2000"/>
      <c r="Q1304" s="2404"/>
      <c r="R1304" s="2877"/>
      <c r="S1304" s="1974"/>
      <c r="T1304" s="1974"/>
      <c r="U1304" s="1974"/>
      <c r="V1304" s="1974"/>
      <c r="W1304" s="1974"/>
      <c r="X1304" s="1974"/>
      <c r="Y1304" s="1974"/>
      <c r="Z1304" s="1974"/>
      <c r="AA1304" s="1974"/>
      <c r="AB1304" s="1974"/>
      <c r="AC1304" s="1974"/>
      <c r="AD1304" s="1974"/>
      <c r="AE1304" s="1974"/>
      <c r="AF1304" s="1974"/>
    </row>
    <row r="1305" spans="1:32" ht="14.4">
      <c r="A1305" s="1974"/>
      <c r="B1305" s="2869" t="s">
        <v>5173</v>
      </c>
      <c r="C1305" s="1974"/>
      <c r="D1305" s="1974"/>
      <c r="E1305" s="1974"/>
      <c r="F1305" s="1974"/>
      <c r="G1305" s="1974"/>
      <c r="H1305" s="1974"/>
      <c r="I1305" s="1974"/>
      <c r="J1305" s="1974"/>
      <c r="K1305" s="1974"/>
      <c r="L1305" s="2001"/>
      <c r="M1305" s="1987"/>
      <c r="N1305" s="1992"/>
      <c r="O1305" s="2000"/>
      <c r="P1305" s="2000"/>
      <c r="Q1305" s="2001"/>
      <c r="R1305" s="2001"/>
      <c r="S1305" s="2001"/>
      <c r="T1305" s="2001"/>
      <c r="U1305" s="2001"/>
      <c r="V1305" s="2001"/>
      <c r="W1305" s="2001"/>
      <c r="X1305" s="2001"/>
      <c r="Y1305" s="2001"/>
      <c r="Z1305" s="2001"/>
      <c r="AA1305" s="2001"/>
      <c r="AB1305" s="2001"/>
      <c r="AC1305" s="2001"/>
      <c r="AD1305" s="2001"/>
      <c r="AE1305" s="2001"/>
      <c r="AF1305" s="2001"/>
    </row>
    <row r="1306" spans="1:32" ht="13.8">
      <c r="A1306" s="2008" t="str">
        <f>'Part VIII Scoring Criteria'!A112</f>
        <v>Applicant commits to meeting these requirements and accepting referals through its PBRA contract with DeKalb County Housing Authority located in folder 07IntegSuppHsg.</v>
      </c>
      <c r="B1306" s="2007"/>
      <c r="C1306" s="2007"/>
      <c r="D1306" s="2007"/>
      <c r="E1306" s="2007"/>
      <c r="F1306" s="2007"/>
      <c r="G1306" s="2007"/>
      <c r="H1306" s="2007"/>
      <c r="I1306" s="2007"/>
      <c r="J1306" s="2007"/>
      <c r="K1306" s="2007"/>
      <c r="L1306" s="2007"/>
      <c r="M1306" s="2007"/>
      <c r="N1306" s="2007"/>
      <c r="O1306" s="2007"/>
      <c r="P1306" s="2007"/>
      <c r="Q1306" s="1973"/>
      <c r="R1306" s="1973"/>
      <c r="S1306" s="2001"/>
      <c r="T1306" s="2001"/>
      <c r="U1306" s="2001"/>
      <c r="V1306" s="2001"/>
      <c r="W1306" s="2001"/>
      <c r="X1306" s="2001"/>
      <c r="Y1306" s="2001"/>
      <c r="Z1306" s="2001"/>
      <c r="AA1306" s="2001"/>
      <c r="AB1306" s="2001"/>
      <c r="AC1306" s="2001"/>
      <c r="AD1306" s="2001"/>
      <c r="AE1306" s="2001"/>
      <c r="AF1306" s="2001"/>
    </row>
    <row r="1307" spans="1:32" ht="14.4">
      <c r="A1307" s="2001"/>
      <c r="B1307" s="2887" t="s">
        <v>1724</v>
      </c>
      <c r="C1307" s="1974"/>
      <c r="D1307" s="2887"/>
      <c r="E1307" s="2007"/>
      <c r="F1307" s="2007"/>
      <c r="G1307" s="2007"/>
      <c r="H1307" s="2007"/>
      <c r="I1307" s="2007"/>
      <c r="J1307" s="2007"/>
      <c r="K1307" s="2007"/>
      <c r="L1307" s="2007"/>
      <c r="M1307" s="2007"/>
      <c r="N1307" s="2007"/>
      <c r="O1307" s="2863"/>
      <c r="P1307" s="1973"/>
      <c r="Q1307" s="2001"/>
      <c r="R1307" s="2001"/>
      <c r="S1307" s="2001"/>
      <c r="T1307" s="2001"/>
      <c r="U1307" s="2001"/>
      <c r="V1307" s="2001"/>
      <c r="W1307" s="2001"/>
      <c r="X1307" s="2001"/>
      <c r="Y1307" s="2001"/>
      <c r="Z1307" s="2001"/>
      <c r="AA1307" s="2001"/>
      <c r="AB1307" s="2001"/>
      <c r="AC1307" s="2001"/>
      <c r="AD1307" s="2001"/>
      <c r="AE1307" s="2001"/>
      <c r="AF1307" s="2001"/>
    </row>
    <row r="1308" spans="1:32" ht="13.8">
      <c r="A1308" s="2007"/>
      <c r="B1308" s="2007"/>
      <c r="C1308" s="2007"/>
      <c r="D1308" s="2007"/>
      <c r="E1308" s="2007"/>
      <c r="F1308" s="2007"/>
      <c r="G1308" s="2007"/>
      <c r="H1308" s="2007"/>
      <c r="I1308" s="2007"/>
      <c r="J1308" s="2007"/>
      <c r="K1308" s="2007"/>
      <c r="L1308" s="2007"/>
      <c r="M1308" s="2007"/>
      <c r="N1308" s="2007"/>
      <c r="O1308" s="2007"/>
      <c r="P1308" s="2007"/>
      <c r="Q1308" s="1973"/>
      <c r="R1308" s="2001"/>
      <c r="S1308" s="2001"/>
      <c r="T1308" s="2001"/>
      <c r="U1308" s="2001"/>
      <c r="V1308" s="2001"/>
      <c r="W1308" s="2001"/>
      <c r="X1308" s="2001"/>
      <c r="Y1308" s="2001"/>
      <c r="Z1308" s="2001"/>
      <c r="AA1308" s="2001"/>
      <c r="AB1308" s="2001"/>
      <c r="AC1308" s="2001"/>
      <c r="AD1308" s="2001"/>
      <c r="AE1308" s="2001"/>
      <c r="AF1308" s="2001"/>
    </row>
    <row r="1309" spans="1:32" ht="13.8">
      <c r="A1309" s="2399"/>
      <c r="B1309" s="1974"/>
      <c r="C1309" s="2007"/>
      <c r="D1309" s="2007"/>
      <c r="E1309" s="2007"/>
      <c r="F1309" s="2007"/>
      <c r="G1309" s="2007"/>
      <c r="H1309" s="2007"/>
      <c r="I1309" s="2007"/>
      <c r="J1309" s="2007"/>
      <c r="K1309" s="2007"/>
      <c r="L1309" s="2007"/>
      <c r="M1309" s="2007"/>
      <c r="N1309" s="2007"/>
      <c r="O1309" s="2863"/>
      <c r="P1309" s="1973"/>
      <c r="Q1309" s="2001"/>
      <c r="R1309" s="2001"/>
      <c r="S1309" s="2001"/>
      <c r="T1309" s="2001"/>
      <c r="U1309" s="2001"/>
      <c r="V1309" s="2001"/>
      <c r="W1309" s="2001"/>
      <c r="X1309" s="2001"/>
      <c r="Y1309" s="2001"/>
      <c r="Z1309" s="2001"/>
      <c r="AA1309" s="2001"/>
      <c r="AB1309" s="2001"/>
      <c r="AC1309" s="2001"/>
      <c r="AD1309" s="2001"/>
      <c r="AE1309" s="2001"/>
      <c r="AF1309" s="2001"/>
    </row>
    <row r="1310" spans="1:32" ht="13.8">
      <c r="A1310" s="2913"/>
      <c r="B1310" s="1974"/>
      <c r="C1310" s="2008"/>
      <c r="D1310" s="2008"/>
      <c r="E1310" s="2008"/>
      <c r="F1310" s="2008"/>
      <c r="G1310" s="2008"/>
      <c r="H1310" s="2008"/>
      <c r="I1310" s="2008"/>
      <c r="J1310" s="2008"/>
      <c r="K1310" s="2008"/>
      <c r="L1310" s="2008"/>
      <c r="M1310" s="2008"/>
      <c r="N1310" s="2006"/>
      <c r="O1310" s="2882"/>
      <c r="P1310" s="2404"/>
      <c r="Q1310" s="2001"/>
      <c r="R1310" s="2001"/>
      <c r="S1310" s="2001"/>
      <c r="T1310" s="2001"/>
      <c r="U1310" s="2001"/>
      <c r="V1310" s="2001"/>
      <c r="W1310" s="2001"/>
      <c r="X1310" s="2001"/>
      <c r="Y1310" s="2001"/>
      <c r="Z1310" s="2001"/>
      <c r="AA1310" s="2001"/>
      <c r="AB1310" s="2001"/>
      <c r="AC1310" s="2001"/>
      <c r="AD1310" s="2001"/>
      <c r="AE1310" s="2001"/>
      <c r="AF1310" s="2001"/>
    </row>
    <row r="1311" spans="1:32" ht="13.8">
      <c r="A1311" s="2913" t="s">
        <v>280</v>
      </c>
      <c r="B1311" s="2400" t="s">
        <v>4817</v>
      </c>
      <c r="C1311" s="1974"/>
      <c r="D1311" s="2400"/>
      <c r="E1311" s="2400"/>
      <c r="F1311" s="1974"/>
      <c r="G1311" s="1974"/>
      <c r="H1311" s="1974"/>
      <c r="I1311" s="1974"/>
      <c r="J1311" s="1974"/>
      <c r="K1311" s="1974"/>
      <c r="L1311" s="2873" t="s">
        <v>4865</v>
      </c>
      <c r="M1311" s="2404">
        <v>13</v>
      </c>
      <c r="N1311" s="1987"/>
      <c r="O1311" s="2000">
        <f>'Part VIII Scoring Criteria'!O117</f>
        <v>13</v>
      </c>
      <c r="P1311" s="2000">
        <f>'Part VIII Scoring Criteria'!P117</f>
        <v>0</v>
      </c>
      <c r="Q1311" s="2404" t="s">
        <v>415</v>
      </c>
      <c r="R1311" s="2877"/>
      <c r="S1311" s="1974"/>
      <c r="T1311" s="1974"/>
      <c r="U1311" s="1974"/>
      <c r="V1311" s="1974"/>
      <c r="W1311" s="1974"/>
      <c r="X1311" s="1974"/>
      <c r="Y1311" s="1974"/>
      <c r="Z1311" s="1974"/>
      <c r="AA1311" s="1974"/>
      <c r="AB1311" s="1974"/>
      <c r="AC1311" s="1974"/>
      <c r="AD1311" s="1974"/>
      <c r="AE1311" s="1974"/>
      <c r="AF1311" s="1974"/>
    </row>
    <row r="1312" spans="1:32" ht="13.8">
      <c r="A1312" s="2404" t="s">
        <v>1835</v>
      </c>
      <c r="B1312" s="1973" t="s">
        <v>4860</v>
      </c>
      <c r="C1312" s="1973"/>
      <c r="D1312" s="1973"/>
      <c r="E1312" s="1974"/>
      <c r="F1312" s="2922"/>
      <c r="G1312" s="1974"/>
      <c r="H1312" s="2402"/>
      <c r="I1312" s="1973"/>
      <c r="J1312" s="1973"/>
      <c r="K1312" s="1973"/>
      <c r="L1312" s="1973"/>
      <c r="M1312" s="1973"/>
      <c r="N1312" s="1973"/>
      <c r="O1312" s="1973"/>
      <c r="P1312" s="1973"/>
      <c r="Q1312" s="2874"/>
      <c r="R1312" s="2877"/>
      <c r="S1312" s="1974"/>
      <c r="T1312" s="1974"/>
      <c r="U1312" s="1974"/>
      <c r="V1312" s="1974"/>
      <c r="W1312" s="1974"/>
      <c r="X1312" s="1974"/>
      <c r="Y1312" s="1974"/>
      <c r="Z1312" s="1974"/>
      <c r="AA1312" s="1974"/>
      <c r="AB1312" s="1974"/>
      <c r="AC1312" s="1974"/>
      <c r="AD1312" s="1974"/>
      <c r="AE1312" s="1974"/>
      <c r="AF1312" s="1974"/>
    </row>
    <row r="1313" spans="1:32" ht="13.8">
      <c r="A1313" s="2404"/>
      <c r="B1313" s="1974" t="s">
        <v>4930</v>
      </c>
      <c r="C1313" s="1973"/>
      <c r="D1313" s="1973"/>
      <c r="E1313" s="1974"/>
      <c r="F1313" s="2922"/>
      <c r="G1313" s="1974"/>
      <c r="H1313" s="2402"/>
      <c r="I1313" s="1973"/>
      <c r="J1313" s="1973"/>
      <c r="K1313" s="1973"/>
      <c r="L1313" s="1973"/>
      <c r="M1313" s="1973"/>
      <c r="N1313" s="1973"/>
      <c r="O1313" s="1973"/>
      <c r="P1313" s="1973"/>
      <c r="Q1313" s="2874"/>
      <c r="R1313" s="2877"/>
      <c r="S1313" s="1974"/>
      <c r="T1313" s="1974"/>
      <c r="U1313" s="1974"/>
      <c r="V1313" s="1974"/>
      <c r="W1313" s="1974"/>
      <c r="X1313" s="1974"/>
      <c r="Y1313" s="1974"/>
      <c r="Z1313" s="1974"/>
      <c r="AA1313" s="1974"/>
      <c r="AB1313" s="1974"/>
      <c r="AC1313" s="1974"/>
      <c r="AD1313" s="1974"/>
      <c r="AE1313" s="1974"/>
      <c r="AF1313" s="1974"/>
    </row>
    <row r="1314" spans="1:32" ht="13.8">
      <c r="A1314" s="2404"/>
      <c r="B1314" s="1974"/>
      <c r="C1314" s="1973" t="s">
        <v>4934</v>
      </c>
      <c r="D1314" s="1973"/>
      <c r="E1314" s="1974"/>
      <c r="F1314" s="2922"/>
      <c r="G1314" s="1974"/>
      <c r="H1314" s="2402"/>
      <c r="I1314" s="1973"/>
      <c r="J1314" s="1973"/>
      <c r="K1314" s="1973"/>
      <c r="L1314" s="1973"/>
      <c r="M1314" s="1973"/>
      <c r="N1314" s="1973"/>
      <c r="O1314" s="1973"/>
      <c r="P1314" s="1973"/>
      <c r="Q1314" s="2874"/>
      <c r="R1314" s="2877"/>
      <c r="S1314" s="1974"/>
      <c r="T1314" s="1974"/>
      <c r="U1314" s="1974"/>
      <c r="V1314" s="1974"/>
      <c r="W1314" s="1974"/>
      <c r="X1314" s="1974"/>
      <c r="Y1314" s="1974"/>
      <c r="Z1314" s="1974"/>
      <c r="AA1314" s="1974"/>
      <c r="AB1314" s="1974"/>
      <c r="AC1314" s="1974"/>
      <c r="AD1314" s="1974"/>
      <c r="AE1314" s="1974"/>
      <c r="AF1314" s="1974"/>
    </row>
    <row r="1315" spans="1:32" ht="13.8">
      <c r="A1315" s="2404"/>
      <c r="B1315" s="2878"/>
      <c r="C1315" s="2877" t="s">
        <v>4928</v>
      </c>
      <c r="D1315" s="1974"/>
      <c r="E1315" s="1974"/>
      <c r="F1315" s="2404"/>
      <c r="G1315" s="1974"/>
      <c r="H1315" s="1974"/>
      <c r="I1315" s="2404"/>
      <c r="J1315" s="1987" t="s">
        <v>4929</v>
      </c>
      <c r="K1315" s="1974"/>
      <c r="L1315" s="2875"/>
      <c r="M1315" s="2909">
        <v>5</v>
      </c>
      <c r="N1315" s="2402"/>
      <c r="O1315" s="2923">
        <f>'Part VIII Scoring Criteria'!O121</f>
        <v>5</v>
      </c>
      <c r="P1315" s="2923">
        <f>'Part VIII Scoring Criteria'!P121</f>
        <v>0</v>
      </c>
      <c r="Q1315" s="2877"/>
      <c r="R1315" s="1974"/>
      <c r="S1315" s="1974"/>
      <c r="T1315" s="1974"/>
      <c r="U1315" s="1974"/>
      <c r="V1315" s="2400"/>
      <c r="W1315" s="1974"/>
      <c r="X1315" s="1974"/>
      <c r="Y1315" s="1974"/>
      <c r="Z1315" s="1974"/>
      <c r="AA1315" s="1974"/>
      <c r="AB1315" s="1974"/>
      <c r="AC1315" s="1974"/>
      <c r="AD1315" s="1974"/>
      <c r="AE1315" s="1974"/>
      <c r="AF1315" s="1974"/>
    </row>
    <row r="1316" spans="1:32" ht="13.8">
      <c r="A1316" s="2404"/>
      <c r="B1316" s="2879"/>
      <c r="C1316" s="1973"/>
      <c r="D1316" s="2004" t="s">
        <v>4931</v>
      </c>
      <c r="E1316" s="1974"/>
      <c r="F1316" s="2404"/>
      <c r="G1316" s="1974"/>
      <c r="H1316" s="1974"/>
      <c r="I1316" s="2404"/>
      <c r="J1316" s="1987" t="str">
        <f>'Part VIII Scoring Criteria'!J122</f>
        <v>Submitted</v>
      </c>
      <c r="K1316" s="1974"/>
      <c r="L1316" s="1974"/>
      <c r="M1316" s="2909"/>
      <c r="N1316" s="2402"/>
      <c r="O1316" s="2404" t="str">
        <f>IF(OR($J1316="Submitted",$J1316="N/A"), "Yes","")</f>
        <v>Yes</v>
      </c>
      <c r="P1316" s="2404"/>
      <c r="Q1316" s="2402"/>
      <c r="R1316" s="1974"/>
      <c r="S1316" s="1974"/>
      <c r="T1316" s="1974"/>
      <c r="U1316" s="1974"/>
      <c r="V1316" s="2400"/>
      <c r="W1316" s="1974"/>
      <c r="X1316" s="1974"/>
      <c r="Y1316" s="1974"/>
      <c r="Z1316" s="1974"/>
      <c r="AA1316" s="1974"/>
      <c r="AB1316" s="1974"/>
      <c r="AC1316" s="1974"/>
      <c r="AD1316" s="1974"/>
      <c r="AE1316" s="1974"/>
      <c r="AF1316" s="1974"/>
    </row>
    <row r="1317" spans="1:32" ht="13.8">
      <c r="A1317" s="2404"/>
      <c r="B1317" s="2879"/>
      <c r="C1317" s="1973"/>
      <c r="D1317" s="2004" t="s">
        <v>4932</v>
      </c>
      <c r="E1317" s="1974"/>
      <c r="F1317" s="2924"/>
      <c r="G1317" s="1974"/>
      <c r="H1317" s="1974"/>
      <c r="I1317" s="2404"/>
      <c r="J1317" s="1987" t="str">
        <f>'Part VIII Scoring Criteria'!J123</f>
        <v>Submitted</v>
      </c>
      <c r="K1317" s="2402"/>
      <c r="L1317" s="1974"/>
      <c r="M1317" s="2909"/>
      <c r="N1317" s="2402"/>
      <c r="O1317" s="2404" t="str">
        <f>IF(OR($J1317="Submitted",$J1317="N/A"), "Yes","")</f>
        <v>Yes</v>
      </c>
      <c r="P1317" s="2882"/>
      <c r="Q1317" s="2402"/>
      <c r="R1317" s="1974"/>
      <c r="S1317" s="1974"/>
      <c r="T1317" s="1974"/>
      <c r="U1317" s="1974"/>
      <c r="V1317" s="2400"/>
      <c r="W1317" s="1974"/>
      <c r="X1317" s="1974"/>
      <c r="Y1317" s="1974"/>
      <c r="Z1317" s="1974"/>
      <c r="AA1317" s="1974"/>
      <c r="AB1317" s="1974"/>
      <c r="AC1317" s="1974"/>
      <c r="AD1317" s="1974"/>
      <c r="AE1317" s="1974"/>
      <c r="AF1317" s="1974"/>
    </row>
    <row r="1318" spans="1:32" ht="13.8">
      <c r="A1318" s="2404"/>
      <c r="B1318" s="2879"/>
      <c r="C1318" s="2004" t="s">
        <v>4862</v>
      </c>
      <c r="D1318" s="1973"/>
      <c r="E1318" s="1974"/>
      <c r="F1318" s="2404"/>
      <c r="G1318" s="1974"/>
      <c r="H1318" s="1974"/>
      <c r="I1318" s="2404"/>
      <c r="J1318" s="1987" t="str">
        <f>'Part VIII Scoring Criteria'!J124</f>
        <v>N/A</v>
      </c>
      <c r="K1318" s="2004"/>
      <c r="L1318" s="2875" t="str">
        <f t="shared" ref="L1318:L1326" si="447">IF(OR($O1318=$M1318,$O1318=0,$O1318=""),"","* * Check Score! * *")</f>
        <v/>
      </c>
      <c r="M1318" s="2909">
        <v>1</v>
      </c>
      <c r="N1318" s="2402"/>
      <c r="O1318" s="2404">
        <f>IF(OR($J1318="Submitted",$J1318="N/A"),1,"")</f>
        <v>1</v>
      </c>
      <c r="P1318" s="2000"/>
      <c r="Q1318" s="2402"/>
      <c r="R1318" s="1974"/>
      <c r="S1318" s="1974"/>
      <c r="T1318" s="1974"/>
      <c r="U1318" s="1974"/>
      <c r="V1318" s="2400"/>
      <c r="W1318" s="1974"/>
      <c r="X1318" s="1974"/>
      <c r="Y1318" s="1974"/>
      <c r="Z1318" s="1974"/>
      <c r="AA1318" s="1974"/>
      <c r="AB1318" s="1974"/>
      <c r="AC1318" s="1974"/>
      <c r="AD1318" s="1974"/>
      <c r="AE1318" s="1974"/>
      <c r="AF1318" s="1974"/>
    </row>
    <row r="1319" spans="1:32" ht="13.8">
      <c r="A1319" s="2404"/>
      <c r="B1319" s="2879"/>
      <c r="C1319" s="2004" t="s">
        <v>4863</v>
      </c>
      <c r="D1319" s="1973"/>
      <c r="E1319" s="1974"/>
      <c r="F1319" s="2404"/>
      <c r="G1319" s="1974"/>
      <c r="H1319" s="1974"/>
      <c r="I1319" s="2404"/>
      <c r="J1319" s="1987" t="str">
        <f>'Part VIII Scoring Criteria'!J125</f>
        <v>Submitted</v>
      </c>
      <c r="K1319" s="2004"/>
      <c r="L1319" s="2885" t="str">
        <f t="shared" si="447"/>
        <v/>
      </c>
      <c r="M1319" s="2909">
        <v>1</v>
      </c>
      <c r="N1319" s="2402"/>
      <c r="O1319" s="2404">
        <f t="shared" ref="O1319:O1320" si="448">IF(OR($J1319="Submitted",$J1319="N/A"),1,"")</f>
        <v>1</v>
      </c>
      <c r="P1319" s="2000"/>
      <c r="Q1319" s="2877"/>
      <c r="R1319" s="1974"/>
      <c r="S1319" s="1974"/>
      <c r="T1319" s="1974"/>
      <c r="U1319" s="1974"/>
      <c r="V1319" s="2400"/>
      <c r="W1319" s="1974"/>
      <c r="X1319" s="1974"/>
      <c r="Y1319" s="1974"/>
      <c r="Z1319" s="1974"/>
      <c r="AA1319" s="1974"/>
      <c r="AB1319" s="1974"/>
      <c r="AC1319" s="1974"/>
      <c r="AD1319" s="1974"/>
      <c r="AE1319" s="1974"/>
      <c r="AF1319" s="1974"/>
    </row>
    <row r="1320" spans="1:32" ht="13.8">
      <c r="A1320" s="2404"/>
      <c r="B1320" s="2878"/>
      <c r="C1320" s="2004" t="s">
        <v>4933</v>
      </c>
      <c r="D1320" s="1973"/>
      <c r="E1320" s="1974"/>
      <c r="F1320" s="2404"/>
      <c r="G1320" s="1974"/>
      <c r="H1320" s="1974"/>
      <c r="I1320" s="2404"/>
      <c r="J1320" s="1987" t="str">
        <f>'Part VIII Scoring Criteria'!J126</f>
        <v>Submitted</v>
      </c>
      <c r="K1320" s="2004"/>
      <c r="L1320" s="2875" t="str">
        <f t="shared" si="447"/>
        <v/>
      </c>
      <c r="M1320" s="2909">
        <v>1</v>
      </c>
      <c r="N1320" s="2402"/>
      <c r="O1320" s="2404">
        <f t="shared" si="448"/>
        <v>1</v>
      </c>
      <c r="P1320" s="2000"/>
      <c r="Q1320" s="2877"/>
      <c r="R1320" s="1974"/>
      <c r="S1320" s="1974"/>
      <c r="T1320" s="1974"/>
      <c r="U1320" s="1974"/>
      <c r="V1320" s="2400"/>
      <c r="W1320" s="1974"/>
      <c r="X1320" s="1974"/>
      <c r="Y1320" s="1974"/>
      <c r="Z1320" s="1974"/>
      <c r="AA1320" s="1974"/>
      <c r="AB1320" s="1974"/>
      <c r="AC1320" s="1974"/>
      <c r="AD1320" s="1974"/>
      <c r="AE1320" s="1974"/>
      <c r="AF1320" s="1974"/>
    </row>
    <row r="1321" spans="1:32" ht="13.8">
      <c r="A1321" s="2404"/>
      <c r="B1321" s="2878"/>
      <c r="C1321" s="2877" t="s">
        <v>4965</v>
      </c>
      <c r="D1321" s="1973"/>
      <c r="E1321" s="1974"/>
      <c r="F1321" s="2404"/>
      <c r="G1321" s="1974"/>
      <c r="H1321" s="1974"/>
      <c r="I1321" s="1974"/>
      <c r="J1321" s="1974"/>
      <c r="K1321" s="1974"/>
      <c r="L1321" s="1974"/>
      <c r="M1321" s="1974"/>
      <c r="N1321" s="1974"/>
      <c r="O1321" s="1974"/>
      <c r="P1321" s="1974"/>
      <c r="Q1321" s="1974"/>
      <c r="R1321" s="1974"/>
      <c r="S1321" s="1974"/>
      <c r="T1321" s="1974"/>
      <c r="U1321" s="1974"/>
      <c r="V1321" s="2400"/>
      <c r="W1321" s="1974"/>
      <c r="X1321" s="1974"/>
      <c r="Y1321" s="1974"/>
      <c r="Z1321" s="1974"/>
      <c r="AA1321" s="1974"/>
      <c r="AB1321" s="1974"/>
      <c r="AC1321" s="1974"/>
      <c r="AD1321" s="1974"/>
      <c r="AE1321" s="1974"/>
      <c r="AF1321" s="1974"/>
    </row>
    <row r="1322" spans="1:32" ht="13.8">
      <c r="A1322" s="2404"/>
      <c r="B1322" s="2880"/>
      <c r="C1322" s="2004" t="s">
        <v>4966</v>
      </c>
      <c r="D1322" s="1974"/>
      <c r="E1322" s="1974"/>
      <c r="F1322" s="1987"/>
      <c r="G1322" s="1974"/>
      <c r="H1322" s="1974"/>
      <c r="I1322" s="1987"/>
      <c r="J1322" s="1987" t="str">
        <f>'Part VIII Scoring Criteria'!J128</f>
        <v>Submitted</v>
      </c>
      <c r="K1322" s="2004"/>
      <c r="L1322" s="2875" t="str">
        <f t="shared" si="447"/>
        <v/>
      </c>
      <c r="M1322" s="2909">
        <v>1</v>
      </c>
      <c r="N1322" s="2402"/>
      <c r="O1322" s="2404">
        <f>IF(OR($J1322="Submitted",$J1322="N/A"),1,"")</f>
        <v>1</v>
      </c>
      <c r="P1322" s="2000"/>
      <c r="Q1322" s="2877"/>
      <c r="R1322" s="1974"/>
      <c r="S1322" s="1974"/>
      <c r="T1322" s="1974"/>
      <c r="U1322" s="1974"/>
      <c r="V1322" s="2400"/>
      <c r="W1322" s="1974"/>
      <c r="X1322" s="1974"/>
      <c r="Y1322" s="1974"/>
      <c r="Z1322" s="1974"/>
      <c r="AA1322" s="1974"/>
      <c r="AB1322" s="1974"/>
      <c r="AC1322" s="1974"/>
      <c r="AD1322" s="1974"/>
      <c r="AE1322" s="1974"/>
      <c r="AF1322" s="1974"/>
    </row>
    <row r="1323" spans="1:32" ht="13.8">
      <c r="A1323" s="2404"/>
      <c r="B1323" s="2880"/>
      <c r="C1323" s="2007" t="s">
        <v>4935</v>
      </c>
      <c r="D1323" s="2007"/>
      <c r="E1323" s="2007"/>
      <c r="F1323" s="2007"/>
      <c r="G1323" s="2007"/>
      <c r="H1323" s="2007"/>
      <c r="I1323" s="2007"/>
      <c r="J1323" s="1987" t="str">
        <f>'Part VIII Scoring Criteria'!J129</f>
        <v>Submitted</v>
      </c>
      <c r="K1323" s="2007"/>
      <c r="L1323" s="2875" t="str">
        <f t="shared" si="447"/>
        <v/>
      </c>
      <c r="M1323" s="2925">
        <v>1</v>
      </c>
      <c r="N1323" s="2884"/>
      <c r="O1323" s="2404">
        <f t="shared" ref="O1323:O1326" si="449">IF(OR($J1323="Submitted",$J1323="N/A"),1,"")</f>
        <v>1</v>
      </c>
      <c r="P1323" s="2926"/>
      <c r="Q1323" s="2877"/>
      <c r="R1323" s="1974"/>
      <c r="S1323" s="1974"/>
      <c r="T1323" s="1974"/>
      <c r="U1323" s="1974"/>
      <c r="V1323" s="2400"/>
      <c r="W1323" s="1974"/>
      <c r="X1323" s="1974"/>
      <c r="Y1323" s="1974"/>
      <c r="Z1323" s="1974"/>
      <c r="AA1323" s="1974"/>
      <c r="AB1323" s="1974"/>
      <c r="AC1323" s="1974"/>
      <c r="AD1323" s="1974"/>
      <c r="AE1323" s="1974"/>
      <c r="AF1323" s="1974"/>
    </row>
    <row r="1324" spans="1:32" ht="13.8">
      <c r="A1324" s="2404"/>
      <c r="B1324" s="2880"/>
      <c r="C1324" s="2004" t="s">
        <v>4936</v>
      </c>
      <c r="D1324" s="1974"/>
      <c r="E1324" s="1974"/>
      <c r="F1324" s="2404"/>
      <c r="G1324" s="1974"/>
      <c r="H1324" s="1974"/>
      <c r="I1324" s="2404"/>
      <c r="J1324" s="1987" t="str">
        <f>'Part VIII Scoring Criteria'!J130</f>
        <v>Submitted</v>
      </c>
      <c r="K1324" s="2004"/>
      <c r="L1324" s="2875" t="str">
        <f t="shared" si="447"/>
        <v/>
      </c>
      <c r="M1324" s="2909">
        <v>1</v>
      </c>
      <c r="N1324" s="2402"/>
      <c r="O1324" s="2404">
        <f t="shared" si="449"/>
        <v>1</v>
      </c>
      <c r="P1324" s="2000"/>
      <c r="Q1324" s="2877"/>
      <c r="R1324" s="1974"/>
      <c r="S1324" s="1974"/>
      <c r="T1324" s="1974"/>
      <c r="U1324" s="1974"/>
      <c r="V1324" s="2400"/>
      <c r="W1324" s="1974"/>
      <c r="X1324" s="1974"/>
      <c r="Y1324" s="1974"/>
      <c r="Z1324" s="1974"/>
      <c r="AA1324" s="1974"/>
      <c r="AB1324" s="1974"/>
      <c r="AC1324" s="1974"/>
      <c r="AD1324" s="1974"/>
      <c r="AE1324" s="1974"/>
      <c r="AF1324" s="1974"/>
    </row>
    <row r="1325" spans="1:32" ht="13.8">
      <c r="A1325" s="2404"/>
      <c r="B1325" s="2878"/>
      <c r="C1325" s="2004" t="s">
        <v>4864</v>
      </c>
      <c r="D1325" s="1974"/>
      <c r="E1325" s="1974"/>
      <c r="F1325" s="2404"/>
      <c r="G1325" s="1974"/>
      <c r="H1325" s="1974"/>
      <c r="I1325" s="2404"/>
      <c r="J1325" s="1987" t="str">
        <f>'Part VIII Scoring Criteria'!J131</f>
        <v>Submitted</v>
      </c>
      <c r="K1325" s="2004"/>
      <c r="L1325" s="2875" t="str">
        <f t="shared" si="447"/>
        <v/>
      </c>
      <c r="M1325" s="2909">
        <v>1</v>
      </c>
      <c r="N1325" s="2402"/>
      <c r="O1325" s="2404">
        <f t="shared" si="449"/>
        <v>1</v>
      </c>
      <c r="P1325" s="2000"/>
      <c r="Q1325" s="2877"/>
      <c r="R1325" s="1974"/>
      <c r="S1325" s="1974"/>
      <c r="T1325" s="1974"/>
      <c r="U1325" s="1974"/>
      <c r="V1325" s="2400"/>
      <c r="W1325" s="1974"/>
      <c r="X1325" s="1974"/>
      <c r="Y1325" s="1974"/>
      <c r="Z1325" s="1974"/>
      <c r="AA1325" s="1974"/>
      <c r="AB1325" s="1974"/>
      <c r="AC1325" s="1974"/>
      <c r="AD1325" s="1974"/>
      <c r="AE1325" s="1974"/>
      <c r="AF1325" s="1974"/>
    </row>
    <row r="1326" spans="1:32" ht="13.8">
      <c r="A1326" s="2404"/>
      <c r="B1326" s="2880"/>
      <c r="C1326" s="2004" t="s">
        <v>4937</v>
      </c>
      <c r="D1326" s="1974"/>
      <c r="E1326" s="1974"/>
      <c r="F1326" s="2404"/>
      <c r="G1326" s="1974"/>
      <c r="H1326" s="1974"/>
      <c r="I1326" s="2404"/>
      <c r="J1326" s="1987" t="str">
        <f>'Part VIII Scoring Criteria'!J132</f>
        <v>Submitted</v>
      </c>
      <c r="K1326" s="2004"/>
      <c r="L1326" s="2875" t="str">
        <f t="shared" si="447"/>
        <v/>
      </c>
      <c r="M1326" s="2909">
        <v>1</v>
      </c>
      <c r="N1326" s="2402"/>
      <c r="O1326" s="2404">
        <f t="shared" si="449"/>
        <v>1</v>
      </c>
      <c r="P1326" s="2000"/>
      <c r="Q1326" s="2877"/>
      <c r="R1326" s="1974"/>
      <c r="S1326" s="1974"/>
      <c r="T1326" s="1974"/>
      <c r="U1326" s="1974"/>
      <c r="V1326" s="2400"/>
      <c r="W1326" s="1974"/>
      <c r="X1326" s="1974"/>
      <c r="Y1326" s="1974"/>
      <c r="Z1326" s="1974"/>
      <c r="AA1326" s="1974"/>
      <c r="AB1326" s="1974"/>
      <c r="AC1326" s="1974"/>
      <c r="AD1326" s="1974"/>
      <c r="AE1326" s="1974"/>
      <c r="AF1326" s="1974"/>
    </row>
    <row r="1327" spans="1:32" ht="13.8">
      <c r="A1327" s="2404" t="s">
        <v>1837</v>
      </c>
      <c r="B1327" s="1973" t="s">
        <v>4861</v>
      </c>
      <c r="C1327" s="1974"/>
      <c r="D1327" s="1974"/>
      <c r="E1327" s="1974"/>
      <c r="F1327" s="2900" t="s">
        <v>5045</v>
      </c>
      <c r="G1327" s="1974"/>
      <c r="H1327" s="2402"/>
      <c r="I1327" s="1974"/>
      <c r="J1327" s="1973"/>
      <c r="K1327" s="1973"/>
      <c r="L1327" s="1973"/>
      <c r="M1327" s="1987"/>
      <c r="N1327" s="1987"/>
      <c r="O1327" s="1987"/>
      <c r="P1327" s="1987"/>
      <c r="Q1327" s="1987"/>
      <c r="R1327" s="2877"/>
      <c r="S1327" s="1974"/>
      <c r="T1327" s="1974"/>
      <c r="U1327" s="1974"/>
      <c r="V1327" s="1974"/>
      <c r="W1327" s="1974"/>
      <c r="X1327" s="1974"/>
      <c r="Y1327" s="1974"/>
      <c r="Z1327" s="1974"/>
      <c r="AA1327" s="1974"/>
      <c r="AB1327" s="1974"/>
      <c r="AC1327" s="1974"/>
      <c r="AD1327" s="1974"/>
      <c r="AE1327" s="1974"/>
      <c r="AF1327" s="1974"/>
    </row>
    <row r="1328" spans="1:32" ht="13.8">
      <c r="A1328" s="2001"/>
      <c r="B1328" s="2004" t="str">
        <f>'Part VIII Scoring Criteria'!B134</f>
        <v>OneStreet Residential (“OSR”) is pleased to present to the Georgia Department of Community Affairs (“DCA”) this Readiness to Proceed Narrative. The Retreat at Madison Place “Retreat” is a 160-unit Housing For Older Persons rental community located at 3907 Redwing Cir, Decatur, GA 30035. Originally awarded tax credits by DCA in 2004 (2004-520) with construction completed in 2007.  For Retreat, our advantage against our peers in Readiness to Proceed is our experience in the planning and executing of Acquisition / Rehabilitation projects, along with the familiarity among the Project Team members to do such. Retreat would represent the third opportunity for this Project Team to work together to fulfill its core mission of preserving affordable housing for Seniors or Older Persons in Georgia, by tenant in place renovations of communities originally financed with an allocation of low-income housing tax credits, with:
•	OneStreet Development as Developer,
•	OneStreet Residential Services as Property Manager and Resident Liaison,
•	Trident Construction Group as General Contractor.  
•	HousingToHome as Relocation Advisory Consultant 
This team’s synergy and experience together is the predominate reason that Retreat will proceed quicker than its peers. Another reason is that OSR has developed an efficient and effective prototype for the planning and executing of Acquisition / Rehabilitation projects.  Retreat will have a similar work scope and finish level of its predecessor, Norman Berry Village (2024-068), and because of this, we have a blueprint for expediting and leading Retreat through a successful renovation. 
 The following pages describe elements of OSR’s preparation in more detail. 
Project Execution Team
Jay Wicklund, President of Trident Construction Group (“TCG”), has completed over 75 multifamily renovation projects totaling over 7,000 units. TCG will begin renovations of Norman Berry Village (2024-068) in October 2025, the result of a successful pre-construction effort which produced a construction budget and schedule that aligned to the OSR’s original project requirements. 
Most notably, TCG and OSR have worked to develop a construction and relocation sequencing plan which minimizes the disruption of daily lives to our residents and management staff during the construction phase of the project. 
OneStreet Residential Services (“OSRS”) currently serves as the Property Manager for Retreat.
In addition, OSRS has assembled a specific team to perform property management of its Preservation business plan. This Property Manager, Relocation Specialist, and Recertification Specialist were all selected for their ability to support residents while communities are under renovation. Upon the completion of the Norman Berry Village renovation, they will be transferred to Retreat to provide the same leadership. 
HousingToHome (“HTH”) is a relocation firm with principals Katie Provencher and Hannagh Jacobsen. HTH has extensive expertise and experience providing relocation services for affordable housing developments and has successfully completed temporary, occupied/resident-in-place, permanent and consulting relocation jobs for Housing Authorities on a national scale as well as nonprofit and for-profit real estate developers. Although not required for the competitive application, OSR has worked with HTH to complete a relocation plan and prepare a relocation budget to support the application’s readiness to proceed. 
Financing Commitments
OneStreet has a nearly twenty (20) year history of working with long-term capital partners that understand our company, our communities and the strength of our operations.  As a result, we are able to secure debt and equity capital commitments, underwrite transactions and be ready to close in an efficient manner.  Those relationships are reflected in our Preliminary Financing Commitments from these partners in our application and we are confident it will allow us to be Ready to Proceed more quickly than other applications.
Additional Due Diligence Performed
The building and property have been examined by OSR, environmental scientists, and property needs assessors. The needs of the community are similar to those of Norman Berry Village which will allow OSR to implement a similar pre-construction process for Retreat. The Phase I Environmental Site Assessment indicated that a Phase II study was recommended. OSR has proceeded with the additional environmental work even though this scope is not required for the competitive scoring submission. The Phase II Environmental Site Assessment has been included in the competitive application and recommends no additional assessment or reporting. The completion of this study prior to the threshold submission means that Retreat will be able to proceed more quickly than other applications. 
Preservation of Affordable Housing
The current owner of Retreat at Madison Place has the right to request a qualified contract and remove the community from the Housing Tax Credit Program thereby reducing the number of affordable housing units available for seniors in DeKalb County and potentially displacing current residents of the community. The community is in desperate need of renovation, and the award of 4% Low Income Housing Tax Credits will create a path for the preservation and enhancement of affordable housing in DeKalb County.
In closing, OneStreet Residential has structured this application such that we are able to immediately take action should the application be selected for funding. Because of this, we are confident that Retreat at Madison Place will be Ready to Procced more quickly than other applications.</v>
      </c>
      <c r="C1328" s="2927"/>
      <c r="D1328" s="2927"/>
      <c r="E1328" s="2927"/>
      <c r="F1328" s="2927"/>
      <c r="G1328" s="2927"/>
      <c r="H1328" s="2927"/>
      <c r="I1328" s="2927"/>
      <c r="J1328" s="2927"/>
      <c r="K1328" s="2927"/>
      <c r="L1328" s="2927"/>
      <c r="M1328" s="2927"/>
      <c r="N1328" s="2927"/>
      <c r="O1328" s="2927"/>
      <c r="P1328" s="2927"/>
      <c r="Q1328" s="1973"/>
      <c r="R1328" s="1973"/>
      <c r="S1328" s="2001"/>
      <c r="T1328" s="2001"/>
      <c r="U1328" s="2001"/>
      <c r="V1328" s="2001"/>
      <c r="W1328" s="2001"/>
      <c r="X1328" s="2001"/>
      <c r="Y1328" s="2001"/>
      <c r="Z1328" s="2001"/>
      <c r="AA1328" s="2001"/>
      <c r="AB1328" s="2001"/>
      <c r="AC1328" s="2001"/>
      <c r="AD1328" s="2001"/>
      <c r="AE1328" s="2001"/>
      <c r="AF1328" s="2001"/>
    </row>
    <row r="1329" spans="1:32" ht="14.4">
      <c r="A1329" s="1974"/>
      <c r="B1329" s="2869" t="s">
        <v>5173</v>
      </c>
      <c r="C1329" s="1974"/>
      <c r="D1329" s="1974"/>
      <c r="E1329" s="1974"/>
      <c r="F1329" s="1974"/>
      <c r="G1329" s="1974"/>
      <c r="H1329" s="1974"/>
      <c r="I1329" s="1974"/>
      <c r="J1329" s="1974"/>
      <c r="K1329" s="1974"/>
      <c r="L1329" s="2001"/>
      <c r="M1329" s="1974"/>
      <c r="N1329" s="2001"/>
      <c r="O1329" s="2888"/>
      <c r="P1329" s="2009"/>
      <c r="Q1329" s="2001"/>
      <c r="R1329" s="2001"/>
      <c r="S1329" s="2001"/>
      <c r="T1329" s="2001"/>
      <c r="U1329" s="2001"/>
      <c r="V1329" s="2001"/>
      <c r="W1329" s="2001"/>
      <c r="X1329" s="2001"/>
      <c r="Y1329" s="2001"/>
      <c r="Z1329" s="2001"/>
      <c r="AA1329" s="2001"/>
      <c r="AB1329" s="2001"/>
      <c r="AC1329" s="2001"/>
      <c r="AD1329" s="2001"/>
      <c r="AE1329" s="2001"/>
      <c r="AF1329" s="2001"/>
    </row>
    <row r="1330" spans="1:32" ht="13.8">
      <c r="A1330" s="2008" t="str">
        <f>'Part VIII Scoring Criteria'!A136</f>
        <v>Site zoning and operating utilities documentation have been provided even though not required for preservation.</v>
      </c>
      <c r="B1330" s="2007"/>
      <c r="C1330" s="2007"/>
      <c r="D1330" s="2007"/>
      <c r="E1330" s="2007"/>
      <c r="F1330" s="2007"/>
      <c r="G1330" s="2007"/>
      <c r="H1330" s="2007"/>
      <c r="I1330" s="2007"/>
      <c r="J1330" s="2007"/>
      <c r="K1330" s="2007"/>
      <c r="L1330" s="2007"/>
      <c r="M1330" s="2007"/>
      <c r="N1330" s="2007"/>
      <c r="O1330" s="2007"/>
      <c r="P1330" s="2007"/>
      <c r="Q1330" s="1973"/>
      <c r="R1330" s="1973"/>
      <c r="S1330" s="2001"/>
      <c r="T1330" s="2001"/>
      <c r="U1330" s="2001"/>
      <c r="V1330" s="2001"/>
      <c r="W1330" s="2001"/>
      <c r="X1330" s="2001"/>
      <c r="Y1330" s="2001"/>
      <c r="Z1330" s="2001"/>
      <c r="AA1330" s="2001"/>
      <c r="AB1330" s="2001"/>
      <c r="AC1330" s="2001"/>
      <c r="AD1330" s="2001"/>
      <c r="AE1330" s="2001"/>
      <c r="AF1330" s="2001"/>
    </row>
    <row r="1331" spans="1:32" ht="14.4">
      <c r="A1331" s="2869"/>
      <c r="B1331" s="2869" t="s">
        <v>1724</v>
      </c>
      <c r="C1331" s="1974"/>
      <c r="D1331" s="2869"/>
      <c r="E1331" s="1974"/>
      <c r="F1331" s="1974"/>
      <c r="G1331" s="1974"/>
      <c r="H1331" s="1974"/>
      <c r="I1331" s="1974"/>
      <c r="J1331" s="1974"/>
      <c r="K1331" s="1974"/>
      <c r="L1331" s="1974"/>
      <c r="M1331" s="1974"/>
      <c r="N1331" s="1974"/>
      <c r="O1331" s="1973"/>
      <c r="P1331" s="1973"/>
      <c r="Q1331" s="1974"/>
      <c r="R1331" s="1974"/>
      <c r="S1331" s="1974"/>
      <c r="T1331" s="1974"/>
      <c r="U1331" s="1974"/>
      <c r="V1331" s="1974"/>
      <c r="W1331" s="1974"/>
      <c r="X1331" s="1974"/>
      <c r="Y1331" s="1974"/>
      <c r="Z1331" s="1974"/>
      <c r="AA1331" s="1974"/>
      <c r="AB1331" s="1974"/>
      <c r="AC1331" s="1974"/>
      <c r="AD1331" s="1974"/>
      <c r="AE1331" s="1974"/>
      <c r="AF1331" s="1974"/>
    </row>
    <row r="1332" spans="1:32" ht="13.8">
      <c r="A1332" s="2007"/>
      <c r="B1332" s="2007"/>
      <c r="C1332" s="2007"/>
      <c r="D1332" s="2007"/>
      <c r="E1332" s="2007"/>
      <c r="F1332" s="2007"/>
      <c r="G1332" s="2007"/>
      <c r="H1332" s="2007"/>
      <c r="I1332" s="2007"/>
      <c r="J1332" s="2007"/>
      <c r="K1332" s="2007"/>
      <c r="L1332" s="2007"/>
      <c r="M1332" s="2007"/>
      <c r="N1332" s="2007"/>
      <c r="O1332" s="2007"/>
      <c r="P1332" s="2007"/>
      <c r="Q1332" s="1973"/>
      <c r="R1332" s="1973"/>
      <c r="S1332" s="2001"/>
      <c r="T1332" s="2001"/>
      <c r="U1332" s="2001"/>
      <c r="V1332" s="2001"/>
      <c r="W1332" s="2001"/>
      <c r="X1332" s="2001"/>
      <c r="Y1332" s="2001"/>
      <c r="Z1332" s="2001"/>
      <c r="AA1332" s="2001"/>
      <c r="AB1332" s="2001"/>
      <c r="AC1332" s="2001"/>
      <c r="AD1332" s="2001"/>
      <c r="AE1332" s="2001"/>
      <c r="AF1332" s="2001"/>
    </row>
    <row r="1333" spans="1:32" ht="13.8">
      <c r="A1333" s="2399"/>
      <c r="B1333" s="1974"/>
      <c r="C1333" s="2007"/>
      <c r="D1333" s="2007"/>
      <c r="E1333" s="2007"/>
      <c r="F1333" s="2007"/>
      <c r="G1333" s="2007"/>
      <c r="H1333" s="2007"/>
      <c r="I1333" s="2007"/>
      <c r="J1333" s="2007"/>
      <c r="K1333" s="2007"/>
      <c r="L1333" s="2007"/>
      <c r="M1333" s="2007"/>
      <c r="N1333" s="2007"/>
      <c r="O1333" s="2863"/>
      <c r="P1333" s="1973"/>
      <c r="Q1333" s="2001"/>
      <c r="R1333" s="2001"/>
      <c r="S1333" s="2001"/>
      <c r="T1333" s="2001"/>
      <c r="U1333" s="2001"/>
      <c r="V1333" s="2001"/>
      <c r="W1333" s="2001"/>
      <c r="X1333" s="2001"/>
      <c r="Y1333" s="2001"/>
      <c r="Z1333" s="2001"/>
      <c r="AA1333" s="2001"/>
      <c r="AB1333" s="2001"/>
      <c r="AC1333" s="2001"/>
      <c r="AD1333" s="2001"/>
      <c r="AE1333" s="2001"/>
      <c r="AF1333" s="2001"/>
    </row>
    <row r="1334" spans="1:32" ht="13.8">
      <c r="A1334" s="2001"/>
      <c r="B1334" s="2001"/>
      <c r="C1334" s="2001"/>
      <c r="D1334" s="1974"/>
      <c r="E1334" s="1974"/>
      <c r="F1334" s="2404"/>
      <c r="G1334" s="2404"/>
      <c r="H1334" s="2404"/>
      <c r="I1334" s="2404"/>
      <c r="J1334" s="2004"/>
      <c r="K1334" s="2004"/>
      <c r="L1334" s="2004"/>
      <c r="M1334" s="1987"/>
      <c r="N1334" s="2404"/>
      <c r="O1334" s="2003"/>
      <c r="P1334" s="2000"/>
      <c r="Q1334" s="2001"/>
      <c r="R1334" s="2001"/>
      <c r="S1334" s="2001"/>
      <c r="T1334" s="2001"/>
      <c r="U1334" s="2001"/>
      <c r="V1334" s="2001"/>
      <c r="W1334" s="2001"/>
      <c r="X1334" s="2001"/>
      <c r="Y1334" s="2001"/>
      <c r="Z1334" s="2001"/>
      <c r="AA1334" s="2001"/>
      <c r="AB1334" s="2001"/>
      <c r="AC1334" s="2001"/>
      <c r="AD1334" s="2001"/>
      <c r="AE1334" s="2001"/>
      <c r="AF1334" s="2001"/>
    </row>
    <row r="1335" spans="1:32" ht="13.8">
      <c r="A1335" s="2399" t="s">
        <v>400</v>
      </c>
      <c r="B1335" s="2400" t="s">
        <v>3062</v>
      </c>
      <c r="C1335" s="1974"/>
      <c r="D1335" s="1974"/>
      <c r="E1335" s="1974"/>
      <c r="F1335" s="1974"/>
      <c r="G1335" s="1973"/>
      <c r="H1335" s="1974"/>
      <c r="I1335" s="1973"/>
      <c r="J1335" s="2404"/>
      <c r="K1335" s="2928" t="s">
        <v>4909</v>
      </c>
      <c r="L1335" s="2873" t="s">
        <v>4865</v>
      </c>
      <c r="M1335" s="2404">
        <v>3</v>
      </c>
      <c r="N1335" s="1987"/>
      <c r="O1335" s="2000">
        <f>'Part VIII Scoring Criteria'!O141</f>
        <v>0</v>
      </c>
      <c r="P1335" s="2000">
        <f>'Part VIII Scoring Criteria'!P141</f>
        <v>0</v>
      </c>
      <c r="Q1335" s="2404" t="s">
        <v>415</v>
      </c>
      <c r="R1335" s="2404">
        <f>$C$16</f>
        <v>0</v>
      </c>
      <c r="S1335" s="2009"/>
      <c r="T1335" s="1974"/>
      <c r="U1335" s="1974"/>
      <c r="V1335" s="1974"/>
      <c r="W1335" s="1974"/>
      <c r="X1335" s="1974"/>
      <c r="Y1335" s="1974"/>
      <c r="Z1335" s="1974"/>
      <c r="AA1335" s="1974"/>
      <c r="AB1335" s="1974"/>
      <c r="AC1335" s="1974"/>
      <c r="AD1335" s="1974"/>
      <c r="AE1335" s="1974"/>
      <c r="AF1335" s="1974"/>
    </row>
    <row r="1336" spans="1:32" ht="13.8">
      <c r="A1336" s="2929"/>
      <c r="B1336" s="2930"/>
      <c r="C1336" s="2001"/>
      <c r="D1336" s="2001"/>
      <c r="E1336" s="1974"/>
      <c r="F1336" s="2001" t="s">
        <v>3692</v>
      </c>
      <c r="G1336" s="2009"/>
      <c r="H1336" s="1974"/>
      <c r="I1336" s="2400"/>
      <c r="J1336" s="2001"/>
      <c r="K1336" s="2873"/>
      <c r="L1336" s="2931"/>
      <c r="M1336" s="2404"/>
      <c r="N1336" s="1987"/>
      <c r="O1336" s="2000"/>
      <c r="P1336" s="2000"/>
      <c r="Q1336" s="2404"/>
      <c r="R1336" s="2875"/>
      <c r="S1336" s="2001"/>
      <c r="T1336" s="2001"/>
      <c r="U1336" s="2001"/>
      <c r="V1336" s="2001"/>
      <c r="W1336" s="2001"/>
      <c r="X1336" s="2001"/>
      <c r="Y1336" s="2001"/>
      <c r="Z1336" s="2001"/>
      <c r="AA1336" s="2001"/>
      <c r="AB1336" s="2001"/>
      <c r="AC1336" s="2001"/>
      <c r="AD1336" s="2001"/>
      <c r="AE1336" s="2001"/>
      <c r="AF1336" s="2001"/>
    </row>
    <row r="1337" spans="1:32" ht="13.8">
      <c r="A1337" s="2404" t="s">
        <v>1835</v>
      </c>
      <c r="B1337" s="2877" t="s">
        <v>4693</v>
      </c>
      <c r="C1337" s="1974"/>
      <c r="D1337" s="1974"/>
      <c r="E1337" s="1974"/>
      <c r="F1337" s="1974"/>
      <c r="G1337" s="2932"/>
      <c r="H1337" s="2001" t="s">
        <v>4533</v>
      </c>
      <c r="I1337" s="1974"/>
      <c r="J1337" s="2888" t="str">
        <f>'Part V-Revenues &amp; Expenses'!$O$62</f>
        <v>Income Averaging</v>
      </c>
      <c r="K1337" s="1974"/>
      <c r="L1337" s="1974"/>
      <c r="M1337" s="2404">
        <v>2</v>
      </c>
      <c r="N1337" s="2910"/>
      <c r="O1337" s="2867">
        <f>'Part VIII Scoring Criteria'!O143</f>
        <v>0</v>
      </c>
      <c r="P1337" s="2867">
        <f>'Part VIII Scoring Criteria'!P143</f>
        <v>0</v>
      </c>
      <c r="Q1337" s="1974"/>
      <c r="R1337" s="1974"/>
      <c r="S1337" s="1974"/>
      <c r="T1337" s="1974"/>
      <c r="U1337" s="1974"/>
      <c r="V1337" s="1974"/>
      <c r="W1337" s="1974"/>
      <c r="X1337" s="1974"/>
      <c r="Y1337" s="1974"/>
      <c r="Z1337" s="1974"/>
      <c r="AA1337" s="1974"/>
      <c r="AB1337" s="1974"/>
      <c r="AC1337" s="1974"/>
      <c r="AD1337" s="1974"/>
      <c r="AE1337" s="1974"/>
      <c r="AF1337" s="1974"/>
    </row>
    <row r="1338" spans="1:32" ht="13.8">
      <c r="A1338" s="2404"/>
      <c r="B1338" s="2878" t="s">
        <v>1838</v>
      </c>
      <c r="C1338" s="2933" t="s">
        <v>3687</v>
      </c>
      <c r="D1338" s="1974"/>
      <c r="E1338" s="1974"/>
      <c r="F1338" s="1974"/>
      <c r="G1338" s="1974"/>
      <c r="H1338" s="1974" t="s">
        <v>3688</v>
      </c>
      <c r="I1338" s="1974"/>
      <c r="J1338" s="1974"/>
      <c r="K1338" s="2934">
        <f>'Part V-Revenues &amp; Expenses'!$B$59</f>
        <v>60</v>
      </c>
      <c r="L1338" s="2875" t="str">
        <f t="shared" ref="L1338:L1339" si="450">IF(OR($O1338=$M1338,$O1338=0,$O1338=""),"","* * Check Score! * *")</f>
        <v/>
      </c>
      <c r="M1338" s="1987">
        <v>2</v>
      </c>
      <c r="N1338" s="2879"/>
      <c r="O1338" s="2404">
        <f>'Part VIII Scoring Criteria'!O144</f>
        <v>2</v>
      </c>
      <c r="P1338" s="2000"/>
      <c r="Q1338" s="2874" t="str">
        <f>IF(OR($O1338=$M1338,$O1338=0,$O1338=""),"","*CHECK!*")</f>
        <v/>
      </c>
      <c r="R1338" s="2877"/>
      <c r="S1338" s="1974"/>
      <c r="T1338" s="1974"/>
      <c r="U1338" s="1974"/>
      <c r="V1338" s="1974"/>
      <c r="W1338" s="1974"/>
      <c r="X1338" s="1974"/>
      <c r="Y1338" s="1974"/>
      <c r="Z1338" s="1974"/>
      <c r="AA1338" s="1974"/>
      <c r="AB1338" s="1974"/>
      <c r="AC1338" s="1974"/>
      <c r="AD1338" s="1974"/>
      <c r="AE1338" s="1974"/>
      <c r="AF1338" s="1974"/>
    </row>
    <row r="1339" spans="1:32" ht="13.8">
      <c r="A1339" s="2404"/>
      <c r="B1339" s="2880" t="s">
        <v>1840</v>
      </c>
      <c r="C1339" s="2933" t="s">
        <v>3689</v>
      </c>
      <c r="D1339" s="1974"/>
      <c r="E1339" s="1974"/>
      <c r="F1339" s="1974"/>
      <c r="G1339" s="1974"/>
      <c r="H1339" s="1974"/>
      <c r="I1339" s="1974"/>
      <c r="J1339" s="1974"/>
      <c r="K1339" s="2001"/>
      <c r="L1339" s="2875" t="str">
        <f t="shared" si="450"/>
        <v/>
      </c>
      <c r="M1339" s="1987">
        <v>2</v>
      </c>
      <c r="N1339" s="2879"/>
      <c r="O1339" s="2404">
        <f>'Part VIII Scoring Criteria'!O145</f>
        <v>0</v>
      </c>
      <c r="P1339" s="2000"/>
      <c r="Q1339" s="2874" t="str">
        <f>IF(OR($O1339=$M1339,$O1339=0,$O1339=""),"","*CHECK!*")</f>
        <v/>
      </c>
      <c r="R1339" s="2877"/>
      <c r="S1339" s="1974"/>
      <c r="T1339" s="1974"/>
      <c r="U1339" s="1974"/>
      <c r="V1339" s="1974"/>
      <c r="W1339" s="1974"/>
      <c r="X1339" s="1974"/>
      <c r="Y1339" s="1974"/>
      <c r="Z1339" s="1974"/>
      <c r="AA1339" s="1974"/>
      <c r="AB1339" s="1974"/>
      <c r="AC1339" s="1974"/>
      <c r="AD1339" s="1974"/>
      <c r="AE1339" s="1974"/>
      <c r="AF1339" s="1974"/>
    </row>
    <row r="1340" spans="1:32" ht="13.8">
      <c r="A1340" s="2404"/>
      <c r="B1340" s="2935"/>
      <c r="C1340" s="2936"/>
      <c r="D1340" s="2007"/>
      <c r="E1340" s="2001"/>
      <c r="F1340" s="2001"/>
      <c r="G1340" s="2001"/>
      <c r="H1340" s="2001"/>
      <c r="I1340" s="2001"/>
      <c r="J1340" s="2001"/>
      <c r="K1340" s="2937"/>
      <c r="L1340" s="2937"/>
      <c r="M1340" s="1987"/>
      <c r="N1340" s="2910"/>
      <c r="O1340" s="2867"/>
      <c r="P1340" s="2867"/>
      <c r="Q1340" s="2001"/>
      <c r="R1340" s="2001"/>
      <c r="S1340" s="2001"/>
      <c r="T1340" s="2001"/>
      <c r="U1340" s="2001"/>
      <c r="V1340" s="2001"/>
      <c r="W1340" s="2001"/>
      <c r="X1340" s="2001"/>
      <c r="Y1340" s="2001"/>
      <c r="Z1340" s="2001"/>
      <c r="AA1340" s="2001"/>
      <c r="AB1340" s="2001"/>
      <c r="AC1340" s="2001"/>
      <c r="AD1340" s="2001"/>
      <c r="AE1340" s="2001"/>
      <c r="AF1340" s="2001"/>
    </row>
    <row r="1341" spans="1:32" ht="13.8">
      <c r="A1341" s="2404" t="s">
        <v>1837</v>
      </c>
      <c r="B1341" s="2877" t="s">
        <v>4696</v>
      </c>
      <c r="C1341" s="2001"/>
      <c r="D1341" s="2001"/>
      <c r="E1341" s="2001"/>
      <c r="F1341" s="2001"/>
      <c r="G1341" s="2001"/>
      <c r="H1341" s="2002" t="s">
        <v>4677</v>
      </c>
      <c r="I1341" s="1974"/>
      <c r="J1341" s="2001"/>
      <c r="K1341" s="2937">
        <f>IF(OR('Part V-Revenues &amp; Expenses'!$P$74="", 'Part V-Revenues &amp; Expenses'!$P$74=0),0,'Part V-Revenues &amp; Expenses'!$P$109/'Part V-Revenues &amp; Expenses'!$P$74)</f>
        <v>0.1</v>
      </c>
      <c r="L1341" s="2001"/>
      <c r="M1341" s="2404">
        <v>3</v>
      </c>
      <c r="N1341" s="2884"/>
      <c r="O1341" s="2404">
        <f>'Part VIII Scoring Criteria'!O147</f>
        <v>0</v>
      </c>
      <c r="P1341" s="2000"/>
      <c r="Q1341" s="2001"/>
      <c r="R1341" s="2001"/>
      <c r="S1341" s="2001"/>
      <c r="T1341" s="2001"/>
      <c r="U1341" s="2001"/>
      <c r="V1341" s="2001"/>
      <c r="W1341" s="2001"/>
      <c r="X1341" s="2001"/>
      <c r="Y1341" s="2001"/>
      <c r="Z1341" s="2001"/>
      <c r="AA1341" s="2001"/>
      <c r="AB1341" s="2001"/>
      <c r="AC1341" s="2001"/>
      <c r="AD1341" s="2001"/>
      <c r="AE1341" s="2001"/>
      <c r="AF1341" s="2001"/>
    </row>
    <row r="1342" spans="1:32" ht="14.4">
      <c r="A1342" s="1974"/>
      <c r="B1342" s="2869" t="s">
        <v>1724</v>
      </c>
      <c r="C1342" s="2001"/>
      <c r="D1342" s="2887"/>
      <c r="E1342" s="2008"/>
      <c r="F1342" s="2008"/>
      <c r="G1342" s="2008"/>
      <c r="H1342" s="2008"/>
      <c r="I1342" s="2008"/>
      <c r="J1342" s="2008"/>
      <c r="K1342" s="2008"/>
      <c r="L1342" s="2008"/>
      <c r="M1342" s="2008"/>
      <c r="N1342" s="2006"/>
      <c r="O1342" s="2882"/>
      <c r="P1342" s="2404"/>
      <c r="Q1342" s="2001"/>
      <c r="R1342" s="2001"/>
      <c r="S1342" s="2001"/>
      <c r="T1342" s="2001"/>
      <c r="U1342" s="2001"/>
      <c r="V1342" s="2001"/>
      <c r="W1342" s="2001"/>
      <c r="X1342" s="2001"/>
      <c r="Y1342" s="2001"/>
      <c r="Z1342" s="2001"/>
      <c r="AA1342" s="2001"/>
      <c r="AB1342" s="2001"/>
      <c r="AC1342" s="2001"/>
      <c r="AD1342" s="2001"/>
      <c r="AE1342" s="2001"/>
      <c r="AF1342" s="2001"/>
    </row>
    <row r="1343" spans="1:32" ht="13.8">
      <c r="A1343" s="2007"/>
      <c r="B1343" s="2007"/>
      <c r="C1343" s="2007"/>
      <c r="D1343" s="2007"/>
      <c r="E1343" s="2007"/>
      <c r="F1343" s="2007"/>
      <c r="G1343" s="2007"/>
      <c r="H1343" s="2007"/>
      <c r="I1343" s="2007"/>
      <c r="J1343" s="2007"/>
      <c r="K1343" s="2007"/>
      <c r="L1343" s="2007"/>
      <c r="M1343" s="2007"/>
      <c r="N1343" s="2007"/>
      <c r="O1343" s="2007"/>
      <c r="P1343" s="2007"/>
      <c r="Q1343" s="1973"/>
      <c r="R1343" s="2001"/>
      <c r="S1343" s="2001"/>
      <c r="T1343" s="2001"/>
      <c r="U1343" s="2001"/>
      <c r="V1343" s="2001"/>
      <c r="W1343" s="2001"/>
      <c r="X1343" s="2001"/>
      <c r="Y1343" s="2001"/>
      <c r="Z1343" s="2001"/>
      <c r="AA1343" s="2001"/>
      <c r="AB1343" s="2001"/>
      <c r="AC1343" s="2001"/>
      <c r="AD1343" s="2001"/>
      <c r="AE1343" s="2001"/>
      <c r="AF1343" s="2001"/>
    </row>
    <row r="1344" spans="1:32" ht="13.8">
      <c r="A1344" s="1974"/>
      <c r="B1344" s="1973"/>
      <c r="C1344" s="1974"/>
      <c r="D1344" s="1973"/>
      <c r="E1344" s="1974"/>
      <c r="F1344" s="1974"/>
      <c r="G1344" s="2871"/>
      <c r="H1344" s="2871"/>
      <c r="I1344" s="2871"/>
      <c r="J1344" s="2871"/>
      <c r="K1344" s="2871"/>
      <c r="L1344" s="2871"/>
      <c r="M1344" s="1974"/>
      <c r="N1344" s="2001"/>
      <c r="O1344" s="2888"/>
      <c r="P1344" s="1973"/>
      <c r="Q1344" s="2001"/>
      <c r="R1344" s="1974"/>
      <c r="S1344" s="1974"/>
      <c r="T1344" s="1974"/>
      <c r="U1344" s="1974"/>
      <c r="V1344" s="1974"/>
      <c r="W1344" s="1974"/>
      <c r="X1344" s="2409"/>
      <c r="Y1344" s="2409"/>
      <c r="Z1344" s="2409"/>
      <c r="AA1344" s="2409"/>
      <c r="AB1344" s="2409"/>
      <c r="AC1344" s="2409"/>
      <c r="AD1344" s="2409"/>
      <c r="AE1344" s="2409"/>
      <c r="AF1344" s="2409"/>
    </row>
    <row r="1345" spans="1:32" ht="13.8">
      <c r="A1345" s="2001"/>
      <c r="B1345" s="2001"/>
      <c r="C1345" s="2001"/>
      <c r="D1345" s="2001"/>
      <c r="E1345" s="2001"/>
      <c r="F1345" s="2001"/>
      <c r="G1345" s="2001"/>
      <c r="H1345" s="2001"/>
      <c r="I1345" s="2001"/>
      <c r="J1345" s="2001"/>
      <c r="K1345" s="2001"/>
      <c r="L1345" s="2001"/>
      <c r="M1345" s="2001"/>
      <c r="N1345" s="1992"/>
      <c r="O1345" s="2003"/>
      <c r="P1345" s="2003"/>
      <c r="Q1345" s="2001"/>
      <c r="R1345" s="2001"/>
      <c r="S1345" s="2001"/>
      <c r="T1345" s="2400"/>
      <c r="U1345" s="2400"/>
      <c r="V1345" s="2001"/>
      <c r="W1345" s="2001"/>
      <c r="X1345" s="2001"/>
      <c r="Y1345" s="2001"/>
      <c r="Z1345" s="2001"/>
      <c r="AA1345" s="2001"/>
      <c r="AB1345" s="2001"/>
      <c r="AC1345" s="2001"/>
      <c r="AD1345" s="2001"/>
      <c r="AE1345" s="2001"/>
      <c r="AF1345" s="2001"/>
    </row>
    <row r="1346" spans="1:32" ht="14.4">
      <c r="A1346" s="2913" t="s">
        <v>342</v>
      </c>
      <c r="B1346" s="2400" t="s">
        <v>4818</v>
      </c>
      <c r="C1346" s="1974"/>
      <c r="D1346" s="2400"/>
      <c r="E1346" s="2400"/>
      <c r="F1346" s="1974"/>
      <c r="G1346" s="1974"/>
      <c r="H1346" s="1974"/>
      <c r="I1346" s="1974"/>
      <c r="J1346" s="1974"/>
      <c r="K1346" s="1974"/>
      <c r="L1346" s="2938"/>
      <c r="M1346" s="2404">
        <v>2</v>
      </c>
      <c r="N1346" s="1987"/>
      <c r="O1346" s="2000">
        <f>'Part VIII Scoring Criteria'!O152</f>
        <v>2</v>
      </c>
      <c r="P1346" s="2000">
        <f>'Part VIII Scoring Criteria'!P152</f>
        <v>0</v>
      </c>
      <c r="Q1346" s="2404" t="s">
        <v>415</v>
      </c>
      <c r="R1346" s="2404"/>
      <c r="S1346" s="1974"/>
      <c r="T1346" s="1974"/>
      <c r="U1346" s="1974"/>
      <c r="V1346" s="1974"/>
      <c r="W1346" s="1974"/>
      <c r="X1346" s="1974"/>
      <c r="Y1346" s="1974"/>
      <c r="Z1346" s="1974"/>
      <c r="AA1346" s="1974"/>
      <c r="AB1346" s="1974"/>
      <c r="AC1346" s="1974"/>
      <c r="AD1346" s="1974"/>
      <c r="AE1346" s="1974"/>
      <c r="AF1346" s="1974"/>
    </row>
    <row r="1347" spans="1:32" ht="13.8">
      <c r="A1347" s="2001"/>
      <c r="B1347" s="2939" t="s">
        <v>4938</v>
      </c>
      <c r="C1347" s="1974"/>
      <c r="D1347" s="1974"/>
      <c r="E1347" s="1974"/>
      <c r="F1347" s="1974"/>
      <c r="G1347" s="1974"/>
      <c r="H1347" s="1974"/>
      <c r="I1347" s="1974"/>
      <c r="J1347" s="1974"/>
      <c r="K1347" s="1974"/>
      <c r="L1347" s="2001"/>
      <c r="M1347" s="1987"/>
      <c r="N1347" s="1992"/>
      <c r="O1347" s="2404" t="str">
        <f>'Part VIII Scoring Criteria'!O153</f>
        <v>Yes</v>
      </c>
      <c r="P1347" s="2404"/>
      <c r="Q1347" s="2001"/>
      <c r="R1347" s="2001"/>
      <c r="S1347" s="2001"/>
      <c r="T1347" s="2001"/>
      <c r="U1347" s="2001"/>
      <c r="V1347" s="2001"/>
      <c r="W1347" s="2001"/>
      <c r="X1347" s="2001"/>
      <c r="Y1347" s="2001"/>
      <c r="Z1347" s="2001"/>
      <c r="AA1347" s="2001"/>
      <c r="AB1347" s="2001"/>
      <c r="AC1347" s="2001"/>
      <c r="AD1347" s="2001"/>
      <c r="AE1347" s="2001"/>
      <c r="AF1347" s="2001"/>
    </row>
    <row r="1348" spans="1:32" ht="14.4">
      <c r="A1348" s="1974"/>
      <c r="B1348" s="2869" t="s">
        <v>5173</v>
      </c>
      <c r="C1348" s="1974"/>
      <c r="D1348" s="1974"/>
      <c r="E1348" s="1974"/>
      <c r="F1348" s="1974"/>
      <c r="G1348" s="1974"/>
      <c r="H1348" s="1974"/>
      <c r="I1348" s="1974"/>
      <c r="J1348" s="1974"/>
      <c r="K1348" s="1974"/>
      <c r="L1348" s="2001"/>
      <c r="M1348" s="1987"/>
      <c r="N1348" s="1992"/>
      <c r="O1348" s="2000"/>
      <c r="P1348" s="2003"/>
      <c r="Q1348" s="2001"/>
      <c r="R1348" s="2001"/>
      <c r="S1348" s="2001"/>
      <c r="T1348" s="2001"/>
      <c r="U1348" s="2001"/>
      <c r="V1348" s="2001"/>
      <c r="W1348" s="2001"/>
      <c r="X1348" s="2001"/>
      <c r="Y1348" s="2001"/>
      <c r="Z1348" s="2001"/>
      <c r="AA1348" s="2001"/>
      <c r="AB1348" s="2001"/>
      <c r="AC1348" s="2001"/>
      <c r="AD1348" s="2001"/>
      <c r="AE1348" s="2001"/>
      <c r="AF1348" s="2001"/>
    </row>
    <row r="1349" spans="1:32" ht="13.8">
      <c r="A1349" s="2008" t="str">
        <f>'Part VIII Scoring Criteria'!A155</f>
        <v>Applicant commits to make on-going efforts to request that the PHA and HCV administrator make referrals to the proposed development, or request they include relevant information about the proposed development on any listing made available to persons on their waiting lists.</v>
      </c>
      <c r="B1349" s="2007"/>
      <c r="C1349" s="2007"/>
      <c r="D1349" s="2007"/>
      <c r="E1349" s="2007"/>
      <c r="F1349" s="2007"/>
      <c r="G1349" s="2007"/>
      <c r="H1349" s="2007"/>
      <c r="I1349" s="2007"/>
      <c r="J1349" s="2007"/>
      <c r="K1349" s="2007"/>
      <c r="L1349" s="2007"/>
      <c r="M1349" s="2007"/>
      <c r="N1349" s="2007"/>
      <c r="O1349" s="2007"/>
      <c r="P1349" s="2007"/>
      <c r="Q1349" s="1973"/>
      <c r="R1349" s="1973"/>
      <c r="S1349" s="2001"/>
      <c r="T1349" s="2001"/>
      <c r="U1349" s="2001"/>
      <c r="V1349" s="2001"/>
      <c r="W1349" s="2001"/>
      <c r="X1349" s="2001"/>
      <c r="Y1349" s="2001"/>
      <c r="Z1349" s="2001"/>
      <c r="AA1349" s="2001"/>
      <c r="AB1349" s="2001"/>
      <c r="AC1349" s="2001"/>
      <c r="AD1349" s="2001"/>
      <c r="AE1349" s="2001"/>
      <c r="AF1349" s="2001"/>
    </row>
    <row r="1350" spans="1:32" ht="14.4">
      <c r="A1350" s="2869"/>
      <c r="B1350" s="2869" t="s">
        <v>1724</v>
      </c>
      <c r="C1350" s="1974"/>
      <c r="D1350" s="2869"/>
      <c r="E1350" s="1974"/>
      <c r="F1350" s="1974"/>
      <c r="G1350" s="1974"/>
      <c r="H1350" s="1974"/>
      <c r="I1350" s="1974"/>
      <c r="J1350" s="1974"/>
      <c r="K1350" s="1974"/>
      <c r="L1350" s="1974"/>
      <c r="M1350" s="1974"/>
      <c r="N1350" s="1974"/>
      <c r="O1350" s="1973"/>
      <c r="P1350" s="1973"/>
      <c r="Q1350" s="1974"/>
      <c r="R1350" s="1974"/>
      <c r="S1350" s="1974"/>
      <c r="T1350" s="1974"/>
      <c r="U1350" s="1974"/>
      <c r="V1350" s="1974"/>
      <c r="W1350" s="1974"/>
      <c r="X1350" s="1974"/>
      <c r="Y1350" s="1974"/>
      <c r="Z1350" s="1974"/>
      <c r="AA1350" s="1974"/>
      <c r="AB1350" s="1974"/>
      <c r="AC1350" s="1974"/>
      <c r="AD1350" s="1974"/>
      <c r="AE1350" s="1974"/>
      <c r="AF1350" s="1974"/>
    </row>
    <row r="1351" spans="1:32" ht="13.8">
      <c r="A1351" s="2007"/>
      <c r="B1351" s="2007"/>
      <c r="C1351" s="2007"/>
      <c r="D1351" s="2007"/>
      <c r="E1351" s="2007"/>
      <c r="F1351" s="2007"/>
      <c r="G1351" s="2007"/>
      <c r="H1351" s="2007"/>
      <c r="I1351" s="2007"/>
      <c r="J1351" s="2007"/>
      <c r="K1351" s="2007"/>
      <c r="L1351" s="2007"/>
      <c r="M1351" s="2007"/>
      <c r="N1351" s="2007"/>
      <c r="O1351" s="2007"/>
      <c r="P1351" s="2007"/>
      <c r="Q1351" s="1973"/>
      <c r="R1351" s="1973"/>
      <c r="S1351" s="2001"/>
      <c r="T1351" s="2001"/>
      <c r="U1351" s="2001"/>
      <c r="V1351" s="2001"/>
      <c r="W1351" s="2001"/>
      <c r="X1351" s="2001"/>
      <c r="Y1351" s="2001"/>
      <c r="Z1351" s="2001"/>
      <c r="AA1351" s="2001"/>
      <c r="AB1351" s="2001"/>
      <c r="AC1351" s="2001"/>
      <c r="AD1351" s="2001"/>
      <c r="AE1351" s="2001"/>
      <c r="AF1351" s="2001"/>
    </row>
    <row r="1352" spans="1:32" ht="13.8">
      <c r="A1352" s="2399"/>
      <c r="B1352" s="1974"/>
      <c r="C1352" s="2007"/>
      <c r="D1352" s="2007"/>
      <c r="E1352" s="2007"/>
      <c r="F1352" s="2007"/>
      <c r="G1352" s="2007"/>
      <c r="H1352" s="2007"/>
      <c r="I1352" s="2007"/>
      <c r="J1352" s="2007"/>
      <c r="K1352" s="2007"/>
      <c r="L1352" s="2007"/>
      <c r="M1352" s="2007"/>
      <c r="N1352" s="2007"/>
      <c r="O1352" s="2863"/>
      <c r="P1352" s="1973"/>
      <c r="Q1352" s="2001"/>
      <c r="R1352" s="2001"/>
      <c r="S1352" s="2001"/>
      <c r="T1352" s="2001"/>
      <c r="U1352" s="2001"/>
      <c r="V1352" s="2001"/>
      <c r="W1352" s="2001"/>
      <c r="X1352" s="2001"/>
      <c r="Y1352" s="2001"/>
      <c r="Z1352" s="2001"/>
      <c r="AA1352" s="2001"/>
      <c r="AB1352" s="2001"/>
      <c r="AC1352" s="2001"/>
      <c r="AD1352" s="2001"/>
      <c r="AE1352" s="2001"/>
      <c r="AF1352" s="2001"/>
    </row>
    <row r="1353" spans="1:32" ht="13.8">
      <c r="A1353" s="2001"/>
      <c r="B1353" s="2001"/>
      <c r="C1353" s="2001"/>
      <c r="D1353" s="2001"/>
      <c r="E1353" s="2001"/>
      <c r="F1353" s="2001"/>
      <c r="G1353" s="2001"/>
      <c r="H1353" s="2001"/>
      <c r="I1353" s="2001"/>
      <c r="J1353" s="2001"/>
      <c r="K1353" s="2001"/>
      <c r="L1353" s="2001"/>
      <c r="M1353" s="2001"/>
      <c r="N1353" s="1992"/>
      <c r="O1353" s="2003"/>
      <c r="P1353" s="2003"/>
      <c r="Q1353" s="2001"/>
      <c r="R1353" s="2001"/>
      <c r="S1353" s="2001"/>
      <c r="T1353" s="2001"/>
      <c r="U1353" s="2001"/>
      <c r="V1353" s="2001"/>
      <c r="W1353" s="2001"/>
      <c r="X1353" s="2001"/>
      <c r="Y1353" s="2001"/>
      <c r="Z1353" s="2001"/>
      <c r="AA1353" s="2001"/>
      <c r="AB1353" s="2001"/>
      <c r="AC1353" s="2001"/>
      <c r="AD1353" s="2001"/>
      <c r="AE1353" s="2001"/>
      <c r="AF1353" s="2001"/>
    </row>
    <row r="1354" spans="1:32" ht="13.8">
      <c r="A1354" s="2399" t="s">
        <v>343</v>
      </c>
      <c r="B1354" s="2400" t="s">
        <v>3277</v>
      </c>
      <c r="C1354" s="2001"/>
      <c r="D1354" s="2001"/>
      <c r="E1354" s="2001"/>
      <c r="F1354" s="2001"/>
      <c r="G1354" s="2001"/>
      <c r="H1354" s="2001"/>
      <c r="I1354" s="2001"/>
      <c r="J1354" s="2001"/>
      <c r="K1354" s="2001"/>
      <c r="L1354" s="2873" t="s">
        <v>4865</v>
      </c>
      <c r="M1354" s="2404">
        <v>20</v>
      </c>
      <c r="N1354" s="2402"/>
      <c r="O1354" s="2868">
        <f>'Part VIII Scoring Criteria'!O160</f>
        <v>0</v>
      </c>
      <c r="P1354" s="2868">
        <f>'Part VIII Scoring Criteria'!P160</f>
        <v>0</v>
      </c>
      <c r="Q1354" s="2404" t="s">
        <v>415</v>
      </c>
      <c r="R1354" s="2404">
        <f>$C$16</f>
        <v>0</v>
      </c>
      <c r="S1354" s="2001"/>
      <c r="T1354" s="2001"/>
      <c r="U1354" s="2001"/>
      <c r="V1354" s="2001"/>
      <c r="W1354" s="2001"/>
      <c r="X1354" s="2001"/>
      <c r="Y1354" s="2001"/>
      <c r="Z1354" s="2001"/>
      <c r="AA1354" s="2001"/>
      <c r="AB1354" s="2001"/>
      <c r="AC1354" s="2001"/>
      <c r="AD1354" s="2001"/>
      <c r="AE1354" s="2001"/>
      <c r="AF1354" s="2001"/>
    </row>
    <row r="1355" spans="1:32" ht="13.8">
      <c r="A1355" s="2404" t="s">
        <v>1835</v>
      </c>
      <c r="B1355" s="1973" t="s">
        <v>1731</v>
      </c>
      <c r="C1355" s="1973"/>
      <c r="D1355" s="1973"/>
      <c r="E1355" s="1974"/>
      <c r="F1355" s="1973"/>
      <c r="G1355" s="1974"/>
      <c r="H1355" s="2402"/>
      <c r="I1355" s="1973"/>
      <c r="J1355" s="1973"/>
      <c r="K1355" s="1973"/>
      <c r="L1355" s="2875" t="str">
        <f>IF(OR($O1355=$M1355,$O1355&lt;$M1355,$O1355=0,$O1355=""),"","* * Check Score! * *")</f>
        <v/>
      </c>
      <c r="M1355" s="1987">
        <v>20</v>
      </c>
      <c r="N1355" s="2879"/>
      <c r="O1355" s="2940">
        <f>'Part VIII Scoring Criteria'!O161</f>
        <v>20</v>
      </c>
      <c r="P1355" s="2940"/>
      <c r="Q1355" s="2874"/>
      <c r="R1355" s="2877"/>
      <c r="S1355" s="1974"/>
      <c r="T1355" s="1974"/>
      <c r="U1355" s="1974"/>
      <c r="V1355" s="1974"/>
      <c r="W1355" s="1974"/>
      <c r="X1355" s="1974"/>
      <c r="Y1355" s="1974"/>
      <c r="Z1355" s="1974"/>
      <c r="AA1355" s="1974"/>
      <c r="AB1355" s="1974"/>
      <c r="AC1355" s="1974"/>
      <c r="AD1355" s="1974"/>
      <c r="AE1355" s="1974"/>
      <c r="AF1355" s="1974"/>
    </row>
    <row r="1356" spans="1:32" ht="13.8">
      <c r="A1356" s="2404" t="s">
        <v>1837</v>
      </c>
      <c r="B1356" s="1973" t="s">
        <v>3193</v>
      </c>
      <c r="C1356" s="1974"/>
      <c r="D1356" s="1974"/>
      <c r="E1356" s="1974"/>
      <c r="F1356" s="1974"/>
      <c r="G1356" s="1974"/>
      <c r="H1356" s="2402"/>
      <c r="I1356" s="1973"/>
      <c r="J1356" s="1973"/>
      <c r="K1356" s="2914"/>
      <c r="L1356" s="1973"/>
      <c r="M1356" s="1987" t="s">
        <v>1163</v>
      </c>
      <c r="N1356" s="2402"/>
      <c r="O1356" s="2940">
        <f>'Part VIII Scoring Criteria'!O162</f>
        <v>0</v>
      </c>
      <c r="P1356" s="2940"/>
      <c r="Q1356" s="1974"/>
      <c r="R1356" s="2877"/>
      <c r="S1356" s="1974"/>
      <c r="T1356" s="1974"/>
      <c r="U1356" s="1974"/>
      <c r="V1356" s="1974"/>
      <c r="W1356" s="1974"/>
      <c r="X1356" s="1974"/>
      <c r="Y1356" s="1974"/>
      <c r="Z1356" s="1974"/>
      <c r="AA1356" s="1974"/>
      <c r="AB1356" s="1974"/>
      <c r="AC1356" s="1974"/>
      <c r="AD1356" s="1974"/>
      <c r="AE1356" s="1974"/>
      <c r="AF1356" s="1974"/>
    </row>
    <row r="1357" spans="1:32" ht="14.4">
      <c r="A1357" s="1974"/>
      <c r="B1357" s="2869" t="s">
        <v>5173</v>
      </c>
      <c r="C1357" s="1974"/>
      <c r="D1357" s="1974"/>
      <c r="E1357" s="1974"/>
      <c r="F1357" s="1974"/>
      <c r="G1357" s="1974"/>
      <c r="H1357" s="1974"/>
      <c r="I1357" s="1974"/>
      <c r="J1357" s="1974"/>
      <c r="K1357" s="1974"/>
      <c r="L1357" s="2001"/>
      <c r="M1357" s="1987"/>
      <c r="N1357" s="1992"/>
      <c r="O1357" s="2000"/>
      <c r="P1357" s="2003"/>
      <c r="Q1357" s="2001"/>
      <c r="R1357" s="2001"/>
      <c r="S1357" s="2001"/>
      <c r="T1357" s="2001"/>
      <c r="U1357" s="2001"/>
      <c r="V1357" s="2001"/>
      <c r="W1357" s="2001"/>
      <c r="X1357" s="2001"/>
      <c r="Y1357" s="2001"/>
      <c r="Z1357" s="2001"/>
      <c r="AA1357" s="2001"/>
      <c r="AB1357" s="2001"/>
      <c r="AC1357" s="2001"/>
      <c r="AD1357" s="2001"/>
      <c r="AE1357" s="2001"/>
      <c r="AF1357" s="2001"/>
    </row>
    <row r="1358" spans="1:32" ht="13.8">
      <c r="A1358" s="2008" t="str">
        <f>'Part VIII Scoring Criteria'!A164</f>
        <v>The Applicant is claiming 21 points. The application allows a maximum score of 20 points.  Supporting documentation is included in folder "11DesirUndes".</v>
      </c>
      <c r="B1358" s="2007"/>
      <c r="C1358" s="2007"/>
      <c r="D1358" s="2007"/>
      <c r="E1358" s="2007"/>
      <c r="F1358" s="2007"/>
      <c r="G1358" s="2007"/>
      <c r="H1358" s="2007"/>
      <c r="I1358" s="2007"/>
      <c r="J1358" s="2007"/>
      <c r="K1358" s="2007"/>
      <c r="L1358" s="2007"/>
      <c r="M1358" s="2007"/>
      <c r="N1358" s="2007"/>
      <c r="O1358" s="2007"/>
      <c r="P1358" s="2007"/>
      <c r="Q1358" s="1973"/>
      <c r="R1358" s="1973"/>
      <c r="S1358" s="2001"/>
      <c r="T1358" s="2001"/>
      <c r="U1358" s="2001"/>
      <c r="V1358" s="2001"/>
      <c r="W1358" s="2001"/>
      <c r="X1358" s="2001"/>
      <c r="Y1358" s="2001"/>
      <c r="Z1358" s="2001"/>
      <c r="AA1358" s="2001"/>
      <c r="AB1358" s="2001"/>
      <c r="AC1358" s="2001"/>
      <c r="AD1358" s="2001"/>
      <c r="AE1358" s="2001"/>
      <c r="AF1358" s="2001"/>
    </row>
    <row r="1359" spans="1:32" ht="14.4">
      <c r="A1359" s="1974"/>
      <c r="B1359" s="2869" t="s">
        <v>1724</v>
      </c>
      <c r="C1359" s="1974"/>
      <c r="D1359" s="2887"/>
      <c r="E1359" s="2007"/>
      <c r="F1359" s="2007"/>
      <c r="G1359" s="2007"/>
      <c r="H1359" s="2007"/>
      <c r="I1359" s="2007"/>
      <c r="J1359" s="2007"/>
      <c r="K1359" s="2007"/>
      <c r="L1359" s="2007"/>
      <c r="M1359" s="2007"/>
      <c r="N1359" s="2007"/>
      <c r="O1359" s="2863"/>
      <c r="P1359" s="1973"/>
      <c r="Q1359" s="2001"/>
      <c r="R1359" s="2001"/>
      <c r="S1359" s="2001"/>
      <c r="T1359" s="2001"/>
      <c r="U1359" s="2001"/>
      <c r="V1359" s="2001"/>
      <c r="W1359" s="2001"/>
      <c r="X1359" s="2001"/>
      <c r="Y1359" s="2001"/>
      <c r="Z1359" s="2001"/>
      <c r="AA1359" s="2001"/>
      <c r="AB1359" s="2001"/>
      <c r="AC1359" s="2001"/>
      <c r="AD1359" s="2001"/>
      <c r="AE1359" s="2001"/>
      <c r="AF1359" s="2001"/>
    </row>
    <row r="1360" spans="1:32" ht="13.8">
      <c r="A1360" s="2007"/>
      <c r="B1360" s="2007"/>
      <c r="C1360" s="2007"/>
      <c r="D1360" s="2007"/>
      <c r="E1360" s="2007"/>
      <c r="F1360" s="2007"/>
      <c r="G1360" s="2007"/>
      <c r="H1360" s="2007"/>
      <c r="I1360" s="2007"/>
      <c r="J1360" s="2007"/>
      <c r="K1360" s="2007"/>
      <c r="L1360" s="2007"/>
      <c r="M1360" s="2007"/>
      <c r="N1360" s="2007"/>
      <c r="O1360" s="2007"/>
      <c r="P1360" s="2007"/>
      <c r="Q1360" s="1973"/>
      <c r="R1360" s="1973"/>
      <c r="S1360" s="2001"/>
      <c r="T1360" s="2001"/>
      <c r="U1360" s="2001"/>
      <c r="V1360" s="2001"/>
      <c r="W1360" s="2001"/>
      <c r="X1360" s="2001"/>
      <c r="Y1360" s="2001"/>
      <c r="Z1360" s="2001"/>
      <c r="AA1360" s="2001"/>
      <c r="AB1360" s="2001"/>
      <c r="AC1360" s="2001"/>
      <c r="AD1360" s="2001"/>
      <c r="AE1360" s="2001"/>
      <c r="AF1360" s="2001"/>
    </row>
    <row r="1361" spans="1:32" ht="13.8">
      <c r="A1361" s="1974"/>
      <c r="B1361" s="1973"/>
      <c r="C1361" s="1974"/>
      <c r="D1361" s="1973"/>
      <c r="E1361" s="1974"/>
      <c r="F1361" s="1974"/>
      <c r="G1361" s="2871"/>
      <c r="H1361" s="2871"/>
      <c r="I1361" s="2871"/>
      <c r="J1361" s="2871"/>
      <c r="K1361" s="2871"/>
      <c r="L1361" s="2871"/>
      <c r="M1361" s="1974"/>
      <c r="N1361" s="2001"/>
      <c r="O1361" s="2888"/>
      <c r="P1361" s="1973"/>
      <c r="Q1361" s="2001"/>
      <c r="R1361" s="1974"/>
      <c r="S1361" s="1974"/>
      <c r="T1361" s="1974"/>
      <c r="U1361" s="1974"/>
      <c r="V1361" s="1974"/>
      <c r="W1361" s="1974"/>
      <c r="X1361" s="2409"/>
      <c r="Y1361" s="2409"/>
      <c r="Z1361" s="2409"/>
      <c r="AA1361" s="2409"/>
      <c r="AB1361" s="2409"/>
      <c r="AC1361" s="2409"/>
      <c r="AD1361" s="2409"/>
      <c r="AE1361" s="2409"/>
      <c r="AF1361" s="2409"/>
    </row>
    <row r="1362" spans="1:32" ht="13.8">
      <c r="A1362" s="2001"/>
      <c r="B1362" s="2001"/>
      <c r="C1362" s="2001"/>
      <c r="D1362" s="2001"/>
      <c r="E1362" s="2001"/>
      <c r="F1362" s="2001"/>
      <c r="G1362" s="2001"/>
      <c r="H1362" s="2001"/>
      <c r="I1362" s="2001"/>
      <c r="J1362" s="2001"/>
      <c r="K1362" s="2001"/>
      <c r="L1362" s="2001"/>
      <c r="M1362" s="2001"/>
      <c r="N1362" s="1992"/>
      <c r="O1362" s="2003"/>
      <c r="P1362" s="2003"/>
      <c r="Q1362" s="2001"/>
      <c r="R1362" s="2001"/>
      <c r="S1362" s="2001"/>
      <c r="T1362" s="2400"/>
      <c r="U1362" s="2400"/>
      <c r="V1362" s="2001"/>
      <c r="W1362" s="2001"/>
      <c r="X1362" s="2001"/>
      <c r="Y1362" s="2001"/>
      <c r="Z1362" s="2001"/>
      <c r="AA1362" s="2001"/>
      <c r="AB1362" s="2001"/>
      <c r="AC1362" s="2001"/>
      <c r="AD1362" s="2001"/>
      <c r="AE1362" s="2001"/>
      <c r="AF1362" s="2001"/>
    </row>
    <row r="1363" spans="1:32" ht="14.4">
      <c r="A1363" s="2399" t="s">
        <v>344</v>
      </c>
      <c r="B1363" s="2400" t="s">
        <v>2406</v>
      </c>
      <c r="C1363" s="2001"/>
      <c r="D1363" s="2001"/>
      <c r="E1363" s="2001"/>
      <c r="F1363" s="2001"/>
      <c r="G1363" s="2001"/>
      <c r="H1363" s="2941"/>
      <c r="I1363" s="2877"/>
      <c r="J1363" s="2404"/>
      <c r="K1363" s="2404"/>
      <c r="L1363" s="2873" t="s">
        <v>4865</v>
      </c>
      <c r="M1363" s="2404">
        <v>6</v>
      </c>
      <c r="N1363" s="2402"/>
      <c r="O1363" s="2868">
        <f>'Part VIII Scoring Criteria'!O169</f>
        <v>0</v>
      </c>
      <c r="P1363" s="2868">
        <f>'Part VIII Scoring Criteria'!P169</f>
        <v>0</v>
      </c>
      <c r="Q1363" s="2404" t="s">
        <v>415</v>
      </c>
      <c r="R1363" s="2404">
        <f>$C$16</f>
        <v>0</v>
      </c>
      <c r="S1363" s="2001"/>
      <c r="T1363" s="2001"/>
      <c r="U1363" s="2001"/>
      <c r="V1363" s="2001"/>
      <c r="W1363" s="2001"/>
      <c r="X1363" s="2001"/>
      <c r="Y1363" s="2001"/>
      <c r="Z1363" s="2001"/>
      <c r="AA1363" s="2001"/>
      <c r="AB1363" s="2001"/>
      <c r="AC1363" s="2001"/>
      <c r="AD1363" s="2001"/>
      <c r="AE1363" s="2001"/>
      <c r="AF1363" s="2001"/>
    </row>
    <row r="1364" spans="1:32" ht="14.4">
      <c r="A1364" s="2399"/>
      <c r="B1364" s="2400"/>
      <c r="C1364" s="2001"/>
      <c r="D1364" s="2001"/>
      <c r="E1364" s="2001"/>
      <c r="F1364" s="2001"/>
      <c r="G1364" s="2001"/>
      <c r="H1364" s="2400"/>
      <c r="I1364" s="2869"/>
      <c r="J1364" s="1974"/>
      <c r="K1364" s="1974"/>
      <c r="L1364" s="2001"/>
      <c r="M1364" s="2404"/>
      <c r="N1364" s="2402"/>
      <c r="O1364" s="2000"/>
      <c r="P1364" s="2000"/>
      <c r="Q1364" s="2404"/>
      <c r="R1364" s="2001"/>
      <c r="S1364" s="2001"/>
      <c r="T1364" s="2001"/>
      <c r="U1364" s="2001"/>
      <c r="V1364" s="2001"/>
      <c r="W1364" s="2001"/>
      <c r="X1364" s="2001"/>
      <c r="Y1364" s="2001"/>
      <c r="Z1364" s="2001"/>
      <c r="AA1364" s="2001"/>
      <c r="AB1364" s="2001"/>
      <c r="AC1364" s="2001"/>
      <c r="AD1364" s="2001"/>
      <c r="AE1364" s="2001"/>
      <c r="AF1364" s="2001"/>
    </row>
    <row r="1365" spans="1:32" ht="14.25" customHeight="1">
      <c r="A1365" s="2399"/>
      <c r="B1365" s="1974" t="s">
        <v>3236</v>
      </c>
      <c r="C1365" s="2001"/>
      <c r="D1365" s="2001"/>
      <c r="E1365" s="2001"/>
      <c r="F1365" s="1974" t="s">
        <v>3129</v>
      </c>
      <c r="G1365" s="1974"/>
      <c r="H1365" s="1974"/>
      <c r="I1365" s="1974"/>
      <c r="J1365" s="1974" t="s">
        <v>3130</v>
      </c>
      <c r="K1365" s="1974"/>
      <c r="L1365" s="1974"/>
      <c r="M1365" s="1974"/>
      <c r="N1365" s="2402"/>
      <c r="O1365" s="2942" t="s">
        <v>4678</v>
      </c>
      <c r="P1365" s="2942"/>
      <c r="Q1365" s="2001"/>
      <c r="R1365" s="2001"/>
      <c r="S1365" s="2001"/>
      <c r="T1365" s="2001"/>
      <c r="U1365" s="2001"/>
      <c r="V1365" s="2001"/>
      <c r="W1365" s="2001"/>
      <c r="X1365" s="2001"/>
      <c r="Y1365" s="2001"/>
      <c r="Z1365" s="2001"/>
      <c r="AA1365" s="2001"/>
      <c r="AB1365" s="2001"/>
      <c r="AC1365" s="2001"/>
      <c r="AD1365" s="2001"/>
      <c r="AE1365" s="2001"/>
      <c r="AF1365" s="2001"/>
    </row>
    <row r="1366" spans="1:32" ht="13.8">
      <c r="A1366" s="2001"/>
      <c r="B1366" s="2897"/>
      <c r="C1366" s="2004" t="s">
        <v>4679</v>
      </c>
      <c r="D1366" s="2001"/>
      <c r="E1366" s="2001"/>
      <c r="F1366" s="2004">
        <f>'Part VIII Scoring Criteria'!F172</f>
        <v>33.750639</v>
      </c>
      <c r="G1366" s="2004"/>
      <c r="H1366" s="2004"/>
      <c r="I1366" s="2004"/>
      <c r="J1366" s="2004">
        <f>'Part VIII Scoring Criteria'!J172</f>
        <v>-84.229749999999996</v>
      </c>
      <c r="K1366" s="1974"/>
      <c r="L1366" s="1974"/>
      <c r="M1366" s="1974"/>
      <c r="N1366" s="2001"/>
      <c r="O1366" s="2942"/>
      <c r="P1366" s="2942"/>
      <c r="Q1366" s="2001"/>
      <c r="R1366" s="2001"/>
      <c r="S1366" s="2001"/>
      <c r="T1366" s="2001"/>
      <c r="U1366" s="2001"/>
      <c r="V1366" s="2001"/>
      <c r="W1366" s="2001"/>
      <c r="X1366" s="2001"/>
      <c r="Y1366" s="2001"/>
      <c r="Z1366" s="2001"/>
      <c r="AA1366" s="2001"/>
      <c r="AB1366" s="2001"/>
      <c r="AC1366" s="2001"/>
      <c r="AD1366" s="2001"/>
      <c r="AE1366" s="2001"/>
      <c r="AF1366" s="2001"/>
    </row>
    <row r="1367" spans="1:32" ht="13.8">
      <c r="A1367" s="2897"/>
      <c r="B1367" s="2007"/>
      <c r="C1367" s="2004" t="s">
        <v>4680</v>
      </c>
      <c r="D1367" s="2001"/>
      <c r="E1367" s="2001"/>
      <c r="F1367" s="2004">
        <f>'Part VIII Scoring Criteria'!F173</f>
        <v>33.750788</v>
      </c>
      <c r="G1367" s="2004"/>
      <c r="H1367" s="2004"/>
      <c r="I1367" s="2004"/>
      <c r="J1367" s="2004">
        <f>'Part VIII Scoring Criteria'!J173</f>
        <v>-84.229585</v>
      </c>
      <c r="K1367" s="1974"/>
      <c r="L1367" s="1974"/>
      <c r="M1367" s="1974"/>
      <c r="N1367" s="2402"/>
      <c r="O1367" s="2943">
        <f>'Part VIII Scoring Criteria'!O173</f>
        <v>0.01</v>
      </c>
      <c r="P1367" s="2944"/>
      <c r="Q1367" s="2001"/>
      <c r="R1367" s="2001"/>
      <c r="S1367" s="2001"/>
      <c r="T1367" s="2001"/>
      <c r="U1367" s="2001"/>
      <c r="V1367" s="2001"/>
      <c r="W1367" s="2001"/>
      <c r="X1367" s="2001"/>
      <c r="Y1367" s="2001"/>
      <c r="Z1367" s="2001"/>
      <c r="AA1367" s="2001"/>
      <c r="AB1367" s="2001"/>
      <c r="AC1367" s="2001"/>
      <c r="AD1367" s="2001"/>
      <c r="AE1367" s="2001"/>
      <c r="AF1367" s="2001"/>
    </row>
    <row r="1368" spans="1:32" ht="13.8">
      <c r="A1368" s="2007"/>
      <c r="B1368" s="2001" t="s">
        <v>4701</v>
      </c>
      <c r="C1368" s="2001"/>
      <c r="D1368" s="2001"/>
      <c r="E1368" s="2001"/>
      <c r="F1368" s="2001" t="s">
        <v>4681</v>
      </c>
      <c r="G1368" s="1974" t="s">
        <v>1667</v>
      </c>
      <c r="H1368" s="1974"/>
      <c r="I1368" s="1974"/>
      <c r="J1368" s="1974" t="s">
        <v>4698</v>
      </c>
      <c r="K1368" s="1974"/>
      <c r="L1368" s="1974"/>
      <c r="M1368" s="1974"/>
      <c r="N1368" s="1974"/>
      <c r="O1368" s="1974"/>
      <c r="P1368" s="1974"/>
      <c r="Q1368" s="2001"/>
      <c r="R1368" s="2001"/>
      <c r="S1368" s="2001"/>
      <c r="T1368" s="2001"/>
      <c r="U1368" s="2001"/>
      <c r="V1368" s="2001"/>
      <c r="W1368" s="2001"/>
      <c r="X1368" s="2001"/>
      <c r="Y1368" s="2001"/>
      <c r="Z1368" s="2001"/>
      <c r="AA1368" s="2001"/>
      <c r="AB1368" s="2001"/>
      <c r="AC1368" s="2001"/>
      <c r="AD1368" s="2001"/>
      <c r="AE1368" s="2001"/>
      <c r="AF1368" s="2001"/>
    </row>
    <row r="1369" spans="1:32" ht="13.8">
      <c r="A1369" s="2007"/>
      <c r="B1369" s="2004" t="str">
        <f>'Part VIII Scoring Criteria'!B175</f>
        <v>MARTA</v>
      </c>
      <c r="C1369" s="2004"/>
      <c r="D1369" s="2004"/>
      <c r="E1369" s="2004"/>
      <c r="F1369" s="2945">
        <f>'Part VIII Scoring Criteria'!F175</f>
        <v>4048485000</v>
      </c>
      <c r="G1369" s="2004" t="str">
        <f>'Part VIII Scoring Criteria'!G175</f>
        <v>schedinfo@itsmarta.com</v>
      </c>
      <c r="H1369" s="2004"/>
      <c r="I1369" s="2004"/>
      <c r="J1369" s="2004" t="str">
        <f>'Part VIII Scoring Criteria'!J175</f>
        <v>https://itsmarta.com/</v>
      </c>
      <c r="K1369" s="1974"/>
      <c r="L1369" s="1974"/>
      <c r="M1369" s="1974"/>
      <c r="N1369" s="1974"/>
      <c r="O1369" s="1974"/>
      <c r="P1369" s="1974"/>
      <c r="Q1369" s="2001"/>
      <c r="R1369" s="2001"/>
      <c r="S1369" s="2001"/>
      <c r="T1369" s="2001"/>
      <c r="U1369" s="2001"/>
      <c r="V1369" s="2001"/>
      <c r="W1369" s="2001"/>
      <c r="X1369" s="2001"/>
      <c r="Y1369" s="2001"/>
      <c r="Z1369" s="2001"/>
      <c r="AA1369" s="2001"/>
      <c r="AB1369" s="2001"/>
      <c r="AC1369" s="2001"/>
      <c r="AD1369" s="2001"/>
      <c r="AE1369" s="2001"/>
      <c r="AF1369" s="2001"/>
    </row>
    <row r="1370" spans="1:32" ht="13.8">
      <c r="A1370" s="2946"/>
      <c r="B1370" s="2874"/>
      <c r="C1370" s="2002"/>
      <c r="D1370" s="2002"/>
      <c r="E1370" s="2002"/>
      <c r="F1370" s="2874"/>
      <c r="G1370" s="2002"/>
      <c r="H1370" s="2002"/>
      <c r="I1370" s="2002"/>
      <c r="J1370" s="2002"/>
      <c r="K1370" s="2001"/>
      <c r="L1370" s="2001"/>
      <c r="M1370" s="1973"/>
      <c r="N1370" s="1973"/>
      <c r="O1370" s="1973"/>
      <c r="P1370" s="1973"/>
      <c r="Q1370" s="2404"/>
      <c r="R1370" s="1974"/>
      <c r="S1370" s="1974"/>
      <c r="T1370" s="1974"/>
      <c r="U1370" s="1974"/>
      <c r="V1370" s="2001"/>
      <c r="W1370" s="2001"/>
      <c r="X1370" s="2001"/>
      <c r="Y1370" s="2001"/>
      <c r="Z1370" s="2001"/>
      <c r="AA1370" s="2001"/>
      <c r="AB1370" s="2001"/>
      <c r="AC1370" s="2001"/>
      <c r="AD1370" s="2001"/>
      <c r="AE1370" s="2001"/>
      <c r="AF1370" s="2001"/>
    </row>
    <row r="1371" spans="1:32" ht="13.8">
      <c r="A1371" s="2882" t="s">
        <v>1835</v>
      </c>
      <c r="B1371" s="1973" t="s">
        <v>3152</v>
      </c>
      <c r="C1371" s="2001"/>
      <c r="D1371" s="2001"/>
      <c r="E1371" s="2001"/>
      <c r="F1371" s="2400"/>
      <c r="G1371" s="2001"/>
      <c r="H1371" s="2001"/>
      <c r="I1371" s="2001"/>
      <c r="J1371" s="2001"/>
      <c r="K1371" s="2001"/>
      <c r="L1371" s="2907" t="s">
        <v>4836</v>
      </c>
      <c r="M1371" s="2404">
        <v>6</v>
      </c>
      <c r="N1371" s="2910"/>
      <c r="O1371" s="2947">
        <f>'Part VIII Scoring Criteria'!O177</f>
        <v>0</v>
      </c>
      <c r="P1371" s="2947">
        <f>'Part VIII Scoring Criteria'!P177</f>
        <v>0</v>
      </c>
      <c r="Q1371" s="2404"/>
      <c r="R1371" s="2001"/>
      <c r="S1371" s="2948" t="s">
        <v>4155</v>
      </c>
      <c r="T1371" s="2948" t="s">
        <v>4040</v>
      </c>
      <c r="U1371" s="2001"/>
      <c r="V1371" s="2001"/>
      <c r="W1371" s="2001"/>
      <c r="X1371" s="2001"/>
      <c r="Y1371" s="2001"/>
      <c r="Z1371" s="2001"/>
      <c r="AA1371" s="2001"/>
      <c r="AB1371" s="2001"/>
      <c r="AC1371" s="2001"/>
      <c r="AD1371" s="2001"/>
      <c r="AE1371" s="2001"/>
      <c r="AF1371" s="2001"/>
    </row>
    <row r="1372" spans="1:32" ht="15" customHeight="1">
      <c r="A1372" s="2006"/>
      <c r="B1372" s="2880" t="s">
        <v>1838</v>
      </c>
      <c r="C1372" s="2007" t="s">
        <v>5175</v>
      </c>
      <c r="D1372" s="2007"/>
      <c r="E1372" s="2007"/>
      <c r="F1372" s="2007"/>
      <c r="G1372" s="2007"/>
      <c r="H1372" s="2007"/>
      <c r="I1372" s="2007"/>
      <c r="J1372" s="2007"/>
      <c r="K1372" s="2007"/>
      <c r="L1372" s="2875" t="str">
        <f t="shared" ref="L1372" si="451">IF(OR($O1372=$M1372,$O1372=0,$O1372=""),"","* * Check Score! * *")</f>
        <v/>
      </c>
      <c r="M1372" s="2006">
        <v>6</v>
      </c>
      <c r="N1372" s="2911"/>
      <c r="O1372" s="2940">
        <f>'Part VIII Scoring Criteria'!O178</f>
        <v>0</v>
      </c>
      <c r="P1372" s="2949"/>
      <c r="Q1372" s="2007"/>
      <c r="R1372" s="2950" t="s">
        <v>4552</v>
      </c>
      <c r="S1372" s="2848">
        <v>0.25</v>
      </c>
      <c r="T1372" s="2848">
        <v>5</v>
      </c>
      <c r="U1372" s="2007"/>
      <c r="V1372" s="2007"/>
      <c r="W1372" s="2007"/>
      <c r="X1372" s="2007"/>
      <c r="Y1372" s="2007"/>
      <c r="Z1372" s="2007"/>
      <c r="AA1372" s="2007"/>
      <c r="AB1372" s="2007"/>
      <c r="AC1372" s="2007"/>
      <c r="AD1372" s="2007"/>
      <c r="AE1372" s="2007"/>
      <c r="AF1372" s="2007"/>
    </row>
    <row r="1373" spans="1:32" ht="13.8">
      <c r="A1373" s="2404" t="s">
        <v>1273</v>
      </c>
      <c r="B1373" s="2880" t="s">
        <v>1840</v>
      </c>
      <c r="C1373" s="1974" t="s">
        <v>5176</v>
      </c>
      <c r="D1373" s="1974"/>
      <c r="E1373" s="1974"/>
      <c r="F1373" s="1974"/>
      <c r="G1373" s="1974"/>
      <c r="H1373" s="1974"/>
      <c r="I1373" s="1974"/>
      <c r="J1373" s="1974"/>
      <c r="K1373" s="1974"/>
      <c r="L1373" s="2875"/>
      <c r="M1373" s="1987">
        <v>5</v>
      </c>
      <c r="N1373" s="2912"/>
      <c r="O1373" s="2940">
        <f>'Part VIII Scoring Criteria'!O179</f>
        <v>0</v>
      </c>
      <c r="P1373" s="2940"/>
      <c r="Q1373" s="2007"/>
      <c r="R1373" s="2950"/>
      <c r="S1373" s="2848">
        <v>0.5</v>
      </c>
      <c r="T1373" s="2848">
        <v>4.5</v>
      </c>
      <c r="U1373" s="2007"/>
      <c r="V1373" s="2007"/>
      <c r="W1373" s="2007"/>
      <c r="X1373" s="2007"/>
      <c r="Y1373" s="2007"/>
      <c r="Z1373" s="2007"/>
      <c r="AA1373" s="2007"/>
      <c r="AB1373" s="2007"/>
      <c r="AC1373" s="2007"/>
      <c r="AD1373" s="2007"/>
      <c r="AE1373" s="2007"/>
      <c r="AF1373" s="2007"/>
    </row>
    <row r="1374" spans="1:32" ht="13.8">
      <c r="A1374" s="2882" t="s">
        <v>1837</v>
      </c>
      <c r="B1374" s="2863" t="s">
        <v>3153</v>
      </c>
      <c r="C1374" s="2007"/>
      <c r="D1374" s="2007"/>
      <c r="E1374" s="2007"/>
      <c r="F1374" s="2886"/>
      <c r="G1374" s="2007"/>
      <c r="H1374" s="1974"/>
      <c r="I1374" s="1974"/>
      <c r="J1374" s="2007"/>
      <c r="K1374" s="2007"/>
      <c r="L1374" s="2951"/>
      <c r="M1374" s="2404">
        <v>3</v>
      </c>
      <c r="N1374" s="2402"/>
      <c r="O1374" s="2952">
        <f>'Part VIII Scoring Criteria'!O180</f>
        <v>3</v>
      </c>
      <c r="P1374" s="2952">
        <f>'Part VIII Scoring Criteria'!P180</f>
        <v>0</v>
      </c>
      <c r="Q1374" s="2007"/>
      <c r="R1374" s="2950"/>
      <c r="S1374" s="2848">
        <v>1</v>
      </c>
      <c r="T1374" s="2848">
        <v>4</v>
      </c>
      <c r="U1374" s="2007"/>
      <c r="V1374" s="2007"/>
      <c r="W1374" s="2007"/>
      <c r="X1374" s="2007"/>
      <c r="Y1374" s="2007"/>
      <c r="Z1374" s="2007"/>
      <c r="AA1374" s="2007"/>
      <c r="AB1374" s="2007"/>
      <c r="AC1374" s="2007"/>
      <c r="AD1374" s="2007"/>
      <c r="AE1374" s="2007"/>
      <c r="AF1374" s="2007"/>
    </row>
    <row r="1375" spans="1:32" ht="13.8">
      <c r="A1375" s="2399"/>
      <c r="B1375" s="2953" t="s">
        <v>1838</v>
      </c>
      <c r="C1375" s="1974" t="s">
        <v>5177</v>
      </c>
      <c r="D1375" s="1974"/>
      <c r="E1375" s="1974"/>
      <c r="F1375" s="1974"/>
      <c r="G1375" s="1974"/>
      <c r="H1375" s="1974"/>
      <c r="I1375" s="1974"/>
      <c r="J1375" s="1974"/>
      <c r="K1375" s="1974"/>
      <c r="L1375" s="2875" t="str">
        <f t="shared" ref="L1375:L1377" si="452">IF(OR($O1375=$M1375,$O1375=0,$O1375=""),"","* * Check Score! * *")</f>
        <v/>
      </c>
      <c r="M1375" s="1987">
        <v>3</v>
      </c>
      <c r="N1375" s="2912"/>
      <c r="O1375" s="2940">
        <f>'Part VIII Scoring Criteria'!O181</f>
        <v>3</v>
      </c>
      <c r="P1375" s="2940"/>
      <c r="Q1375" s="2001"/>
      <c r="R1375" s="2950" t="s">
        <v>4553</v>
      </c>
      <c r="S1375" s="2848">
        <v>0.25</v>
      </c>
      <c r="T1375" s="2848">
        <v>3</v>
      </c>
      <c r="U1375" s="2007"/>
      <c r="V1375" s="2001"/>
      <c r="W1375" s="2001"/>
      <c r="X1375" s="2001"/>
      <c r="Y1375" s="2001"/>
      <c r="Z1375" s="2001"/>
      <c r="AA1375" s="2001"/>
      <c r="AB1375" s="2001"/>
      <c r="AC1375" s="2001"/>
      <c r="AD1375" s="2001"/>
      <c r="AE1375" s="2001"/>
      <c r="AF1375" s="2001"/>
    </row>
    <row r="1376" spans="1:32" ht="13.8">
      <c r="A1376" s="2404" t="s">
        <v>1273</v>
      </c>
      <c r="B1376" s="2953" t="s">
        <v>1840</v>
      </c>
      <c r="C1376" s="1974" t="s">
        <v>5178</v>
      </c>
      <c r="D1376" s="1974"/>
      <c r="E1376" s="1974"/>
      <c r="F1376" s="1974"/>
      <c r="G1376" s="1974"/>
      <c r="H1376" s="1974"/>
      <c r="I1376" s="1974"/>
      <c r="J1376" s="2007"/>
      <c r="K1376" s="2007"/>
      <c r="L1376" s="2875" t="str">
        <f t="shared" si="452"/>
        <v/>
      </c>
      <c r="M1376" s="1987">
        <v>1</v>
      </c>
      <c r="N1376" s="2912"/>
      <c r="O1376" s="2940">
        <f>'Part VIII Scoring Criteria'!O182</f>
        <v>0</v>
      </c>
      <c r="P1376" s="2940"/>
      <c r="Q1376" s="2001"/>
      <c r="R1376" s="2950"/>
      <c r="S1376" s="2848">
        <v>0.5</v>
      </c>
      <c r="T1376" s="2848">
        <v>2</v>
      </c>
      <c r="U1376" s="2007"/>
      <c r="V1376" s="2001"/>
      <c r="W1376" s="2001"/>
      <c r="X1376" s="2001"/>
      <c r="Y1376" s="2001"/>
      <c r="Z1376" s="2001"/>
      <c r="AA1376" s="2001"/>
      <c r="AB1376" s="2001"/>
      <c r="AC1376" s="2001"/>
      <c r="AD1376" s="2001"/>
      <c r="AE1376" s="2001"/>
      <c r="AF1376" s="2001"/>
    </row>
    <row r="1377" spans="1:32" ht="15" customHeight="1">
      <c r="A1377" s="2882" t="s">
        <v>1273</v>
      </c>
      <c r="B1377" s="2953" t="s">
        <v>2325</v>
      </c>
      <c r="C1377" s="2007" t="s">
        <v>5179</v>
      </c>
      <c r="D1377" s="2007"/>
      <c r="E1377" s="2007"/>
      <c r="F1377" s="2007"/>
      <c r="G1377" s="2007"/>
      <c r="H1377" s="2007"/>
      <c r="I1377" s="2007"/>
      <c r="J1377" s="2007"/>
      <c r="K1377" s="2007"/>
      <c r="L1377" s="2875" t="str">
        <f t="shared" si="452"/>
        <v/>
      </c>
      <c r="M1377" s="2006">
        <v>2</v>
      </c>
      <c r="N1377" s="2911"/>
      <c r="O1377" s="2940">
        <f>'Part VIII Scoring Criteria'!O183</f>
        <v>0</v>
      </c>
      <c r="P1377" s="2949"/>
      <c r="Q1377" s="2007"/>
      <c r="R1377" s="2950"/>
      <c r="S1377" s="2848">
        <v>1</v>
      </c>
      <c r="T1377" s="2848">
        <v>1</v>
      </c>
      <c r="U1377" s="2007"/>
      <c r="V1377" s="2007"/>
      <c r="W1377" s="2007"/>
      <c r="X1377" s="2007"/>
      <c r="Y1377" s="2007"/>
      <c r="Z1377" s="2007"/>
      <c r="AA1377" s="2007"/>
      <c r="AB1377" s="2007"/>
      <c r="AC1377" s="2007"/>
      <c r="AD1377" s="2007"/>
      <c r="AE1377" s="2007"/>
      <c r="AF1377" s="2007"/>
    </row>
    <row r="1378" spans="1:32" ht="14.4">
      <c r="A1378" s="1974"/>
      <c r="B1378" s="2869" t="s">
        <v>5173</v>
      </c>
      <c r="C1378" s="1974"/>
      <c r="D1378" s="1974"/>
      <c r="E1378" s="1974"/>
      <c r="F1378" s="1974"/>
      <c r="G1378" s="1974"/>
      <c r="H1378" s="1974"/>
      <c r="I1378" s="1974"/>
      <c r="J1378" s="1974"/>
      <c r="K1378" s="1974"/>
      <c r="L1378" s="2001"/>
      <c r="M1378" s="1987"/>
      <c r="N1378" s="1992"/>
      <c r="O1378" s="2000"/>
      <c r="P1378" s="2003"/>
      <c r="Q1378" s="2001"/>
      <c r="R1378" s="2001"/>
      <c r="S1378" s="2001"/>
      <c r="T1378" s="2001"/>
      <c r="U1378" s="2001"/>
      <c r="V1378" s="2001"/>
      <c r="W1378" s="2001"/>
      <c r="X1378" s="2001"/>
      <c r="Y1378" s="2001"/>
      <c r="Z1378" s="2001"/>
      <c r="AA1378" s="2001"/>
      <c r="AB1378" s="2001"/>
      <c r="AC1378" s="2001"/>
      <c r="AD1378" s="2001"/>
      <c r="AE1378" s="2001"/>
      <c r="AF1378" s="2001"/>
    </row>
    <row r="1379" spans="1:32" ht="13.8">
      <c r="A1379" s="2008" t="str">
        <f>'Part VIII Scoring Criteria'!A185</f>
        <v>The subject site is 0.01 mile from a MARTA stop located at Redwing Circle @ Covington Highway which provides bus acess to Route 24.</v>
      </c>
      <c r="B1379" s="2007"/>
      <c r="C1379" s="2007"/>
      <c r="D1379" s="2007"/>
      <c r="E1379" s="2007"/>
      <c r="F1379" s="2007"/>
      <c r="G1379" s="2007"/>
      <c r="H1379" s="2007"/>
      <c r="I1379" s="2007"/>
      <c r="J1379" s="2007"/>
      <c r="K1379" s="2007"/>
      <c r="L1379" s="2007"/>
      <c r="M1379" s="2007"/>
      <c r="N1379" s="2007"/>
      <c r="O1379" s="2007"/>
      <c r="P1379" s="2007"/>
      <c r="Q1379" s="1973"/>
      <c r="R1379" s="1973"/>
      <c r="S1379" s="2001"/>
      <c r="T1379" s="2001"/>
      <c r="U1379" s="2001"/>
      <c r="V1379" s="2001"/>
      <c r="W1379" s="2001"/>
      <c r="X1379" s="2001"/>
      <c r="Y1379" s="2001"/>
      <c r="Z1379" s="2001"/>
      <c r="AA1379" s="2001"/>
      <c r="AB1379" s="2001"/>
      <c r="AC1379" s="2001"/>
      <c r="AD1379" s="2001"/>
      <c r="AE1379" s="2001"/>
      <c r="AF1379" s="2001"/>
    </row>
    <row r="1380" spans="1:32" ht="14.4">
      <c r="A1380" s="1974"/>
      <c r="B1380" s="2869" t="s">
        <v>1724</v>
      </c>
      <c r="C1380" s="1974"/>
      <c r="D1380" s="2869"/>
      <c r="E1380" s="1974"/>
      <c r="F1380" s="1974"/>
      <c r="G1380" s="1974"/>
      <c r="H1380" s="1974"/>
      <c r="I1380" s="1974"/>
      <c r="J1380" s="1974"/>
      <c r="K1380" s="1974"/>
      <c r="L1380" s="1974"/>
      <c r="M1380" s="1974"/>
      <c r="N1380" s="1974"/>
      <c r="O1380" s="1973"/>
      <c r="P1380" s="1973"/>
      <c r="Q1380" s="2001"/>
      <c r="R1380" s="1974"/>
      <c r="S1380" s="1974"/>
      <c r="T1380" s="1974"/>
      <c r="U1380" s="1974"/>
      <c r="V1380" s="1974"/>
      <c r="W1380" s="1974"/>
      <c r="X1380" s="1974"/>
      <c r="Y1380" s="1974"/>
      <c r="Z1380" s="1974"/>
      <c r="AA1380" s="1974"/>
      <c r="AB1380" s="1974"/>
      <c r="AC1380" s="1974"/>
      <c r="AD1380" s="1974"/>
      <c r="AE1380" s="1974"/>
      <c r="AF1380" s="1974"/>
    </row>
    <row r="1381" spans="1:32" ht="13.8">
      <c r="A1381" s="2007"/>
      <c r="B1381" s="2007"/>
      <c r="C1381" s="2007"/>
      <c r="D1381" s="2007"/>
      <c r="E1381" s="2007"/>
      <c r="F1381" s="2007"/>
      <c r="G1381" s="2007"/>
      <c r="H1381" s="2007"/>
      <c r="I1381" s="2007"/>
      <c r="J1381" s="2007"/>
      <c r="K1381" s="2007"/>
      <c r="L1381" s="2007"/>
      <c r="M1381" s="2007"/>
      <c r="N1381" s="2007"/>
      <c r="O1381" s="2007"/>
      <c r="P1381" s="2007"/>
      <c r="Q1381" s="1973"/>
      <c r="R1381" s="2001"/>
      <c r="S1381" s="2001"/>
      <c r="T1381" s="2001"/>
      <c r="U1381" s="2001"/>
      <c r="V1381" s="2001"/>
      <c r="W1381" s="2001"/>
      <c r="X1381" s="2001"/>
      <c r="Y1381" s="2001"/>
      <c r="Z1381" s="2001"/>
      <c r="AA1381" s="2001"/>
      <c r="AB1381" s="2001"/>
      <c r="AC1381" s="2001"/>
      <c r="AD1381" s="2001"/>
      <c r="AE1381" s="2001"/>
      <c r="AF1381" s="2001"/>
    </row>
    <row r="1382" spans="1:32" ht="13.8">
      <c r="A1382" s="2001"/>
      <c r="B1382" s="2001"/>
      <c r="C1382" s="2001"/>
      <c r="D1382" s="2001"/>
      <c r="E1382" s="2001"/>
      <c r="F1382" s="2001"/>
      <c r="G1382" s="2001"/>
      <c r="H1382" s="2001"/>
      <c r="I1382" s="2001"/>
      <c r="J1382" s="2001"/>
      <c r="K1382" s="2001"/>
      <c r="L1382" s="2001"/>
      <c r="M1382" s="2001"/>
      <c r="N1382" s="2001"/>
      <c r="O1382" s="2009"/>
      <c r="P1382" s="2009"/>
      <c r="Q1382" s="2001"/>
      <c r="R1382" s="2001"/>
      <c r="S1382" s="2001"/>
      <c r="T1382" s="2001"/>
      <c r="U1382" s="2001"/>
      <c r="V1382" s="2001"/>
      <c r="W1382" s="2001"/>
      <c r="X1382" s="2001"/>
      <c r="Y1382" s="2001"/>
      <c r="Z1382" s="2001"/>
      <c r="AA1382" s="2001"/>
      <c r="AB1382" s="2001"/>
      <c r="AC1382" s="2001"/>
      <c r="AD1382" s="2001"/>
      <c r="AE1382" s="2001"/>
      <c r="AF1382" s="2001"/>
    </row>
    <row r="1383" spans="1:32" ht="13.8">
      <c r="A1383" s="2001"/>
      <c r="B1383" s="2001"/>
      <c r="C1383" s="2001"/>
      <c r="D1383" s="2001"/>
      <c r="E1383" s="2001"/>
      <c r="F1383" s="2001"/>
      <c r="G1383" s="2001"/>
      <c r="H1383" s="2001"/>
      <c r="I1383" s="2001"/>
      <c r="J1383" s="2001"/>
      <c r="K1383" s="2001"/>
      <c r="L1383" s="2001"/>
      <c r="M1383" s="2001"/>
      <c r="N1383" s="1992"/>
      <c r="O1383" s="2003"/>
      <c r="P1383" s="2003"/>
      <c r="Q1383" s="2001"/>
      <c r="R1383" s="2001"/>
      <c r="S1383" s="2001"/>
      <c r="T1383" s="2001"/>
      <c r="U1383" s="2001"/>
      <c r="V1383" s="2001"/>
      <c r="W1383" s="2001"/>
      <c r="X1383" s="2001"/>
      <c r="Y1383" s="2001"/>
      <c r="Z1383" s="2001"/>
      <c r="AA1383" s="2001"/>
      <c r="AB1383" s="2001"/>
      <c r="AC1383" s="2001"/>
      <c r="AD1383" s="2001"/>
      <c r="AE1383" s="2001"/>
      <c r="AF1383" s="2001"/>
    </row>
    <row r="1384" spans="1:32" ht="13.8">
      <c r="A1384" s="2399" t="s">
        <v>1602</v>
      </c>
      <c r="B1384" s="2400" t="s">
        <v>4044</v>
      </c>
      <c r="C1384" s="2008"/>
      <c r="D1384" s="2008"/>
      <c r="E1384" s="2008"/>
      <c r="F1384" s="2001"/>
      <c r="G1384" s="2404"/>
      <c r="H1384" s="2877"/>
      <c r="I1384" s="2001"/>
      <c r="J1384" s="2001"/>
      <c r="K1384" s="2001"/>
      <c r="L1384" s="2873" t="s">
        <v>4865</v>
      </c>
      <c r="M1384" s="2404">
        <v>3</v>
      </c>
      <c r="N1384" s="2006"/>
      <c r="O1384" s="2404">
        <f>'Part VIII Scoring Criteria'!O190</f>
        <v>1.5</v>
      </c>
      <c r="P1384" s="2409"/>
      <c r="Q1384" s="2874" t="str">
        <f>IF(OR($O1384&lt;=$M1384,$O1384=0,$O1384=""),"","*CHECK!*")</f>
        <v/>
      </c>
      <c r="R1384" s="2877" t="s">
        <v>415</v>
      </c>
      <c r="S1384" s="2404">
        <f>$C$16</f>
        <v>0</v>
      </c>
      <c r="T1384" s="2001"/>
      <c r="U1384" s="2001"/>
      <c r="V1384" s="2001"/>
      <c r="W1384" s="2001"/>
      <c r="X1384" s="2001"/>
      <c r="Y1384" s="2001"/>
      <c r="Z1384" s="2001"/>
      <c r="AA1384" s="2001"/>
      <c r="AB1384" s="2001"/>
      <c r="AC1384" s="2001"/>
      <c r="AD1384" s="2001"/>
      <c r="AE1384" s="2001"/>
      <c r="AF1384" s="2001"/>
    </row>
    <row r="1385" spans="1:32" ht="15" customHeight="1">
      <c r="A1385" s="2001"/>
      <c r="B1385" s="2954"/>
      <c r="C1385" s="2954"/>
      <c r="D1385" s="2954"/>
      <c r="E1385" s="2891"/>
      <c r="F1385" s="2001" t="s">
        <v>5081</v>
      </c>
      <c r="G1385" s="2891" t="s">
        <v>5180</v>
      </c>
      <c r="H1385" s="2891"/>
      <c r="I1385" s="2891" t="s">
        <v>5181</v>
      </c>
      <c r="J1385" s="2891" t="s">
        <v>5182</v>
      </c>
      <c r="K1385" s="2955"/>
      <c r="L1385" s="2891" t="s">
        <v>4702</v>
      </c>
      <c r="M1385" s="2891"/>
      <c r="N1385" s="2891"/>
      <c r="O1385" s="2891"/>
      <c r="P1385" s="2003"/>
      <c r="Q1385" s="2001"/>
      <c r="R1385" s="2001"/>
      <c r="S1385" s="2001"/>
      <c r="T1385" s="2001"/>
      <c r="U1385" s="2001"/>
      <c r="V1385" s="2001"/>
      <c r="W1385" s="2001"/>
      <c r="X1385" s="2001"/>
      <c r="Y1385" s="2001"/>
      <c r="Z1385" s="2001"/>
      <c r="AA1385" s="2001"/>
      <c r="AB1385" s="2001"/>
      <c r="AC1385" s="2001"/>
      <c r="AD1385" s="2001"/>
      <c r="AE1385" s="2001"/>
      <c r="AF1385" s="2001"/>
    </row>
    <row r="1386" spans="1:32" ht="13.8">
      <c r="A1386" s="2001"/>
      <c r="B1386" s="2954"/>
      <c r="C1386" s="2954"/>
      <c r="D1386" s="2954"/>
      <c r="E1386" s="2891"/>
      <c r="F1386" s="2001"/>
      <c r="G1386" s="2891"/>
      <c r="H1386" s="2891"/>
      <c r="I1386" s="2891"/>
      <c r="J1386" s="2955"/>
      <c r="K1386" s="2955"/>
      <c r="L1386" s="2891"/>
      <c r="M1386" s="2891"/>
      <c r="N1386" s="2891"/>
      <c r="O1386" s="2891"/>
      <c r="P1386" s="2003"/>
      <c r="Q1386" s="2001"/>
      <c r="R1386" s="2001"/>
      <c r="S1386" s="2001"/>
      <c r="T1386" s="2001"/>
      <c r="U1386" s="2001"/>
      <c r="V1386" s="2001"/>
      <c r="W1386" s="2001"/>
      <c r="X1386" s="2001"/>
      <c r="Y1386" s="2001"/>
      <c r="Z1386" s="2001"/>
      <c r="AA1386" s="2001"/>
      <c r="AB1386" s="2001"/>
      <c r="AC1386" s="2001"/>
      <c r="AD1386" s="2001"/>
      <c r="AE1386" s="2001"/>
      <c r="AF1386" s="2001"/>
    </row>
    <row r="1387" spans="1:32" ht="13.8">
      <c r="A1387" s="2001"/>
      <c r="B1387" s="2956" t="s">
        <v>4518</v>
      </c>
      <c r="C1387" s="2957"/>
      <c r="D1387" s="2891"/>
      <c r="E1387" s="2891"/>
      <c r="F1387" s="2001"/>
      <c r="G1387" s="2891"/>
      <c r="H1387" s="2891"/>
      <c r="I1387" s="2891"/>
      <c r="J1387" s="2955"/>
      <c r="K1387" s="2955"/>
      <c r="L1387" s="2891"/>
      <c r="M1387" s="2891"/>
      <c r="N1387" s="2891"/>
      <c r="O1387" s="2891"/>
      <c r="P1387" s="2003"/>
      <c r="Q1387" s="2001"/>
      <c r="R1387" s="2001"/>
      <c r="S1387" s="2001"/>
      <c r="T1387" s="2001"/>
      <c r="U1387" s="2001"/>
      <c r="V1387" s="2001"/>
      <c r="W1387" s="2001"/>
      <c r="X1387" s="2001"/>
      <c r="Y1387" s="2001"/>
      <c r="Z1387" s="2001"/>
      <c r="AA1387" s="2001"/>
      <c r="AB1387" s="2001"/>
      <c r="AC1387" s="2001"/>
      <c r="AD1387" s="2001"/>
      <c r="AE1387" s="2001"/>
      <c r="AF1387" s="2001"/>
    </row>
    <row r="1388" spans="1:32" ht="13.8">
      <c r="A1388" s="2001"/>
      <c r="B1388" s="2004" t="str">
        <f>'Part VIII Scoring Criteria'!B194</f>
        <v>Snapfinger Elementary School</v>
      </c>
      <c r="C1388" s="2004"/>
      <c r="D1388" s="2004"/>
      <c r="E1388" s="2004"/>
      <c r="F1388" s="2004" t="str">
        <f>'Part VIII Scoring Criteria'!F194</f>
        <v>K - 5</v>
      </c>
      <c r="G1388" s="2004">
        <f>'Part VIII Scoring Criteria'!G194</f>
        <v>0</v>
      </c>
      <c r="H1388" s="2004"/>
      <c r="I1388" s="2004" t="str">
        <f>'Part VIII Scoring Criteria'!I194</f>
        <v>No</v>
      </c>
      <c r="J1388" s="2004">
        <f>'Part VIII Scoring Criteria'!J194</f>
        <v>0</v>
      </c>
      <c r="K1388" s="2004"/>
      <c r="L1388" s="2004">
        <f>'Part VIII Scoring Criteria'!L194</f>
        <v>0</v>
      </c>
      <c r="M1388" s="1974"/>
      <c r="N1388" s="1974"/>
      <c r="O1388" s="2900"/>
      <c r="P1388" s="2900"/>
      <c r="Q1388" s="2001"/>
      <c r="R1388" s="2001"/>
      <c r="S1388" s="2001"/>
      <c r="T1388" s="2001"/>
      <c r="U1388" s="2001"/>
      <c r="V1388" s="2001"/>
      <c r="W1388" s="2001"/>
      <c r="X1388" s="2001"/>
      <c r="Y1388" s="2001"/>
      <c r="Z1388" s="2001"/>
      <c r="AA1388" s="2001"/>
      <c r="AB1388" s="2001"/>
      <c r="AC1388" s="2001"/>
      <c r="AD1388" s="2001"/>
      <c r="AE1388" s="2001"/>
      <c r="AF1388" s="2001"/>
    </row>
    <row r="1389" spans="1:32" ht="13.8">
      <c r="A1389" s="2001"/>
      <c r="B1389" s="2004" t="str">
        <f>'Part VIII Scoring Criteria'!B195</f>
        <v>Columbia Middle School</v>
      </c>
      <c r="C1389" s="2004"/>
      <c r="D1389" s="2004"/>
      <c r="E1389" s="2004"/>
      <c r="F1389" s="2004" t="str">
        <f>'Part VIII Scoring Criteria'!F195</f>
        <v>6 - 8</v>
      </c>
      <c r="G1389" s="2004">
        <f>'Part VIII Scoring Criteria'!G195</f>
        <v>0</v>
      </c>
      <c r="H1389" s="2004"/>
      <c r="I1389" s="2004" t="str">
        <f>'Part VIII Scoring Criteria'!I195</f>
        <v>Yes</v>
      </c>
      <c r="J1389" s="2004">
        <f>'Part VIII Scoring Criteria'!J195</f>
        <v>0</v>
      </c>
      <c r="K1389" s="2004"/>
      <c r="L1389" s="2004">
        <f>'Part VIII Scoring Criteria'!L195</f>
        <v>0</v>
      </c>
      <c r="M1389" s="1974"/>
      <c r="N1389" s="1974"/>
      <c r="O1389" s="2900"/>
      <c r="P1389" s="2900"/>
      <c r="Q1389" s="2001"/>
      <c r="R1389" s="2001"/>
      <c r="S1389" s="2001"/>
      <c r="T1389" s="2001"/>
      <c r="U1389" s="2001"/>
      <c r="V1389" s="2001"/>
      <c r="W1389" s="2001"/>
      <c r="X1389" s="2001"/>
      <c r="Y1389" s="2001"/>
      <c r="Z1389" s="2001"/>
      <c r="AA1389" s="2001"/>
      <c r="AB1389" s="2001"/>
      <c r="AC1389" s="2001"/>
      <c r="AD1389" s="2001"/>
      <c r="AE1389" s="2001"/>
      <c r="AF1389" s="2001"/>
    </row>
    <row r="1390" spans="1:32" ht="13.8">
      <c r="A1390" s="2001"/>
      <c r="B1390" s="2004" t="str">
        <f>'Part VIII Scoring Criteria'!B196</f>
        <v>Columbia High School</v>
      </c>
      <c r="C1390" s="2004"/>
      <c r="D1390" s="2004"/>
      <c r="E1390" s="2004"/>
      <c r="F1390" s="2004" t="str">
        <f>'Part VIII Scoring Criteria'!F196</f>
        <v>9 - 12</v>
      </c>
      <c r="G1390" s="2004">
        <f>'Part VIII Scoring Criteria'!G196</f>
        <v>0</v>
      </c>
      <c r="H1390" s="2004"/>
      <c r="I1390" s="2004" t="str">
        <f>'Part VIII Scoring Criteria'!I196</f>
        <v>Yes</v>
      </c>
      <c r="J1390" s="2004">
        <f>'Part VIII Scoring Criteria'!J196</f>
        <v>0</v>
      </c>
      <c r="K1390" s="2004"/>
      <c r="L1390" s="2004">
        <f>'Part VIII Scoring Criteria'!L196</f>
        <v>0</v>
      </c>
      <c r="M1390" s="1974"/>
      <c r="N1390" s="1974"/>
      <c r="O1390" s="2900"/>
      <c r="P1390" s="2900"/>
      <c r="Q1390" s="2001"/>
      <c r="R1390" s="2001"/>
      <c r="S1390" s="2001"/>
      <c r="T1390" s="2001"/>
      <c r="U1390" s="2001"/>
      <c r="V1390" s="2001"/>
      <c r="W1390" s="2001"/>
      <c r="X1390" s="2001"/>
      <c r="Y1390" s="2001"/>
      <c r="Z1390" s="2001"/>
      <c r="AA1390" s="2001"/>
      <c r="AB1390" s="2001"/>
      <c r="AC1390" s="2001"/>
      <c r="AD1390" s="2001"/>
      <c r="AE1390" s="2001"/>
      <c r="AF1390" s="2001"/>
    </row>
    <row r="1391" spans="1:32" ht="13.8">
      <c r="A1391" s="2001"/>
      <c r="B1391" s="2004">
        <f>'Part VIII Scoring Criteria'!B197</f>
        <v>0</v>
      </c>
      <c r="C1391" s="2004"/>
      <c r="D1391" s="2004"/>
      <c r="E1391" s="2004"/>
      <c r="F1391" s="2004">
        <f>'Part VIII Scoring Criteria'!F197</f>
        <v>0</v>
      </c>
      <c r="G1391" s="2004">
        <f>'Part VIII Scoring Criteria'!G197</f>
        <v>0</v>
      </c>
      <c r="H1391" s="2004"/>
      <c r="I1391" s="2004">
        <f>'Part VIII Scoring Criteria'!I197</f>
        <v>0</v>
      </c>
      <c r="J1391" s="2004">
        <f>'Part VIII Scoring Criteria'!J197</f>
        <v>0</v>
      </c>
      <c r="K1391" s="2004"/>
      <c r="L1391" s="2004">
        <f>'Part VIII Scoring Criteria'!L197</f>
        <v>0</v>
      </c>
      <c r="M1391" s="1974"/>
      <c r="N1391" s="1974"/>
      <c r="O1391" s="2900"/>
      <c r="P1391" s="2900"/>
      <c r="Q1391" s="2001"/>
      <c r="R1391" s="2001"/>
      <c r="S1391" s="2001"/>
      <c r="T1391" s="2001"/>
      <c r="U1391" s="2001"/>
      <c r="V1391" s="2001"/>
      <c r="W1391" s="2001"/>
      <c r="X1391" s="2001"/>
      <c r="Y1391" s="2001"/>
      <c r="Z1391" s="2001"/>
      <c r="AA1391" s="2001"/>
      <c r="AB1391" s="2001"/>
      <c r="AC1391" s="2001"/>
      <c r="AD1391" s="2001"/>
      <c r="AE1391" s="2001"/>
      <c r="AF1391" s="2001"/>
    </row>
    <row r="1392" spans="1:32" ht="13.8">
      <c r="A1392" s="2001"/>
      <c r="B1392" s="2004">
        <f>'Part VIII Scoring Criteria'!B198</f>
        <v>0</v>
      </c>
      <c r="C1392" s="2004"/>
      <c r="D1392" s="2004"/>
      <c r="E1392" s="2004"/>
      <c r="F1392" s="2004">
        <f>'Part VIII Scoring Criteria'!F198</f>
        <v>0</v>
      </c>
      <c r="G1392" s="2004">
        <f>'Part VIII Scoring Criteria'!G198</f>
        <v>0</v>
      </c>
      <c r="H1392" s="2004"/>
      <c r="I1392" s="2004">
        <f>'Part VIII Scoring Criteria'!I198</f>
        <v>0</v>
      </c>
      <c r="J1392" s="2004">
        <f>'Part VIII Scoring Criteria'!J198</f>
        <v>0</v>
      </c>
      <c r="K1392" s="2004"/>
      <c r="L1392" s="2004">
        <f>'Part VIII Scoring Criteria'!L198</f>
        <v>0</v>
      </c>
      <c r="M1392" s="1974"/>
      <c r="N1392" s="1974"/>
      <c r="O1392" s="2900"/>
      <c r="P1392" s="2900"/>
      <c r="Q1392" s="2001"/>
      <c r="R1392" s="2001"/>
      <c r="S1392" s="2001"/>
      <c r="T1392" s="2001"/>
      <c r="U1392" s="2001"/>
      <c r="V1392" s="2001"/>
      <c r="W1392" s="2001"/>
      <c r="X1392" s="2001"/>
      <c r="Y1392" s="2001"/>
      <c r="Z1392" s="2001"/>
      <c r="AA1392" s="2001"/>
      <c r="AB1392" s="2001"/>
      <c r="AC1392" s="2001"/>
      <c r="AD1392" s="2001"/>
      <c r="AE1392" s="2001"/>
      <c r="AF1392" s="2001"/>
    </row>
    <row r="1393" spans="1:32" ht="13.8">
      <c r="A1393" s="2001"/>
      <c r="B1393" s="2004">
        <f>'Part VIII Scoring Criteria'!B199</f>
        <v>0</v>
      </c>
      <c r="C1393" s="2004"/>
      <c r="D1393" s="2004"/>
      <c r="E1393" s="2004"/>
      <c r="F1393" s="2004">
        <f>'Part VIII Scoring Criteria'!F199</f>
        <v>0</v>
      </c>
      <c r="G1393" s="2004">
        <f>'Part VIII Scoring Criteria'!G199</f>
        <v>0</v>
      </c>
      <c r="H1393" s="2004"/>
      <c r="I1393" s="2004">
        <f>'Part VIII Scoring Criteria'!I199</f>
        <v>0</v>
      </c>
      <c r="J1393" s="2004">
        <f>'Part VIII Scoring Criteria'!J199</f>
        <v>0</v>
      </c>
      <c r="K1393" s="2004"/>
      <c r="L1393" s="2004">
        <f>'Part VIII Scoring Criteria'!L199</f>
        <v>0</v>
      </c>
      <c r="M1393" s="1974"/>
      <c r="N1393" s="1974"/>
      <c r="O1393" s="2900"/>
      <c r="P1393" s="2900"/>
      <c r="Q1393" s="2001"/>
      <c r="R1393" s="2001"/>
      <c r="S1393" s="2001"/>
      <c r="T1393" s="2001"/>
      <c r="U1393" s="2001"/>
      <c r="V1393" s="2001"/>
      <c r="W1393" s="2001"/>
      <c r="X1393" s="2001"/>
      <c r="Y1393" s="2001"/>
      <c r="Z1393" s="2001"/>
      <c r="AA1393" s="2001"/>
      <c r="AB1393" s="2001"/>
      <c r="AC1393" s="2001"/>
      <c r="AD1393" s="2001"/>
      <c r="AE1393" s="2001"/>
      <c r="AF1393" s="2001"/>
    </row>
    <row r="1394" spans="1:32" ht="14.4">
      <c r="A1394" s="1974"/>
      <c r="B1394" s="2869" t="s">
        <v>5173</v>
      </c>
      <c r="C1394" s="1974"/>
      <c r="D1394" s="1974"/>
      <c r="E1394" s="1974"/>
      <c r="F1394" s="1974"/>
      <c r="G1394" s="1974"/>
      <c r="H1394" s="1974"/>
      <c r="I1394" s="1974"/>
      <c r="J1394" s="1974"/>
      <c r="K1394" s="1974"/>
      <c r="L1394" s="2001"/>
      <c r="M1394" s="1974"/>
      <c r="N1394" s="2001"/>
      <c r="O1394" s="2888"/>
      <c r="P1394" s="2003"/>
      <c r="Q1394" s="2001"/>
      <c r="R1394" s="2001"/>
      <c r="S1394" s="2001"/>
      <c r="T1394" s="2001"/>
      <c r="U1394" s="2001"/>
      <c r="V1394" s="2001"/>
      <c r="W1394" s="2001"/>
      <c r="X1394" s="2001"/>
      <c r="Y1394" s="2001"/>
      <c r="Z1394" s="2001"/>
      <c r="AA1394" s="2001"/>
      <c r="AB1394" s="2001"/>
      <c r="AC1394" s="2001"/>
      <c r="AD1394" s="2001"/>
      <c r="AE1394" s="2001"/>
      <c r="AF1394" s="2001"/>
    </row>
    <row r="1395" spans="1:32" ht="13.8">
      <c r="A1395" s="2008" t="str">
        <f>'Part VIII Scoring Criteria'!A201</f>
        <v xml:space="preserve">Columbia Middle School (2019 BTO) and Columbia High School (2024 BTO) received "Beating the Odds" designation. The total number of grades in the schools designated as "Beating the Odds" is seven (7) which qualifies the application for (1.5) points in this scoring section. </v>
      </c>
      <c r="B1395" s="2007"/>
      <c r="C1395" s="2007"/>
      <c r="D1395" s="2007"/>
      <c r="E1395" s="2007"/>
      <c r="F1395" s="2007"/>
      <c r="G1395" s="2007"/>
      <c r="H1395" s="2007"/>
      <c r="I1395" s="2007"/>
      <c r="J1395" s="2007"/>
      <c r="K1395" s="2007"/>
      <c r="L1395" s="2007"/>
      <c r="M1395" s="2007"/>
      <c r="N1395" s="2007"/>
      <c r="O1395" s="2007"/>
      <c r="P1395" s="2007"/>
      <c r="Q1395" s="1973"/>
      <c r="R1395" s="2001"/>
      <c r="S1395" s="2001"/>
      <c r="T1395" s="2001"/>
      <c r="U1395" s="2001"/>
      <c r="V1395" s="2001"/>
      <c r="W1395" s="2001"/>
      <c r="X1395" s="2001"/>
      <c r="Y1395" s="2001"/>
      <c r="Z1395" s="2001"/>
      <c r="AA1395" s="2001"/>
      <c r="AB1395" s="2001"/>
      <c r="AC1395" s="2001"/>
      <c r="AD1395" s="2001"/>
      <c r="AE1395" s="2001"/>
      <c r="AF1395" s="2001"/>
    </row>
    <row r="1396" spans="1:32" ht="14.4">
      <c r="A1396" s="1974"/>
      <c r="B1396" s="2887" t="s">
        <v>1724</v>
      </c>
      <c r="C1396" s="1974"/>
      <c r="D1396" s="2887"/>
      <c r="E1396" s="2007"/>
      <c r="F1396" s="2007"/>
      <c r="G1396" s="2007"/>
      <c r="H1396" s="2007"/>
      <c r="I1396" s="2007"/>
      <c r="J1396" s="2007"/>
      <c r="K1396" s="2007"/>
      <c r="L1396" s="2007"/>
      <c r="M1396" s="2007"/>
      <c r="N1396" s="2007"/>
      <c r="O1396" s="2863"/>
      <c r="P1396" s="1973"/>
      <c r="Q1396" s="2001"/>
      <c r="R1396" s="2001"/>
      <c r="S1396" s="2001"/>
      <c r="T1396" s="2001"/>
      <c r="U1396" s="2001"/>
      <c r="V1396" s="2001"/>
      <c r="W1396" s="2001"/>
      <c r="X1396" s="2001"/>
      <c r="Y1396" s="2001"/>
      <c r="Z1396" s="2001"/>
      <c r="AA1396" s="2001"/>
      <c r="AB1396" s="2001"/>
      <c r="AC1396" s="2001"/>
      <c r="AD1396" s="2001"/>
      <c r="AE1396" s="2001"/>
      <c r="AF1396" s="2001"/>
    </row>
    <row r="1397" spans="1:32" ht="13.8">
      <c r="A1397" s="2007"/>
      <c r="B1397" s="2007"/>
      <c r="C1397" s="2007"/>
      <c r="D1397" s="2007"/>
      <c r="E1397" s="2007"/>
      <c r="F1397" s="2007"/>
      <c r="G1397" s="2007"/>
      <c r="H1397" s="2007"/>
      <c r="I1397" s="2007"/>
      <c r="J1397" s="2007"/>
      <c r="K1397" s="2007"/>
      <c r="L1397" s="2007"/>
      <c r="M1397" s="2007"/>
      <c r="N1397" s="2007"/>
      <c r="O1397" s="2007"/>
      <c r="P1397" s="2007"/>
      <c r="Q1397" s="1973"/>
      <c r="R1397" s="2001"/>
      <c r="S1397" s="2001"/>
      <c r="T1397" s="2001"/>
      <c r="U1397" s="2002"/>
      <c r="V1397" s="2001"/>
      <c r="W1397" s="2001"/>
      <c r="X1397" s="2001"/>
      <c r="Y1397" s="2001"/>
      <c r="Z1397" s="2001"/>
      <c r="AA1397" s="2001"/>
      <c r="AB1397" s="2001"/>
      <c r="AC1397" s="2001"/>
      <c r="AD1397" s="2001"/>
      <c r="AE1397" s="2001"/>
      <c r="AF1397" s="2001"/>
    </row>
    <row r="1398" spans="1:32" ht="13.8">
      <c r="A1398" s="2001"/>
      <c r="B1398" s="2001"/>
      <c r="C1398" s="2001"/>
      <c r="D1398" s="2001"/>
      <c r="E1398" s="2001"/>
      <c r="F1398" s="2001"/>
      <c r="G1398" s="2001"/>
      <c r="H1398" s="2001"/>
      <c r="I1398" s="2001"/>
      <c r="J1398" s="2001"/>
      <c r="K1398" s="2001"/>
      <c r="L1398" s="2001"/>
      <c r="M1398" s="2001"/>
      <c r="N1398" s="2001"/>
      <c r="O1398" s="2009"/>
      <c r="P1398" s="2009"/>
      <c r="Q1398" s="2001"/>
      <c r="R1398" s="2001"/>
      <c r="S1398" s="2001"/>
      <c r="T1398" s="2001"/>
      <c r="U1398" s="2001"/>
      <c r="V1398" s="2001"/>
      <c r="W1398" s="2001"/>
      <c r="X1398" s="2001"/>
      <c r="Y1398" s="2001"/>
      <c r="Z1398" s="2001"/>
      <c r="AA1398" s="2001"/>
      <c r="AB1398" s="2001"/>
      <c r="AC1398" s="2001"/>
      <c r="AD1398" s="2001"/>
      <c r="AE1398" s="2001"/>
      <c r="AF1398" s="2001"/>
    </row>
    <row r="1399" spans="1:32" ht="13.8">
      <c r="A1399" s="2001"/>
      <c r="B1399" s="2001"/>
      <c r="C1399" s="2001"/>
      <c r="D1399" s="2001"/>
      <c r="E1399" s="2001"/>
      <c r="F1399" s="2001"/>
      <c r="G1399" s="2001"/>
      <c r="H1399" s="2001"/>
      <c r="I1399" s="2001"/>
      <c r="J1399" s="2001"/>
      <c r="K1399" s="2001"/>
      <c r="L1399" s="2001"/>
      <c r="M1399" s="2001"/>
      <c r="N1399" s="1992"/>
      <c r="O1399" s="2003"/>
      <c r="P1399" s="2003"/>
      <c r="Q1399" s="2001"/>
      <c r="R1399" s="2001"/>
      <c r="S1399" s="2001"/>
      <c r="T1399" s="2001"/>
      <c r="U1399" s="2001"/>
      <c r="V1399" s="2001"/>
      <c r="W1399" s="2001"/>
      <c r="X1399" s="2001"/>
      <c r="Y1399" s="2001"/>
      <c r="Z1399" s="2001"/>
      <c r="AA1399" s="2001"/>
      <c r="AB1399" s="2001"/>
      <c r="AC1399" s="2001"/>
      <c r="AD1399" s="2001"/>
      <c r="AE1399" s="2001"/>
      <c r="AF1399" s="2001"/>
    </row>
    <row r="1400" spans="1:32" ht="13.8">
      <c r="A1400" s="2399" t="s">
        <v>2487</v>
      </c>
      <c r="B1400" s="2400" t="s">
        <v>3249</v>
      </c>
      <c r="C1400" s="1974"/>
      <c r="D1400" s="2400"/>
      <c r="E1400" s="2400"/>
      <c r="F1400" s="1974"/>
      <c r="G1400" s="1974"/>
      <c r="H1400" s="1974"/>
      <c r="I1400" s="1974"/>
      <c r="J1400" s="1974"/>
      <c r="K1400" s="2907"/>
      <c r="L1400" s="2873" t="s">
        <v>4865</v>
      </c>
      <c r="M1400" s="2404">
        <v>10</v>
      </c>
      <c r="N1400" s="1987"/>
      <c r="O1400" s="2868">
        <f>'Part VIII Scoring Criteria'!O206</f>
        <v>0</v>
      </c>
      <c r="P1400" s="2868">
        <f>'Part VIII Scoring Criteria'!P206</f>
        <v>0</v>
      </c>
      <c r="Q1400" s="2404" t="s">
        <v>415</v>
      </c>
      <c r="R1400" s="2958" t="s">
        <v>4956</v>
      </c>
      <c r="S1400" s="1973"/>
      <c r="T1400" s="1973"/>
      <c r="U1400" s="1973"/>
      <c r="V1400" s="2954">
        <f>$H$15</f>
        <v>0</v>
      </c>
      <c r="W1400" s="1974"/>
      <c r="X1400" s="1974"/>
      <c r="Y1400" s="1974"/>
      <c r="Z1400" s="1974"/>
      <c r="AA1400" s="1974"/>
      <c r="AB1400" s="1974"/>
      <c r="AC1400" s="1974"/>
      <c r="AD1400" s="1974"/>
      <c r="AE1400" s="1974"/>
      <c r="AF1400" s="1974"/>
    </row>
    <row r="1401" spans="1:32" ht="13.8">
      <c r="A1401" s="2399"/>
      <c r="B1401" s="2400"/>
      <c r="C1401" s="1974"/>
      <c r="D1401" s="2400"/>
      <c r="E1401" s="2400"/>
      <c r="F1401" s="2004" t="s">
        <v>4985</v>
      </c>
      <c r="G1401" s="1974"/>
      <c r="H1401" s="1974"/>
      <c r="I1401" s="1974"/>
      <c r="J1401" s="1974"/>
      <c r="K1401" s="1974"/>
      <c r="L1401" s="2407"/>
      <c r="M1401" s="2404"/>
      <c r="N1401" s="1987"/>
      <c r="O1401" s="2000">
        <f>MIN(O1406+O1416+O1423,M1400)</f>
        <v>0</v>
      </c>
      <c r="P1401" s="2000">
        <f>MIN(P1406+P1416+P1423,M1400)</f>
        <v>0</v>
      </c>
      <c r="Q1401" s="2404"/>
      <c r="R1401" s="2877"/>
      <c r="S1401" s="1973"/>
      <c r="T1401" s="1973"/>
      <c r="U1401" s="1973"/>
      <c r="V1401" s="2001"/>
      <c r="W1401" s="2001"/>
      <c r="X1401" s="2001"/>
      <c r="Y1401" s="1974"/>
      <c r="Z1401" s="1974"/>
      <c r="AA1401" s="1974"/>
      <c r="AB1401" s="1974"/>
      <c r="AC1401" s="1974"/>
      <c r="AD1401" s="1974"/>
      <c r="AE1401" s="1974"/>
      <c r="AF1401" s="1974"/>
    </row>
    <row r="1402" spans="1:32" ht="13.8">
      <c r="A1402" s="2404"/>
      <c r="B1402" s="1974" t="s">
        <v>5183</v>
      </c>
      <c r="C1402" s="2001"/>
      <c r="D1402" s="1973"/>
      <c r="E1402" s="1973"/>
      <c r="F1402" s="1973"/>
      <c r="G1402" s="1973"/>
      <c r="H1402" s="1973"/>
      <c r="I1402" s="1973"/>
      <c r="J1402" s="1973"/>
      <c r="K1402" s="1973"/>
      <c r="L1402" s="1973"/>
      <c r="M1402" s="2001"/>
      <c r="N1402" s="1992"/>
      <c r="O1402" s="2003"/>
      <c r="P1402" s="2003"/>
      <c r="Q1402" s="2874" t="str">
        <f>IF(OR($O1407=$M1407,$O1407=0,$O1407=""),"","*CHECK!*")</f>
        <v/>
      </c>
      <c r="R1402" s="2877"/>
      <c r="S1402" s="1973"/>
      <c r="T1402" s="1973"/>
      <c r="U1402" s="1973"/>
      <c r="V1402" s="2001"/>
      <c r="W1402" s="2001"/>
      <c r="X1402" s="2001"/>
      <c r="Y1402" s="2001"/>
      <c r="Z1402" s="2001"/>
      <c r="AA1402" s="2001"/>
      <c r="AB1402" s="2001"/>
      <c r="AC1402" s="2001"/>
      <c r="AD1402" s="2001"/>
      <c r="AE1402" s="2001"/>
      <c r="AF1402" s="2001"/>
    </row>
    <row r="1403" spans="1:32" ht="15" customHeight="1">
      <c r="A1403" s="2003"/>
      <c r="B1403" s="2402"/>
      <c r="C1403" s="2007" t="s">
        <v>4866</v>
      </c>
      <c r="D1403" s="2007"/>
      <c r="E1403" s="2007"/>
      <c r="F1403" s="2007"/>
      <c r="G1403" s="2007"/>
      <c r="H1403" s="2007"/>
      <c r="I1403" s="2007"/>
      <c r="J1403" s="2007"/>
      <c r="K1403" s="2007"/>
      <c r="L1403" s="2884"/>
      <c r="M1403" s="2001"/>
      <c r="N1403" s="2004" t="str">
        <f>'Part VIII Scoring Criteria'!N209</f>
        <v>&lt;Page # from Plan&gt;</v>
      </c>
      <c r="O1403" s="2956"/>
      <c r="P1403" s="2956"/>
      <c r="Q1403" s="2001"/>
      <c r="R1403" s="2001"/>
      <c r="S1403" s="1973"/>
      <c r="T1403" s="1973"/>
      <c r="U1403" s="1973"/>
      <c r="V1403" s="2001"/>
      <c r="W1403" s="2001"/>
      <c r="X1403" s="2001"/>
      <c r="Y1403" s="2001"/>
      <c r="Z1403" s="2001"/>
      <c r="AA1403" s="2001"/>
      <c r="AB1403" s="2001"/>
      <c r="AC1403" s="2001"/>
      <c r="AD1403" s="2001"/>
      <c r="AE1403" s="2001"/>
      <c r="AF1403" s="2001"/>
    </row>
    <row r="1404" spans="1:32" ht="15" customHeight="1">
      <c r="A1404" s="1987"/>
      <c r="B1404" s="2402"/>
      <c r="C1404" s="1974" t="s">
        <v>4685</v>
      </c>
      <c r="D1404" s="1974"/>
      <c r="E1404" s="1974"/>
      <c r="F1404" s="1974"/>
      <c r="G1404" s="1974"/>
      <c r="H1404" s="1974"/>
      <c r="I1404" s="1974"/>
      <c r="J1404" s="1974"/>
      <c r="K1404" s="1974"/>
      <c r="L1404" s="2402"/>
      <c r="M1404" s="1974"/>
      <c r="N1404" s="2004" t="str">
        <f>'Part VIII Scoring Criteria'!N210</f>
        <v>&lt;Page # from Plan&gt;</v>
      </c>
      <c r="O1404" s="2956"/>
      <c r="P1404" s="2956"/>
      <c r="Q1404" s="1974"/>
      <c r="R1404" s="1974"/>
      <c r="S1404" s="1973"/>
      <c r="T1404" s="1973"/>
      <c r="U1404" s="1973"/>
      <c r="V1404" s="1974"/>
      <c r="W1404" s="1974"/>
      <c r="X1404" s="1974"/>
      <c r="Y1404" s="1974"/>
      <c r="Z1404" s="1974"/>
      <c r="AA1404" s="1974"/>
      <c r="AB1404" s="1974"/>
      <c r="AC1404" s="1974"/>
      <c r="AD1404" s="1974"/>
      <c r="AE1404" s="1974"/>
      <c r="AF1404" s="1974"/>
    </row>
    <row r="1405" spans="1:32" ht="15" customHeight="1">
      <c r="A1405" s="1987"/>
      <c r="B1405" s="2402"/>
      <c r="C1405" s="1974" t="s">
        <v>4867</v>
      </c>
      <c r="D1405" s="1974"/>
      <c r="E1405" s="1974"/>
      <c r="F1405" s="1974"/>
      <c r="G1405" s="1974"/>
      <c r="H1405" s="1974"/>
      <c r="I1405" s="1974"/>
      <c r="J1405" s="1974"/>
      <c r="K1405" s="1974"/>
      <c r="L1405" s="2402"/>
      <c r="M1405" s="1974"/>
      <c r="N1405" s="2004" t="str">
        <f>'Part VIII Scoring Criteria'!N211</f>
        <v>&lt;Page # from Plan&gt;</v>
      </c>
      <c r="O1405" s="2956"/>
      <c r="P1405" s="2956"/>
      <c r="Q1405" s="1987"/>
      <c r="R1405" s="1974"/>
      <c r="S1405" s="1973"/>
      <c r="T1405" s="1973"/>
      <c r="U1405" s="1973"/>
      <c r="V1405" s="1987"/>
      <c r="W1405" s="1974"/>
      <c r="X1405" s="1974"/>
      <c r="Y1405" s="1974"/>
      <c r="Z1405" s="1974"/>
      <c r="AA1405" s="1974"/>
      <c r="AB1405" s="1974"/>
      <c r="AC1405" s="1974"/>
      <c r="AD1405" s="1974"/>
      <c r="AE1405" s="1974"/>
      <c r="AF1405" s="1974"/>
    </row>
    <row r="1406" spans="1:32" ht="13.8">
      <c r="A1406" s="2404" t="s">
        <v>1835</v>
      </c>
      <c r="B1406" s="2877" t="s">
        <v>4068</v>
      </c>
      <c r="C1406" s="1974"/>
      <c r="D1406" s="1974"/>
      <c r="E1406" s="1974"/>
      <c r="F1406" s="1974"/>
      <c r="G1406" s="1974"/>
      <c r="H1406" s="1974"/>
      <c r="I1406" s="1974"/>
      <c r="J1406" s="1974"/>
      <c r="K1406" s="1974"/>
      <c r="L1406" s="2907" t="s">
        <v>4865</v>
      </c>
      <c r="M1406" s="2404">
        <v>6</v>
      </c>
      <c r="N1406" s="1974"/>
      <c r="O1406" s="2959">
        <f>'Part VIII Scoring Criteria'!O212</f>
        <v>0</v>
      </c>
      <c r="P1406" s="2959">
        <f>'Part VIII Scoring Criteria'!P212</f>
        <v>0</v>
      </c>
      <c r="Q1406" s="1987"/>
      <c r="R1406" s="1974"/>
      <c r="S1406" s="1973"/>
      <c r="T1406" s="1973"/>
      <c r="U1406" s="1973"/>
      <c r="V1406" s="1987"/>
      <c r="W1406" s="1974"/>
      <c r="X1406" s="1974"/>
      <c r="Y1406" s="1974"/>
      <c r="Z1406" s="1974"/>
      <c r="AA1406" s="1974"/>
      <c r="AB1406" s="1974"/>
      <c r="AC1406" s="1974"/>
      <c r="AD1406" s="1974"/>
      <c r="AE1406" s="1974"/>
      <c r="AF1406" s="1974"/>
    </row>
    <row r="1407" spans="1:32" ht="13.8">
      <c r="A1407" s="2003"/>
      <c r="B1407" s="2877" t="s">
        <v>4868</v>
      </c>
      <c r="C1407" s="2001"/>
      <c r="D1407" s="2007"/>
      <c r="E1407" s="2007"/>
      <c r="F1407" s="2007"/>
      <c r="G1407" s="2007"/>
      <c r="H1407" s="2007"/>
      <c r="I1407" s="2007"/>
      <c r="J1407" s="2001"/>
      <c r="K1407" s="1987"/>
      <c r="L1407" s="2875" t="str">
        <f t="shared" ref="L1407:L1408" si="453">IF(OR($O1407=$M1407,$O1407=0,$O1407=""),"","* * Check Score! * *")</f>
        <v/>
      </c>
      <c r="M1407" s="1987">
        <v>2</v>
      </c>
      <c r="N1407" s="2884"/>
      <c r="O1407" s="2404">
        <f>'Part VIII Scoring Criteria'!O213</f>
        <v>0</v>
      </c>
      <c r="P1407" s="2000"/>
      <c r="Q1407" s="2001"/>
      <c r="R1407" s="1973"/>
      <c r="S1407" s="1973"/>
      <c r="T1407" s="1973"/>
      <c r="U1407" s="1973"/>
      <c r="V1407" s="2001"/>
      <c r="W1407" s="2001"/>
      <c r="X1407" s="2001"/>
      <c r="Y1407" s="2001"/>
      <c r="Z1407" s="2001"/>
      <c r="AA1407" s="2001"/>
      <c r="AB1407" s="2001"/>
      <c r="AC1407" s="2001"/>
      <c r="AD1407" s="2001"/>
      <c r="AE1407" s="2001"/>
      <c r="AF1407" s="2001"/>
    </row>
    <row r="1408" spans="1:32" ht="13.8">
      <c r="A1408" s="2404"/>
      <c r="B1408" s="2001" t="s">
        <v>5184</v>
      </c>
      <c r="C1408" s="2001"/>
      <c r="D1408" s="2863"/>
      <c r="E1408" s="2863"/>
      <c r="F1408" s="2863"/>
      <c r="G1408" s="2863"/>
      <c r="H1408" s="2863"/>
      <c r="I1408" s="2863"/>
      <c r="J1408" s="2863"/>
      <c r="K1408" s="2863"/>
      <c r="L1408" s="2875" t="str">
        <f t="shared" si="453"/>
        <v/>
      </c>
      <c r="M1408" s="1987">
        <v>1</v>
      </c>
      <c r="N1408" s="2402"/>
      <c r="O1408" s="2404">
        <f>'Part VIII Scoring Criteria'!O214</f>
        <v>0</v>
      </c>
      <c r="P1408" s="2000"/>
      <c r="Q1408" s="2874" t="str">
        <f>IF(OR($O1408=$M1408,$O1408=0,$O1408=""),"","*CHECK!*")</f>
        <v/>
      </c>
      <c r="R1408" s="2877"/>
      <c r="S1408" s="2001"/>
      <c r="T1408" s="2001"/>
      <c r="U1408" s="2001"/>
      <c r="V1408" s="2001"/>
      <c r="W1408" s="2001"/>
      <c r="X1408" s="2001"/>
      <c r="Y1408" s="2001"/>
      <c r="Z1408" s="2001"/>
      <c r="AA1408" s="2001"/>
      <c r="AB1408" s="2001"/>
      <c r="AC1408" s="2001"/>
      <c r="AD1408" s="2001"/>
      <c r="AE1408" s="2001"/>
      <c r="AF1408" s="2001"/>
    </row>
    <row r="1409" spans="1:32" ht="13.8">
      <c r="A1409" s="2003"/>
      <c r="B1409" s="2877" t="s">
        <v>4939</v>
      </c>
      <c r="C1409" s="2001"/>
      <c r="D1409" s="2007"/>
      <c r="E1409" s="2007"/>
      <c r="F1409" s="2007"/>
      <c r="G1409" s="2007"/>
      <c r="H1409" s="2007"/>
      <c r="I1409" s="2007"/>
      <c r="J1409" s="2001"/>
      <c r="K1409" s="1987"/>
      <c r="L1409" s="2907" t="s">
        <v>4865</v>
      </c>
      <c r="M1409" s="1987">
        <v>3</v>
      </c>
      <c r="N1409" s="2001"/>
      <c r="O1409" s="2923">
        <f>'Part VIII Scoring Criteria'!O215</f>
        <v>0</v>
      </c>
      <c r="P1409" s="2923">
        <f>'Part VIII Scoring Criteria'!P215</f>
        <v>0</v>
      </c>
      <c r="Q1409" s="2001"/>
      <c r="R1409" s="1973"/>
      <c r="S1409" s="1973"/>
      <c r="T1409" s="1973"/>
      <c r="U1409" s="1973"/>
      <c r="V1409" s="2001"/>
      <c r="W1409" s="2001"/>
      <c r="X1409" s="2001"/>
      <c r="Y1409" s="2001"/>
      <c r="Z1409" s="2001"/>
      <c r="AA1409" s="2001"/>
      <c r="AB1409" s="2001"/>
      <c r="AC1409" s="2001"/>
      <c r="AD1409" s="2001"/>
      <c r="AE1409" s="2001"/>
      <c r="AF1409" s="2001"/>
    </row>
    <row r="1410" spans="1:32" ht="13.8">
      <c r="A1410" s="1987"/>
      <c r="B1410" s="2879"/>
      <c r="C1410" s="2008" t="s">
        <v>4940</v>
      </c>
      <c r="D1410" s="2008"/>
      <c r="E1410" s="2008"/>
      <c r="F1410" s="2008"/>
      <c r="G1410" s="2008"/>
      <c r="H1410" s="2008"/>
      <c r="I1410" s="2008"/>
      <c r="J1410" s="2008"/>
      <c r="K1410" s="2008"/>
      <c r="L1410" s="2008"/>
      <c r="M1410" s="1987">
        <v>3</v>
      </c>
      <c r="N1410" s="2006"/>
      <c r="O1410" s="2923">
        <f>'Part VIII Scoring Criteria'!O216</f>
        <v>0</v>
      </c>
      <c r="P1410" s="2923">
        <f>'Part VIII Scoring Criteria'!P216</f>
        <v>0</v>
      </c>
      <c r="Q1410" s="2001"/>
      <c r="R1410" s="2001"/>
      <c r="S1410" s="2001"/>
      <c r="T1410" s="2001"/>
      <c r="U1410" s="2001"/>
      <c r="V1410" s="2001"/>
      <c r="W1410" s="2001"/>
      <c r="X1410" s="2001"/>
      <c r="Y1410" s="2001"/>
      <c r="Z1410" s="2001"/>
      <c r="AA1410" s="2001"/>
      <c r="AB1410" s="2001"/>
      <c r="AC1410" s="2001"/>
      <c r="AD1410" s="2001"/>
      <c r="AE1410" s="2001"/>
      <c r="AF1410" s="2001"/>
    </row>
    <row r="1411" spans="1:32" ht="13.8">
      <c r="A1411" s="2404"/>
      <c r="B1411" s="2001"/>
      <c r="C1411" s="2873"/>
      <c r="D1411" s="2007" t="s">
        <v>4870</v>
      </c>
      <c r="E1411" s="2007"/>
      <c r="F1411" s="2007"/>
      <c r="G1411" s="2007"/>
      <c r="H1411" s="2007"/>
      <c r="I1411" s="2007"/>
      <c r="J1411" s="2007"/>
      <c r="K1411" s="2007"/>
      <c r="L1411" s="2007"/>
      <c r="M1411" s="2006"/>
      <c r="N1411" s="2884"/>
      <c r="O1411" s="2404">
        <f>'Part VIII Scoring Criteria'!O217</f>
        <v>0</v>
      </c>
      <c r="P1411" s="2000"/>
      <c r="Q1411" s="2874"/>
      <c r="R1411" s="2877"/>
      <c r="S1411" s="2001"/>
      <c r="T1411" s="2001"/>
      <c r="U1411" s="2001"/>
      <c r="V1411" s="2001"/>
      <c r="W1411" s="2001"/>
      <c r="X1411" s="2001"/>
      <c r="Y1411" s="2001"/>
      <c r="Z1411" s="2001"/>
      <c r="AA1411" s="2001"/>
      <c r="AB1411" s="2001"/>
      <c r="AC1411" s="2001"/>
      <c r="AD1411" s="2001"/>
      <c r="AE1411" s="2001"/>
      <c r="AF1411" s="2001"/>
    </row>
    <row r="1412" spans="1:32" ht="13.8">
      <c r="A1412" s="2404"/>
      <c r="B1412" s="2001"/>
      <c r="C1412" s="2873"/>
      <c r="D1412" s="2007" t="s">
        <v>4871</v>
      </c>
      <c r="E1412" s="2007"/>
      <c r="F1412" s="2007"/>
      <c r="G1412" s="2007"/>
      <c r="H1412" s="2007"/>
      <c r="I1412" s="2007"/>
      <c r="J1412" s="2007"/>
      <c r="K1412" s="2007"/>
      <c r="L1412" s="2007"/>
      <c r="M1412" s="2006"/>
      <c r="N1412" s="2884"/>
      <c r="O1412" s="2404">
        <f>'Part VIII Scoring Criteria'!O218</f>
        <v>0</v>
      </c>
      <c r="P1412" s="2926"/>
      <c r="Q1412" s="2874"/>
      <c r="R1412" s="2877"/>
      <c r="S1412" s="2001"/>
      <c r="T1412" s="2001"/>
      <c r="U1412" s="2001"/>
      <c r="V1412" s="2001"/>
      <c r="W1412" s="2001"/>
      <c r="X1412" s="2001"/>
      <c r="Y1412" s="2001"/>
      <c r="Z1412" s="2001"/>
      <c r="AA1412" s="2001"/>
      <c r="AB1412" s="2001"/>
      <c r="AC1412" s="2001"/>
      <c r="AD1412" s="2001"/>
      <c r="AE1412" s="2001"/>
      <c r="AF1412" s="2001"/>
    </row>
    <row r="1413" spans="1:32" ht="13.8">
      <c r="A1413" s="2404"/>
      <c r="B1413" s="2879"/>
      <c r="C1413" s="2873"/>
      <c r="D1413" s="2007" t="s">
        <v>4872</v>
      </c>
      <c r="E1413" s="2007"/>
      <c r="F1413" s="2007"/>
      <c r="G1413" s="2007"/>
      <c r="H1413" s="2007"/>
      <c r="I1413" s="2007"/>
      <c r="J1413" s="2007"/>
      <c r="K1413" s="2007"/>
      <c r="L1413" s="2007"/>
      <c r="M1413" s="2006"/>
      <c r="N1413" s="2884"/>
      <c r="O1413" s="2404">
        <f>'Part VIII Scoring Criteria'!O219</f>
        <v>0</v>
      </c>
      <c r="P1413" s="2926"/>
      <c r="Q1413" s="2874"/>
      <c r="R1413" s="2877"/>
      <c r="S1413" s="2001"/>
      <c r="T1413" s="2001"/>
      <c r="U1413" s="2001"/>
      <c r="V1413" s="2001"/>
      <c r="W1413" s="2001"/>
      <c r="X1413" s="2001"/>
      <c r="Y1413" s="2001"/>
      <c r="Z1413" s="2001"/>
      <c r="AA1413" s="2001"/>
      <c r="AB1413" s="2001"/>
      <c r="AC1413" s="2001"/>
      <c r="AD1413" s="2001"/>
      <c r="AE1413" s="2001"/>
      <c r="AF1413" s="2001"/>
    </row>
    <row r="1414" spans="1:32" ht="13.8">
      <c r="A1414" s="1987"/>
      <c r="B1414" s="2001"/>
      <c r="C1414" s="2008" t="s">
        <v>4874</v>
      </c>
      <c r="D1414" s="2001"/>
      <c r="E1414" s="2008"/>
      <c r="F1414" s="2008"/>
      <c r="G1414" s="2008"/>
      <c r="H1414" s="2008"/>
      <c r="I1414" s="2008"/>
      <c r="J1414" s="2008"/>
      <c r="K1414" s="2008"/>
      <c r="L1414" s="2875" t="str">
        <f t="shared" ref="L1414:L1415" si="454">IF(OR($O1414=$M1414,$O1414=0,$O1414=""),"","* * Check Score! * *")</f>
        <v/>
      </c>
      <c r="M1414" s="1987">
        <v>1</v>
      </c>
      <c r="N1414" s="2006"/>
      <c r="O1414" s="2404">
        <f>'Part VIII Scoring Criteria'!O220</f>
        <v>0</v>
      </c>
      <c r="P1414" s="2000"/>
      <c r="Q1414" s="2001"/>
      <c r="R1414" s="2001"/>
      <c r="S1414" s="2001"/>
      <c r="T1414" s="2001"/>
      <c r="U1414" s="2001"/>
      <c r="V1414" s="2001"/>
      <c r="W1414" s="2001"/>
      <c r="X1414" s="2001"/>
      <c r="Y1414" s="2001"/>
      <c r="Z1414" s="2001"/>
      <c r="AA1414" s="2001"/>
      <c r="AB1414" s="2001"/>
      <c r="AC1414" s="2001"/>
      <c r="AD1414" s="2001"/>
      <c r="AE1414" s="2001"/>
      <c r="AF1414" s="2001"/>
    </row>
    <row r="1415" spans="1:32" ht="13.8">
      <c r="A1415" s="1987"/>
      <c r="B1415" s="2001"/>
      <c r="C1415" s="2008" t="s">
        <v>4967</v>
      </c>
      <c r="D1415" s="2001"/>
      <c r="E1415" s="2008"/>
      <c r="F1415" s="2008"/>
      <c r="G1415" s="2008"/>
      <c r="H1415" s="2008"/>
      <c r="I1415" s="2008"/>
      <c r="J1415" s="2008"/>
      <c r="K1415" s="2008"/>
      <c r="L1415" s="2875" t="str">
        <f t="shared" si="454"/>
        <v/>
      </c>
      <c r="M1415" s="1987">
        <v>2</v>
      </c>
      <c r="N1415" s="2006"/>
      <c r="O1415" s="2404">
        <f>'Part VIII Scoring Criteria'!O221</f>
        <v>0</v>
      </c>
      <c r="P1415" s="2000"/>
      <c r="Q1415" s="2001"/>
      <c r="R1415" s="2001"/>
      <c r="S1415" s="2001"/>
      <c r="T1415" s="2001"/>
      <c r="U1415" s="2001"/>
      <c r="V1415" s="2001"/>
      <c r="W1415" s="2001"/>
      <c r="X1415" s="2001"/>
      <c r="Y1415" s="2001"/>
      <c r="Z1415" s="2001"/>
      <c r="AA1415" s="2001"/>
      <c r="AB1415" s="2001"/>
      <c r="AC1415" s="2001"/>
      <c r="AD1415" s="2001"/>
      <c r="AE1415" s="2001"/>
      <c r="AF1415" s="2001"/>
    </row>
    <row r="1416" spans="1:32" ht="13.8">
      <c r="A1416" s="2404" t="s">
        <v>1837</v>
      </c>
      <c r="B1416" s="1973" t="s">
        <v>3305</v>
      </c>
      <c r="C1416" s="2008"/>
      <c r="D1416" s="2008"/>
      <c r="E1416" s="2008"/>
      <c r="F1416" s="2008"/>
      <c r="G1416" s="2008"/>
      <c r="H1416" s="2008"/>
      <c r="I1416" s="2008"/>
      <c r="J1416" s="2008"/>
      <c r="K1416" s="2008"/>
      <c r="L1416" s="2907" t="s">
        <v>4865</v>
      </c>
      <c r="M1416" s="2404">
        <v>3</v>
      </c>
      <c r="N1416" s="2006"/>
      <c r="O1416" s="2000">
        <f>'Part VIII Scoring Criteria'!O222</f>
        <v>0</v>
      </c>
      <c r="P1416" s="2000">
        <f>'Part VIII Scoring Criteria'!P222</f>
        <v>0</v>
      </c>
      <c r="Q1416" s="2404"/>
      <c r="R1416" s="2877"/>
      <c r="S1416" s="2001"/>
      <c r="T1416" s="2001"/>
      <c r="U1416" s="2001"/>
      <c r="V1416" s="2001"/>
      <c r="W1416" s="2001"/>
      <c r="X1416" s="2001"/>
      <c r="Y1416" s="2001"/>
      <c r="Z1416" s="2001"/>
      <c r="AA1416" s="2001"/>
      <c r="AB1416" s="2001"/>
      <c r="AC1416" s="2001"/>
      <c r="AD1416" s="2001"/>
      <c r="AE1416" s="2001"/>
      <c r="AF1416" s="2001"/>
    </row>
    <row r="1417" spans="1:32" ht="13.8">
      <c r="A1417" s="2404"/>
      <c r="B1417" s="1974" t="s">
        <v>4941</v>
      </c>
      <c r="C1417" s="2008"/>
      <c r="D1417" s="2008"/>
      <c r="E1417" s="2008"/>
      <c r="F1417" s="2008"/>
      <c r="G1417" s="2008"/>
      <c r="H1417" s="2008"/>
      <c r="I1417" s="2008"/>
      <c r="J1417" s="2008"/>
      <c r="K1417" s="2008"/>
      <c r="L1417" s="2907"/>
      <c r="M1417" s="2404"/>
      <c r="N1417" s="2006"/>
      <c r="O1417" s="2404">
        <f>'Part VIII Scoring Criteria'!O223</f>
        <v>0</v>
      </c>
      <c r="P1417" s="2926"/>
      <c r="Q1417" s="2404"/>
      <c r="R1417" s="2877"/>
      <c r="S1417" s="2001"/>
      <c r="T1417" s="2001"/>
      <c r="U1417" s="2001"/>
      <c r="V1417" s="2001"/>
      <c r="W1417" s="2001"/>
      <c r="X1417" s="2001"/>
      <c r="Y1417" s="2001"/>
      <c r="Z1417" s="2001"/>
      <c r="AA1417" s="2001"/>
      <c r="AB1417" s="2001"/>
      <c r="AC1417" s="2001"/>
      <c r="AD1417" s="2001"/>
      <c r="AE1417" s="2001"/>
      <c r="AF1417" s="2001"/>
    </row>
    <row r="1418" spans="1:32" ht="13.8">
      <c r="A1418" s="2399"/>
      <c r="B1418" s="2960" t="s">
        <v>1838</v>
      </c>
      <c r="C1418" s="2008" t="s">
        <v>4875</v>
      </c>
      <c r="D1418" s="2008"/>
      <c r="E1418" s="2008"/>
      <c r="F1418" s="2008"/>
      <c r="G1418" s="2008"/>
      <c r="H1418" s="2008"/>
      <c r="I1418" s="2001"/>
      <c r="J1418" s="2001"/>
      <c r="K1418" s="2001"/>
      <c r="L1418" s="2907" t="s">
        <v>4865</v>
      </c>
      <c r="M1418" s="1987">
        <v>3</v>
      </c>
      <c r="N1418" s="2006"/>
      <c r="O1418" s="2923">
        <f>'Part VIII Scoring Criteria'!O224</f>
        <v>0</v>
      </c>
      <c r="P1418" s="2923">
        <f>'Part VIII Scoring Criteria'!P224</f>
        <v>0</v>
      </c>
      <c r="Q1418" s="2404"/>
      <c r="R1418" s="2877"/>
      <c r="S1418" s="2001"/>
      <c r="T1418" s="2001"/>
      <c r="U1418" s="2001"/>
      <c r="V1418" s="2001"/>
      <c r="W1418" s="2001"/>
      <c r="X1418" s="2001"/>
      <c r="Y1418" s="2001"/>
      <c r="Z1418" s="2001"/>
      <c r="AA1418" s="2001"/>
      <c r="AB1418" s="2001"/>
      <c r="AC1418" s="2001"/>
      <c r="AD1418" s="2001"/>
      <c r="AE1418" s="2001"/>
      <c r="AF1418" s="2001"/>
    </row>
    <row r="1419" spans="1:32" ht="13.8">
      <c r="A1419" s="2001"/>
      <c r="B1419" s="2879" t="s">
        <v>1957</v>
      </c>
      <c r="C1419" s="2001" t="s">
        <v>4942</v>
      </c>
      <c r="D1419" s="2001"/>
      <c r="E1419" s="2001"/>
      <c r="F1419" s="2001"/>
      <c r="G1419" s="2001"/>
      <c r="H1419" s="2001"/>
      <c r="I1419" s="2001"/>
      <c r="J1419" s="2001"/>
      <c r="K1419" s="2001"/>
      <c r="L1419" s="2875" t="str">
        <f>IF(OR($O1419=$M1419,$O1419=0,$O1419=""),"","* * Check Score! * *")</f>
        <v/>
      </c>
      <c r="M1419" s="1992">
        <v>1</v>
      </c>
      <c r="N1419" s="1992"/>
      <c r="O1419" s="2404">
        <f>'Part VIII Scoring Criteria'!O225</f>
        <v>0</v>
      </c>
      <c r="P1419" s="2000"/>
      <c r="Q1419" s="2001"/>
      <c r="R1419" s="2001"/>
      <c r="S1419" s="2001"/>
      <c r="T1419" s="2001"/>
      <c r="U1419" s="2001"/>
      <c r="V1419" s="2001"/>
      <c r="W1419" s="2001"/>
      <c r="X1419" s="2001"/>
      <c r="Y1419" s="2001"/>
      <c r="Z1419" s="2001"/>
      <c r="AA1419" s="2001"/>
      <c r="AB1419" s="2001"/>
      <c r="AC1419" s="2001"/>
      <c r="AD1419" s="2001"/>
      <c r="AE1419" s="2001"/>
      <c r="AF1419" s="2001"/>
    </row>
    <row r="1420" spans="1:32" ht="13.8">
      <c r="A1420" s="2001"/>
      <c r="B1420" s="2879" t="s">
        <v>1958</v>
      </c>
      <c r="C1420" s="2001" t="s">
        <v>4876</v>
      </c>
      <c r="D1420" s="2001"/>
      <c r="E1420" s="2001"/>
      <c r="F1420" s="2001"/>
      <c r="G1420" s="2001"/>
      <c r="H1420" s="2001"/>
      <c r="I1420" s="2001"/>
      <c r="J1420" s="2001"/>
      <c r="K1420" s="2001"/>
      <c r="L1420" s="2875" t="str">
        <f t="shared" ref="L1420" si="455">IF(OR($O1420=$M1420,$O1420=0,$O1420=""),"","* * Check Score! * *")</f>
        <v/>
      </c>
      <c r="M1420" s="1992">
        <v>1</v>
      </c>
      <c r="N1420" s="1992"/>
      <c r="O1420" s="2404">
        <f>'Part VIII Scoring Criteria'!O226</f>
        <v>0</v>
      </c>
      <c r="P1420" s="2000"/>
      <c r="Q1420" s="2001"/>
      <c r="R1420" s="2001"/>
      <c r="S1420" s="2001"/>
      <c r="T1420" s="2001"/>
      <c r="U1420" s="2001"/>
      <c r="V1420" s="2001"/>
      <c r="W1420" s="2001"/>
      <c r="X1420" s="2001"/>
      <c r="Y1420" s="2001"/>
      <c r="Z1420" s="2001"/>
      <c r="AA1420" s="2001"/>
      <c r="AB1420" s="2001"/>
      <c r="AC1420" s="2001"/>
      <c r="AD1420" s="2001"/>
      <c r="AE1420" s="2001"/>
      <c r="AF1420" s="2001"/>
    </row>
    <row r="1421" spans="1:32" ht="13.8">
      <c r="A1421" s="2001"/>
      <c r="B1421" s="2879" t="s">
        <v>1608</v>
      </c>
      <c r="C1421" s="2001" t="s">
        <v>4943</v>
      </c>
      <c r="D1421" s="2001"/>
      <c r="E1421" s="2001"/>
      <c r="F1421" s="2001"/>
      <c r="G1421" s="2001"/>
      <c r="H1421" s="2001"/>
      <c r="I1421" s="2001"/>
      <c r="J1421" s="2001"/>
      <c r="K1421" s="2001"/>
      <c r="L1421" s="2875"/>
      <c r="M1421" s="1992">
        <v>1</v>
      </c>
      <c r="N1421" s="1992"/>
      <c r="O1421" s="2404">
        <f>'Part VIII Scoring Criteria'!O227</f>
        <v>0</v>
      </c>
      <c r="P1421" s="2000"/>
      <c r="Q1421" s="2001"/>
      <c r="R1421" s="2001"/>
      <c r="S1421" s="2001"/>
      <c r="T1421" s="2001"/>
      <c r="U1421" s="2001"/>
      <c r="V1421" s="2001"/>
      <c r="W1421" s="2001"/>
      <c r="X1421" s="2001"/>
      <c r="Y1421" s="2001"/>
      <c r="Z1421" s="2001"/>
      <c r="AA1421" s="2001"/>
      <c r="AB1421" s="2001"/>
      <c r="AC1421" s="2001"/>
      <c r="AD1421" s="2001"/>
      <c r="AE1421" s="2001"/>
      <c r="AF1421" s="2001"/>
    </row>
    <row r="1422" spans="1:32" ht="13.8">
      <c r="A1422" s="2399"/>
      <c r="B1422" s="2878" t="s">
        <v>1840</v>
      </c>
      <c r="C1422" s="1974" t="s">
        <v>4877</v>
      </c>
      <c r="D1422" s="2907"/>
      <c r="E1422" s="2008"/>
      <c r="F1422" s="2008"/>
      <c r="G1422" s="2008"/>
      <c r="H1422" s="2008"/>
      <c r="I1422" s="2001"/>
      <c r="J1422" s="2001"/>
      <c r="K1422" s="2001"/>
      <c r="L1422" s="2001"/>
      <c r="M1422" s="1987">
        <v>2</v>
      </c>
      <c r="N1422" s="2961" t="str">
        <f>IF(OR(O$265&gt;0,O$238&gt;0),"Applicant is ineligible for points in this section!  Points claimed in Stable Communities or Community Designations.","")</f>
        <v/>
      </c>
      <c r="O1422" s="2404">
        <f>'Part VIII Scoring Criteria'!O228</f>
        <v>0</v>
      </c>
      <c r="P1422" s="2000"/>
      <c r="Q1422" s="2404"/>
      <c r="R1422" s="1973"/>
      <c r="S1422" s="1973"/>
      <c r="T1422" s="1973"/>
      <c r="U1422" s="1973"/>
      <c r="V1422" s="2001"/>
      <c r="W1422" s="2001"/>
      <c r="X1422" s="2001"/>
      <c r="Y1422" s="2001"/>
      <c r="Z1422" s="2001"/>
      <c r="AA1422" s="2001"/>
      <c r="AB1422" s="2001"/>
      <c r="AC1422" s="2001"/>
      <c r="AD1422" s="2001"/>
      <c r="AE1422" s="2001"/>
      <c r="AF1422" s="2001"/>
    </row>
    <row r="1423" spans="1:32" ht="13.8">
      <c r="A1423" s="2404" t="s">
        <v>697</v>
      </c>
      <c r="B1423" s="1973" t="s">
        <v>4824</v>
      </c>
      <c r="C1423" s="2001"/>
      <c r="D1423" s="1974"/>
      <c r="E1423" s="2001"/>
      <c r="F1423" s="2962"/>
      <c r="G1423" s="2001"/>
      <c r="H1423" s="2001"/>
      <c r="I1423" s="2001"/>
      <c r="J1423" s="2001"/>
      <c r="K1423" s="2407"/>
      <c r="L1423" s="2907" t="s">
        <v>4865</v>
      </c>
      <c r="M1423" s="2404">
        <v>3</v>
      </c>
      <c r="N1423" s="2402"/>
      <c r="O1423" s="2868">
        <f>'Part VIII Scoring Criteria'!O229</f>
        <v>0</v>
      </c>
      <c r="P1423" s="2868">
        <f>'Part VIII Scoring Criteria'!P229</f>
        <v>0</v>
      </c>
      <c r="Q1423" s="2876"/>
      <c r="R1423" s="2877"/>
      <c r="S1423" s="2001"/>
      <c r="T1423" s="2001"/>
      <c r="U1423" s="2001"/>
      <c r="V1423" s="2001"/>
      <c r="W1423" s="2001"/>
      <c r="X1423" s="2001"/>
      <c r="Y1423" s="2001"/>
      <c r="Z1423" s="2001"/>
      <c r="AA1423" s="2001"/>
      <c r="AB1423" s="2001"/>
      <c r="AC1423" s="2001"/>
      <c r="AD1423" s="2001"/>
      <c r="AE1423" s="2001"/>
      <c r="AF1423" s="2001"/>
    </row>
    <row r="1424" spans="1:32" ht="13.8">
      <c r="A1424" s="1974"/>
      <c r="B1424" s="2960" t="s">
        <v>1838</v>
      </c>
      <c r="C1424" s="2008" t="s">
        <v>3696</v>
      </c>
      <c r="D1424" s="2008"/>
      <c r="E1424" s="2008"/>
      <c r="F1424" s="2008"/>
      <c r="G1424" s="2008"/>
      <c r="H1424" s="2008"/>
      <c r="I1424" s="2008"/>
      <c r="J1424" s="2008"/>
      <c r="K1424" s="2008"/>
      <c r="L1424" s="2907" t="s">
        <v>4865</v>
      </c>
      <c r="M1424" s="2006">
        <v>2</v>
      </c>
      <c r="N1424" s="2006"/>
      <c r="O1424" s="2940">
        <f>'Part VIII Scoring Criteria'!O230</f>
        <v>0</v>
      </c>
      <c r="P1424" s="2940"/>
      <c r="Q1424" s="2001"/>
      <c r="R1424" s="2001"/>
      <c r="S1424" s="2001"/>
      <c r="T1424" s="2001"/>
      <c r="U1424" s="2001"/>
      <c r="V1424" s="2001"/>
      <c r="W1424" s="2001"/>
      <c r="X1424" s="2001"/>
      <c r="Y1424" s="2001"/>
      <c r="Z1424" s="2001"/>
      <c r="AA1424" s="2001"/>
      <c r="AB1424" s="2001"/>
      <c r="AC1424" s="2001"/>
      <c r="AD1424" s="2001"/>
      <c r="AE1424" s="2001"/>
      <c r="AF1424" s="2001"/>
    </row>
    <row r="1425" spans="1:32" ht="13.8">
      <c r="A1425" s="1974"/>
      <c r="B1425" s="2878" t="s">
        <v>1840</v>
      </c>
      <c r="C1425" s="2008" t="s">
        <v>4878</v>
      </c>
      <c r="D1425" s="2008"/>
      <c r="E1425" s="2008"/>
      <c r="F1425" s="2008"/>
      <c r="G1425" s="2008"/>
      <c r="H1425" s="2008"/>
      <c r="I1425" s="2008"/>
      <c r="J1425" s="2008"/>
      <c r="K1425" s="2008"/>
      <c r="L1425" s="2008"/>
      <c r="M1425" s="2006">
        <v>1</v>
      </c>
      <c r="N1425" s="2006"/>
      <c r="O1425" s="2940">
        <f>'Part VIII Scoring Criteria'!O231</f>
        <v>0</v>
      </c>
      <c r="P1425" s="2940"/>
      <c r="Q1425" s="2001"/>
      <c r="R1425" s="2001"/>
      <c r="S1425" s="2001"/>
      <c r="T1425" s="2001"/>
      <c r="U1425" s="2001"/>
      <c r="V1425" s="2001"/>
      <c r="W1425" s="2001"/>
      <c r="X1425" s="2001"/>
      <c r="Y1425" s="2001"/>
      <c r="Z1425" s="2001"/>
      <c r="AA1425" s="2001"/>
      <c r="AB1425" s="2001"/>
      <c r="AC1425" s="2001"/>
      <c r="AD1425" s="2001"/>
      <c r="AE1425" s="2001"/>
      <c r="AF1425" s="2001"/>
    </row>
    <row r="1426" spans="1:32" ht="14.4">
      <c r="A1426" s="1974"/>
      <c r="B1426" s="2869" t="s">
        <v>5173</v>
      </c>
      <c r="C1426" s="1974"/>
      <c r="D1426" s="1974"/>
      <c r="E1426" s="1974"/>
      <c r="F1426" s="1974"/>
      <c r="G1426" s="1974"/>
      <c r="H1426" s="1974"/>
      <c r="I1426" s="1974"/>
      <c r="J1426" s="1974"/>
      <c r="K1426" s="1974"/>
      <c r="L1426" s="2001"/>
      <c r="M1426" s="1987"/>
      <c r="N1426" s="1992"/>
      <c r="O1426" s="2000"/>
      <c r="P1426" s="2003"/>
      <c r="Q1426" s="1974"/>
      <c r="R1426" s="1974"/>
      <c r="S1426" s="1974"/>
      <c r="T1426" s="1974"/>
      <c r="U1426" s="1974"/>
      <c r="V1426" s="1974"/>
      <c r="W1426" s="1974"/>
      <c r="X1426" s="1974"/>
      <c r="Y1426" s="1974"/>
      <c r="Z1426" s="1974"/>
      <c r="AA1426" s="1974"/>
      <c r="AB1426" s="1974"/>
      <c r="AC1426" s="1974"/>
      <c r="AD1426" s="1974"/>
      <c r="AE1426" s="1974"/>
      <c r="AF1426" s="1974"/>
    </row>
    <row r="1427" spans="1:32" ht="13.8">
      <c r="A1427" s="2008" t="str">
        <f>'Part VIII Scoring Criteria'!A233</f>
        <v>The Applicant is not claiming points in this scoring section.</v>
      </c>
      <c r="B1427" s="2007"/>
      <c r="C1427" s="2007"/>
      <c r="D1427" s="2007"/>
      <c r="E1427" s="2007"/>
      <c r="F1427" s="2007"/>
      <c r="G1427" s="2007"/>
      <c r="H1427" s="2007"/>
      <c r="I1427" s="2007"/>
      <c r="J1427" s="2007"/>
      <c r="K1427" s="2007"/>
      <c r="L1427" s="2007"/>
      <c r="M1427" s="2007"/>
      <c r="N1427" s="2007"/>
      <c r="O1427" s="2007"/>
      <c r="P1427" s="2007"/>
      <c r="Q1427" s="1973"/>
      <c r="R1427" s="2001"/>
      <c r="S1427" s="2001"/>
      <c r="T1427" s="2001"/>
      <c r="U1427" s="2001"/>
      <c r="V1427" s="2001"/>
      <c r="W1427" s="2001"/>
      <c r="X1427" s="2001"/>
      <c r="Y1427" s="2001"/>
      <c r="Z1427" s="2001"/>
      <c r="AA1427" s="2001"/>
      <c r="AB1427" s="2001"/>
      <c r="AC1427" s="2001"/>
      <c r="AD1427" s="2001"/>
      <c r="AE1427" s="2001"/>
      <c r="AF1427" s="2001"/>
    </row>
    <row r="1428" spans="1:32" ht="14.4">
      <c r="A1428" s="1974"/>
      <c r="B1428" s="2869" t="s">
        <v>1724</v>
      </c>
      <c r="C1428" s="1974"/>
      <c r="D1428" s="2869"/>
      <c r="E1428" s="1974"/>
      <c r="F1428" s="1974"/>
      <c r="G1428" s="1974"/>
      <c r="H1428" s="1974"/>
      <c r="I1428" s="1974"/>
      <c r="J1428" s="1974"/>
      <c r="K1428" s="1974"/>
      <c r="L1428" s="1974"/>
      <c r="M1428" s="1974"/>
      <c r="N1428" s="1974"/>
      <c r="O1428" s="1973"/>
      <c r="P1428" s="1973"/>
      <c r="Q1428" s="2001"/>
      <c r="R1428" s="1974"/>
      <c r="S1428" s="1974"/>
      <c r="T1428" s="1974"/>
      <c r="U1428" s="1974"/>
      <c r="V1428" s="1974"/>
      <c r="W1428" s="1974"/>
      <c r="X1428" s="1974"/>
      <c r="Y1428" s="1974"/>
      <c r="Z1428" s="1974"/>
      <c r="AA1428" s="1974"/>
      <c r="AB1428" s="1974"/>
      <c r="AC1428" s="1974"/>
      <c r="AD1428" s="1974"/>
      <c r="AE1428" s="1974"/>
      <c r="AF1428" s="1974"/>
    </row>
    <row r="1429" spans="1:32" ht="13.8">
      <c r="A1429" s="2007"/>
      <c r="B1429" s="2007"/>
      <c r="C1429" s="2007"/>
      <c r="D1429" s="2007"/>
      <c r="E1429" s="2007"/>
      <c r="F1429" s="2007"/>
      <c r="G1429" s="2007"/>
      <c r="H1429" s="2007"/>
      <c r="I1429" s="2007"/>
      <c r="J1429" s="2007"/>
      <c r="K1429" s="2007"/>
      <c r="L1429" s="2007"/>
      <c r="M1429" s="2007"/>
      <c r="N1429" s="2007"/>
      <c r="O1429" s="2007"/>
      <c r="P1429" s="2007"/>
      <c r="Q1429" s="1973"/>
      <c r="R1429" s="2001"/>
      <c r="S1429" s="2001"/>
      <c r="T1429" s="2001"/>
      <c r="U1429" s="2001"/>
      <c r="V1429" s="2001"/>
      <c r="W1429" s="2001"/>
      <c r="X1429" s="2001"/>
      <c r="Y1429" s="2001"/>
      <c r="Z1429" s="2001"/>
      <c r="AA1429" s="2001"/>
      <c r="AB1429" s="2001"/>
      <c r="AC1429" s="2001"/>
      <c r="AD1429" s="2001"/>
      <c r="AE1429" s="2001"/>
      <c r="AF1429" s="2001"/>
    </row>
    <row r="1430" spans="1:32" ht="13.8">
      <c r="A1430" s="2001"/>
      <c r="B1430" s="2001"/>
      <c r="C1430" s="2001"/>
      <c r="D1430" s="2001"/>
      <c r="E1430" s="2001"/>
      <c r="F1430" s="2001"/>
      <c r="G1430" s="2001"/>
      <c r="H1430" s="2001"/>
      <c r="I1430" s="2001"/>
      <c r="J1430" s="2001"/>
      <c r="K1430" s="2001"/>
      <c r="L1430" s="2001"/>
      <c r="M1430" s="2001"/>
      <c r="N1430" s="2001"/>
      <c r="O1430" s="2009"/>
      <c r="P1430" s="2009"/>
      <c r="Q1430" s="2001"/>
      <c r="R1430" s="2001"/>
      <c r="S1430" s="2001"/>
      <c r="T1430" s="2001"/>
      <c r="U1430" s="2001"/>
      <c r="V1430" s="2001"/>
      <c r="W1430" s="2001"/>
      <c r="X1430" s="2001"/>
      <c r="Y1430" s="2001"/>
      <c r="Z1430" s="2001"/>
      <c r="AA1430" s="2001"/>
      <c r="AB1430" s="2001"/>
      <c r="AC1430" s="2001"/>
      <c r="AD1430" s="2001"/>
      <c r="AE1430" s="2001"/>
      <c r="AF1430" s="2001"/>
    </row>
    <row r="1431" spans="1:32" ht="13.8">
      <c r="A1431" s="2001"/>
      <c r="B1431" s="2001"/>
      <c r="C1431" s="2001"/>
      <c r="D1431" s="2001"/>
      <c r="E1431" s="2001"/>
      <c r="F1431" s="2001"/>
      <c r="G1431" s="2001"/>
      <c r="H1431" s="2001"/>
      <c r="I1431" s="2001"/>
      <c r="J1431" s="2001"/>
      <c r="K1431" s="2001"/>
      <c r="L1431" s="2001"/>
      <c r="M1431" s="2001"/>
      <c r="N1431" s="1992"/>
      <c r="O1431" s="2003"/>
      <c r="P1431" s="2003"/>
      <c r="Q1431" s="2001"/>
      <c r="R1431" s="2001"/>
      <c r="S1431" s="2001"/>
      <c r="T1431" s="2001"/>
      <c r="U1431" s="2001"/>
      <c r="V1431" s="2001"/>
      <c r="W1431" s="2001"/>
      <c r="X1431" s="2001"/>
      <c r="Y1431" s="2001"/>
      <c r="Z1431" s="2001"/>
      <c r="AA1431" s="2001"/>
      <c r="AB1431" s="2001"/>
      <c r="AC1431" s="2001"/>
      <c r="AD1431" s="2001"/>
      <c r="AE1431" s="2001"/>
      <c r="AF1431" s="2001"/>
    </row>
    <row r="1432" spans="1:32" ht="13.8">
      <c r="A1432" s="2399" t="s">
        <v>2074</v>
      </c>
      <c r="B1432" s="2400" t="s">
        <v>2489</v>
      </c>
      <c r="C1432" s="1974"/>
      <c r="D1432" s="2400"/>
      <c r="E1432" s="2400"/>
      <c r="F1432" s="2004" t="s">
        <v>424</v>
      </c>
      <c r="G1432" s="2004" t="str">
        <f>'Part I-Project Identification'!$P$26</f>
        <v>Yes</v>
      </c>
      <c r="H1432" s="1974"/>
      <c r="I1432" s="1974"/>
      <c r="J1432" s="1974"/>
      <c r="K1432" s="2407" t="str">
        <f>IF(OR($O$206&gt;0,$O$265&gt;0,$O$304&gt;0),"Points already claimed in another restricted section!","")</f>
        <v/>
      </c>
      <c r="L1432" s="2875" t="str">
        <f>IF(OR($O1432=$M1432,$O1432=0,$O1432=""),"",IF(OR($O1432&lt;$J$251,$O1432&gt;$J$251),"* * Check Score! * *",""))</f>
        <v/>
      </c>
      <c r="M1432" s="2404">
        <v>10</v>
      </c>
      <c r="N1432" s="1987"/>
      <c r="O1432" s="2000">
        <f>'Part VIII Scoring Criteria'!O238</f>
        <v>0</v>
      </c>
      <c r="P1432" s="2000">
        <f>'Part VIII Scoring Criteria'!P238</f>
        <v>0</v>
      </c>
      <c r="Q1432" s="2404" t="s">
        <v>415</v>
      </c>
      <c r="R1432" s="2958" t="s">
        <v>4956</v>
      </c>
      <c r="S1432" s="1973"/>
      <c r="T1432" s="1973"/>
      <c r="U1432" s="1973"/>
      <c r="V1432" s="2954" t="str">
        <f>'Part VIII Scoring Criteria'!V238</f>
        <v>&lt;&lt; Select Scoring Track &gt;&gt;</v>
      </c>
      <c r="W1432" s="2001"/>
      <c r="X1432" s="2001"/>
      <c r="Y1432" s="1974"/>
      <c r="Z1432" s="1974"/>
      <c r="AA1432" s="1974"/>
      <c r="AB1432" s="1974"/>
      <c r="AC1432" s="1974"/>
      <c r="AD1432" s="1974"/>
      <c r="AE1432" s="1974"/>
      <c r="AF1432" s="1974"/>
    </row>
    <row r="1433" spans="1:32" ht="13.8">
      <c r="A1433" s="2399"/>
      <c r="B1433" s="2400"/>
      <c r="C1433" s="1974"/>
      <c r="D1433" s="2400"/>
      <c r="E1433" s="2400"/>
      <c r="F1433" s="2004" t="s">
        <v>4985</v>
      </c>
      <c r="G1433" s="1974"/>
      <c r="H1433" s="1974"/>
      <c r="I1433" s="1974"/>
      <c r="J1433" s="1974"/>
      <c r="K1433" s="1974"/>
      <c r="L1433" s="2407"/>
      <c r="M1433" s="2404"/>
      <c r="N1433" s="1987"/>
      <c r="O1433" s="2000">
        <f>MAX(J1445,O1432)</f>
        <v>0</v>
      </c>
      <c r="P1433" s="2000">
        <f>MAX(K1445,P1432)</f>
        <v>0</v>
      </c>
      <c r="Q1433" s="2404"/>
      <c r="R1433" s="2877"/>
      <c r="S1433" s="1973"/>
      <c r="T1433" s="1973"/>
      <c r="U1433" s="1973"/>
      <c r="V1433" s="2001"/>
      <c r="W1433" s="2001"/>
      <c r="X1433" s="2001"/>
      <c r="Y1433" s="1974"/>
      <c r="Z1433" s="1974"/>
      <c r="AA1433" s="1974"/>
      <c r="AB1433" s="1974"/>
      <c r="AC1433" s="1974"/>
      <c r="AD1433" s="1974"/>
      <c r="AE1433" s="1974"/>
      <c r="AF1433" s="1974"/>
    </row>
    <row r="1434" spans="1:32" ht="13.8">
      <c r="A1434" s="2399"/>
      <c r="B1434" s="1973" t="s">
        <v>4879</v>
      </c>
      <c r="C1434" s="1974"/>
      <c r="D1434" s="2400"/>
      <c r="E1434" s="1974"/>
      <c r="F1434" s="1974"/>
      <c r="G1434" s="1974"/>
      <c r="H1434" s="1974"/>
      <c r="I1434" s="1974"/>
      <c r="J1434" s="2404" t="s">
        <v>2879</v>
      </c>
      <c r="K1434" s="2963" t="s">
        <v>245</v>
      </c>
      <c r="L1434" s="2407"/>
      <c r="M1434" s="2404"/>
      <c r="N1434" s="1987"/>
      <c r="O1434" s="2000"/>
      <c r="P1434" s="2000"/>
      <c r="Q1434" s="2404"/>
      <c r="R1434" s="2877"/>
      <c r="S1434" s="1973"/>
      <c r="T1434" s="1973"/>
      <c r="U1434" s="1973"/>
      <c r="V1434" s="2001"/>
      <c r="W1434" s="2001"/>
      <c r="X1434" s="2001"/>
      <c r="Y1434" s="1974"/>
      <c r="Z1434" s="1974"/>
      <c r="AA1434" s="1974"/>
      <c r="AB1434" s="1974"/>
      <c r="AC1434" s="1974"/>
      <c r="AD1434" s="1974"/>
      <c r="AE1434" s="1974"/>
      <c r="AF1434" s="1974"/>
    </row>
    <row r="1435" spans="1:32" ht="15" customHeight="1">
      <c r="A1435" s="2399"/>
      <c r="B1435" s="2960"/>
      <c r="C1435" s="2007"/>
      <c r="D1435" s="2007"/>
      <c r="E1435" s="2007"/>
      <c r="F1435" s="1974"/>
      <c r="G1435" s="1974"/>
      <c r="H1435" s="1974"/>
      <c r="I1435" s="2007"/>
      <c r="J1435" s="2007"/>
      <c r="K1435" s="1974"/>
      <c r="L1435" s="2007"/>
      <c r="M1435" s="2007"/>
      <c r="N1435" s="1974"/>
      <c r="O1435" s="1974"/>
      <c r="P1435" s="1974"/>
      <c r="Q1435" s="2404"/>
      <c r="R1435" s="2877"/>
      <c r="S1435" s="1973"/>
      <c r="T1435" s="1973"/>
      <c r="U1435" s="1973"/>
      <c r="V1435" s="2001"/>
      <c r="W1435" s="2001"/>
      <c r="X1435" s="2001"/>
      <c r="Y1435" s="1974"/>
      <c r="Z1435" s="1974"/>
      <c r="AA1435" s="1974"/>
      <c r="AB1435" s="1974"/>
      <c r="AC1435" s="1974"/>
      <c r="AD1435" s="1974"/>
      <c r="AE1435" s="1974"/>
      <c r="AF1435" s="1974"/>
    </row>
    <row r="1436" spans="1:32" ht="13.8">
      <c r="A1436" s="2399"/>
      <c r="B1436" s="2960"/>
      <c r="C1436" s="2007"/>
      <c r="D1436" s="2007"/>
      <c r="E1436" s="2007"/>
      <c r="F1436" s="1974"/>
      <c r="G1436" s="1974"/>
      <c r="H1436" s="2007"/>
      <c r="I1436" s="2007"/>
      <c r="J1436" s="2007"/>
      <c r="K1436" s="2007"/>
      <c r="L1436" s="2007"/>
      <c r="M1436" s="2007"/>
      <c r="N1436" s="1974"/>
      <c r="O1436" s="1974"/>
      <c r="P1436" s="1974"/>
      <c r="Q1436" s="2404"/>
      <c r="R1436" s="2877"/>
      <c r="S1436" s="1973"/>
      <c r="T1436" s="1973"/>
      <c r="U1436" s="1973"/>
      <c r="V1436" s="2001"/>
      <c r="W1436" s="2001"/>
      <c r="X1436" s="2001"/>
      <c r="Y1436" s="1974"/>
      <c r="Z1436" s="1974"/>
      <c r="AA1436" s="1974"/>
      <c r="AB1436" s="1974"/>
      <c r="AC1436" s="1974"/>
      <c r="AD1436" s="1974"/>
      <c r="AE1436" s="1974"/>
      <c r="AF1436" s="1974"/>
    </row>
    <row r="1437" spans="1:32" ht="13.8">
      <c r="A1437" s="2399"/>
      <c r="B1437" s="2400"/>
      <c r="C1437" s="1974"/>
      <c r="D1437" s="2400"/>
      <c r="E1437" s="2400"/>
      <c r="F1437" s="1974"/>
      <c r="G1437" s="1974"/>
      <c r="H1437" s="1974"/>
      <c r="I1437" s="1974"/>
      <c r="J1437" s="1974"/>
      <c r="K1437" s="1974"/>
      <c r="L1437" s="2407"/>
      <c r="M1437" s="2404"/>
      <c r="N1437" s="1987"/>
      <c r="O1437" s="2000"/>
      <c r="P1437" s="2000"/>
      <c r="Q1437" s="2404"/>
      <c r="R1437" s="2877"/>
      <c r="S1437" s="1973"/>
      <c r="T1437" s="1973"/>
      <c r="U1437" s="1973"/>
      <c r="V1437" s="2001"/>
      <c r="W1437" s="2001"/>
      <c r="X1437" s="2001"/>
      <c r="Y1437" s="1974"/>
      <c r="Z1437" s="1974"/>
      <c r="AA1437" s="1974"/>
      <c r="AB1437" s="1974"/>
      <c r="AC1437" s="1974"/>
      <c r="AD1437" s="1974"/>
      <c r="AE1437" s="1974"/>
      <c r="AF1437" s="1974"/>
    </row>
    <row r="1438" spans="1:32" ht="13.8">
      <c r="A1438" s="2001"/>
      <c r="B1438" s="2001"/>
      <c r="C1438" s="2939"/>
      <c r="D1438" s="2001"/>
      <c r="E1438" s="2001"/>
      <c r="F1438" s="2001"/>
      <c r="G1438" s="2001"/>
      <c r="H1438" s="2001"/>
      <c r="I1438" s="2001"/>
      <c r="J1438" s="2964"/>
      <c r="K1438" s="2964"/>
      <c r="L1438" s="2964"/>
      <c r="M1438" s="2964"/>
      <c r="N1438" s="1987"/>
      <c r="O1438" s="1987"/>
      <c r="P1438" s="1987"/>
      <c r="Q1438" s="2001"/>
      <c r="R1438" s="2877"/>
      <c r="S1438" s="1973"/>
      <c r="T1438" s="2001"/>
      <c r="U1438" s="2001"/>
      <c r="V1438" s="2001"/>
      <c r="W1438" s="2001"/>
      <c r="X1438" s="2001"/>
      <c r="Y1438" s="2001"/>
      <c r="Z1438" s="2001"/>
      <c r="AA1438" s="2001"/>
      <c r="AB1438" s="2001"/>
      <c r="AC1438" s="2001"/>
      <c r="AD1438" s="2001"/>
      <c r="AE1438" s="2001"/>
      <c r="AF1438" s="2001"/>
    </row>
    <row r="1439" spans="1:32" ht="13.8">
      <c r="A1439" s="2399"/>
      <c r="B1439" s="2400"/>
      <c r="C1439" s="1974"/>
      <c r="D1439" s="2400"/>
      <c r="E1439" s="2400"/>
      <c r="F1439" s="1974"/>
      <c r="G1439" s="1974"/>
      <c r="H1439" s="1974"/>
      <c r="I1439" s="1974"/>
      <c r="J1439" s="1974"/>
      <c r="K1439" s="1974"/>
      <c r="L1439" s="1973"/>
      <c r="M1439" s="1973"/>
      <c r="N1439" s="1987"/>
      <c r="O1439" s="2000"/>
      <c r="P1439" s="2000"/>
      <c r="Q1439" s="2404"/>
      <c r="R1439" s="2877"/>
      <c r="S1439" s="1973"/>
      <c r="T1439" s="1973"/>
      <c r="U1439" s="1973"/>
      <c r="V1439" s="2001"/>
      <c r="W1439" s="2001"/>
      <c r="X1439" s="2001"/>
      <c r="Y1439" s="1974"/>
      <c r="Z1439" s="1974"/>
      <c r="AA1439" s="1974"/>
      <c r="AB1439" s="1974"/>
      <c r="AC1439" s="1974"/>
      <c r="AD1439" s="1974"/>
      <c r="AE1439" s="1974"/>
      <c r="AF1439" s="1974"/>
    </row>
    <row r="1440" spans="1:32" ht="13.8">
      <c r="A1440" s="2399"/>
      <c r="B1440" s="1974"/>
      <c r="C1440" s="1974"/>
      <c r="D1440" s="1974"/>
      <c r="E1440" s="2400"/>
      <c r="F1440" s="1974"/>
      <c r="G1440" s="1974"/>
      <c r="H1440" s="1974"/>
      <c r="I1440" s="1974"/>
      <c r="J1440" s="2404"/>
      <c r="K1440" s="2404"/>
      <c r="L1440" s="2404"/>
      <c r="M1440" s="2404"/>
      <c r="N1440" s="1987"/>
      <c r="O1440" s="2000"/>
      <c r="P1440" s="2000"/>
      <c r="Q1440" s="2404"/>
      <c r="R1440" s="2877"/>
      <c r="S1440" s="1973"/>
      <c r="T1440" s="1973"/>
      <c r="U1440" s="1973"/>
      <c r="V1440" s="2001"/>
      <c r="W1440" s="2001"/>
      <c r="X1440" s="2001"/>
      <c r="Y1440" s="1974"/>
      <c r="Z1440" s="1974"/>
      <c r="AA1440" s="1974"/>
      <c r="AB1440" s="1974"/>
      <c r="AC1440" s="1974"/>
      <c r="AD1440" s="1974"/>
      <c r="AE1440" s="1974"/>
      <c r="AF1440" s="1974"/>
    </row>
    <row r="1441" spans="1:32" ht="13.8">
      <c r="A1441" s="2399"/>
      <c r="B1441" s="1974"/>
      <c r="C1441" s="1974"/>
      <c r="D1441" s="2956"/>
      <c r="E1441" s="2400"/>
      <c r="F1441" s="1974"/>
      <c r="G1441" s="1974"/>
      <c r="H1441" s="1974"/>
      <c r="I1441" s="1974"/>
      <c r="J1441" s="2909"/>
      <c r="K1441" s="2909"/>
      <c r="L1441" s="2909"/>
      <c r="M1441" s="2404"/>
      <c r="N1441" s="1987"/>
      <c r="O1441" s="2000"/>
      <c r="P1441" s="2000"/>
      <c r="Q1441" s="2404"/>
      <c r="R1441" s="2877"/>
      <c r="S1441" s="1973"/>
      <c r="T1441" s="1973"/>
      <c r="U1441" s="1973"/>
      <c r="V1441" s="2001"/>
      <c r="W1441" s="2001"/>
      <c r="X1441" s="2001"/>
      <c r="Y1441" s="1974"/>
      <c r="Z1441" s="1974"/>
      <c r="AA1441" s="1974"/>
      <c r="AB1441" s="1974"/>
      <c r="AC1441" s="1974"/>
      <c r="AD1441" s="1974"/>
      <c r="AE1441" s="1974"/>
      <c r="AF1441" s="1974"/>
    </row>
    <row r="1442" spans="1:32" ht="13.8">
      <c r="A1442" s="2399"/>
      <c r="B1442" s="1974"/>
      <c r="C1442" s="1974"/>
      <c r="D1442" s="2956"/>
      <c r="E1442" s="2400"/>
      <c r="F1442" s="1974"/>
      <c r="G1442" s="1974"/>
      <c r="H1442" s="1974"/>
      <c r="I1442" s="1974"/>
      <c r="J1442" s="2909"/>
      <c r="K1442" s="2909"/>
      <c r="L1442" s="2909"/>
      <c r="M1442" s="2404"/>
      <c r="N1442" s="1987"/>
      <c r="O1442" s="2000"/>
      <c r="P1442" s="2000"/>
      <c r="Q1442" s="2404"/>
      <c r="R1442" s="2877"/>
      <c r="S1442" s="1973"/>
      <c r="T1442" s="1973"/>
      <c r="U1442" s="1973"/>
      <c r="V1442" s="2001"/>
      <c r="W1442" s="2001"/>
      <c r="X1442" s="2001"/>
      <c r="Y1442" s="1974"/>
      <c r="Z1442" s="1974"/>
      <c r="AA1442" s="1974"/>
      <c r="AB1442" s="1974"/>
      <c r="AC1442" s="1974"/>
      <c r="AD1442" s="1974"/>
      <c r="AE1442" s="1974"/>
      <c r="AF1442" s="1974"/>
    </row>
    <row r="1443" spans="1:32" ht="13.8">
      <c r="A1443" s="2399"/>
      <c r="B1443" s="1974"/>
      <c r="C1443" s="2004" t="s">
        <v>4944</v>
      </c>
      <c r="D1443" s="2956"/>
      <c r="E1443" s="2400"/>
      <c r="F1443" s="1974"/>
      <c r="G1443" s="1974"/>
      <c r="H1443" s="1974"/>
      <c r="I1443" s="1974"/>
      <c r="J1443" s="2909">
        <f>COUNTIF(F1448:F1452,"Above 50th")</f>
        <v>0</v>
      </c>
      <c r="K1443" s="2909">
        <f>COUNTIF(G1448:G1452,"Above 50th")</f>
        <v>0</v>
      </c>
      <c r="L1443" s="1974"/>
      <c r="M1443" s="2909"/>
      <c r="N1443" s="1987"/>
      <c r="O1443" s="2000"/>
      <c r="P1443" s="2000"/>
      <c r="Q1443" s="2404"/>
      <c r="R1443" s="2877"/>
      <c r="S1443" s="1973"/>
      <c r="T1443" s="1973"/>
      <c r="U1443" s="1973"/>
      <c r="V1443" s="2001"/>
      <c r="W1443" s="2001"/>
      <c r="X1443" s="2001"/>
      <c r="Y1443" s="1974"/>
      <c r="Z1443" s="1974"/>
      <c r="AA1443" s="1974"/>
      <c r="AB1443" s="1974"/>
      <c r="AC1443" s="1974"/>
      <c r="AD1443" s="1974"/>
      <c r="AE1443" s="1974"/>
      <c r="AF1443" s="1974"/>
    </row>
    <row r="1444" spans="1:32" ht="13.8">
      <c r="A1444" s="2399"/>
      <c r="B1444" s="1974"/>
      <c r="C1444" s="2004" t="s">
        <v>5185</v>
      </c>
      <c r="D1444" s="2956"/>
      <c r="E1444" s="2400"/>
      <c r="F1444" s="1974"/>
      <c r="G1444" s="1974"/>
      <c r="H1444" s="1974"/>
      <c r="I1444" s="1974"/>
      <c r="J1444" s="2909" t="str">
        <f>IF(OR(I1448="Near Census Tract",I1449="Near Census Tract",I1450="Near Census Tract",I1451="Near Census Tract",I1452="Near Census Tract"),"Yes","No")</f>
        <v>No</v>
      </c>
      <c r="K1444" s="2909" t="str">
        <f>IF(OR(K1448="Near Census Tract",K1449="Near Census Tract",K1450="Near Census Tract",K1451="Near Census Tract",K1452="Near Census Tract"),"Yes","No")</f>
        <v>No</v>
      </c>
      <c r="L1444" s="1974"/>
      <c r="M1444" s="2909"/>
      <c r="N1444" s="1987"/>
      <c r="O1444" s="2000"/>
      <c r="P1444" s="2000"/>
      <c r="Q1444" s="2404"/>
      <c r="R1444" s="2877"/>
      <c r="S1444" s="1973"/>
      <c r="T1444" s="1973"/>
      <c r="U1444" s="1973"/>
      <c r="V1444" s="2001"/>
      <c r="W1444" s="2001"/>
      <c r="X1444" s="2001"/>
      <c r="Y1444" s="1974"/>
      <c r="Z1444" s="1974"/>
      <c r="AA1444" s="1974"/>
      <c r="AB1444" s="1974"/>
      <c r="AC1444" s="1974"/>
      <c r="AD1444" s="1974"/>
      <c r="AE1444" s="1974"/>
      <c r="AF1444" s="1974"/>
    </row>
    <row r="1445" spans="1:32" ht="13.8">
      <c r="A1445" s="2399"/>
      <c r="B1445" s="1974"/>
      <c r="C1445" s="2004" t="s">
        <v>4946</v>
      </c>
      <c r="D1445" s="2956"/>
      <c r="E1445" s="2400"/>
      <c r="F1445" s="1974"/>
      <c r="G1445" s="1974"/>
      <c r="H1445" s="1974"/>
      <c r="I1445" s="1974"/>
      <c r="J1445" s="2963">
        <f>IF(AND(J1443=2,J1444="No"),6,IF(AND(J1443=3,J1444="No"),8,IF(AND(J1443&gt;=4,J1444="No"),10,IF(AND(J1443=2,J1444="Yes"),5,IF(AND(J1443=3,J1444="Yes"),7,IF(AND(J1443&gt;=4,J1444="Yes"),9,0))))))</f>
        <v>0</v>
      </c>
      <c r="K1445" s="2963">
        <f>IF(AND(K1443=2,K1444="No"),6,IF(AND(K1443=3,K1444="No"),8,IF(AND(K1443&gt;=4,K1444="No"),10,IF(AND(K1443=2,K1444="Yes"),5,IF(AND(K1443=3,K1444="Yes"),7,IF(AND(K1443&gt;=4,K1444="Yes"),9,0))))))</f>
        <v>0</v>
      </c>
      <c r="L1445" s="2909"/>
      <c r="M1445" s="2909"/>
      <c r="N1445" s="1987"/>
      <c r="O1445" s="2000"/>
      <c r="P1445" s="2000"/>
      <c r="Q1445" s="2404"/>
      <c r="R1445" s="2877"/>
      <c r="S1445" s="1973"/>
      <c r="T1445" s="1973"/>
      <c r="U1445" s="1973"/>
      <c r="V1445" s="2001"/>
      <c r="W1445" s="2001"/>
      <c r="X1445" s="2001"/>
      <c r="Y1445" s="1974"/>
      <c r="Z1445" s="1974"/>
      <c r="AA1445" s="1974"/>
      <c r="AB1445" s="1974"/>
      <c r="AC1445" s="1974"/>
      <c r="AD1445" s="1974"/>
      <c r="AE1445" s="1974"/>
      <c r="AF1445" s="1974"/>
    </row>
    <row r="1446" spans="1:32" ht="14.4">
      <c r="A1446" s="2399"/>
      <c r="B1446" s="1974"/>
      <c r="C1446" s="1974"/>
      <c r="D1446" s="2400"/>
      <c r="E1446" s="2400"/>
      <c r="F1446" s="1974"/>
      <c r="G1446" s="1974"/>
      <c r="H1446" s="1974"/>
      <c r="I1446" s="1974"/>
      <c r="J1446" s="1974"/>
      <c r="K1446" s="1974"/>
      <c r="L1446" s="2407"/>
      <c r="M1446" s="2404"/>
      <c r="N1446" s="1987"/>
      <c r="O1446" s="2000"/>
      <c r="P1446" s="2000"/>
      <c r="Q1446" s="2404"/>
      <c r="R1446" s="2877"/>
      <c r="S1446" s="2410"/>
      <c r="T1446" s="2410"/>
      <c r="U1446" s="2410"/>
      <c r="V1446" s="2410"/>
      <c r="W1446" s="2410"/>
      <c r="X1446" s="2001"/>
      <c r="Y1446" s="1974"/>
      <c r="Z1446" s="1974"/>
      <c r="AA1446" s="1974"/>
      <c r="AB1446" s="1974"/>
      <c r="AC1446" s="1974"/>
      <c r="AD1446" s="1974"/>
      <c r="AE1446" s="1974"/>
      <c r="AF1446" s="1974"/>
    </row>
    <row r="1447" spans="1:32" ht="43.5" customHeight="1">
      <c r="A1447" s="2399"/>
      <c r="B1447" s="2863" t="s">
        <v>5186</v>
      </c>
      <c r="C1447" s="2863"/>
      <c r="D1447" s="2898"/>
      <c r="E1447" s="1974"/>
      <c r="F1447" s="2898" t="s">
        <v>4947</v>
      </c>
      <c r="G1447" s="2898"/>
      <c r="H1447" s="2965" t="s">
        <v>4705</v>
      </c>
      <c r="I1447" s="2898" t="s">
        <v>5187</v>
      </c>
      <c r="J1447" s="2898"/>
      <c r="K1447" s="2898"/>
      <c r="L1447" s="2898"/>
      <c r="M1447" s="2898"/>
      <c r="N1447" s="2898"/>
      <c r="O1447" s="2898"/>
      <c r="P1447" s="2898"/>
      <c r="Q1447" s="1974"/>
      <c r="R1447" s="1974"/>
      <c r="S1447" s="2410"/>
      <c r="T1447" s="2410"/>
      <c r="U1447" s="2410"/>
      <c r="V1447" s="2410"/>
      <c r="W1447" s="2410"/>
      <c r="X1447" s="2001"/>
      <c r="Y1447" s="1974"/>
      <c r="Z1447" s="1974"/>
      <c r="AA1447" s="1974"/>
      <c r="AB1447" s="1974"/>
      <c r="AC1447" s="1974"/>
      <c r="AD1447" s="1974"/>
      <c r="AE1447" s="1974"/>
      <c r="AF1447" s="1974"/>
    </row>
    <row r="1448" spans="1:32" ht="14.4">
      <c r="A1448" s="2399"/>
      <c r="B1448" s="1974"/>
      <c r="C1448" s="1974" t="s">
        <v>4948</v>
      </c>
      <c r="D1448" s="2898"/>
      <c r="E1448" s="1974"/>
      <c r="F1448" s="2004">
        <f>'Part VIII Scoring Criteria'!F254</f>
        <v>0</v>
      </c>
      <c r="G1448" s="2966"/>
      <c r="H1448" s="2967"/>
      <c r="I1448" s="2004">
        <f>'Part VIII Scoring Criteria'!I254</f>
        <v>0</v>
      </c>
      <c r="J1448" s="2968"/>
      <c r="K1448" s="2968"/>
      <c r="L1448" s="2968"/>
      <c r="M1448" s="2004" t="str">
        <f>'Part VIII Scoring Criteria'!M254</f>
        <v>(if NEAR, enter near tract #)</v>
      </c>
      <c r="N1448" s="2964"/>
      <c r="O1448" s="2964"/>
      <c r="P1448" s="2964"/>
      <c r="Q1448" s="1974"/>
      <c r="R1448" s="402"/>
      <c r="S1448" s="2969"/>
      <c r="T1448" s="2969"/>
      <c r="U1448" s="2969"/>
      <c r="V1448" s="2969"/>
      <c r="W1448" s="2969"/>
      <c r="X1448" s="2001"/>
      <c r="Y1448" s="1974"/>
      <c r="Z1448" s="1974"/>
      <c r="AA1448" s="1974"/>
      <c r="AB1448" s="1974"/>
      <c r="AC1448" s="1974"/>
      <c r="AD1448" s="1974"/>
      <c r="AE1448" s="1974"/>
      <c r="AF1448" s="1974"/>
    </row>
    <row r="1449" spans="1:32" ht="14.4">
      <c r="A1449" s="2399"/>
      <c r="B1449" s="1974"/>
      <c r="C1449" s="1974" t="s">
        <v>4949</v>
      </c>
      <c r="D1449" s="2898"/>
      <c r="E1449" s="1974"/>
      <c r="F1449" s="2004">
        <f>'Part VIII Scoring Criteria'!F255</f>
        <v>0</v>
      </c>
      <c r="G1449" s="2967"/>
      <c r="H1449" s="2967"/>
      <c r="I1449" s="2004">
        <f>'Part VIII Scoring Criteria'!I255</f>
        <v>0</v>
      </c>
      <c r="J1449" s="2968"/>
      <c r="K1449" s="2968"/>
      <c r="L1449" s="2968"/>
      <c r="M1449" s="2004" t="str">
        <f>'Part VIII Scoring Criteria'!M255</f>
        <v>(if NEAR, enter near tract #)</v>
      </c>
      <c r="N1449" s="2964"/>
      <c r="O1449" s="2964"/>
      <c r="P1449" s="2964"/>
      <c r="Q1449" s="1974"/>
      <c r="R1449" s="377"/>
      <c r="S1449" s="2970"/>
      <c r="T1449" s="2970"/>
      <c r="U1449" s="2971"/>
      <c r="V1449" s="2972"/>
      <c r="W1449" s="2970"/>
      <c r="X1449" s="2001"/>
      <c r="Y1449" s="1974"/>
      <c r="Z1449" s="1974"/>
      <c r="AA1449" s="1974"/>
      <c r="AB1449" s="1974"/>
      <c r="AC1449" s="1974"/>
      <c r="AD1449" s="1974"/>
      <c r="AE1449" s="1974"/>
      <c r="AF1449" s="1974"/>
    </row>
    <row r="1450" spans="1:32" ht="14.4">
      <c r="A1450" s="2399"/>
      <c r="B1450" s="1974"/>
      <c r="C1450" s="1974" t="s">
        <v>4950</v>
      </c>
      <c r="D1450" s="2898"/>
      <c r="E1450" s="1974"/>
      <c r="F1450" s="2004">
        <f>'Part VIII Scoring Criteria'!F256</f>
        <v>0</v>
      </c>
      <c r="G1450" s="2967"/>
      <c r="H1450" s="2967"/>
      <c r="I1450" s="2004">
        <f>'Part VIII Scoring Criteria'!I256</f>
        <v>0</v>
      </c>
      <c r="J1450" s="2968"/>
      <c r="K1450" s="2968"/>
      <c r="L1450" s="2968"/>
      <c r="M1450" s="2004" t="str">
        <f>'Part VIII Scoring Criteria'!M256</f>
        <v>(if NEAR, enter near tract #)</v>
      </c>
      <c r="N1450" s="2964"/>
      <c r="O1450" s="2964"/>
      <c r="P1450" s="2964"/>
      <c r="Q1450" s="1974"/>
      <c r="R1450" s="377"/>
      <c r="S1450" s="2970"/>
      <c r="T1450" s="2970"/>
      <c r="U1450" s="2971"/>
      <c r="V1450" s="2972"/>
      <c r="W1450" s="2970"/>
      <c r="X1450" s="2001"/>
      <c r="Y1450" s="1974"/>
      <c r="Z1450" s="1974"/>
      <c r="AA1450" s="1974"/>
      <c r="AB1450" s="1974"/>
      <c r="AC1450" s="1974"/>
      <c r="AD1450" s="1974"/>
      <c r="AE1450" s="1974"/>
      <c r="AF1450" s="1974"/>
    </row>
    <row r="1451" spans="1:32" ht="14.4">
      <c r="A1451" s="2399"/>
      <c r="B1451" s="1974"/>
      <c r="C1451" s="1974" t="s">
        <v>4951</v>
      </c>
      <c r="D1451" s="2400"/>
      <c r="E1451" s="1974"/>
      <c r="F1451" s="2004">
        <f>'Part VIII Scoring Criteria'!F257</f>
        <v>0</v>
      </c>
      <c r="G1451" s="2967"/>
      <c r="H1451" s="2004">
        <f>'Part VIII Scoring Criteria'!H257</f>
        <v>0</v>
      </c>
      <c r="I1451" s="2004">
        <f>'Part VIII Scoring Criteria'!I257</f>
        <v>0</v>
      </c>
      <c r="J1451" s="2968"/>
      <c r="K1451" s="2968"/>
      <c r="L1451" s="2968"/>
      <c r="M1451" s="2004" t="str">
        <f>'Part VIII Scoring Criteria'!M257</f>
        <v>(if NEAR, enter near tract #)</v>
      </c>
      <c r="N1451" s="2964"/>
      <c r="O1451" s="2964"/>
      <c r="P1451" s="2964"/>
      <c r="Q1451" s="1974"/>
      <c r="R1451" s="377"/>
      <c r="S1451" s="2970"/>
      <c r="T1451" s="2970"/>
      <c r="U1451" s="2971"/>
      <c r="V1451" s="2972"/>
      <c r="W1451" s="2970"/>
      <c r="X1451" s="2001"/>
      <c r="Y1451" s="1974"/>
      <c r="Z1451" s="1974"/>
      <c r="AA1451" s="1974"/>
      <c r="AB1451" s="1974"/>
      <c r="AC1451" s="1974"/>
      <c r="AD1451" s="1974"/>
      <c r="AE1451" s="1974"/>
      <c r="AF1451" s="1974"/>
    </row>
    <row r="1452" spans="1:32" ht="13.8">
      <c r="A1452" s="2399"/>
      <c r="B1452" s="1974"/>
      <c r="C1452" s="1974" t="s">
        <v>4107</v>
      </c>
      <c r="D1452" s="2400"/>
      <c r="E1452" s="1974"/>
      <c r="F1452" s="2004">
        <f>'Part VIII Scoring Criteria'!F258</f>
        <v>0</v>
      </c>
      <c r="G1452" s="2967"/>
      <c r="H1452" s="2004">
        <f>'Part VIII Scoring Criteria'!H258</f>
        <v>0</v>
      </c>
      <c r="I1452" s="2004">
        <f>'Part VIII Scoring Criteria'!I258</f>
        <v>0</v>
      </c>
      <c r="J1452" s="2968"/>
      <c r="K1452" s="2968"/>
      <c r="L1452" s="2968"/>
      <c r="M1452" s="2004" t="str">
        <f>'Part VIII Scoring Criteria'!M258</f>
        <v>(if NEAR, enter near tract #)</v>
      </c>
      <c r="N1452" s="2964"/>
      <c r="O1452" s="2964"/>
      <c r="P1452" s="2964"/>
      <c r="Q1452" s="1974"/>
      <c r="R1452" s="402"/>
      <c r="S1452" s="1973"/>
      <c r="T1452" s="1973"/>
      <c r="U1452" s="1973"/>
      <c r="V1452" s="2001"/>
      <c r="W1452" s="2001"/>
      <c r="X1452" s="2001"/>
      <c r="Y1452" s="1974"/>
      <c r="Z1452" s="1974"/>
      <c r="AA1452" s="1974"/>
      <c r="AB1452" s="1974"/>
      <c r="AC1452" s="1974"/>
      <c r="AD1452" s="1974"/>
      <c r="AE1452" s="1974"/>
      <c r="AF1452" s="1974"/>
    </row>
    <row r="1453" spans="1:32" ht="14.4">
      <c r="A1453" s="1974"/>
      <c r="B1453" s="2869" t="s">
        <v>5173</v>
      </c>
      <c r="C1453" s="1974"/>
      <c r="D1453" s="1974"/>
      <c r="E1453" s="1974"/>
      <c r="F1453" s="1974"/>
      <c r="G1453" s="1974"/>
      <c r="H1453" s="1974"/>
      <c r="I1453" s="1974"/>
      <c r="J1453" s="1974"/>
      <c r="K1453" s="1974"/>
      <c r="L1453" s="2001"/>
      <c r="M1453" s="1974"/>
      <c r="N1453" s="2001"/>
      <c r="O1453" s="2888"/>
      <c r="P1453" s="2009"/>
      <c r="Q1453" s="2001"/>
      <c r="R1453" s="402"/>
      <c r="S1453" s="2001"/>
      <c r="T1453" s="2001"/>
      <c r="U1453" s="2001"/>
      <c r="V1453" s="2001"/>
      <c r="W1453" s="2001"/>
      <c r="X1453" s="2001"/>
      <c r="Y1453" s="2001"/>
      <c r="Z1453" s="2001"/>
      <c r="AA1453" s="2001"/>
      <c r="AB1453" s="2001"/>
      <c r="AC1453" s="2001"/>
      <c r="AD1453" s="2001"/>
      <c r="AE1453" s="2001"/>
      <c r="AF1453" s="2001"/>
    </row>
    <row r="1454" spans="1:32" ht="13.8">
      <c r="A1454" s="2008" t="str">
        <f>'Part VIII Scoring Criteria'!A260</f>
        <v>The Applicant is not claiming points in this scoring section.</v>
      </c>
      <c r="B1454" s="2007"/>
      <c r="C1454" s="2007"/>
      <c r="D1454" s="2007"/>
      <c r="E1454" s="2007"/>
      <c r="F1454" s="2007"/>
      <c r="G1454" s="2007"/>
      <c r="H1454" s="2007"/>
      <c r="I1454" s="2007"/>
      <c r="J1454" s="2007"/>
      <c r="K1454" s="2007"/>
      <c r="L1454" s="2007"/>
      <c r="M1454" s="2007"/>
      <c r="N1454" s="2007"/>
      <c r="O1454" s="2007"/>
      <c r="P1454" s="2007"/>
      <c r="Q1454" s="1973"/>
      <c r="R1454" s="402"/>
      <c r="S1454" s="2001"/>
      <c r="T1454" s="2001"/>
      <c r="U1454" s="2001"/>
      <c r="V1454" s="2001"/>
      <c r="W1454" s="2001"/>
      <c r="X1454" s="2001"/>
      <c r="Y1454" s="2001"/>
      <c r="Z1454" s="2001"/>
      <c r="AA1454" s="2001"/>
      <c r="AB1454" s="2001"/>
      <c r="AC1454" s="2001"/>
      <c r="AD1454" s="2001"/>
      <c r="AE1454" s="2001"/>
      <c r="AF1454" s="2001"/>
    </row>
    <row r="1455" spans="1:32" ht="14.4">
      <c r="A1455" s="1974"/>
      <c r="B1455" s="2887" t="s">
        <v>1724</v>
      </c>
      <c r="C1455" s="1974"/>
      <c r="D1455" s="2887"/>
      <c r="E1455" s="2007"/>
      <c r="F1455" s="2007"/>
      <c r="G1455" s="2007"/>
      <c r="H1455" s="2007"/>
      <c r="I1455" s="2007"/>
      <c r="J1455" s="2007"/>
      <c r="K1455" s="2007"/>
      <c r="L1455" s="2007"/>
      <c r="M1455" s="2007"/>
      <c r="N1455" s="2007"/>
      <c r="O1455" s="2863"/>
      <c r="P1455" s="1973"/>
      <c r="Q1455" s="2001"/>
      <c r="R1455" s="402"/>
      <c r="S1455" s="2001"/>
      <c r="T1455" s="2001"/>
      <c r="U1455" s="2001"/>
      <c r="V1455" s="2001"/>
      <c r="W1455" s="2001"/>
      <c r="X1455" s="2001"/>
      <c r="Y1455" s="2001"/>
      <c r="Z1455" s="2001"/>
      <c r="AA1455" s="2001"/>
      <c r="AB1455" s="2001"/>
      <c r="AC1455" s="2001"/>
      <c r="AD1455" s="2001"/>
      <c r="AE1455" s="2001"/>
      <c r="AF1455" s="2001"/>
    </row>
    <row r="1456" spans="1:32" ht="13.8">
      <c r="A1456" s="2007"/>
      <c r="B1456" s="2007"/>
      <c r="C1456" s="2007"/>
      <c r="D1456" s="2007"/>
      <c r="E1456" s="2007"/>
      <c r="F1456" s="2007"/>
      <c r="G1456" s="2007"/>
      <c r="H1456" s="2007"/>
      <c r="I1456" s="2007"/>
      <c r="J1456" s="2007"/>
      <c r="K1456" s="2007"/>
      <c r="L1456" s="2007"/>
      <c r="M1456" s="2007"/>
      <c r="N1456" s="2007"/>
      <c r="O1456" s="2007"/>
      <c r="P1456" s="2007"/>
      <c r="Q1456" s="1973"/>
      <c r="R1456" s="402"/>
      <c r="S1456" s="2001"/>
      <c r="T1456" s="2001"/>
      <c r="U1456" s="2001"/>
      <c r="V1456" s="2001"/>
      <c r="W1456" s="2001"/>
      <c r="X1456" s="2001"/>
      <c r="Y1456" s="2001"/>
      <c r="Z1456" s="2001"/>
      <c r="AA1456" s="2001"/>
      <c r="AB1456" s="2001"/>
      <c r="AC1456" s="2001"/>
      <c r="AD1456" s="2001"/>
      <c r="AE1456" s="2001"/>
      <c r="AF1456" s="2001"/>
    </row>
    <row r="1457" spans="1:32" ht="13.8">
      <c r="A1457" s="2001"/>
      <c r="B1457" s="2001"/>
      <c r="C1457" s="2001"/>
      <c r="D1457" s="2001"/>
      <c r="E1457" s="2001"/>
      <c r="F1457" s="2001"/>
      <c r="G1457" s="2001"/>
      <c r="H1457" s="2001"/>
      <c r="I1457" s="2001"/>
      <c r="J1457" s="2001"/>
      <c r="K1457" s="2001"/>
      <c r="L1457" s="2001"/>
      <c r="M1457" s="2001"/>
      <c r="N1457" s="2001"/>
      <c r="O1457" s="2009"/>
      <c r="P1457" s="2009"/>
      <c r="Q1457" s="2001"/>
      <c r="R1457" s="2001"/>
      <c r="S1457" s="2001"/>
      <c r="T1457" s="2001"/>
      <c r="U1457" s="2001"/>
      <c r="V1457" s="2001"/>
      <c r="W1457" s="2001"/>
      <c r="X1457" s="2001"/>
      <c r="Y1457" s="2001"/>
      <c r="Z1457" s="2001"/>
      <c r="AA1457" s="2001"/>
      <c r="AB1457" s="2001"/>
      <c r="AC1457" s="2001"/>
      <c r="AD1457" s="2001"/>
      <c r="AE1457" s="2001"/>
      <c r="AF1457" s="2001"/>
    </row>
    <row r="1458" spans="1:32" ht="13.8">
      <c r="A1458" s="2001"/>
      <c r="B1458" s="2001"/>
      <c r="C1458" s="2001"/>
      <c r="D1458" s="2001"/>
      <c r="E1458" s="2001"/>
      <c r="F1458" s="2001"/>
      <c r="G1458" s="2001"/>
      <c r="H1458" s="2001"/>
      <c r="I1458" s="2001"/>
      <c r="J1458" s="2001"/>
      <c r="K1458" s="2001"/>
      <c r="L1458" s="2001"/>
      <c r="M1458" s="2001"/>
      <c r="N1458" s="1992"/>
      <c r="O1458" s="2003"/>
      <c r="P1458" s="2003"/>
      <c r="Q1458" s="2001"/>
      <c r="R1458" s="2001"/>
      <c r="S1458" s="2001"/>
      <c r="T1458" s="2001"/>
      <c r="U1458" s="2001"/>
      <c r="V1458" s="2001"/>
      <c r="W1458" s="2001"/>
      <c r="X1458" s="2001"/>
      <c r="Y1458" s="2001"/>
      <c r="Z1458" s="2001"/>
      <c r="AA1458" s="2001"/>
      <c r="AB1458" s="2001"/>
      <c r="AC1458" s="2001"/>
      <c r="AD1458" s="2001"/>
      <c r="AE1458" s="2001"/>
      <c r="AF1458" s="2001"/>
    </row>
    <row r="1459" spans="1:32" ht="14.4">
      <c r="A1459" s="2399" t="s">
        <v>3279</v>
      </c>
      <c r="B1459" s="2400" t="s">
        <v>3251</v>
      </c>
      <c r="C1459" s="1974"/>
      <c r="D1459" s="2400"/>
      <c r="E1459" s="2400"/>
      <c r="F1459" s="1974"/>
      <c r="G1459" s="2889"/>
      <c r="H1459" s="1974"/>
      <c r="I1459" s="1974"/>
      <c r="J1459" s="2407" t="str">
        <f>IF(OR($O$206&gt;0,$O$238&gt;0,$O$304&gt;0),"Points already claimed in another restricted section!","")</f>
        <v/>
      </c>
      <c r="K1459" s="1974"/>
      <c r="L1459" s="2973" t="str">
        <f>IF(AND(O1459&gt;0,NOT($H$11="New Affordability")), "Not New Affordability!","")</f>
        <v/>
      </c>
      <c r="M1459" s="2404">
        <v>10</v>
      </c>
      <c r="N1459" s="1987"/>
      <c r="O1459" s="2000">
        <f>'Part VIII Scoring Criteria'!O265</f>
        <v>0</v>
      </c>
      <c r="P1459" s="2000">
        <f>'Part VIII Scoring Criteria'!P265</f>
        <v>0</v>
      </c>
      <c r="Q1459" s="2404" t="s">
        <v>415</v>
      </c>
      <c r="R1459" s="2958" t="s">
        <v>4956</v>
      </c>
      <c r="S1459" s="1973"/>
      <c r="T1459" s="1973"/>
      <c r="U1459" s="1973"/>
      <c r="V1459" s="2954" t="str">
        <f>'Part VIII Scoring Criteria'!V265</f>
        <v>&lt;&lt; Select Scoring Track &gt;&gt;</v>
      </c>
      <c r="W1459" s="1974"/>
      <c r="X1459" s="1974"/>
      <c r="Y1459" s="1974"/>
      <c r="Z1459" s="1974"/>
      <c r="AA1459" s="1974"/>
      <c r="AB1459" s="1974"/>
      <c r="AC1459" s="1974"/>
      <c r="AD1459" s="1974"/>
      <c r="AE1459" s="1974"/>
      <c r="AF1459" s="1974"/>
    </row>
    <row r="1460" spans="1:32" ht="13.8">
      <c r="A1460" s="2404" t="s">
        <v>1835</v>
      </c>
      <c r="B1460" s="2893" t="s">
        <v>3177</v>
      </c>
      <c r="C1460" s="2001"/>
      <c r="D1460" s="2008"/>
      <c r="E1460" s="2008"/>
      <c r="F1460" s="2008"/>
      <c r="G1460" s="2008"/>
      <c r="H1460" s="2008"/>
      <c r="I1460" s="2001"/>
      <c r="J1460" s="2001"/>
      <c r="K1460" s="2001"/>
      <c r="L1460" s="2008"/>
      <c r="M1460" s="1973" t="str">
        <f>IF(AND(O1460="Yes",O1461="Yes"),"Only one category can be selected!","")</f>
        <v/>
      </c>
      <c r="N1460" s="2402"/>
      <c r="O1460" s="2404">
        <f>'Part VIII Scoring Criteria'!O266</f>
        <v>0</v>
      </c>
      <c r="P1460" s="2404"/>
      <c r="Q1460" s="1992"/>
      <c r="R1460" s="1973"/>
      <c r="S1460" s="1973"/>
      <c r="T1460" s="1973"/>
      <c r="U1460" s="1973"/>
      <c r="V1460" s="1973"/>
      <c r="W1460" s="2001"/>
      <c r="X1460" s="2001"/>
      <c r="Y1460" s="2001"/>
      <c r="Z1460" s="2001"/>
      <c r="AA1460" s="2001"/>
      <c r="AB1460" s="2001"/>
      <c r="AC1460" s="2001"/>
      <c r="AD1460" s="2001"/>
      <c r="AE1460" s="2001"/>
      <c r="AF1460" s="2001"/>
    </row>
    <row r="1461" spans="1:32" ht="13.8">
      <c r="A1461" s="2404" t="s">
        <v>1837</v>
      </c>
      <c r="B1461" s="2893" t="s">
        <v>3178</v>
      </c>
      <c r="C1461" s="2001"/>
      <c r="D1461" s="2008"/>
      <c r="E1461" s="2001"/>
      <c r="F1461" s="2001"/>
      <c r="G1461" s="2001"/>
      <c r="H1461" s="2001"/>
      <c r="I1461" s="2001"/>
      <c r="J1461" s="2001"/>
      <c r="K1461" s="2001"/>
      <c r="L1461" s="2008"/>
      <c r="M1461" s="1973"/>
      <c r="N1461" s="2402"/>
      <c r="O1461" s="2404">
        <f>'Part VIII Scoring Criteria'!O267</f>
        <v>0</v>
      </c>
      <c r="P1461" s="2404"/>
      <c r="Q1461" s="1992"/>
      <c r="R1461" s="1973"/>
      <c r="S1461" s="1973"/>
      <c r="T1461" s="1973"/>
      <c r="U1461" s="1973"/>
      <c r="V1461" s="1973"/>
      <c r="W1461" s="2001"/>
      <c r="X1461" s="2001"/>
      <c r="Y1461" s="2001"/>
      <c r="Z1461" s="2001"/>
      <c r="AA1461" s="2001"/>
      <c r="AB1461" s="2001"/>
      <c r="AC1461" s="2001"/>
      <c r="AD1461" s="2001"/>
      <c r="AE1461" s="2001"/>
      <c r="AF1461" s="2001"/>
    </row>
    <row r="1462" spans="1:32" ht="14.4">
      <c r="A1462" s="1974"/>
      <c r="B1462" s="2869" t="s">
        <v>5173</v>
      </c>
      <c r="C1462" s="1974"/>
      <c r="D1462" s="1974"/>
      <c r="E1462" s="1974"/>
      <c r="F1462" s="1974"/>
      <c r="G1462" s="1974"/>
      <c r="H1462" s="1974"/>
      <c r="I1462" s="1974"/>
      <c r="J1462" s="1974"/>
      <c r="K1462" s="1974"/>
      <c r="L1462" s="2001"/>
      <c r="M1462" s="1974"/>
      <c r="N1462" s="1992"/>
      <c r="O1462" s="2000"/>
      <c r="P1462" s="2003"/>
      <c r="Q1462" s="2001"/>
      <c r="R1462" s="1973"/>
      <c r="S1462" s="1973"/>
      <c r="T1462" s="1973"/>
      <c r="U1462" s="1973"/>
      <c r="V1462" s="1973"/>
      <c r="W1462" s="2001"/>
      <c r="X1462" s="2001"/>
      <c r="Y1462" s="2001"/>
      <c r="Z1462" s="2001"/>
      <c r="AA1462" s="2001"/>
      <c r="AB1462" s="2001"/>
      <c r="AC1462" s="2001"/>
      <c r="AD1462" s="2001"/>
      <c r="AE1462" s="2001"/>
      <c r="AF1462" s="2001"/>
    </row>
    <row r="1463" spans="1:32" ht="13.8">
      <c r="A1463" s="2008" t="str">
        <f>'Part VIII Scoring Criteria'!A269</f>
        <v>The Applicant is not claiming points in this scoring section.</v>
      </c>
      <c r="B1463" s="2007"/>
      <c r="C1463" s="2007"/>
      <c r="D1463" s="2007"/>
      <c r="E1463" s="2007"/>
      <c r="F1463" s="2007"/>
      <c r="G1463" s="2007"/>
      <c r="H1463" s="2007"/>
      <c r="I1463" s="2007"/>
      <c r="J1463" s="2007"/>
      <c r="K1463" s="2007"/>
      <c r="L1463" s="2007"/>
      <c r="M1463" s="2007"/>
      <c r="N1463" s="2007"/>
      <c r="O1463" s="2007"/>
      <c r="P1463" s="2007"/>
      <c r="Q1463" s="1973"/>
      <c r="R1463" s="2001"/>
      <c r="S1463" s="2001"/>
      <c r="T1463" s="2001"/>
      <c r="U1463" s="2001"/>
      <c r="V1463" s="2001"/>
      <c r="W1463" s="2001"/>
      <c r="X1463" s="2001"/>
      <c r="Y1463" s="2001"/>
      <c r="Z1463" s="2001"/>
      <c r="AA1463" s="2001"/>
      <c r="AB1463" s="2001"/>
      <c r="AC1463" s="2001"/>
      <c r="AD1463" s="2001"/>
      <c r="AE1463" s="2001"/>
      <c r="AF1463" s="2001"/>
    </row>
    <row r="1464" spans="1:32" ht="14.4">
      <c r="A1464" s="1974"/>
      <c r="B1464" s="2887" t="s">
        <v>1724</v>
      </c>
      <c r="C1464" s="1974"/>
      <c r="D1464" s="2887"/>
      <c r="E1464" s="2007"/>
      <c r="F1464" s="2007"/>
      <c r="G1464" s="2007"/>
      <c r="H1464" s="2007"/>
      <c r="I1464" s="2007"/>
      <c r="J1464" s="2007"/>
      <c r="K1464" s="2007"/>
      <c r="L1464" s="2007"/>
      <c r="M1464" s="2007"/>
      <c r="N1464" s="2007"/>
      <c r="O1464" s="2863"/>
      <c r="P1464" s="1973"/>
      <c r="Q1464" s="2001"/>
      <c r="R1464" s="2001"/>
      <c r="S1464" s="2001"/>
      <c r="T1464" s="2001"/>
      <c r="U1464" s="2001"/>
      <c r="V1464" s="2001"/>
      <c r="W1464" s="2001"/>
      <c r="X1464" s="2001"/>
      <c r="Y1464" s="2001"/>
      <c r="Z1464" s="2001"/>
      <c r="AA1464" s="2001"/>
      <c r="AB1464" s="2001"/>
      <c r="AC1464" s="2001"/>
      <c r="AD1464" s="2001"/>
      <c r="AE1464" s="2001"/>
      <c r="AF1464" s="2001"/>
    </row>
    <row r="1465" spans="1:32" ht="13.8">
      <c r="A1465" s="2007"/>
      <c r="B1465" s="2007"/>
      <c r="C1465" s="2007"/>
      <c r="D1465" s="2007"/>
      <c r="E1465" s="2007"/>
      <c r="F1465" s="2007"/>
      <c r="G1465" s="2007"/>
      <c r="H1465" s="2007"/>
      <c r="I1465" s="2007"/>
      <c r="J1465" s="2007"/>
      <c r="K1465" s="2007"/>
      <c r="L1465" s="2007"/>
      <c r="M1465" s="2007"/>
      <c r="N1465" s="2007"/>
      <c r="O1465" s="2007"/>
      <c r="P1465" s="2007"/>
      <c r="Q1465" s="1973"/>
      <c r="R1465" s="2001"/>
      <c r="S1465" s="2001"/>
      <c r="T1465" s="2001"/>
      <c r="U1465" s="2001"/>
      <c r="V1465" s="2001"/>
      <c r="W1465" s="2001"/>
      <c r="X1465" s="2001"/>
      <c r="Y1465" s="2001"/>
      <c r="Z1465" s="2001"/>
      <c r="AA1465" s="2001"/>
      <c r="AB1465" s="2001"/>
      <c r="AC1465" s="2001"/>
      <c r="AD1465" s="2001"/>
      <c r="AE1465" s="2001"/>
      <c r="AF1465" s="2001"/>
    </row>
    <row r="1466" spans="1:32" ht="13.8">
      <c r="A1466" s="2001"/>
      <c r="B1466" s="2001"/>
      <c r="C1466" s="2001"/>
      <c r="D1466" s="2001"/>
      <c r="E1466" s="2001"/>
      <c r="F1466" s="2001"/>
      <c r="G1466" s="2001"/>
      <c r="H1466" s="2001"/>
      <c r="I1466" s="2001"/>
      <c r="J1466" s="2001"/>
      <c r="K1466" s="2001"/>
      <c r="L1466" s="2001"/>
      <c r="M1466" s="2001"/>
      <c r="N1466" s="2001"/>
      <c r="O1466" s="2009"/>
      <c r="P1466" s="2009"/>
      <c r="Q1466" s="2001"/>
      <c r="R1466" s="2001"/>
      <c r="S1466" s="2001"/>
      <c r="T1466" s="2001"/>
      <c r="U1466" s="2001"/>
      <c r="V1466" s="2001"/>
      <c r="W1466" s="2001"/>
      <c r="X1466" s="2001"/>
      <c r="Y1466" s="2001"/>
      <c r="Z1466" s="2001"/>
      <c r="AA1466" s="2001"/>
      <c r="AB1466" s="2001"/>
      <c r="AC1466" s="2001"/>
      <c r="AD1466" s="2001"/>
      <c r="AE1466" s="2001"/>
      <c r="AF1466" s="2001"/>
    </row>
    <row r="1467" spans="1:32" ht="13.8">
      <c r="A1467" s="2001"/>
      <c r="B1467" s="2001"/>
      <c r="C1467" s="2001"/>
      <c r="D1467" s="2001"/>
      <c r="E1467" s="2001"/>
      <c r="F1467" s="2001"/>
      <c r="G1467" s="2001"/>
      <c r="H1467" s="2001"/>
      <c r="I1467" s="2001"/>
      <c r="J1467" s="2001"/>
      <c r="K1467" s="2001"/>
      <c r="L1467" s="2001"/>
      <c r="M1467" s="2001"/>
      <c r="N1467" s="1992"/>
      <c r="O1467" s="2003"/>
      <c r="P1467" s="2003"/>
      <c r="Q1467" s="2001"/>
      <c r="R1467" s="2001"/>
      <c r="S1467" s="2001"/>
      <c r="T1467" s="2001"/>
      <c r="U1467" s="2001"/>
      <c r="V1467" s="2001"/>
      <c r="W1467" s="2001"/>
      <c r="X1467" s="2001"/>
      <c r="Y1467" s="2001"/>
      <c r="Z1467" s="2001"/>
      <c r="AA1467" s="2001"/>
      <c r="AB1467" s="2001"/>
      <c r="AC1467" s="2001"/>
      <c r="AD1467" s="2001"/>
      <c r="AE1467" s="2001"/>
      <c r="AF1467" s="2001"/>
    </row>
    <row r="1468" spans="1:32" ht="13.8">
      <c r="A1468" s="2399" t="s">
        <v>3280</v>
      </c>
      <c r="B1468" s="2400" t="s">
        <v>3904</v>
      </c>
      <c r="C1468" s="2001"/>
      <c r="D1468" s="2001"/>
      <c r="E1468" s="2877" t="str">
        <f>IF(AND(O1468&gt;0,NOT($H$11="New Affordability"),NOT($C$16="9%")), "Ineligible, not New Affordability and 9%!","")</f>
        <v/>
      </c>
      <c r="F1468" s="2001"/>
      <c r="G1468" s="2891" t="str">
        <f>'Part VIII Scoring Criteria'!G274</f>
        <v>4%</v>
      </c>
      <c r="H1468" s="2906" t="str">
        <f>'Part VIII Scoring Criteria'!H274</f>
        <v>Atlanta Metro</v>
      </c>
      <c r="I1468" s="2001"/>
      <c r="J1468" s="2001"/>
      <c r="K1468" s="2001"/>
      <c r="L1468" s="2873" t="s">
        <v>4865</v>
      </c>
      <c r="M1468" s="2404">
        <v>4</v>
      </c>
      <c r="N1468" s="1987"/>
      <c r="O1468" s="2000">
        <f>'Part VIII Scoring Criteria'!O274</f>
        <v>0</v>
      </c>
      <c r="P1468" s="2000">
        <f>'Part VIII Scoring Criteria'!P274</f>
        <v>0</v>
      </c>
      <c r="Q1468" s="2404" t="s">
        <v>415</v>
      </c>
      <c r="R1468" s="2877"/>
      <c r="S1468" s="1973"/>
      <c r="T1468" s="1973"/>
      <c r="U1468" s="1973"/>
      <c r="V1468" s="1973"/>
      <c r="W1468" s="2009"/>
      <c r="X1468" s="2009"/>
      <c r="Y1468" s="2001"/>
      <c r="Z1468" s="2001"/>
      <c r="AA1468" s="2001"/>
      <c r="AB1468" s="2001"/>
      <c r="AC1468" s="2001"/>
      <c r="AD1468" s="2001"/>
      <c r="AE1468" s="2001"/>
      <c r="AF1468" s="2001"/>
    </row>
    <row r="1469" spans="1:32" ht="13.8">
      <c r="A1469" s="2974"/>
      <c r="B1469" s="2007" t="s">
        <v>4148</v>
      </c>
      <c r="C1469" s="2007"/>
      <c r="D1469" s="2007"/>
      <c r="E1469" s="2007"/>
      <c r="F1469" s="2007"/>
      <c r="G1469" s="2001"/>
      <c r="H1469" s="2001"/>
      <c r="I1469" s="2001"/>
      <c r="J1469" s="2001"/>
      <c r="K1469" s="2001"/>
      <c r="L1469" s="2001"/>
      <c r="M1469" s="2001"/>
      <c r="N1469" s="2884"/>
      <c r="O1469" s="2404">
        <f>'Part VIII Scoring Criteria'!O275</f>
        <v>0</v>
      </c>
      <c r="P1469" s="2882"/>
      <c r="Q1469" s="2007"/>
      <c r="R1469" s="2007"/>
      <c r="S1469" s="2007"/>
      <c r="T1469" s="2007"/>
      <c r="U1469" s="2001"/>
      <c r="V1469" s="2001"/>
      <c r="W1469" s="2007"/>
      <c r="X1469" s="2007"/>
      <c r="Y1469" s="2007"/>
      <c r="Z1469" s="2007"/>
      <c r="AA1469" s="2007"/>
      <c r="AB1469" s="2001"/>
      <c r="AC1469" s="2001"/>
      <c r="AD1469" s="2001"/>
      <c r="AE1469" s="2001"/>
      <c r="AF1469" s="2001"/>
    </row>
    <row r="1470" spans="1:32" ht="15" customHeight="1">
      <c r="A1470" s="2974"/>
      <c r="B1470" s="2007"/>
      <c r="C1470" s="2007"/>
      <c r="D1470" s="2007"/>
      <c r="E1470" s="2007"/>
      <c r="F1470" s="2007"/>
      <c r="G1470" s="1992" t="s">
        <v>4686</v>
      </c>
      <c r="H1470" s="2001" t="s">
        <v>573</v>
      </c>
      <c r="I1470" s="2001"/>
      <c r="J1470" s="2001"/>
      <c r="K1470" s="2001" t="s">
        <v>4722</v>
      </c>
      <c r="L1470" s="2001"/>
      <c r="M1470" s="2001"/>
      <c r="N1470" s="1992"/>
      <c r="O1470" s="1992"/>
      <c r="P1470" s="1992"/>
      <c r="Q1470" s="2007"/>
      <c r="R1470" s="2007"/>
      <c r="S1470" s="2007"/>
      <c r="T1470" s="2007"/>
      <c r="U1470" s="2001"/>
      <c r="V1470" s="2001"/>
      <c r="W1470" s="2007"/>
      <c r="X1470" s="2007"/>
      <c r="Y1470" s="2007"/>
      <c r="Z1470" s="2007"/>
      <c r="AA1470" s="2007"/>
      <c r="AB1470" s="2001"/>
      <c r="AC1470" s="2001"/>
      <c r="AD1470" s="2001"/>
      <c r="AE1470" s="2001"/>
      <c r="AF1470" s="2001"/>
    </row>
    <row r="1471" spans="1:32" ht="13.8">
      <c r="A1471" s="2974"/>
      <c r="B1471" s="2974"/>
      <c r="C1471" s="2001"/>
      <c r="D1471" s="2002" t="s">
        <v>4149</v>
      </c>
      <c r="E1471" s="2001"/>
      <c r="F1471" s="2001"/>
      <c r="G1471" s="2004">
        <f>'Part VIII Scoring Criteria'!G277</f>
        <v>0</v>
      </c>
      <c r="H1471" s="2004">
        <f>'Part VIII Scoring Criteria'!H277</f>
        <v>0</v>
      </c>
      <c r="I1471" s="1974"/>
      <c r="J1471" s="1974"/>
      <c r="K1471" s="2975">
        <f>'Part VIII Scoring Criteria'!K277</f>
        <v>0</v>
      </c>
      <c r="L1471" s="2975"/>
      <c r="M1471" s="2975"/>
      <c r="N1471" s="2884"/>
      <c r="O1471" s="2882"/>
      <c r="P1471" s="2882"/>
      <c r="Q1471" s="2007"/>
      <c r="R1471" s="2007"/>
      <c r="S1471" s="2007"/>
      <c r="T1471" s="2007"/>
      <c r="U1471" s="2001"/>
      <c r="V1471" s="2001"/>
      <c r="W1471" s="2007"/>
      <c r="X1471" s="2007"/>
      <c r="Y1471" s="2007"/>
      <c r="Z1471" s="2007"/>
      <c r="AA1471" s="2007"/>
      <c r="AB1471" s="2001"/>
      <c r="AC1471" s="2001"/>
      <c r="AD1471" s="2001"/>
      <c r="AE1471" s="2001"/>
      <c r="AF1471" s="2001"/>
    </row>
    <row r="1472" spans="1:32" ht="13.8">
      <c r="A1472" s="2896"/>
      <c r="B1472" s="2974"/>
      <c r="C1472" s="1974"/>
      <c r="D1472" s="2004" t="s">
        <v>4150</v>
      </c>
      <c r="E1472" s="1974"/>
      <c r="F1472" s="1974"/>
      <c r="G1472" s="2004">
        <f>'Part VIII Scoring Criteria'!G278</f>
        <v>0</v>
      </c>
      <c r="H1472" s="2004">
        <f>'Part VIII Scoring Criteria'!H278</f>
        <v>0</v>
      </c>
      <c r="I1472" s="1974"/>
      <c r="J1472" s="1974"/>
      <c r="K1472" s="2975">
        <f>'Part VIII Scoring Criteria'!K278</f>
        <v>0</v>
      </c>
      <c r="L1472" s="2975"/>
      <c r="M1472" s="2975"/>
      <c r="N1472" s="1974"/>
      <c r="O1472" s="1974"/>
      <c r="P1472" s="1974"/>
      <c r="Q1472" s="1974"/>
      <c r="R1472" s="1974"/>
      <c r="S1472" s="1974"/>
      <c r="T1472" s="1974"/>
      <c r="U1472" s="1974"/>
      <c r="V1472" s="1974"/>
      <c r="W1472" s="1974"/>
      <c r="X1472" s="1974"/>
      <c r="Y1472" s="1974"/>
      <c r="Z1472" s="1974"/>
      <c r="AA1472" s="1974"/>
      <c r="AB1472" s="1974"/>
      <c r="AC1472" s="1974"/>
      <c r="AD1472" s="1974"/>
      <c r="AE1472" s="1974"/>
      <c r="AF1472" s="1974"/>
    </row>
    <row r="1473" spans="1:32" ht="13.8">
      <c r="A1473" s="1974"/>
      <c r="B1473" s="2001"/>
      <c r="C1473" s="2001"/>
      <c r="D1473" s="1974"/>
      <c r="E1473" s="1974"/>
      <c r="F1473" s="2404"/>
      <c r="G1473" s="2404"/>
      <c r="H1473" s="1973"/>
      <c r="I1473" s="1973"/>
      <c r="J1473" s="1974"/>
      <c r="K1473" s="1974"/>
      <c r="L1473" s="1974"/>
      <c r="M1473" s="1974"/>
      <c r="N1473" s="2404"/>
      <c r="O1473" s="2003"/>
      <c r="P1473" s="2000"/>
      <c r="Q1473" s="2001"/>
      <c r="R1473" s="2001"/>
      <c r="S1473" s="2001"/>
      <c r="T1473" s="2001"/>
      <c r="U1473" s="2001"/>
      <c r="V1473" s="2001"/>
      <c r="W1473" s="2001"/>
      <c r="X1473" s="2001"/>
      <c r="Y1473" s="2001"/>
      <c r="Z1473" s="2001"/>
      <c r="AA1473" s="2001"/>
      <c r="AB1473" s="2001"/>
      <c r="AC1473" s="2001"/>
      <c r="AD1473" s="2001"/>
      <c r="AE1473" s="2001"/>
      <c r="AF1473" s="2001"/>
    </row>
    <row r="1474" spans="1:32" ht="14.4">
      <c r="A1474" s="1974"/>
      <c r="B1474" s="2869" t="s">
        <v>5173</v>
      </c>
      <c r="C1474" s="1974"/>
      <c r="D1474" s="1974"/>
      <c r="E1474" s="1974"/>
      <c r="F1474" s="1974"/>
      <c r="G1474" s="1974"/>
      <c r="H1474" s="1974"/>
      <c r="I1474" s="1974"/>
      <c r="J1474" s="1974"/>
      <c r="K1474" s="1974"/>
      <c r="L1474" s="2001"/>
      <c r="M1474" s="1987"/>
      <c r="N1474" s="1992"/>
      <c r="O1474" s="2000"/>
      <c r="P1474" s="2003"/>
      <c r="Q1474" s="2001"/>
      <c r="R1474" s="2001"/>
      <c r="S1474" s="2001"/>
      <c r="T1474" s="2001"/>
      <c r="U1474" s="2001"/>
      <c r="V1474" s="2001"/>
      <c r="W1474" s="2001"/>
      <c r="X1474" s="2001"/>
      <c r="Y1474" s="2001"/>
      <c r="Z1474" s="2001"/>
      <c r="AA1474" s="2001"/>
      <c r="AB1474" s="2001"/>
      <c r="AC1474" s="2001"/>
      <c r="AD1474" s="2001"/>
      <c r="AE1474" s="2001"/>
      <c r="AF1474" s="2001"/>
    </row>
    <row r="1475" spans="1:32" ht="13.8">
      <c r="A1475" s="2008" t="str">
        <f>'Part VIII Scoring Criteria'!A281</f>
        <v>This scoring section is Not Applicable to 4%/Bonds, Preservation applications.</v>
      </c>
      <c r="B1475" s="2007"/>
      <c r="C1475" s="2007"/>
      <c r="D1475" s="2007"/>
      <c r="E1475" s="2007"/>
      <c r="F1475" s="2007"/>
      <c r="G1475" s="2007"/>
      <c r="H1475" s="2007"/>
      <c r="I1475" s="2007"/>
      <c r="J1475" s="2007"/>
      <c r="K1475" s="2007"/>
      <c r="L1475" s="2007"/>
      <c r="M1475" s="2007"/>
      <c r="N1475" s="2007"/>
      <c r="O1475" s="2007"/>
      <c r="P1475" s="2007"/>
      <c r="Q1475" s="1973"/>
      <c r="R1475" s="2001"/>
      <c r="S1475" s="2001"/>
      <c r="T1475" s="2001"/>
      <c r="U1475" s="2001"/>
      <c r="V1475" s="2001"/>
      <c r="W1475" s="2001"/>
      <c r="X1475" s="2001"/>
      <c r="Y1475" s="2001"/>
      <c r="Z1475" s="2001"/>
      <c r="AA1475" s="2001"/>
      <c r="AB1475" s="2001"/>
      <c r="AC1475" s="2001"/>
      <c r="AD1475" s="2001"/>
      <c r="AE1475" s="2001"/>
      <c r="AF1475" s="2001"/>
    </row>
    <row r="1476" spans="1:32" ht="14.4">
      <c r="A1476" s="2001"/>
      <c r="B1476" s="2887" t="s">
        <v>1724</v>
      </c>
      <c r="C1476" s="1974"/>
      <c r="D1476" s="2887"/>
      <c r="E1476" s="2007"/>
      <c r="F1476" s="2007"/>
      <c r="G1476" s="2007"/>
      <c r="H1476" s="2007"/>
      <c r="I1476" s="2007"/>
      <c r="J1476" s="2007"/>
      <c r="K1476" s="2007"/>
      <c r="L1476" s="2007"/>
      <c r="M1476" s="2007"/>
      <c r="N1476" s="2007"/>
      <c r="O1476" s="2863"/>
      <c r="P1476" s="1973"/>
      <c r="Q1476" s="2001"/>
      <c r="R1476" s="2001"/>
      <c r="S1476" s="2001"/>
      <c r="T1476" s="2001"/>
      <c r="U1476" s="2001"/>
      <c r="V1476" s="2001"/>
      <c r="W1476" s="2001"/>
      <c r="X1476" s="2001"/>
      <c r="Y1476" s="2001"/>
      <c r="Z1476" s="2001"/>
      <c r="AA1476" s="2001"/>
      <c r="AB1476" s="2001"/>
      <c r="AC1476" s="2001"/>
      <c r="AD1476" s="2001"/>
      <c r="AE1476" s="2001"/>
      <c r="AF1476" s="2001"/>
    </row>
    <row r="1477" spans="1:32" ht="13.8">
      <c r="A1477" s="2007"/>
      <c r="B1477" s="2007"/>
      <c r="C1477" s="2007"/>
      <c r="D1477" s="2007"/>
      <c r="E1477" s="2007"/>
      <c r="F1477" s="2007"/>
      <c r="G1477" s="2007"/>
      <c r="H1477" s="2007"/>
      <c r="I1477" s="2007"/>
      <c r="J1477" s="2007"/>
      <c r="K1477" s="2007"/>
      <c r="L1477" s="2007"/>
      <c r="M1477" s="2007"/>
      <c r="N1477" s="2007"/>
      <c r="O1477" s="2007"/>
      <c r="P1477" s="2007"/>
      <c r="Q1477" s="1973"/>
      <c r="R1477" s="2001"/>
      <c r="S1477" s="2001"/>
      <c r="T1477" s="2001"/>
      <c r="U1477" s="2001"/>
      <c r="V1477" s="2001"/>
      <c r="W1477" s="2001"/>
      <c r="X1477" s="2001"/>
      <c r="Y1477" s="2001"/>
      <c r="Z1477" s="2001"/>
      <c r="AA1477" s="2001"/>
      <c r="AB1477" s="2001"/>
      <c r="AC1477" s="2001"/>
      <c r="AD1477" s="2001"/>
      <c r="AE1477" s="2001"/>
      <c r="AF1477" s="2001"/>
    </row>
    <row r="1478" spans="1:32" ht="13.8">
      <c r="A1478" s="2001"/>
      <c r="B1478" s="2001"/>
      <c r="C1478" s="2001"/>
      <c r="D1478" s="2001"/>
      <c r="E1478" s="2001"/>
      <c r="F1478" s="2001"/>
      <c r="G1478" s="2001"/>
      <c r="H1478" s="2001"/>
      <c r="I1478" s="2001"/>
      <c r="J1478" s="2001"/>
      <c r="K1478" s="2001"/>
      <c r="L1478" s="2001"/>
      <c r="M1478" s="2001"/>
      <c r="N1478" s="2001"/>
      <c r="O1478" s="2009"/>
      <c r="P1478" s="2009"/>
      <c r="Q1478" s="2001"/>
      <c r="R1478" s="2001"/>
      <c r="S1478" s="2001"/>
      <c r="T1478" s="2001"/>
      <c r="U1478" s="2001"/>
      <c r="V1478" s="2001"/>
      <c r="W1478" s="2001"/>
      <c r="X1478" s="2001"/>
      <c r="Y1478" s="2001"/>
      <c r="Z1478" s="2001"/>
      <c r="AA1478" s="2001"/>
      <c r="AB1478" s="2001"/>
      <c r="AC1478" s="2001"/>
      <c r="AD1478" s="2001"/>
      <c r="AE1478" s="2001"/>
      <c r="AF1478" s="2001"/>
    </row>
    <row r="1479" spans="1:32" ht="13.8">
      <c r="A1479" s="2001"/>
      <c r="B1479" s="2001"/>
      <c r="C1479" s="2001"/>
      <c r="D1479" s="2001"/>
      <c r="E1479" s="2001"/>
      <c r="F1479" s="2001"/>
      <c r="G1479" s="2001"/>
      <c r="H1479" s="2001"/>
      <c r="I1479" s="2001"/>
      <c r="J1479" s="2001"/>
      <c r="K1479" s="2001"/>
      <c r="L1479" s="2001"/>
      <c r="M1479" s="2001"/>
      <c r="N1479" s="1992"/>
      <c r="O1479" s="2003"/>
      <c r="P1479" s="2003"/>
      <c r="Q1479" s="2001"/>
      <c r="R1479" s="2001"/>
      <c r="S1479" s="2001"/>
      <c r="T1479" s="2001"/>
      <c r="U1479" s="2001"/>
      <c r="V1479" s="2001"/>
      <c r="W1479" s="2001"/>
      <c r="X1479" s="2001"/>
      <c r="Y1479" s="2001"/>
      <c r="Z1479" s="2001"/>
      <c r="AA1479" s="2001"/>
      <c r="AB1479" s="2001"/>
      <c r="AC1479" s="2001"/>
      <c r="AD1479" s="2001"/>
      <c r="AE1479" s="2001"/>
      <c r="AF1479" s="2001"/>
    </row>
    <row r="1480" spans="1:32" ht="13.8">
      <c r="A1480" s="2399" t="s">
        <v>3278</v>
      </c>
      <c r="B1480" s="2400" t="s">
        <v>3832</v>
      </c>
      <c r="C1480" s="2001"/>
      <c r="D1480" s="2001"/>
      <c r="E1480" s="2001"/>
      <c r="F1480" s="2001"/>
      <c r="G1480" s="2874"/>
      <c r="H1480" s="2001"/>
      <c r="I1480" s="2407" t="str">
        <f>IF($O$274&gt;0,"Points already claimed in another restricted section!","")</f>
        <v/>
      </c>
      <c r="J1480" s="2001"/>
      <c r="K1480" s="2973" t="str">
        <f>IF(AND(SUM(O1482,O1485,O1489)&gt;0,NOT($H$11="New Affordability"),NOT($C$16="9%")), "Not 9% New Affordability!","")</f>
        <v/>
      </c>
      <c r="L1480" s="2873" t="s">
        <v>4865</v>
      </c>
      <c r="M1480" s="2404">
        <v>5</v>
      </c>
      <c r="N1480" s="1987"/>
      <c r="O1480" s="2000">
        <f>'Part VIII Scoring Criteria'!O286</f>
        <v>0</v>
      </c>
      <c r="P1480" s="2000">
        <f>'Part VIII Scoring Criteria'!P286</f>
        <v>0</v>
      </c>
      <c r="Q1480" s="2404" t="s">
        <v>415</v>
      </c>
      <c r="R1480" s="2877"/>
      <c r="S1480" s="1973"/>
      <c r="T1480" s="1973"/>
      <c r="U1480" s="1973"/>
      <c r="V1480" s="1973"/>
      <c r="W1480" s="2009"/>
      <c r="X1480" s="2009"/>
      <c r="Y1480" s="2001"/>
      <c r="Z1480" s="2001"/>
      <c r="AA1480" s="2001"/>
      <c r="AB1480" s="2001"/>
      <c r="AC1480" s="2001"/>
      <c r="AD1480" s="2001"/>
      <c r="AE1480" s="2001"/>
      <c r="AF1480" s="2001"/>
    </row>
    <row r="1481" spans="1:32" ht="13.8">
      <c r="A1481" s="2001"/>
      <c r="B1481" s="2001" t="s">
        <v>4886</v>
      </c>
      <c r="C1481" s="2001"/>
      <c r="D1481" s="2001"/>
      <c r="E1481" s="2001"/>
      <c r="F1481" s="2001"/>
      <c r="G1481" s="2001"/>
      <c r="H1481" s="2001"/>
      <c r="I1481" s="2001"/>
      <c r="J1481" s="2001"/>
      <c r="K1481" s="2001"/>
      <c r="L1481" s="2001"/>
      <c r="M1481" s="2001"/>
      <c r="N1481" s="1992"/>
      <c r="O1481" s="2003"/>
      <c r="P1481" s="2003"/>
      <c r="Q1481" s="2001"/>
      <c r="R1481" s="2001"/>
      <c r="S1481" s="2001"/>
      <c r="T1481" s="2001"/>
      <c r="U1481" s="2001"/>
      <c r="V1481" s="2001"/>
      <c r="W1481" s="2001"/>
      <c r="X1481" s="2001"/>
      <c r="Y1481" s="2001"/>
      <c r="Z1481" s="2001"/>
      <c r="AA1481" s="2001"/>
      <c r="AB1481" s="2001"/>
      <c r="AC1481" s="2001"/>
      <c r="AD1481" s="2001"/>
      <c r="AE1481" s="2001"/>
      <c r="AF1481" s="2001"/>
    </row>
    <row r="1482" spans="1:32" ht="13.8">
      <c r="A1482" s="2404" t="s">
        <v>1835</v>
      </c>
      <c r="B1482" s="1973" t="s">
        <v>4887</v>
      </c>
      <c r="C1482" s="1974"/>
      <c r="D1482" s="1974"/>
      <c r="E1482" s="1974"/>
      <c r="F1482" s="1974"/>
      <c r="G1482" s="1974"/>
      <c r="H1482" s="1974"/>
      <c r="I1482" s="1974"/>
      <c r="J1482" s="1974"/>
      <c r="K1482" s="1974"/>
      <c r="L1482" s="2907" t="s">
        <v>4865</v>
      </c>
      <c r="M1482" s="1987">
        <v>5</v>
      </c>
      <c r="N1482" s="2402"/>
      <c r="O1482" s="2404">
        <f>'Part VIII Scoring Criteria'!O288</f>
        <v>0</v>
      </c>
      <c r="P1482" s="2000"/>
      <c r="Q1482" s="2876" t="str">
        <f>IF(OR($O1482&lt;=$M1482,$O1482=""),"","*CHECK!*")</f>
        <v/>
      </c>
      <c r="R1482" s="2877"/>
      <c r="S1482" s="1973"/>
      <c r="T1482" s="1973"/>
      <c r="U1482" s="1973"/>
      <c r="V1482" s="1973"/>
      <c r="W1482" s="1974"/>
      <c r="X1482" s="1974"/>
      <c r="Y1482" s="1974"/>
      <c r="Z1482" s="1974"/>
      <c r="AA1482" s="1974"/>
      <c r="AB1482" s="1974"/>
      <c r="AC1482" s="1974"/>
      <c r="AD1482" s="1974"/>
      <c r="AE1482" s="1974"/>
      <c r="AF1482" s="1974"/>
    </row>
    <row r="1483" spans="1:32" ht="13.8">
      <c r="A1483" s="2001"/>
      <c r="B1483" s="2001"/>
      <c r="C1483" s="2001" t="s">
        <v>4952</v>
      </c>
      <c r="D1483" s="2001"/>
      <c r="E1483" s="2001"/>
      <c r="F1483" s="2001"/>
      <c r="G1483" s="2001"/>
      <c r="H1483" s="2001"/>
      <c r="I1483" s="2001"/>
      <c r="J1483" s="2001"/>
      <c r="K1483" s="2001"/>
      <c r="L1483" s="2001"/>
      <c r="M1483" s="2001"/>
      <c r="N1483" s="1992"/>
      <c r="O1483" s="2404">
        <f>'Part VIII Scoring Criteria'!O289</f>
        <v>0</v>
      </c>
      <c r="P1483" s="2000"/>
      <c r="Q1483" s="2001"/>
      <c r="R1483" s="2001"/>
      <c r="S1483" s="2001"/>
      <c r="T1483" s="2001"/>
      <c r="U1483" s="2001"/>
      <c r="V1483" s="2001"/>
      <c r="W1483" s="2001"/>
      <c r="X1483" s="2001"/>
      <c r="Y1483" s="2001"/>
      <c r="Z1483" s="2001"/>
      <c r="AA1483" s="2001"/>
      <c r="AB1483" s="2001"/>
      <c r="AC1483" s="2001"/>
      <c r="AD1483" s="2001"/>
      <c r="AE1483" s="2001"/>
      <c r="AF1483" s="2001"/>
    </row>
    <row r="1484" spans="1:32" ht="13.8">
      <c r="A1484" s="2001"/>
      <c r="B1484" s="2001"/>
      <c r="C1484" s="2001" t="s">
        <v>5042</v>
      </c>
      <c r="D1484" s="2001"/>
      <c r="E1484" s="2001"/>
      <c r="F1484" s="2001"/>
      <c r="G1484" s="2001"/>
      <c r="H1484" s="2001"/>
      <c r="I1484" s="2001"/>
      <c r="J1484" s="2001"/>
      <c r="K1484" s="2001"/>
      <c r="L1484" s="2001"/>
      <c r="M1484" s="2001"/>
      <c r="N1484" s="1992"/>
      <c r="O1484" s="2404">
        <f>'Part VIII Scoring Criteria'!O290</f>
        <v>0</v>
      </c>
      <c r="P1484" s="2000"/>
      <c r="Q1484" s="2001"/>
      <c r="R1484" s="2001"/>
      <c r="S1484" s="2001"/>
      <c r="T1484" s="2001"/>
      <c r="U1484" s="2001"/>
      <c r="V1484" s="2001"/>
      <c r="W1484" s="2001"/>
      <c r="X1484" s="2001"/>
      <c r="Y1484" s="2001"/>
      <c r="Z1484" s="2001"/>
      <c r="AA1484" s="2001"/>
      <c r="AB1484" s="2001"/>
      <c r="AC1484" s="2001"/>
      <c r="AD1484" s="2001"/>
      <c r="AE1484" s="2001"/>
      <c r="AF1484" s="2001"/>
    </row>
    <row r="1485" spans="1:32" ht="13.8">
      <c r="A1485" s="2404" t="s">
        <v>1837</v>
      </c>
      <c r="B1485" s="1973" t="s">
        <v>4888</v>
      </c>
      <c r="C1485" s="1974"/>
      <c r="D1485" s="1974"/>
      <c r="E1485" s="1974"/>
      <c r="F1485" s="1974"/>
      <c r="G1485" s="1974"/>
      <c r="H1485" s="1974"/>
      <c r="I1485" s="1974"/>
      <c r="J1485" s="1974"/>
      <c r="K1485" s="1974"/>
      <c r="L1485" s="2907" t="s">
        <v>4865</v>
      </c>
      <c r="M1485" s="1987">
        <v>3</v>
      </c>
      <c r="N1485" s="2402"/>
      <c r="O1485" s="2404">
        <f>'Part VIII Scoring Criteria'!O291</f>
        <v>0</v>
      </c>
      <c r="P1485" s="2000"/>
      <c r="Q1485" s="2876" t="str">
        <f>IF(OR($O1485&lt;=$M1485,$O1485=""),"","*CHECK!*")</f>
        <v/>
      </c>
      <c r="R1485" s="2877"/>
      <c r="S1485" s="1974"/>
      <c r="T1485" s="1974"/>
      <c r="U1485" s="1974"/>
      <c r="V1485" s="1974"/>
      <c r="W1485" s="1974"/>
      <c r="X1485" s="1974"/>
      <c r="Y1485" s="1974"/>
      <c r="Z1485" s="1974"/>
      <c r="AA1485" s="1974"/>
      <c r="AB1485" s="1974"/>
      <c r="AC1485" s="1974"/>
      <c r="AD1485" s="1974"/>
      <c r="AE1485" s="1974"/>
      <c r="AF1485" s="1974"/>
    </row>
    <row r="1486" spans="1:32" ht="13.8">
      <c r="A1486" s="2001"/>
      <c r="B1486" s="2001"/>
      <c r="C1486" s="2001" t="s">
        <v>4890</v>
      </c>
      <c r="D1486" s="2001"/>
      <c r="E1486" s="2001"/>
      <c r="F1486" s="2001"/>
      <c r="G1486" s="2001"/>
      <c r="H1486" s="2001"/>
      <c r="I1486" s="2001"/>
      <c r="J1486" s="2001"/>
      <c r="K1486" s="2001"/>
      <c r="L1486" s="2001"/>
      <c r="M1486" s="2001"/>
      <c r="N1486" s="1992"/>
      <c r="O1486" s="2404">
        <f>'Part VIII Scoring Criteria'!O292</f>
        <v>0</v>
      </c>
      <c r="P1486" s="2000"/>
      <c r="Q1486" s="2001"/>
      <c r="R1486" s="2001"/>
      <c r="S1486" s="2001"/>
      <c r="T1486" s="2001"/>
      <c r="U1486" s="2001"/>
      <c r="V1486" s="2001"/>
      <c r="W1486" s="2001"/>
      <c r="X1486" s="2001"/>
      <c r="Y1486" s="2001"/>
      <c r="Z1486" s="2001"/>
      <c r="AA1486" s="2001"/>
      <c r="AB1486" s="2001"/>
      <c r="AC1486" s="2001"/>
      <c r="AD1486" s="2001"/>
      <c r="AE1486" s="2001"/>
      <c r="AF1486" s="2001"/>
    </row>
    <row r="1487" spans="1:32" ht="13.8">
      <c r="A1487" s="2001"/>
      <c r="B1487" s="2001"/>
      <c r="C1487" s="2001" t="s">
        <v>4998</v>
      </c>
      <c r="D1487" s="2001"/>
      <c r="E1487" s="2001"/>
      <c r="F1487" s="2001"/>
      <c r="G1487" s="2001"/>
      <c r="H1487" s="2001"/>
      <c r="I1487" s="2001"/>
      <c r="J1487" s="2001"/>
      <c r="K1487" s="2001"/>
      <c r="L1487" s="2947">
        <f>O1373</f>
        <v>0</v>
      </c>
      <c r="M1487" s="2001"/>
      <c r="N1487" s="1992"/>
      <c r="O1487" s="2404">
        <f>'Part VIII Scoring Criteria'!O293</f>
        <v>0</v>
      </c>
      <c r="P1487" s="2000"/>
      <c r="Q1487" s="2001"/>
      <c r="R1487" s="2001"/>
      <c r="S1487" s="2001"/>
      <c r="T1487" s="2001"/>
      <c r="U1487" s="2001"/>
      <c r="V1487" s="2001"/>
      <c r="W1487" s="2001"/>
      <c r="X1487" s="2001"/>
      <c r="Y1487" s="2001"/>
      <c r="Z1487" s="2001"/>
      <c r="AA1487" s="2001"/>
      <c r="AB1487" s="2001"/>
      <c r="AC1487" s="2001"/>
      <c r="AD1487" s="2001"/>
      <c r="AE1487" s="2001"/>
      <c r="AF1487" s="2001"/>
    </row>
    <row r="1488" spans="1:32" ht="13.8">
      <c r="A1488" s="2001"/>
      <c r="B1488" s="2001"/>
      <c r="C1488" s="2001" t="s">
        <v>5043</v>
      </c>
      <c r="D1488" s="2001"/>
      <c r="E1488" s="2001"/>
      <c r="F1488" s="2001"/>
      <c r="G1488" s="2001"/>
      <c r="H1488" s="2001"/>
      <c r="I1488" s="2001"/>
      <c r="J1488" s="2001"/>
      <c r="K1488" s="2001"/>
      <c r="L1488" s="2001"/>
      <c r="M1488" s="2001"/>
      <c r="N1488" s="1992"/>
      <c r="O1488" s="2404">
        <f>'Part VIII Scoring Criteria'!O294</f>
        <v>0</v>
      </c>
      <c r="P1488" s="2000"/>
      <c r="Q1488" s="2001"/>
      <c r="R1488" s="2001"/>
      <c r="S1488" s="2001"/>
      <c r="T1488" s="2001"/>
      <c r="U1488" s="2001"/>
      <c r="V1488" s="2001"/>
      <c r="W1488" s="2001"/>
      <c r="X1488" s="2001"/>
      <c r="Y1488" s="2001"/>
      <c r="Z1488" s="2001"/>
      <c r="AA1488" s="2001"/>
      <c r="AB1488" s="2001"/>
      <c r="AC1488" s="2001"/>
      <c r="AD1488" s="2001"/>
      <c r="AE1488" s="2001"/>
      <c r="AF1488" s="2001"/>
    </row>
    <row r="1489" spans="1:32" ht="13.8">
      <c r="A1489" s="2404" t="s">
        <v>697</v>
      </c>
      <c r="B1489" s="1973" t="s">
        <v>4889</v>
      </c>
      <c r="C1489" s="2001"/>
      <c r="D1489" s="2001"/>
      <c r="E1489" s="2001"/>
      <c r="F1489" s="2001"/>
      <c r="G1489" s="2004"/>
      <c r="H1489" s="2001"/>
      <c r="I1489" s="2874"/>
      <c r="J1489" s="2001"/>
      <c r="K1489" s="2001"/>
      <c r="L1489" s="2907" t="s">
        <v>4865</v>
      </c>
      <c r="M1489" s="1987">
        <v>3</v>
      </c>
      <c r="N1489" s="2402"/>
      <c r="O1489" s="2404">
        <f>'Part VIII Scoring Criteria'!O295</f>
        <v>0</v>
      </c>
      <c r="P1489" s="2000"/>
      <c r="Q1489" s="2876" t="str">
        <f>IF(OR($O1489&lt;=$M1489,$O1489=""),"","*CHECK!*")</f>
        <v/>
      </c>
      <c r="R1489" s="2877"/>
      <c r="S1489" s="2001"/>
      <c r="T1489" s="2001"/>
      <c r="U1489" s="2001"/>
      <c r="V1489" s="2001"/>
      <c r="W1489" s="2001"/>
      <c r="X1489" s="2001"/>
      <c r="Y1489" s="2001"/>
      <c r="Z1489" s="2001"/>
      <c r="AA1489" s="2001"/>
      <c r="AB1489" s="2001"/>
      <c r="AC1489" s="2001"/>
      <c r="AD1489" s="2001"/>
      <c r="AE1489" s="2001"/>
      <c r="AF1489" s="2001"/>
    </row>
    <row r="1490" spans="1:32" ht="13.8">
      <c r="A1490" s="2001"/>
      <c r="B1490" s="2001"/>
      <c r="C1490" s="2001" t="s">
        <v>4953</v>
      </c>
      <c r="D1490" s="2001"/>
      <c r="E1490" s="2001"/>
      <c r="F1490" s="2001"/>
      <c r="G1490" s="2001"/>
      <c r="H1490" s="2001"/>
      <c r="I1490" s="2001"/>
      <c r="J1490" s="2001"/>
      <c r="K1490" s="2001"/>
      <c r="L1490" s="2001"/>
      <c r="M1490" s="2001"/>
      <c r="N1490" s="1992"/>
      <c r="O1490" s="2976">
        <f>'Part VIII Scoring Criteria'!O296</f>
        <v>0</v>
      </c>
      <c r="P1490" s="2976"/>
      <c r="Q1490" s="2001"/>
      <c r="R1490" s="2001"/>
      <c r="S1490" s="2001"/>
      <c r="T1490" s="2001"/>
      <c r="U1490" s="2001"/>
      <c r="V1490" s="2001"/>
      <c r="W1490" s="2001"/>
      <c r="X1490" s="2001"/>
      <c r="Y1490" s="2001"/>
      <c r="Z1490" s="2001"/>
      <c r="AA1490" s="2001"/>
      <c r="AB1490" s="2001"/>
      <c r="AC1490" s="2001"/>
      <c r="AD1490" s="2001"/>
      <c r="AE1490" s="2001"/>
      <c r="AF1490" s="2001"/>
    </row>
    <row r="1491" spans="1:32" ht="13.8">
      <c r="A1491" s="2001"/>
      <c r="B1491" s="2001"/>
      <c r="C1491" s="2001"/>
      <c r="D1491" s="2001"/>
      <c r="E1491" s="2001"/>
      <c r="F1491" s="2001"/>
      <c r="G1491" s="2001"/>
      <c r="H1491" s="2001"/>
      <c r="I1491" s="2001"/>
      <c r="J1491" s="2001"/>
      <c r="K1491" s="2001"/>
      <c r="L1491" s="2001"/>
      <c r="M1491" s="2001"/>
      <c r="N1491" s="1992"/>
      <c r="O1491" s="2003"/>
      <c r="P1491" s="2003"/>
      <c r="Q1491" s="2001"/>
      <c r="R1491" s="2001"/>
      <c r="S1491" s="2001"/>
      <c r="T1491" s="2001"/>
      <c r="U1491" s="2001"/>
      <c r="V1491" s="2001"/>
      <c r="W1491" s="2001"/>
      <c r="X1491" s="2001"/>
      <c r="Y1491" s="2001"/>
      <c r="Z1491" s="2001"/>
      <c r="AA1491" s="2001"/>
      <c r="AB1491" s="2001"/>
      <c r="AC1491" s="2001"/>
      <c r="AD1491" s="2001"/>
      <c r="AE1491" s="2001"/>
      <c r="AF1491" s="2001"/>
    </row>
    <row r="1492" spans="1:32" ht="14.4">
      <c r="A1492" s="1974"/>
      <c r="B1492" s="2869" t="s">
        <v>5173</v>
      </c>
      <c r="C1492" s="1974"/>
      <c r="D1492" s="1974"/>
      <c r="E1492" s="1974"/>
      <c r="F1492" s="1974"/>
      <c r="G1492" s="1974"/>
      <c r="H1492" s="1974"/>
      <c r="I1492" s="1974"/>
      <c r="J1492" s="1974"/>
      <c r="K1492" s="1974"/>
      <c r="L1492" s="2001"/>
      <c r="M1492" s="1987"/>
      <c r="N1492" s="1992"/>
      <c r="O1492" s="2000"/>
      <c r="P1492" s="2003"/>
      <c r="Q1492" s="2001"/>
      <c r="R1492" s="2001"/>
      <c r="S1492" s="2001"/>
      <c r="T1492" s="2001"/>
      <c r="U1492" s="2001"/>
      <c r="V1492" s="2001"/>
      <c r="W1492" s="2001"/>
      <c r="X1492" s="2001"/>
      <c r="Y1492" s="2001"/>
      <c r="Z1492" s="2001"/>
      <c r="AA1492" s="2001"/>
      <c r="AB1492" s="2001"/>
      <c r="AC1492" s="2001"/>
      <c r="AD1492" s="2001"/>
      <c r="AE1492" s="2001"/>
      <c r="AF1492" s="2001"/>
    </row>
    <row r="1493" spans="1:32" ht="13.8">
      <c r="A1493" s="2008" t="str">
        <f>'Part VIII Scoring Criteria'!A299</f>
        <v>This scoring section is not applicable to 4%/Bonds, Preservation applications.</v>
      </c>
      <c r="B1493" s="2007"/>
      <c r="C1493" s="2007"/>
      <c r="D1493" s="2007"/>
      <c r="E1493" s="2007"/>
      <c r="F1493" s="2007"/>
      <c r="G1493" s="2007"/>
      <c r="H1493" s="2007"/>
      <c r="I1493" s="2007"/>
      <c r="J1493" s="2007"/>
      <c r="K1493" s="2007"/>
      <c r="L1493" s="2007"/>
      <c r="M1493" s="2007"/>
      <c r="N1493" s="2007"/>
      <c r="O1493" s="2007"/>
      <c r="P1493" s="2007"/>
      <c r="Q1493" s="1973"/>
      <c r="R1493" s="2001"/>
      <c r="S1493" s="2001"/>
      <c r="T1493" s="2001"/>
      <c r="U1493" s="2001"/>
      <c r="V1493" s="2001"/>
      <c r="W1493" s="2001"/>
      <c r="X1493" s="2001"/>
      <c r="Y1493" s="2001"/>
      <c r="Z1493" s="2001"/>
      <c r="AA1493" s="2001"/>
      <c r="AB1493" s="2001"/>
      <c r="AC1493" s="2001"/>
      <c r="AD1493" s="2001"/>
      <c r="AE1493" s="2001"/>
      <c r="AF1493" s="2001"/>
    </row>
    <row r="1494" spans="1:32" ht="14.4">
      <c r="A1494" s="2001"/>
      <c r="B1494" s="2887" t="s">
        <v>1724</v>
      </c>
      <c r="C1494" s="1974"/>
      <c r="D1494" s="2887"/>
      <c r="E1494" s="2007"/>
      <c r="F1494" s="2007"/>
      <c r="G1494" s="2007"/>
      <c r="H1494" s="2007"/>
      <c r="I1494" s="2007"/>
      <c r="J1494" s="2007"/>
      <c r="K1494" s="2007"/>
      <c r="L1494" s="2007"/>
      <c r="M1494" s="2007"/>
      <c r="N1494" s="2007"/>
      <c r="O1494" s="2863"/>
      <c r="P1494" s="1973"/>
      <c r="Q1494" s="2001"/>
      <c r="R1494" s="2001"/>
      <c r="S1494" s="2001"/>
      <c r="T1494" s="2001"/>
      <c r="U1494" s="2001"/>
      <c r="V1494" s="2001"/>
      <c r="W1494" s="2001"/>
      <c r="X1494" s="2001"/>
      <c r="Y1494" s="2001"/>
      <c r="Z1494" s="2001"/>
      <c r="AA1494" s="2001"/>
      <c r="AB1494" s="2001"/>
      <c r="AC1494" s="2001"/>
      <c r="AD1494" s="2001"/>
      <c r="AE1494" s="2001"/>
      <c r="AF1494" s="2001"/>
    </row>
    <row r="1495" spans="1:32" ht="13.8">
      <c r="A1495" s="2007"/>
      <c r="B1495" s="2007"/>
      <c r="C1495" s="2007"/>
      <c r="D1495" s="2007"/>
      <c r="E1495" s="2007"/>
      <c r="F1495" s="2007"/>
      <c r="G1495" s="2007"/>
      <c r="H1495" s="2007"/>
      <c r="I1495" s="2007"/>
      <c r="J1495" s="2007"/>
      <c r="K1495" s="2007"/>
      <c r="L1495" s="2007"/>
      <c r="M1495" s="2007"/>
      <c r="N1495" s="2007"/>
      <c r="O1495" s="2007"/>
      <c r="P1495" s="2007"/>
      <c r="Q1495" s="1973"/>
      <c r="R1495" s="2001"/>
      <c r="S1495" s="2001"/>
      <c r="T1495" s="2001"/>
      <c r="U1495" s="2001"/>
      <c r="V1495" s="2001"/>
      <c r="W1495" s="2001"/>
      <c r="X1495" s="2001"/>
      <c r="Y1495" s="2001"/>
      <c r="Z1495" s="2001"/>
      <c r="AA1495" s="2001"/>
      <c r="AB1495" s="2001"/>
      <c r="AC1495" s="2001"/>
      <c r="AD1495" s="2001"/>
      <c r="AE1495" s="2001"/>
      <c r="AF1495" s="2001"/>
    </row>
    <row r="1496" spans="1:32" ht="13.8">
      <c r="A1496" s="2001"/>
      <c r="B1496" s="2001"/>
      <c r="C1496" s="2001"/>
      <c r="D1496" s="2001"/>
      <c r="E1496" s="2001"/>
      <c r="F1496" s="2001"/>
      <c r="G1496" s="2001"/>
      <c r="H1496" s="2001"/>
      <c r="I1496" s="2001"/>
      <c r="J1496" s="2001"/>
      <c r="K1496" s="2001"/>
      <c r="L1496" s="2001"/>
      <c r="M1496" s="2001"/>
      <c r="N1496" s="2001"/>
      <c r="O1496" s="2009"/>
      <c r="P1496" s="2009"/>
      <c r="Q1496" s="2001"/>
      <c r="R1496" s="2001"/>
      <c r="S1496" s="2001"/>
      <c r="T1496" s="2001"/>
      <c r="U1496" s="2001"/>
      <c r="V1496" s="2001"/>
      <c r="W1496" s="2001"/>
      <c r="X1496" s="2001"/>
      <c r="Y1496" s="2001"/>
      <c r="Z1496" s="2001"/>
      <c r="AA1496" s="2001"/>
      <c r="AB1496" s="2001"/>
      <c r="AC1496" s="2001"/>
      <c r="AD1496" s="2001"/>
      <c r="AE1496" s="2001"/>
      <c r="AF1496" s="2001"/>
    </row>
    <row r="1497" spans="1:32" ht="13.8">
      <c r="A1497" s="2001"/>
      <c r="B1497" s="2001"/>
      <c r="C1497" s="2001"/>
      <c r="D1497" s="2001"/>
      <c r="E1497" s="2001"/>
      <c r="F1497" s="2001"/>
      <c r="G1497" s="2001"/>
      <c r="H1497" s="2001"/>
      <c r="I1497" s="2001"/>
      <c r="J1497" s="2001"/>
      <c r="K1497" s="2001"/>
      <c r="L1497" s="2001"/>
      <c r="M1497" s="2001"/>
      <c r="N1497" s="1992"/>
      <c r="O1497" s="2003"/>
      <c r="P1497" s="2003"/>
      <c r="Q1497" s="2001"/>
      <c r="R1497" s="2001"/>
      <c r="S1497" s="2001"/>
      <c r="T1497" s="2001"/>
      <c r="U1497" s="2001"/>
      <c r="V1497" s="2001"/>
      <c r="W1497" s="2001"/>
      <c r="X1497" s="2001"/>
      <c r="Y1497" s="2001"/>
      <c r="Z1497" s="2001"/>
      <c r="AA1497" s="2001"/>
      <c r="AB1497" s="2001"/>
      <c r="AC1497" s="2001"/>
      <c r="AD1497" s="2001"/>
      <c r="AE1497" s="2001"/>
      <c r="AF1497" s="2001"/>
    </row>
    <row r="1498" spans="1:32" ht="14.4">
      <c r="A1498" s="2399" t="s">
        <v>3281</v>
      </c>
      <c r="B1498" s="2400" t="s">
        <v>4819</v>
      </c>
      <c r="C1498" s="1974"/>
      <c r="D1498" s="2400"/>
      <c r="E1498" s="2400"/>
      <c r="F1498" s="1974"/>
      <c r="G1498" s="2889"/>
      <c r="H1498" s="1974"/>
      <c r="I1498" s="1974"/>
      <c r="J1498" s="2407" t="str">
        <f>IF(OR($O$206&gt;0,$O$238&gt;0,$O$265&gt;0),"Points already claimed in another restricted section!","")</f>
        <v/>
      </c>
      <c r="K1498" s="2407" t="str">
        <f>IF(AND(O1498&gt;0,NOT($H$11="New Affordability")), "Not New Affordability!","")</f>
        <v/>
      </c>
      <c r="L1498" s="2873" t="s">
        <v>4865</v>
      </c>
      <c r="M1498" s="2404">
        <v>10</v>
      </c>
      <c r="N1498" s="1987"/>
      <c r="O1498" s="2000">
        <f>'Part VIII Scoring Criteria'!O304</f>
        <v>0</v>
      </c>
      <c r="P1498" s="2000">
        <f>'Part VIII Scoring Criteria'!P304</f>
        <v>0</v>
      </c>
      <c r="Q1498" s="2404" t="s">
        <v>415</v>
      </c>
      <c r="R1498" s="2958" t="s">
        <v>4956</v>
      </c>
      <c r="S1498" s="1973"/>
      <c r="T1498" s="1973"/>
      <c r="U1498" s="1973"/>
      <c r="V1498" s="2954">
        <f>$H$15</f>
        <v>0</v>
      </c>
      <c r="W1498" s="1974"/>
      <c r="X1498" s="1974"/>
      <c r="Y1498" s="1974"/>
      <c r="Z1498" s="1974"/>
      <c r="AA1498" s="1974"/>
      <c r="AB1498" s="1974"/>
      <c r="AC1498" s="1974"/>
      <c r="AD1498" s="1974"/>
      <c r="AE1498" s="1974"/>
      <c r="AF1498" s="1974"/>
    </row>
    <row r="1499" spans="1:32" ht="13.8">
      <c r="A1499" s="2399"/>
      <c r="B1499" s="2400"/>
      <c r="C1499" s="1974"/>
      <c r="D1499" s="2400"/>
      <c r="E1499" s="2400"/>
      <c r="F1499" s="1974"/>
      <c r="G1499" s="1974"/>
      <c r="H1499" s="1974"/>
      <c r="I1499" s="1974"/>
      <c r="J1499" s="1974"/>
      <c r="K1499" s="1974"/>
      <c r="L1499" s="2407"/>
      <c r="M1499" s="2404"/>
      <c r="N1499" s="1987"/>
      <c r="O1499" s="2000"/>
      <c r="P1499" s="2000"/>
      <c r="Q1499" s="2404"/>
      <c r="R1499" s="2877"/>
      <c r="S1499" s="1973"/>
      <c r="T1499" s="1973"/>
      <c r="U1499" s="1973"/>
      <c r="V1499" s="2001"/>
      <c r="W1499" s="2001"/>
      <c r="X1499" s="2001"/>
      <c r="Y1499" s="1974"/>
      <c r="Z1499" s="1974"/>
      <c r="AA1499" s="1974"/>
      <c r="AB1499" s="1974"/>
      <c r="AC1499" s="1974"/>
      <c r="AD1499" s="1974"/>
      <c r="AE1499" s="1974"/>
      <c r="AF1499" s="1974"/>
    </row>
    <row r="1500" spans="1:32" ht="13.8">
      <c r="A1500" s="2399"/>
      <c r="B1500" s="1974"/>
      <c r="C1500" s="1974" t="s">
        <v>4881</v>
      </c>
      <c r="D1500" s="2400"/>
      <c r="E1500" s="2400"/>
      <c r="F1500" s="1974"/>
      <c r="G1500" s="1974"/>
      <c r="H1500" s="1974"/>
      <c r="I1500" s="1974"/>
      <c r="J1500" s="2404" t="s">
        <v>2879</v>
      </c>
      <c r="K1500" s="2404" t="s">
        <v>245</v>
      </c>
      <c r="L1500" s="2407"/>
      <c r="M1500" s="2404"/>
      <c r="N1500" s="1987"/>
      <c r="O1500" s="2000"/>
      <c r="P1500" s="2000"/>
      <c r="Q1500" s="2404"/>
      <c r="R1500" s="2877"/>
      <c r="S1500" s="1973"/>
      <c r="T1500" s="1973"/>
      <c r="U1500" s="1973"/>
      <c r="V1500" s="2001"/>
      <c r="W1500" s="2001"/>
      <c r="X1500" s="2001"/>
      <c r="Y1500" s="1974"/>
      <c r="Z1500" s="1974"/>
      <c r="AA1500" s="1974"/>
      <c r="AB1500" s="1974"/>
      <c r="AC1500" s="1974"/>
      <c r="AD1500" s="1974"/>
      <c r="AE1500" s="1974"/>
      <c r="AF1500" s="1974"/>
    </row>
    <row r="1501" spans="1:32" ht="13.8">
      <c r="A1501" s="2399"/>
      <c r="B1501" s="2400"/>
      <c r="C1501" s="1974"/>
      <c r="D1501" s="1974" t="s">
        <v>3304</v>
      </c>
      <c r="E1501" s="2400"/>
      <c r="F1501" s="1974"/>
      <c r="G1501" s="1974"/>
      <c r="H1501" s="1974"/>
      <c r="I1501" s="1974"/>
      <c r="J1501" s="2947">
        <f>'Part VIII Scoring Criteria'!J307</f>
        <v>0</v>
      </c>
      <c r="K1501" s="2947">
        <f>'Part VIII Scoring Criteria'!K307</f>
        <v>0</v>
      </c>
      <c r="L1501" s="2407"/>
      <c r="M1501" s="1973" t="str">
        <f>'Part VIII Scoring Criteria'!M307</f>
        <v>Atlanta Metro</v>
      </c>
      <c r="N1501" s="1973"/>
      <c r="O1501" s="1973"/>
      <c r="P1501" s="1973"/>
      <c r="Q1501" s="2404"/>
      <c r="R1501" s="2877"/>
      <c r="S1501" s="1973"/>
      <c r="T1501" s="1973"/>
      <c r="U1501" s="1973"/>
      <c r="V1501" s="2001"/>
      <c r="W1501" s="2001"/>
      <c r="X1501" s="2001"/>
      <c r="Y1501" s="1974"/>
      <c r="Z1501" s="1974"/>
      <c r="AA1501" s="1974"/>
      <c r="AB1501" s="1974"/>
      <c r="AC1501" s="1974"/>
      <c r="AD1501" s="1974"/>
      <c r="AE1501" s="1974"/>
      <c r="AF1501" s="1974"/>
    </row>
    <row r="1502" spans="1:32" ht="13.8">
      <c r="A1502" s="2399"/>
      <c r="B1502" s="2400"/>
      <c r="C1502" s="1974"/>
      <c r="D1502" s="1974" t="s">
        <v>3906</v>
      </c>
      <c r="E1502" s="2400"/>
      <c r="F1502" s="1974"/>
      <c r="G1502" s="1974"/>
      <c r="H1502" s="1974"/>
      <c r="I1502" s="1974"/>
      <c r="J1502" s="2867">
        <f>'Part VIII Scoring Criteria'!J308</f>
        <v>0</v>
      </c>
      <c r="K1502" s="2867">
        <f>'Part VIII Scoring Criteria'!K308</f>
        <v>0</v>
      </c>
      <c r="L1502" s="2407"/>
      <c r="M1502" s="1973"/>
      <c r="N1502" s="1974"/>
      <c r="O1502" s="2888"/>
      <c r="P1502" s="2888"/>
      <c r="Q1502" s="2404"/>
      <c r="R1502" s="2877"/>
      <c r="S1502" s="1973"/>
      <c r="T1502" s="1973"/>
      <c r="U1502" s="1973"/>
      <c r="V1502" s="2001"/>
      <c r="W1502" s="2001"/>
      <c r="X1502" s="2001"/>
      <c r="Y1502" s="1974"/>
      <c r="Z1502" s="1974"/>
      <c r="AA1502" s="1974"/>
      <c r="AB1502" s="1974"/>
      <c r="AC1502" s="1974"/>
      <c r="AD1502" s="1974"/>
      <c r="AE1502" s="1974"/>
      <c r="AF1502" s="1974"/>
    </row>
    <row r="1503" spans="1:32" ht="13.8">
      <c r="A1503" s="2399"/>
      <c r="B1503" s="2400"/>
      <c r="C1503" s="1974"/>
      <c r="D1503" s="2400"/>
      <c r="E1503" s="2400"/>
      <c r="F1503" s="1974"/>
      <c r="G1503" s="1974"/>
      <c r="H1503" s="1974"/>
      <c r="I1503" s="1974"/>
      <c r="J1503" s="1974"/>
      <c r="K1503" s="1974"/>
      <c r="L1503" s="2407"/>
      <c r="M1503" s="2404"/>
      <c r="N1503" s="1987"/>
      <c r="O1503" s="2000"/>
      <c r="P1503" s="2000"/>
      <c r="Q1503" s="2404"/>
      <c r="R1503" s="2877"/>
      <c r="S1503" s="1973"/>
      <c r="T1503" s="1973"/>
      <c r="U1503" s="1973"/>
      <c r="V1503" s="2001"/>
      <c r="W1503" s="2001"/>
      <c r="X1503" s="2001"/>
      <c r="Y1503" s="1974"/>
      <c r="Z1503" s="1974"/>
      <c r="AA1503" s="1974"/>
      <c r="AB1503" s="1974"/>
      <c r="AC1503" s="1974"/>
      <c r="AD1503" s="1974"/>
      <c r="AE1503" s="1974"/>
      <c r="AF1503" s="1974"/>
    </row>
    <row r="1504" spans="1:32" ht="13.8">
      <c r="A1504" s="2404" t="s">
        <v>1835</v>
      </c>
      <c r="B1504" s="2893" t="s">
        <v>4891</v>
      </c>
      <c r="C1504" s="2001"/>
      <c r="D1504" s="2008"/>
      <c r="E1504" s="2008"/>
      <c r="F1504" s="2008"/>
      <c r="G1504" s="2008"/>
      <c r="H1504" s="2008"/>
      <c r="I1504" s="2001"/>
      <c r="J1504" s="2001"/>
      <c r="K1504" s="2001"/>
      <c r="L1504" s="2875" t="str">
        <f t="shared" ref="L1504:L1505" si="456">IF(OR($O1504=$M1504,$O1504=0,$O1504=""),"","* * Check Score! * *")</f>
        <v/>
      </c>
      <c r="M1504" s="1987">
        <v>5</v>
      </c>
      <c r="N1504" s="2402"/>
      <c r="O1504" s="2404">
        <f>'Part VIII Scoring Criteria'!O310</f>
        <v>0</v>
      </c>
      <c r="P1504" s="2000"/>
      <c r="Q1504" s="1992"/>
      <c r="R1504" s="1973"/>
      <c r="S1504" s="1973"/>
      <c r="T1504" s="1973"/>
      <c r="U1504" s="1973"/>
      <c r="V1504" s="1973"/>
      <c r="W1504" s="2001"/>
      <c r="X1504" s="2001"/>
      <c r="Y1504" s="2001"/>
      <c r="Z1504" s="2001"/>
      <c r="AA1504" s="2001"/>
      <c r="AB1504" s="2001"/>
      <c r="AC1504" s="2001"/>
      <c r="AD1504" s="2001"/>
      <c r="AE1504" s="2001"/>
      <c r="AF1504" s="2001"/>
    </row>
    <row r="1505" spans="1:32" ht="13.8">
      <c r="A1505" s="2404" t="s">
        <v>1837</v>
      </c>
      <c r="B1505" s="2893" t="s">
        <v>4892</v>
      </c>
      <c r="C1505" s="2001"/>
      <c r="D1505" s="2008"/>
      <c r="E1505" s="2001"/>
      <c r="F1505" s="2001"/>
      <c r="G1505" s="2001"/>
      <c r="H1505" s="2001"/>
      <c r="I1505" s="2001"/>
      <c r="J1505" s="2977" t="str">
        <f>'Part VIII Scoring Criteria'!J311</f>
        <v>Currently not eligible</v>
      </c>
      <c r="K1505" s="2001"/>
      <c r="L1505" s="2875" t="str">
        <f t="shared" si="456"/>
        <v/>
      </c>
      <c r="M1505" s="1987">
        <v>5</v>
      </c>
      <c r="N1505" s="2402"/>
      <c r="O1505" s="2000">
        <f>'Part VIII Scoring Criteria'!O311</f>
        <v>0</v>
      </c>
      <c r="P1505" s="2000">
        <f>'Part VIII Scoring Criteria'!P311</f>
        <v>0</v>
      </c>
      <c r="Q1505" s="1992"/>
      <c r="R1505" s="1973"/>
      <c r="S1505" s="1973"/>
      <c r="T1505" s="1973"/>
      <c r="U1505" s="1973"/>
      <c r="V1505" s="1973"/>
      <c r="W1505" s="2001"/>
      <c r="X1505" s="2001"/>
      <c r="Y1505" s="2001"/>
      <c r="Z1505" s="2001"/>
      <c r="AA1505" s="2001"/>
      <c r="AB1505" s="2001"/>
      <c r="AC1505" s="2001"/>
      <c r="AD1505" s="2001"/>
      <c r="AE1505" s="2001"/>
      <c r="AF1505" s="2001"/>
    </row>
    <row r="1506" spans="1:32" ht="14.4">
      <c r="A1506" s="1974"/>
      <c r="B1506" s="2869" t="s">
        <v>5173</v>
      </c>
      <c r="C1506" s="1974"/>
      <c r="D1506" s="1974"/>
      <c r="E1506" s="1974"/>
      <c r="F1506" s="1974"/>
      <c r="G1506" s="1974"/>
      <c r="H1506" s="1974"/>
      <c r="I1506" s="1974"/>
      <c r="J1506" s="1974"/>
      <c r="K1506" s="1974"/>
      <c r="L1506" s="2001"/>
      <c r="M1506" s="1987"/>
      <c r="N1506" s="1992"/>
      <c r="O1506" s="2000"/>
      <c r="P1506" s="2003"/>
      <c r="Q1506" s="2001"/>
      <c r="R1506" s="1973"/>
      <c r="S1506" s="1973"/>
      <c r="T1506" s="1973"/>
      <c r="U1506" s="1973"/>
      <c r="V1506" s="1973"/>
      <c r="W1506" s="2001"/>
      <c r="X1506" s="2001"/>
      <c r="Y1506" s="2001"/>
      <c r="Z1506" s="2001"/>
      <c r="AA1506" s="2001"/>
      <c r="AB1506" s="2001"/>
      <c r="AC1506" s="2001"/>
      <c r="AD1506" s="2001"/>
      <c r="AE1506" s="2001"/>
      <c r="AF1506" s="2001"/>
    </row>
    <row r="1507" spans="1:32" ht="13.8">
      <c r="A1507" s="2008" t="str">
        <f>'Part VIII Scoring Criteria'!A313</f>
        <v>This scoring section is Not Applicable to 4%/Bonds, Preservation applications.</v>
      </c>
      <c r="B1507" s="2007"/>
      <c r="C1507" s="2007"/>
      <c r="D1507" s="2007"/>
      <c r="E1507" s="2007"/>
      <c r="F1507" s="2007"/>
      <c r="G1507" s="2007"/>
      <c r="H1507" s="2007"/>
      <c r="I1507" s="2007"/>
      <c r="J1507" s="2007"/>
      <c r="K1507" s="2007"/>
      <c r="L1507" s="2007"/>
      <c r="M1507" s="2007"/>
      <c r="N1507" s="2007"/>
      <c r="O1507" s="2007"/>
      <c r="P1507" s="2007"/>
      <c r="Q1507" s="1973"/>
      <c r="R1507" s="2001"/>
      <c r="S1507" s="2001"/>
      <c r="T1507" s="2001"/>
      <c r="U1507" s="2001"/>
      <c r="V1507" s="2001"/>
      <c r="W1507" s="2001"/>
      <c r="X1507" s="2001"/>
      <c r="Y1507" s="2001"/>
      <c r="Z1507" s="2001"/>
      <c r="AA1507" s="2001"/>
      <c r="AB1507" s="2001"/>
      <c r="AC1507" s="2001"/>
      <c r="AD1507" s="2001"/>
      <c r="AE1507" s="2001"/>
      <c r="AF1507" s="2001"/>
    </row>
    <row r="1508" spans="1:32" ht="14.4">
      <c r="A1508" s="1974"/>
      <c r="B1508" s="2887" t="s">
        <v>1724</v>
      </c>
      <c r="C1508" s="1974"/>
      <c r="D1508" s="2887"/>
      <c r="E1508" s="2007"/>
      <c r="F1508" s="2007"/>
      <c r="G1508" s="2007"/>
      <c r="H1508" s="2007"/>
      <c r="I1508" s="2007"/>
      <c r="J1508" s="2007"/>
      <c r="K1508" s="2007"/>
      <c r="L1508" s="2007"/>
      <c r="M1508" s="2007"/>
      <c r="N1508" s="2007"/>
      <c r="O1508" s="2863"/>
      <c r="P1508" s="1973"/>
      <c r="Q1508" s="2001"/>
      <c r="R1508" s="2001"/>
      <c r="S1508" s="2001"/>
      <c r="T1508" s="2001"/>
      <c r="U1508" s="2001"/>
      <c r="V1508" s="2001"/>
      <c r="W1508" s="2001"/>
      <c r="X1508" s="2001"/>
      <c r="Y1508" s="2001"/>
      <c r="Z1508" s="2001"/>
      <c r="AA1508" s="2001"/>
      <c r="AB1508" s="2001"/>
      <c r="AC1508" s="2001"/>
      <c r="AD1508" s="2001"/>
      <c r="AE1508" s="2001"/>
      <c r="AF1508" s="2001"/>
    </row>
    <row r="1509" spans="1:32" ht="13.8">
      <c r="A1509" s="2007"/>
      <c r="B1509" s="2007"/>
      <c r="C1509" s="2007"/>
      <c r="D1509" s="2007"/>
      <c r="E1509" s="2007"/>
      <c r="F1509" s="2007"/>
      <c r="G1509" s="2007"/>
      <c r="H1509" s="2007"/>
      <c r="I1509" s="2007"/>
      <c r="J1509" s="2007"/>
      <c r="K1509" s="2007"/>
      <c r="L1509" s="2007"/>
      <c r="M1509" s="2007"/>
      <c r="N1509" s="2007"/>
      <c r="O1509" s="2007"/>
      <c r="P1509" s="2007"/>
      <c r="Q1509" s="1973"/>
      <c r="R1509" s="2001"/>
      <c r="S1509" s="2001"/>
      <c r="T1509" s="2001"/>
      <c r="U1509" s="2001"/>
      <c r="V1509" s="2001"/>
      <c r="W1509" s="2001"/>
      <c r="X1509" s="2001"/>
      <c r="Y1509" s="2001"/>
      <c r="Z1509" s="2001"/>
      <c r="AA1509" s="2001"/>
      <c r="AB1509" s="2001"/>
      <c r="AC1509" s="2001"/>
      <c r="AD1509" s="2001"/>
      <c r="AE1509" s="2001"/>
      <c r="AF1509" s="2001"/>
    </row>
    <row r="1510" spans="1:32" ht="13.8">
      <c r="A1510" s="2001"/>
      <c r="B1510" s="2001"/>
      <c r="C1510" s="2001"/>
      <c r="D1510" s="2001"/>
      <c r="E1510" s="2001"/>
      <c r="F1510" s="2001"/>
      <c r="G1510" s="2001"/>
      <c r="H1510" s="2001"/>
      <c r="I1510" s="2001"/>
      <c r="J1510" s="2001"/>
      <c r="K1510" s="2001"/>
      <c r="L1510" s="2001"/>
      <c r="M1510" s="2001"/>
      <c r="N1510" s="2001"/>
      <c r="O1510" s="2009"/>
      <c r="P1510" s="2009"/>
      <c r="Q1510" s="2001"/>
      <c r="R1510" s="2001"/>
      <c r="S1510" s="2001"/>
      <c r="T1510" s="2001"/>
      <c r="U1510" s="2001"/>
      <c r="V1510" s="2001"/>
      <c r="W1510" s="2001"/>
      <c r="X1510" s="2001"/>
      <c r="Y1510" s="2001"/>
      <c r="Z1510" s="2001"/>
      <c r="AA1510" s="2001"/>
      <c r="AB1510" s="2001"/>
      <c r="AC1510" s="2001"/>
      <c r="AD1510" s="2001"/>
      <c r="AE1510" s="2001"/>
      <c r="AF1510" s="2001"/>
    </row>
    <row r="1511" spans="1:32" ht="13.8">
      <c r="A1511" s="2001"/>
      <c r="B1511" s="2001"/>
      <c r="C1511" s="2001"/>
      <c r="D1511" s="2001"/>
      <c r="E1511" s="2001"/>
      <c r="F1511" s="2001"/>
      <c r="G1511" s="2001"/>
      <c r="H1511" s="2001"/>
      <c r="I1511" s="2001"/>
      <c r="J1511" s="2001"/>
      <c r="K1511" s="2001"/>
      <c r="L1511" s="2001"/>
      <c r="M1511" s="2001"/>
      <c r="N1511" s="1992"/>
      <c r="O1511" s="2003"/>
      <c r="P1511" s="2003"/>
      <c r="Q1511" s="2001"/>
      <c r="R1511" s="2001"/>
      <c r="S1511" s="2001"/>
      <c r="T1511" s="2001"/>
      <c r="U1511" s="2001"/>
      <c r="V1511" s="2001"/>
      <c r="W1511" s="2001"/>
      <c r="X1511" s="2001"/>
      <c r="Y1511" s="2001"/>
      <c r="Z1511" s="2001"/>
      <c r="AA1511" s="2001"/>
      <c r="AB1511" s="2001"/>
      <c r="AC1511" s="2001"/>
      <c r="AD1511" s="2001"/>
      <c r="AE1511" s="2001"/>
      <c r="AF1511" s="2001"/>
    </row>
    <row r="1512" spans="1:32" ht="13.8">
      <c r="A1512" s="2399" t="s">
        <v>3282</v>
      </c>
      <c r="B1512" s="2400" t="s">
        <v>4820</v>
      </c>
      <c r="C1512" s="1974"/>
      <c r="D1512" s="2400"/>
      <c r="E1512" s="2400"/>
      <c r="F1512" s="1974"/>
      <c r="G1512" s="1974" t="str">
        <f>'Part VIII Scoring Criteria'!G318</f>
        <v>Atlanta Metro</v>
      </c>
      <c r="H1512" s="1974"/>
      <c r="I1512" s="1974"/>
      <c r="J1512" s="2875" t="str">
        <f t="shared" ref="J1512" si="457">IF(OR($O1512=$M1512,$O1512=0,$O1512=""),"","* * Check Score! * *")</f>
        <v/>
      </c>
      <c r="K1512" s="1974"/>
      <c r="L1512" s="2407" t="str">
        <f>IF(AND(O1512&gt;0,$L$11="Atlanta Metro"), "Atlanta Metro is ineligible to score in this section!","")</f>
        <v/>
      </c>
      <c r="M1512" s="2404">
        <v>1</v>
      </c>
      <c r="N1512" s="1987"/>
      <c r="O1512" s="2404">
        <f>'Part VIII Scoring Criteria'!O318</f>
        <v>0</v>
      </c>
      <c r="P1512" s="2409"/>
      <c r="Q1512" s="2404" t="s">
        <v>415</v>
      </c>
      <c r="R1512" s="1973"/>
      <c r="S1512" s="1973"/>
      <c r="T1512" s="1973"/>
      <c r="U1512" s="1973"/>
      <c r="V1512" s="1973"/>
      <c r="W1512" s="1974"/>
      <c r="X1512" s="1974"/>
      <c r="Y1512" s="1974"/>
      <c r="Z1512" s="1974"/>
      <c r="AA1512" s="1974"/>
      <c r="AB1512" s="1974"/>
      <c r="AC1512" s="1974"/>
      <c r="AD1512" s="1974"/>
      <c r="AE1512" s="1974"/>
      <c r="AF1512" s="1974"/>
    </row>
    <row r="1513" spans="1:32" ht="13.8">
      <c r="A1513" s="2399"/>
      <c r="B1513" s="2400"/>
      <c r="C1513" s="1974"/>
      <c r="D1513" s="2400"/>
      <c r="E1513" s="2400"/>
      <c r="F1513" s="1974"/>
      <c r="G1513" s="1974"/>
      <c r="H1513" s="1974"/>
      <c r="I1513" s="1974"/>
      <c r="J1513" s="1974"/>
      <c r="K1513" s="1974"/>
      <c r="L1513" s="1974"/>
      <c r="M1513" s="2404"/>
      <c r="N1513" s="1974"/>
      <c r="O1513" s="1974"/>
      <c r="P1513" s="1974"/>
      <c r="Q1513" s="2404"/>
      <c r="R1513" s="1973"/>
      <c r="S1513" s="1973"/>
      <c r="T1513" s="1973"/>
      <c r="U1513" s="1973"/>
      <c r="V1513" s="1973"/>
      <c r="W1513" s="2001"/>
      <c r="X1513" s="2001"/>
      <c r="Y1513" s="1974"/>
      <c r="Z1513" s="1974"/>
      <c r="AA1513" s="1974"/>
      <c r="AB1513" s="1974"/>
      <c r="AC1513" s="1974"/>
      <c r="AD1513" s="1974"/>
      <c r="AE1513" s="1974"/>
      <c r="AF1513" s="1974"/>
    </row>
    <row r="1514" spans="1:32" ht="15" customHeight="1">
      <c r="A1514" s="2399"/>
      <c r="B1514" s="2400"/>
      <c r="C1514" s="1974" t="s">
        <v>4900</v>
      </c>
      <c r="D1514" s="2400"/>
      <c r="E1514" s="2400"/>
      <c r="F1514" s="1974"/>
      <c r="G1514" s="1974"/>
      <c r="H1514" s="1974"/>
      <c r="I1514" s="1974"/>
      <c r="J1514" s="1974"/>
      <c r="K1514" s="1974"/>
      <c r="L1514" s="1974" t="s">
        <v>4902</v>
      </c>
      <c r="M1514" s="1974"/>
      <c r="N1514" s="1974"/>
      <c r="O1514" s="1974" t="s">
        <v>4903</v>
      </c>
      <c r="P1514" s="1974"/>
      <c r="Q1514" s="2404"/>
      <c r="R1514" s="1973"/>
      <c r="S1514" s="1973"/>
      <c r="T1514" s="1973"/>
      <c r="U1514" s="1973"/>
      <c r="V1514" s="1973"/>
      <c r="W1514" s="2001"/>
      <c r="X1514" s="2001"/>
      <c r="Y1514" s="1974"/>
      <c r="Z1514" s="1974"/>
      <c r="AA1514" s="1974"/>
      <c r="AB1514" s="1974"/>
      <c r="AC1514" s="1974"/>
      <c r="AD1514" s="1974"/>
      <c r="AE1514" s="1974"/>
      <c r="AF1514" s="1974"/>
    </row>
    <row r="1515" spans="1:32" ht="13.8">
      <c r="A1515" s="2399"/>
      <c r="B1515" s="1974"/>
      <c r="C1515" s="1974" t="s">
        <v>4901</v>
      </c>
      <c r="D1515" s="2400"/>
      <c r="E1515" s="2400"/>
      <c r="F1515" s="1974" t="s">
        <v>4114</v>
      </c>
      <c r="G1515" s="1974"/>
      <c r="H1515" s="1974"/>
      <c r="I1515" s="1974" t="s">
        <v>574</v>
      </c>
      <c r="J1515" s="1974"/>
      <c r="K1515" s="1987" t="s">
        <v>4724</v>
      </c>
      <c r="L1515" s="1974"/>
      <c r="M1515" s="1974"/>
      <c r="N1515" s="1974"/>
      <c r="O1515" s="1974"/>
      <c r="P1515" s="1974"/>
      <c r="Q1515" s="2404"/>
      <c r="R1515" s="1973"/>
      <c r="S1515" s="1973"/>
      <c r="T1515" s="1973"/>
      <c r="U1515" s="1973"/>
      <c r="V1515" s="1973"/>
      <c r="W1515" s="2001"/>
      <c r="X1515" s="2001"/>
      <c r="Y1515" s="1974"/>
      <c r="Z1515" s="1974"/>
      <c r="AA1515" s="1974"/>
      <c r="AB1515" s="1974"/>
      <c r="AC1515" s="1974"/>
      <c r="AD1515" s="1974"/>
      <c r="AE1515" s="1974"/>
      <c r="AF1515" s="1974"/>
    </row>
    <row r="1516" spans="1:32" ht="13.8">
      <c r="A1516" s="2399"/>
      <c r="B1516" s="2960" t="s">
        <v>1838</v>
      </c>
      <c r="C1516" s="2008">
        <f>'Part VIII Scoring Criteria'!C322</f>
        <v>0</v>
      </c>
      <c r="D1516" s="2927"/>
      <c r="E1516" s="2927"/>
      <c r="F1516" s="2008">
        <f>'Part VIII Scoring Criteria'!F322</f>
        <v>0</v>
      </c>
      <c r="G1516" s="2927"/>
      <c r="H1516" s="2927"/>
      <c r="I1516" s="2008">
        <f>'Part VIII Scoring Criteria'!I322</f>
        <v>0</v>
      </c>
      <c r="J1516" s="2927"/>
      <c r="K1516" s="2978">
        <f>'Part VIII Scoring Criteria'!K322</f>
        <v>0</v>
      </c>
      <c r="L1516" s="2927">
        <f>'Part VIII Scoring Criteria'!L322</f>
        <v>0</v>
      </c>
      <c r="M1516" s="2927"/>
      <c r="N1516" s="2956"/>
      <c r="O1516" s="2927">
        <f>'Part VIII Scoring Criteria'!O322</f>
        <v>0</v>
      </c>
      <c r="P1516" s="2956"/>
      <c r="Q1516" s="2404"/>
      <c r="R1516" s="1973"/>
      <c r="S1516" s="1973"/>
      <c r="T1516" s="1973"/>
      <c r="U1516" s="1973"/>
      <c r="V1516" s="1973"/>
      <c r="W1516" s="2001"/>
      <c r="X1516" s="2001"/>
      <c r="Y1516" s="1974"/>
      <c r="Z1516" s="1974"/>
      <c r="AA1516" s="1974"/>
      <c r="AB1516" s="1974"/>
      <c r="AC1516" s="1974"/>
      <c r="AD1516" s="1974"/>
      <c r="AE1516" s="1974"/>
      <c r="AF1516" s="1974"/>
    </row>
    <row r="1517" spans="1:32" ht="13.8">
      <c r="A1517" s="2399"/>
      <c r="B1517" s="2878" t="s">
        <v>1840</v>
      </c>
      <c r="C1517" s="2008">
        <f>'Part VIII Scoring Criteria'!C323</f>
        <v>0</v>
      </c>
      <c r="D1517" s="2927"/>
      <c r="E1517" s="2927"/>
      <c r="F1517" s="2008">
        <f>'Part VIII Scoring Criteria'!F323</f>
        <v>0</v>
      </c>
      <c r="G1517" s="2927"/>
      <c r="H1517" s="2927"/>
      <c r="I1517" s="2008">
        <f>'Part VIII Scoring Criteria'!I323</f>
        <v>0</v>
      </c>
      <c r="J1517" s="2927"/>
      <c r="K1517" s="2978">
        <f>'Part VIII Scoring Criteria'!K323</f>
        <v>0</v>
      </c>
      <c r="L1517" s="2927">
        <f>'Part VIII Scoring Criteria'!L323</f>
        <v>0</v>
      </c>
      <c r="M1517" s="2927"/>
      <c r="N1517" s="2956"/>
      <c r="O1517" s="2927">
        <f>'Part VIII Scoring Criteria'!O323</f>
        <v>0</v>
      </c>
      <c r="P1517" s="2956"/>
      <c r="Q1517" s="2404"/>
      <c r="R1517" s="1973"/>
      <c r="S1517" s="1973"/>
      <c r="T1517" s="1973"/>
      <c r="U1517" s="1973"/>
      <c r="V1517" s="1973"/>
      <c r="W1517" s="2001"/>
      <c r="X1517" s="2001"/>
      <c r="Y1517" s="1974"/>
      <c r="Z1517" s="1974"/>
      <c r="AA1517" s="1974"/>
      <c r="AB1517" s="1974"/>
      <c r="AC1517" s="1974"/>
      <c r="AD1517" s="1974"/>
      <c r="AE1517" s="1974"/>
      <c r="AF1517" s="1974"/>
    </row>
    <row r="1518" spans="1:32" ht="13.8">
      <c r="A1518" s="2399"/>
      <c r="B1518" s="2878" t="s">
        <v>2325</v>
      </c>
      <c r="C1518" s="2008">
        <f>'Part VIII Scoring Criteria'!C324</f>
        <v>0</v>
      </c>
      <c r="D1518" s="2927"/>
      <c r="E1518" s="2927"/>
      <c r="F1518" s="2008">
        <f>'Part VIII Scoring Criteria'!F324</f>
        <v>0</v>
      </c>
      <c r="G1518" s="2927"/>
      <c r="H1518" s="2927"/>
      <c r="I1518" s="2008">
        <f>'Part VIII Scoring Criteria'!I324</f>
        <v>0</v>
      </c>
      <c r="J1518" s="2927"/>
      <c r="K1518" s="2978">
        <f>'Part VIII Scoring Criteria'!K324</f>
        <v>0</v>
      </c>
      <c r="L1518" s="2927">
        <f>'Part VIII Scoring Criteria'!L324</f>
        <v>0</v>
      </c>
      <c r="M1518" s="2927"/>
      <c r="N1518" s="2956"/>
      <c r="O1518" s="2927">
        <f>'Part VIII Scoring Criteria'!O324</f>
        <v>0</v>
      </c>
      <c r="P1518" s="2956"/>
      <c r="Q1518" s="2404"/>
      <c r="R1518" s="1973"/>
      <c r="S1518" s="1973"/>
      <c r="T1518" s="1973"/>
      <c r="U1518" s="1973"/>
      <c r="V1518" s="1973"/>
      <c r="W1518" s="2001"/>
      <c r="X1518" s="2001"/>
      <c r="Y1518" s="1974"/>
      <c r="Z1518" s="1974"/>
      <c r="AA1518" s="1974"/>
      <c r="AB1518" s="1974"/>
      <c r="AC1518" s="1974"/>
      <c r="AD1518" s="1974"/>
      <c r="AE1518" s="1974"/>
      <c r="AF1518" s="1974"/>
    </row>
    <row r="1519" spans="1:32" ht="13.8">
      <c r="A1519" s="2399"/>
      <c r="B1519" s="2878" t="s">
        <v>1149</v>
      </c>
      <c r="C1519" s="2008">
        <f>'Part VIII Scoring Criteria'!C325</f>
        <v>0</v>
      </c>
      <c r="D1519" s="2927"/>
      <c r="E1519" s="2927"/>
      <c r="F1519" s="2008">
        <f>'Part VIII Scoring Criteria'!F325</f>
        <v>0</v>
      </c>
      <c r="G1519" s="2927"/>
      <c r="H1519" s="2927"/>
      <c r="I1519" s="2008">
        <f>'Part VIII Scoring Criteria'!I325</f>
        <v>0</v>
      </c>
      <c r="J1519" s="2927"/>
      <c r="K1519" s="2978">
        <f>'Part VIII Scoring Criteria'!K325</f>
        <v>0</v>
      </c>
      <c r="L1519" s="2927">
        <f>'Part VIII Scoring Criteria'!L325</f>
        <v>0</v>
      </c>
      <c r="M1519" s="2927"/>
      <c r="N1519" s="2956"/>
      <c r="O1519" s="2927">
        <f>'Part VIII Scoring Criteria'!O325</f>
        <v>0</v>
      </c>
      <c r="P1519" s="2956"/>
      <c r="Q1519" s="2404"/>
      <c r="R1519" s="1973"/>
      <c r="S1519" s="1973"/>
      <c r="T1519" s="1973"/>
      <c r="U1519" s="1973"/>
      <c r="V1519" s="1973"/>
      <c r="W1519" s="2001"/>
      <c r="X1519" s="2001"/>
      <c r="Y1519" s="1974"/>
      <c r="Z1519" s="1974"/>
      <c r="AA1519" s="1974"/>
      <c r="AB1519" s="1974"/>
      <c r="AC1519" s="1974"/>
      <c r="AD1519" s="1974"/>
      <c r="AE1519" s="1974"/>
      <c r="AF1519" s="1974"/>
    </row>
    <row r="1520" spans="1:32" ht="14.4">
      <c r="A1520" s="1974"/>
      <c r="B1520" s="2869" t="s">
        <v>5173</v>
      </c>
      <c r="C1520" s="1974"/>
      <c r="D1520" s="1974"/>
      <c r="E1520" s="1974"/>
      <c r="F1520" s="1974"/>
      <c r="G1520" s="1974"/>
      <c r="H1520" s="1974"/>
      <c r="I1520" s="1974"/>
      <c r="J1520" s="1974"/>
      <c r="K1520" s="1974"/>
      <c r="L1520" s="2001"/>
      <c r="M1520" s="1974"/>
      <c r="N1520" s="1992"/>
      <c r="O1520" s="2888"/>
      <c r="P1520" s="2009"/>
      <c r="Q1520" s="2001"/>
      <c r="R1520" s="1973"/>
      <c r="S1520" s="1973"/>
      <c r="T1520" s="1973"/>
      <c r="U1520" s="1973"/>
      <c r="V1520" s="1973"/>
      <c r="W1520" s="2001"/>
      <c r="X1520" s="2001"/>
      <c r="Y1520" s="2001"/>
      <c r="Z1520" s="2001"/>
      <c r="AA1520" s="2001"/>
      <c r="AB1520" s="2001"/>
      <c r="AC1520" s="2001"/>
      <c r="AD1520" s="2001"/>
      <c r="AE1520" s="2001"/>
      <c r="AF1520" s="2001"/>
    </row>
    <row r="1521" spans="1:32" ht="13.8">
      <c r="A1521" s="2008" t="str">
        <f>'Part VIII Scoring Criteria'!A327</f>
        <v>This scoring section is Not Applicable to 4%/Bonds, Preservation applications.</v>
      </c>
      <c r="B1521" s="2007"/>
      <c r="C1521" s="2007"/>
      <c r="D1521" s="2007"/>
      <c r="E1521" s="2007"/>
      <c r="F1521" s="2007"/>
      <c r="G1521" s="2007"/>
      <c r="H1521" s="2007"/>
      <c r="I1521" s="2007"/>
      <c r="J1521" s="2007"/>
      <c r="K1521" s="2007"/>
      <c r="L1521" s="2007"/>
      <c r="M1521" s="2007"/>
      <c r="N1521" s="2007"/>
      <c r="O1521" s="2007"/>
      <c r="P1521" s="2007"/>
      <c r="Q1521" s="1973"/>
      <c r="R1521" s="2001"/>
      <c r="S1521" s="2001"/>
      <c r="T1521" s="2001"/>
      <c r="U1521" s="2001"/>
      <c r="V1521" s="2001"/>
      <c r="W1521" s="2001"/>
      <c r="X1521" s="2001"/>
      <c r="Y1521" s="2001"/>
      <c r="Z1521" s="2001"/>
      <c r="AA1521" s="2001"/>
      <c r="AB1521" s="2001"/>
      <c r="AC1521" s="2001"/>
      <c r="AD1521" s="2001"/>
      <c r="AE1521" s="2001"/>
      <c r="AF1521" s="2001"/>
    </row>
    <row r="1522" spans="1:32" ht="14.4">
      <c r="A1522" s="1974"/>
      <c r="B1522" s="2887" t="s">
        <v>1724</v>
      </c>
      <c r="C1522" s="1974"/>
      <c r="D1522" s="2887"/>
      <c r="E1522" s="2007"/>
      <c r="F1522" s="2007"/>
      <c r="G1522" s="2007"/>
      <c r="H1522" s="2007"/>
      <c r="I1522" s="2007"/>
      <c r="J1522" s="2007"/>
      <c r="K1522" s="2007"/>
      <c r="L1522" s="2007"/>
      <c r="M1522" s="2007"/>
      <c r="N1522" s="2007"/>
      <c r="O1522" s="2863"/>
      <c r="P1522" s="1973"/>
      <c r="Q1522" s="2001"/>
      <c r="R1522" s="2001"/>
      <c r="S1522" s="2001"/>
      <c r="T1522" s="2001"/>
      <c r="U1522" s="2001"/>
      <c r="V1522" s="2001"/>
      <c r="W1522" s="2001"/>
      <c r="X1522" s="2001"/>
      <c r="Y1522" s="2001"/>
      <c r="Z1522" s="2001"/>
      <c r="AA1522" s="2001"/>
      <c r="AB1522" s="2001"/>
      <c r="AC1522" s="2001"/>
      <c r="AD1522" s="2001"/>
      <c r="AE1522" s="2001"/>
      <c r="AF1522" s="2001"/>
    </row>
    <row r="1523" spans="1:32" ht="13.8">
      <c r="A1523" s="2007"/>
      <c r="B1523" s="2007"/>
      <c r="C1523" s="2007"/>
      <c r="D1523" s="2007"/>
      <c r="E1523" s="2007"/>
      <c r="F1523" s="2007"/>
      <c r="G1523" s="2007"/>
      <c r="H1523" s="2007"/>
      <c r="I1523" s="2007"/>
      <c r="J1523" s="2007"/>
      <c r="K1523" s="2007"/>
      <c r="L1523" s="2007"/>
      <c r="M1523" s="2007"/>
      <c r="N1523" s="2007"/>
      <c r="O1523" s="2007"/>
      <c r="P1523" s="2007"/>
      <c r="Q1523" s="1973"/>
      <c r="R1523" s="2001"/>
      <c r="S1523" s="2001"/>
      <c r="T1523" s="2001"/>
      <c r="U1523" s="2001"/>
      <c r="V1523" s="2001"/>
      <c r="W1523" s="2001"/>
      <c r="X1523" s="2001"/>
      <c r="Y1523" s="2001"/>
      <c r="Z1523" s="2001"/>
      <c r="AA1523" s="2001"/>
      <c r="AB1523" s="2001"/>
      <c r="AC1523" s="2001"/>
      <c r="AD1523" s="2001"/>
      <c r="AE1523" s="2001"/>
      <c r="AF1523" s="2001"/>
    </row>
    <row r="1524" spans="1:32" ht="13.8">
      <c r="A1524" s="1974"/>
      <c r="B1524" s="2001"/>
      <c r="C1524" s="2001"/>
      <c r="D1524" s="1974"/>
      <c r="E1524" s="1974"/>
      <c r="F1524" s="1973"/>
      <c r="G1524" s="1973"/>
      <c r="H1524" s="1973"/>
      <c r="I1524" s="1973"/>
      <c r="J1524" s="1974"/>
      <c r="K1524" s="1974"/>
      <c r="L1524" s="1974"/>
      <c r="M1524" s="1974"/>
      <c r="N1524" s="1973"/>
      <c r="O1524" s="2009"/>
      <c r="P1524" s="2888"/>
      <c r="Q1524" s="2001"/>
      <c r="R1524" s="2001"/>
      <c r="S1524" s="2001"/>
      <c r="T1524" s="2001"/>
      <c r="U1524" s="2001"/>
      <c r="V1524" s="2001"/>
      <c r="W1524" s="2001"/>
      <c r="X1524" s="2001"/>
      <c r="Y1524" s="2001"/>
      <c r="Z1524" s="2001"/>
      <c r="AA1524" s="2001"/>
      <c r="AB1524" s="2001"/>
      <c r="AC1524" s="2001"/>
      <c r="AD1524" s="2001"/>
      <c r="AE1524" s="2001"/>
      <c r="AF1524" s="2001"/>
    </row>
    <row r="1525" spans="1:32" ht="13.8">
      <c r="A1525" s="1974"/>
      <c r="B1525" s="2001"/>
      <c r="C1525" s="2001"/>
      <c r="D1525" s="1974"/>
      <c r="E1525" s="1974"/>
      <c r="F1525" s="2404"/>
      <c r="G1525" s="2404"/>
      <c r="H1525" s="2404"/>
      <c r="I1525" s="2404"/>
      <c r="J1525" s="2004"/>
      <c r="K1525" s="2004"/>
      <c r="L1525" s="2004"/>
      <c r="M1525" s="1987"/>
      <c r="N1525" s="2404"/>
      <c r="O1525" s="2003"/>
      <c r="P1525" s="2000"/>
      <c r="Q1525" s="2001"/>
      <c r="R1525" s="2001"/>
      <c r="S1525" s="2001"/>
      <c r="T1525" s="2001"/>
      <c r="U1525" s="2001"/>
      <c r="V1525" s="2001"/>
      <c r="W1525" s="2001"/>
      <c r="X1525" s="2001"/>
      <c r="Y1525" s="2001"/>
      <c r="Z1525" s="2001"/>
      <c r="AA1525" s="2001"/>
      <c r="AB1525" s="2001"/>
      <c r="AC1525" s="2001"/>
      <c r="AD1525" s="2001"/>
      <c r="AE1525" s="2001"/>
      <c r="AF1525" s="2001"/>
    </row>
    <row r="1526" spans="1:32" ht="13.8">
      <c r="A1526" s="2399" t="s">
        <v>3285</v>
      </c>
      <c r="B1526" s="2913" t="s">
        <v>3902</v>
      </c>
      <c r="C1526" s="2001"/>
      <c r="D1526" s="2001"/>
      <c r="E1526" s="2001"/>
      <c r="F1526" s="2001"/>
      <c r="G1526" s="2001"/>
      <c r="H1526" s="2001"/>
      <c r="I1526" s="2001"/>
      <c r="J1526" s="2001"/>
      <c r="K1526" s="2001"/>
      <c r="L1526" s="2001"/>
      <c r="M1526" s="2404">
        <v>1</v>
      </c>
      <c r="N1526" s="1992"/>
      <c r="O1526" s="2000">
        <f>'Part VIII Scoring Criteria'!O332</f>
        <v>0</v>
      </c>
      <c r="P1526" s="2000">
        <f>'Part VIII Scoring Criteria'!P332</f>
        <v>0</v>
      </c>
      <c r="Q1526" s="2404" t="s">
        <v>415</v>
      </c>
      <c r="R1526" s="2877" t="str">
        <f>IF(AND(O1526&gt;0,NOT($H$11="New Affordability")), "Ineligible to score in this section, not New Affordability!","")</f>
        <v/>
      </c>
      <c r="S1526" s="2001"/>
      <c r="T1526" s="2001"/>
      <c r="U1526" s="2001"/>
      <c r="V1526" s="2001"/>
      <c r="W1526" s="2001"/>
      <c r="X1526" s="2001"/>
      <c r="Y1526" s="2001"/>
      <c r="Z1526" s="2001"/>
      <c r="AA1526" s="2001"/>
      <c r="AB1526" s="2001"/>
      <c r="AC1526" s="2001"/>
      <c r="AD1526" s="2001"/>
      <c r="AE1526" s="2001"/>
      <c r="AF1526" s="2001"/>
    </row>
    <row r="1527" spans="1:32" ht="13.8">
      <c r="A1527" s="2404" t="s">
        <v>1835</v>
      </c>
      <c r="B1527" s="2009" t="s">
        <v>4893</v>
      </c>
      <c r="C1527" s="2001"/>
      <c r="D1527" s="2001"/>
      <c r="E1527" s="2001"/>
      <c r="F1527" s="2001"/>
      <c r="G1527" s="2909" t="s">
        <v>3066</v>
      </c>
      <c r="H1527" s="2979">
        <f>IF('Part V-Revenues &amp; Expenses'!$P$76=0,0,'Part V-Revenues &amp; Expenses'!$P$73/'Part V-Revenues &amp; Expenses'!$P$76)</f>
        <v>0</v>
      </c>
      <c r="I1527" s="2001"/>
      <c r="J1527" s="2001"/>
      <c r="K1527" s="2001"/>
      <c r="L1527" s="2875" t="str">
        <f t="shared" ref="L1527:L1528" si="458">IF(OR($O1527=$M1527,$O1527=0,$O1527=""),"","* * Check Score! * *")</f>
        <v/>
      </c>
      <c r="M1527" s="1987">
        <v>1</v>
      </c>
      <c r="N1527" s="2402"/>
      <c r="O1527" s="2404">
        <f>'Part VIII Scoring Criteria'!O333</f>
        <v>0</v>
      </c>
      <c r="P1527" s="2000"/>
      <c r="Q1527" s="2876" t="str">
        <f>IF(OR($O1527=$M1527,$O1527=0,$O1527=""),"","*CHECK!*")</f>
        <v/>
      </c>
      <c r="R1527" s="2877"/>
      <c r="S1527" s="2001"/>
      <c r="T1527" s="2001"/>
      <c r="U1527" s="2001"/>
      <c r="V1527" s="2001"/>
      <c r="W1527" s="2001"/>
      <c r="X1527" s="2001"/>
      <c r="Y1527" s="2001"/>
      <c r="Z1527" s="2001"/>
      <c r="AA1527" s="2001"/>
      <c r="AB1527" s="2001"/>
      <c r="AC1527" s="2001"/>
      <c r="AD1527" s="2001"/>
      <c r="AE1527" s="2001"/>
      <c r="AF1527" s="2001"/>
    </row>
    <row r="1528" spans="1:32" ht="13.8">
      <c r="A1528" s="2404" t="s">
        <v>1837</v>
      </c>
      <c r="B1528" s="2009" t="s">
        <v>3687</v>
      </c>
      <c r="C1528" s="2001"/>
      <c r="D1528" s="2001"/>
      <c r="E1528" s="2001"/>
      <c r="F1528" s="2001"/>
      <c r="G1528" s="2966" t="str">
        <f>'Part V-Revenues &amp; Expenses'!$O$62</f>
        <v>Income Averaging</v>
      </c>
      <c r="H1528" s="2966"/>
      <c r="I1528" s="2001"/>
      <c r="J1528" s="2001"/>
      <c r="K1528" s="2001"/>
      <c r="L1528" s="2875" t="str">
        <f t="shared" si="458"/>
        <v/>
      </c>
      <c r="M1528" s="1992">
        <v>1</v>
      </c>
      <c r="N1528" s="2402"/>
      <c r="O1528" s="2404">
        <f>'Part VIII Scoring Criteria'!O334</f>
        <v>0</v>
      </c>
      <c r="P1528" s="2000"/>
      <c r="Q1528" s="2876" t="str">
        <f>IF(OR($O1528=$M1528,$O1528=0,$O1528=""),"","*CHECK!*")</f>
        <v/>
      </c>
      <c r="R1528" s="2877"/>
      <c r="S1528" s="2001"/>
      <c r="T1528" s="2001"/>
      <c r="U1528" s="2001"/>
      <c r="V1528" s="2001"/>
      <c r="W1528" s="2001"/>
      <c r="X1528" s="2001"/>
      <c r="Y1528" s="2001"/>
      <c r="Z1528" s="2001"/>
      <c r="AA1528" s="2001"/>
      <c r="AB1528" s="2001"/>
      <c r="AC1528" s="2001"/>
      <c r="AD1528" s="2001"/>
      <c r="AE1528" s="2001"/>
      <c r="AF1528" s="2001"/>
    </row>
    <row r="1529" spans="1:32" ht="13.8">
      <c r="A1529" s="2009"/>
      <c r="B1529" s="2878"/>
      <c r="C1529" s="2001"/>
      <c r="D1529" s="2001"/>
      <c r="E1529" s="2001"/>
      <c r="F1529" s="2001"/>
      <c r="G1529" s="2001"/>
      <c r="H1529" s="2001"/>
      <c r="I1529" s="2001"/>
      <c r="J1529" s="2001"/>
      <c r="K1529" s="2001"/>
      <c r="L1529" s="2001"/>
      <c r="M1529" s="1987"/>
      <c r="N1529" s="1992"/>
      <c r="O1529" s="2404"/>
      <c r="P1529" s="2404"/>
      <c r="Q1529" s="2001"/>
      <c r="R1529" s="2001"/>
      <c r="S1529" s="2001"/>
      <c r="T1529" s="2001"/>
      <c r="U1529" s="2001"/>
      <c r="V1529" s="2001"/>
      <c r="W1529" s="2001"/>
      <c r="X1529" s="2001"/>
      <c r="Y1529" s="2001"/>
      <c r="Z1529" s="2001"/>
      <c r="AA1529" s="2001"/>
      <c r="AB1529" s="2001"/>
      <c r="AC1529" s="2001"/>
      <c r="AD1529" s="2001"/>
      <c r="AE1529" s="2001"/>
      <c r="AF1529" s="2001"/>
    </row>
    <row r="1530" spans="1:32" ht="14.4">
      <c r="A1530" s="1974"/>
      <c r="B1530" s="2887" t="s">
        <v>1724</v>
      </c>
      <c r="C1530" s="1974"/>
      <c r="D1530" s="2887"/>
      <c r="E1530" s="2008"/>
      <c r="F1530" s="2008"/>
      <c r="G1530" s="2008"/>
      <c r="H1530" s="2008"/>
      <c r="I1530" s="2008"/>
      <c r="J1530" s="2008"/>
      <c r="K1530" s="2008"/>
      <c r="L1530" s="2008"/>
      <c r="M1530" s="2008"/>
      <c r="N1530" s="2006"/>
      <c r="O1530" s="2882"/>
      <c r="P1530" s="2404"/>
      <c r="Q1530" s="2001"/>
      <c r="R1530" s="2001"/>
      <c r="S1530" s="2001"/>
      <c r="T1530" s="2001"/>
      <c r="U1530" s="2001"/>
      <c r="V1530" s="2001"/>
      <c r="W1530" s="2001"/>
      <c r="X1530" s="2001"/>
      <c r="Y1530" s="2001"/>
      <c r="Z1530" s="2001"/>
      <c r="AA1530" s="2001"/>
      <c r="AB1530" s="2001"/>
      <c r="AC1530" s="2001"/>
      <c r="AD1530" s="2001"/>
      <c r="AE1530" s="2001"/>
      <c r="AF1530" s="2001"/>
    </row>
    <row r="1531" spans="1:32" ht="13.8">
      <c r="A1531" s="2007"/>
      <c r="B1531" s="2007"/>
      <c r="C1531" s="2007"/>
      <c r="D1531" s="2007"/>
      <c r="E1531" s="2007"/>
      <c r="F1531" s="2007"/>
      <c r="G1531" s="2007"/>
      <c r="H1531" s="2007"/>
      <c r="I1531" s="2007"/>
      <c r="J1531" s="2007"/>
      <c r="K1531" s="2007"/>
      <c r="L1531" s="2007"/>
      <c r="M1531" s="2007"/>
      <c r="N1531" s="2007"/>
      <c r="O1531" s="2007"/>
      <c r="P1531" s="2007"/>
      <c r="Q1531" s="1973"/>
      <c r="R1531" s="2001"/>
      <c r="S1531" s="2001"/>
      <c r="T1531" s="2001"/>
      <c r="U1531" s="2001"/>
      <c r="V1531" s="2001"/>
      <c r="W1531" s="2001"/>
      <c r="X1531" s="2001"/>
      <c r="Y1531" s="2001"/>
      <c r="Z1531" s="2001"/>
      <c r="AA1531" s="2001"/>
      <c r="AB1531" s="2001"/>
      <c r="AC1531" s="2001"/>
      <c r="AD1531" s="2001"/>
      <c r="AE1531" s="2001"/>
      <c r="AF1531" s="2001"/>
    </row>
    <row r="1532" spans="1:32" ht="13.8">
      <c r="A1532" s="1974"/>
      <c r="B1532" s="2001"/>
      <c r="C1532" s="2001"/>
      <c r="D1532" s="1974"/>
      <c r="E1532" s="1974"/>
      <c r="F1532" s="1973"/>
      <c r="G1532" s="1973"/>
      <c r="H1532" s="1973"/>
      <c r="I1532" s="1973"/>
      <c r="J1532" s="1974"/>
      <c r="K1532" s="1974"/>
      <c r="L1532" s="1974"/>
      <c r="M1532" s="1974"/>
      <c r="N1532" s="1973"/>
      <c r="O1532" s="2009"/>
      <c r="P1532" s="2888"/>
      <c r="Q1532" s="2001"/>
      <c r="R1532" s="2001"/>
      <c r="S1532" s="2001"/>
      <c r="T1532" s="2001"/>
      <c r="U1532" s="2001"/>
      <c r="V1532" s="2001"/>
      <c r="W1532" s="2001"/>
      <c r="X1532" s="2001"/>
      <c r="Y1532" s="2001"/>
      <c r="Z1532" s="2001"/>
      <c r="AA1532" s="2001"/>
      <c r="AB1532" s="2001"/>
      <c r="AC1532" s="2001"/>
      <c r="AD1532" s="2001"/>
      <c r="AE1532" s="2001"/>
      <c r="AF1532" s="2001"/>
    </row>
    <row r="1533" spans="1:32" ht="13.8">
      <c r="A1533" s="1974"/>
      <c r="B1533" s="1974"/>
      <c r="C1533" s="2008"/>
      <c r="D1533" s="2008"/>
      <c r="E1533" s="2008"/>
      <c r="F1533" s="2008"/>
      <c r="G1533" s="2008"/>
      <c r="H1533" s="2008"/>
      <c r="I1533" s="2008"/>
      <c r="J1533" s="2008"/>
      <c r="K1533" s="2008"/>
      <c r="L1533" s="2008"/>
      <c r="M1533" s="2008"/>
      <c r="N1533" s="2006"/>
      <c r="O1533" s="2882"/>
      <c r="P1533" s="2404"/>
      <c r="Q1533" s="2001"/>
      <c r="R1533" s="2001"/>
      <c r="S1533" s="2001"/>
      <c r="T1533" s="2001"/>
      <c r="U1533" s="2001"/>
      <c r="V1533" s="2001"/>
      <c r="W1533" s="2001"/>
      <c r="X1533" s="2001"/>
      <c r="Y1533" s="2001"/>
      <c r="Z1533" s="2001"/>
      <c r="AA1533" s="2001"/>
      <c r="AB1533" s="2001"/>
      <c r="AC1533" s="2001"/>
      <c r="AD1533" s="2001"/>
      <c r="AE1533" s="2001"/>
      <c r="AF1533" s="2001"/>
    </row>
    <row r="1534" spans="1:32" ht="13.8">
      <c r="A1534" s="2399" t="s">
        <v>3286</v>
      </c>
      <c r="B1534" s="2400" t="s">
        <v>2461</v>
      </c>
      <c r="C1534" s="2001"/>
      <c r="D1534" s="2004"/>
      <c r="E1534" s="2001"/>
      <c r="F1534" s="2001"/>
      <c r="G1534" s="2008"/>
      <c r="H1534" s="2008"/>
      <c r="I1534" s="2008"/>
      <c r="J1534" s="2008"/>
      <c r="K1534" s="2008"/>
      <c r="L1534" s="2008"/>
      <c r="M1534" s="2404">
        <v>2</v>
      </c>
      <c r="N1534" s="2402"/>
      <c r="O1534" s="2000">
        <f>'Part VIII Scoring Criteria'!O340</f>
        <v>0</v>
      </c>
      <c r="P1534" s="2000">
        <f>'Part VIII Scoring Criteria'!P340</f>
        <v>0</v>
      </c>
      <c r="Q1534" s="2404" t="s">
        <v>415</v>
      </c>
      <c r="R1534" s="2877" t="str">
        <f>IF(AND(O1534&gt;0,NOT($H$11="New Affordability")), "Ineligible to score in this section, not New Affordability!","")</f>
        <v/>
      </c>
      <c r="S1534" s="2001"/>
      <c r="T1534" s="2001"/>
      <c r="U1534" s="2001"/>
      <c r="V1534" s="2001"/>
      <c r="W1534" s="2001"/>
      <c r="X1534" s="2001"/>
      <c r="Y1534" s="2001"/>
      <c r="Z1534" s="2001"/>
      <c r="AA1534" s="2001"/>
      <c r="AB1534" s="2001"/>
      <c r="AC1534" s="2001"/>
      <c r="AD1534" s="2001"/>
      <c r="AE1534" s="2001"/>
      <c r="AF1534" s="2001"/>
    </row>
    <row r="1535" spans="1:32" ht="13.8">
      <c r="A1535" s="2913"/>
      <c r="B1535" s="2939" t="s">
        <v>2987</v>
      </c>
      <c r="C1535" s="2007"/>
      <c r="D1535" s="2007"/>
      <c r="E1535" s="2007"/>
      <c r="F1535" s="2007"/>
      <c r="G1535" s="2008" t="str">
        <f>'Part VIII Scoring Criteria'!G341</f>
        <v>&lt;Select applicable status&gt;</v>
      </c>
      <c r="H1535" s="1974"/>
      <c r="I1535" s="1974"/>
      <c r="J1535" s="1974"/>
      <c r="K1535" s="1974"/>
      <c r="L1535" s="1974"/>
      <c r="M1535" s="2006"/>
      <c r="N1535" s="2006"/>
      <c r="O1535" s="2006"/>
      <c r="P1535" s="2006"/>
      <c r="Q1535" s="1974"/>
      <c r="R1535" s="2007"/>
      <c r="S1535" s="2007"/>
      <c r="T1535" s="2007"/>
      <c r="U1535" s="2007"/>
      <c r="V1535" s="2007"/>
      <c r="W1535" s="2007"/>
      <c r="X1535" s="2007"/>
      <c r="Y1535" s="2007"/>
      <c r="Z1535" s="2007"/>
      <c r="AA1535" s="2007"/>
      <c r="AB1535" s="2007"/>
      <c r="AC1535" s="2007"/>
      <c r="AD1535" s="2007"/>
      <c r="AE1535" s="2007"/>
      <c r="AF1535" s="2007"/>
    </row>
    <row r="1536" spans="1:32" ht="13.8">
      <c r="A1536" s="2896" t="s">
        <v>1835</v>
      </c>
      <c r="B1536" s="1973" t="s">
        <v>3826</v>
      </c>
      <c r="C1536" s="2007"/>
      <c r="D1536" s="2007"/>
      <c r="E1536" s="2007"/>
      <c r="F1536" s="2007"/>
      <c r="G1536" s="2007"/>
      <c r="H1536" s="2007"/>
      <c r="I1536" s="2007"/>
      <c r="J1536" s="2007"/>
      <c r="K1536" s="2007"/>
      <c r="L1536" s="2400" t="str">
        <f t="shared" ref="L1536" si="459">IF(OR($O1536=$M1536,$O1536=0,$O1536=""),"","* * Check Score! * *")</f>
        <v/>
      </c>
      <c r="M1536" s="2006">
        <v>2</v>
      </c>
      <c r="N1536" s="2884"/>
      <c r="O1536" s="2404">
        <f>'Part VIII Scoring Criteria'!O342</f>
        <v>0</v>
      </c>
      <c r="P1536" s="2000"/>
      <c r="Q1536" s="2876" t="str">
        <f>IF(OR($O1536=$M1536,$O1536=0,$O1536=""),"","*CHECK!*")</f>
        <v/>
      </c>
      <c r="R1536" s="2877"/>
      <c r="S1536" s="2007"/>
      <c r="T1536" s="2007"/>
      <c r="U1536" s="2007"/>
      <c r="V1536" s="2007"/>
      <c r="W1536" s="2007"/>
      <c r="X1536" s="2007"/>
      <c r="Y1536" s="2007"/>
      <c r="Z1536" s="2007"/>
      <c r="AA1536" s="2007"/>
      <c r="AB1536" s="2007"/>
      <c r="AC1536" s="2007"/>
      <c r="AD1536" s="2007"/>
      <c r="AE1536" s="2007"/>
      <c r="AF1536" s="2007"/>
    </row>
    <row r="1537" spans="1:32" ht="15" customHeight="1">
      <c r="A1537" s="2003"/>
      <c r="B1537" s="2008" t="str">
        <f>'Part VIII Scoring Criteria'!B343</f>
        <v>&lt;&lt; Enter here Applicant's Narrative of how building will be reused. Adjust row height as needed. &gt;&gt;</v>
      </c>
      <c r="C1537" s="2007"/>
      <c r="D1537" s="2007"/>
      <c r="E1537" s="2007"/>
      <c r="F1537" s="2007"/>
      <c r="G1537" s="2007"/>
      <c r="H1537" s="2007"/>
      <c r="I1537" s="2007"/>
      <c r="J1537" s="2007"/>
      <c r="K1537" s="2007"/>
      <c r="L1537" s="2007"/>
      <c r="M1537" s="2007"/>
      <c r="N1537" s="2007"/>
      <c r="O1537" s="2007"/>
      <c r="P1537" s="2007"/>
      <c r="Q1537" s="1973"/>
      <c r="R1537" s="1973"/>
      <c r="S1537" s="1973"/>
      <c r="T1537" s="2001"/>
      <c r="U1537" s="2001"/>
      <c r="V1537" s="2001"/>
      <c r="W1537" s="2001"/>
      <c r="X1537" s="2001"/>
      <c r="Y1537" s="2001"/>
      <c r="Z1537" s="2001"/>
      <c r="AA1537" s="2001"/>
      <c r="AB1537" s="2001"/>
      <c r="AC1537" s="2001"/>
      <c r="AD1537" s="2001"/>
      <c r="AE1537" s="2001"/>
      <c r="AF1537" s="2001"/>
    </row>
    <row r="1538" spans="1:32" ht="13.8">
      <c r="A1538" s="2974" t="s">
        <v>1837</v>
      </c>
      <c r="B1538" s="2863" t="s">
        <v>3827</v>
      </c>
      <c r="C1538" s="2007"/>
      <c r="D1538" s="2007"/>
      <c r="E1538" s="2007"/>
      <c r="F1538" s="2007"/>
      <c r="G1538" s="2007"/>
      <c r="H1538" s="2007"/>
      <c r="I1538" s="2007"/>
      <c r="J1538" s="2007"/>
      <c r="K1538" s="2007"/>
      <c r="L1538" s="2400" t="str">
        <f t="shared" ref="L1538" si="460">IF(OR($O1538=$M1538,$O1538=0,$O1538=""),"","* * Check Score! * *")</f>
        <v/>
      </c>
      <c r="M1538" s="2007">
        <v>2</v>
      </c>
      <c r="N1538" s="2007"/>
      <c r="O1538" s="2404">
        <f>'Part VIII Scoring Criteria'!O344</f>
        <v>0</v>
      </c>
      <c r="P1538" s="2888"/>
      <c r="Q1538" s="2876" t="str">
        <f>IF(OR($O1538=$M1538,$O1538=0,$O1538=""),"","*CHECK!*")</f>
        <v/>
      </c>
      <c r="R1538" s="2877"/>
      <c r="S1538" s="2007"/>
      <c r="T1538" s="2007"/>
      <c r="U1538" s="2007"/>
      <c r="V1538" s="2007"/>
      <c r="W1538" s="2007"/>
      <c r="X1538" s="2007"/>
      <c r="Y1538" s="2007"/>
      <c r="Z1538" s="2007"/>
      <c r="AA1538" s="2007"/>
      <c r="AB1538" s="2007"/>
      <c r="AC1538" s="2007"/>
      <c r="AD1538" s="2007"/>
      <c r="AE1538" s="2007"/>
      <c r="AF1538" s="2007"/>
    </row>
    <row r="1539" spans="1:32" ht="14.4">
      <c r="A1539" s="1974"/>
      <c r="B1539" s="2869" t="s">
        <v>5173</v>
      </c>
      <c r="C1539" s="1974"/>
      <c r="D1539" s="1974"/>
      <c r="E1539" s="1974"/>
      <c r="F1539" s="1974"/>
      <c r="G1539" s="1974"/>
      <c r="H1539" s="1974"/>
      <c r="I1539" s="1974"/>
      <c r="J1539" s="1974"/>
      <c r="K1539" s="1974"/>
      <c r="L1539" s="2001"/>
      <c r="M1539" s="1987"/>
      <c r="N1539" s="1992"/>
      <c r="O1539" s="2000"/>
      <c r="P1539" s="2003"/>
      <c r="Q1539" s="2001"/>
      <c r="R1539" s="2001"/>
      <c r="S1539" s="2001"/>
      <c r="T1539" s="2001"/>
      <c r="U1539" s="2001"/>
      <c r="V1539" s="2001"/>
      <c r="W1539" s="2001"/>
      <c r="X1539" s="2001"/>
      <c r="Y1539" s="2001"/>
      <c r="Z1539" s="2001"/>
      <c r="AA1539" s="2001"/>
      <c r="AB1539" s="2001"/>
      <c r="AC1539" s="2001"/>
      <c r="AD1539" s="2001"/>
      <c r="AE1539" s="2001"/>
      <c r="AF1539" s="2001"/>
    </row>
    <row r="1540" spans="1:32" ht="13.8">
      <c r="A1540" s="2008" t="str">
        <f>'Part VIII Scoring Criteria'!A346</f>
        <v>This scoring section is Not Applicable to 4%/Bonds, Preservation applications.</v>
      </c>
      <c r="B1540" s="2927"/>
      <c r="C1540" s="2927"/>
      <c r="D1540" s="2927"/>
      <c r="E1540" s="2927"/>
      <c r="F1540" s="2927"/>
      <c r="G1540" s="2927"/>
      <c r="H1540" s="2927"/>
      <c r="I1540" s="2927"/>
      <c r="J1540" s="2927"/>
      <c r="K1540" s="2927"/>
      <c r="L1540" s="2927"/>
      <c r="M1540" s="2927"/>
      <c r="N1540" s="2927"/>
      <c r="O1540" s="2927"/>
      <c r="P1540" s="2927"/>
      <c r="Q1540" s="1973"/>
      <c r="R1540" s="1973"/>
      <c r="S1540" s="2001"/>
      <c r="T1540" s="2001"/>
      <c r="U1540" s="2001"/>
      <c r="V1540" s="2001"/>
      <c r="W1540" s="2001"/>
      <c r="X1540" s="2001"/>
      <c r="Y1540" s="2001"/>
      <c r="Z1540" s="2001"/>
      <c r="AA1540" s="2001"/>
      <c r="AB1540" s="2001"/>
      <c r="AC1540" s="2001"/>
      <c r="AD1540" s="2001"/>
      <c r="AE1540" s="2001"/>
      <c r="AF1540" s="2001"/>
    </row>
    <row r="1541" spans="1:32" ht="14.4">
      <c r="A1541" s="2001"/>
      <c r="B1541" s="2887" t="s">
        <v>1724</v>
      </c>
      <c r="C1541" s="1974"/>
      <c r="D1541" s="2887"/>
      <c r="E1541" s="2007"/>
      <c r="F1541" s="2007"/>
      <c r="G1541" s="2007"/>
      <c r="H1541" s="2007"/>
      <c r="I1541" s="2007"/>
      <c r="J1541" s="2007"/>
      <c r="K1541" s="2007"/>
      <c r="L1541" s="2007"/>
      <c r="M1541" s="2007"/>
      <c r="N1541" s="2007"/>
      <c r="O1541" s="2863"/>
      <c r="P1541" s="1973"/>
      <c r="Q1541" s="2001"/>
      <c r="R1541" s="2001"/>
      <c r="S1541" s="2001"/>
      <c r="T1541" s="2001"/>
      <c r="U1541" s="2001"/>
      <c r="V1541" s="2001"/>
      <c r="W1541" s="2001"/>
      <c r="X1541" s="2001"/>
      <c r="Y1541" s="2001"/>
      <c r="Z1541" s="2001"/>
      <c r="AA1541" s="2001"/>
      <c r="AB1541" s="2001"/>
      <c r="AC1541" s="2001"/>
      <c r="AD1541" s="2001"/>
      <c r="AE1541" s="2001"/>
      <c r="AF1541" s="2001"/>
    </row>
    <row r="1542" spans="1:32" ht="13.8">
      <c r="A1542" s="2007"/>
      <c r="B1542" s="2007"/>
      <c r="C1542" s="2007"/>
      <c r="D1542" s="2007"/>
      <c r="E1542" s="2007"/>
      <c r="F1542" s="2007"/>
      <c r="G1542" s="2007"/>
      <c r="H1542" s="2007"/>
      <c r="I1542" s="2007"/>
      <c r="J1542" s="2007"/>
      <c r="K1542" s="2007"/>
      <c r="L1542" s="2007"/>
      <c r="M1542" s="2007"/>
      <c r="N1542" s="2007"/>
      <c r="O1542" s="2007"/>
      <c r="P1542" s="2007"/>
      <c r="Q1542" s="1973"/>
      <c r="R1542" s="2001"/>
      <c r="S1542" s="2001"/>
      <c r="T1542" s="2001"/>
      <c r="U1542" s="2001"/>
      <c r="V1542" s="2001"/>
      <c r="W1542" s="2001"/>
      <c r="X1542" s="2001"/>
      <c r="Y1542" s="2001"/>
      <c r="Z1542" s="2001"/>
      <c r="AA1542" s="2001"/>
      <c r="AB1542" s="2001"/>
      <c r="AC1542" s="2001"/>
      <c r="AD1542" s="2001"/>
      <c r="AE1542" s="2001"/>
      <c r="AF1542" s="2001"/>
    </row>
    <row r="1543" spans="1:32" ht="13.8">
      <c r="A1543" s="1974"/>
      <c r="B1543" s="1974"/>
      <c r="C1543" s="2007"/>
      <c r="D1543" s="2007"/>
      <c r="E1543" s="2007"/>
      <c r="F1543" s="2007"/>
      <c r="G1543" s="2007"/>
      <c r="H1543" s="2007"/>
      <c r="I1543" s="2007"/>
      <c r="J1543" s="2007"/>
      <c r="K1543" s="2007"/>
      <c r="L1543" s="2007"/>
      <c r="M1543" s="2007"/>
      <c r="N1543" s="2007"/>
      <c r="O1543" s="2863"/>
      <c r="P1543" s="1973"/>
      <c r="Q1543" s="2001"/>
      <c r="R1543" s="2001"/>
      <c r="S1543" s="2001"/>
      <c r="T1543" s="2001"/>
      <c r="U1543" s="2001"/>
      <c r="V1543" s="2001"/>
      <c r="W1543" s="2001"/>
      <c r="X1543" s="2001"/>
      <c r="Y1543" s="2001"/>
      <c r="Z1543" s="2001"/>
      <c r="AA1543" s="2001"/>
      <c r="AB1543" s="2001"/>
      <c r="AC1543" s="2001"/>
      <c r="AD1543" s="2001"/>
      <c r="AE1543" s="2001"/>
      <c r="AF1543" s="2001"/>
    </row>
    <row r="1544" spans="1:32" ht="13.8">
      <c r="A1544" s="1974"/>
      <c r="B1544" s="2001"/>
      <c r="C1544" s="2001"/>
      <c r="D1544" s="1974"/>
      <c r="E1544" s="1974"/>
      <c r="F1544" s="2404"/>
      <c r="G1544" s="2404"/>
      <c r="H1544" s="2404"/>
      <c r="I1544" s="2404"/>
      <c r="J1544" s="2004"/>
      <c r="K1544" s="2004"/>
      <c r="L1544" s="2004"/>
      <c r="M1544" s="1987"/>
      <c r="N1544" s="2404"/>
      <c r="O1544" s="2003"/>
      <c r="P1544" s="2000"/>
      <c r="Q1544" s="2001"/>
      <c r="R1544" s="2001"/>
      <c r="S1544" s="2001"/>
      <c r="T1544" s="2001"/>
      <c r="U1544" s="2001"/>
      <c r="V1544" s="2001"/>
      <c r="W1544" s="2001"/>
      <c r="X1544" s="2001"/>
      <c r="Y1544" s="2001"/>
      <c r="Z1544" s="2001"/>
      <c r="AA1544" s="2001"/>
      <c r="AB1544" s="2001"/>
      <c r="AC1544" s="2001"/>
      <c r="AD1544" s="2001"/>
      <c r="AE1544" s="2001"/>
      <c r="AF1544" s="2001"/>
    </row>
    <row r="1545" spans="1:32" ht="14.4">
      <c r="A1545" s="2399" t="s">
        <v>3287</v>
      </c>
      <c r="B1545" s="2400" t="s">
        <v>4472</v>
      </c>
      <c r="C1545" s="1974"/>
      <c r="D1545" s="2400"/>
      <c r="E1545" s="2400"/>
      <c r="F1545" s="1974"/>
      <c r="G1545" s="2889"/>
      <c r="H1545" s="1974"/>
      <c r="I1545" s="1974"/>
      <c r="J1545" s="1974"/>
      <c r="K1545" s="1974"/>
      <c r="L1545" s="1974"/>
      <c r="M1545" s="2404">
        <v>2</v>
      </c>
      <c r="N1545" s="1987"/>
      <c r="O1545" s="2000">
        <f>'Part VIII Scoring Criteria'!O351</f>
        <v>0</v>
      </c>
      <c r="P1545" s="2000">
        <f>'Part VIII Scoring Criteria'!P351</f>
        <v>0</v>
      </c>
      <c r="Q1545" s="2404" t="s">
        <v>415</v>
      </c>
      <c r="R1545" s="1973"/>
      <c r="S1545" s="1973"/>
      <c r="T1545" s="1973"/>
      <c r="U1545" s="1973"/>
      <c r="V1545" s="1973"/>
      <c r="W1545" s="1974"/>
      <c r="X1545" s="1974"/>
      <c r="Y1545" s="1974"/>
      <c r="Z1545" s="1974"/>
      <c r="AA1545" s="1974"/>
      <c r="AB1545" s="1974"/>
      <c r="AC1545" s="1974"/>
      <c r="AD1545" s="1974"/>
      <c r="AE1545" s="1974"/>
      <c r="AF1545" s="1974"/>
    </row>
    <row r="1546" spans="1:32" ht="13.8">
      <c r="A1546" s="2404" t="s">
        <v>1835</v>
      </c>
      <c r="B1546" s="2893" t="s">
        <v>4473</v>
      </c>
      <c r="C1546" s="2001"/>
      <c r="D1546" s="2008"/>
      <c r="E1546" s="2001"/>
      <c r="F1546" s="2004" t="s">
        <v>4484</v>
      </c>
      <c r="G1546" s="2001"/>
      <c r="H1546" s="2001"/>
      <c r="I1546" s="2001"/>
      <c r="J1546" s="2008">
        <f>'Part VIII Scoring Criteria'!J352</f>
        <v>0</v>
      </c>
      <c r="K1546" s="2009"/>
      <c r="L1546" s="2009"/>
      <c r="M1546" s="1992">
        <v>2</v>
      </c>
      <c r="N1546" s="2402"/>
      <c r="O1546" s="2404">
        <f>'Part VIII Scoring Criteria'!O352</f>
        <v>0</v>
      </c>
      <c r="P1546" s="2000"/>
      <c r="Q1546" s="2003" t="str">
        <f>IF(OR(O1546=0,O1546="",O1546=$M1546),"","Check!")</f>
        <v/>
      </c>
      <c r="R1546" s="2875" t="str">
        <f t="shared" ref="R1546:R1547" si="461">IF(OR($O1546=$M1546,$O1546=0,$O1546=""),"","* * Check Score! * *")</f>
        <v/>
      </c>
      <c r="S1546" s="1973"/>
      <c r="T1546" s="1973"/>
      <c r="U1546" s="1973"/>
      <c r="V1546" s="1973"/>
      <c r="W1546" s="2001"/>
      <c r="X1546" s="2001"/>
      <c r="Y1546" s="2001"/>
      <c r="Z1546" s="2001"/>
      <c r="AA1546" s="2001"/>
      <c r="AB1546" s="2001"/>
      <c r="AC1546" s="2001"/>
      <c r="AD1546" s="2001"/>
      <c r="AE1546" s="2001"/>
      <c r="AF1546" s="2001"/>
    </row>
    <row r="1547" spans="1:32" ht="13.8">
      <c r="A1547" s="2404" t="s">
        <v>1837</v>
      </c>
      <c r="B1547" s="2893" t="s">
        <v>4474</v>
      </c>
      <c r="C1547" s="2001"/>
      <c r="D1547" s="2001"/>
      <c r="E1547" s="2001"/>
      <c r="F1547" s="2004" t="s">
        <v>5075</v>
      </c>
      <c r="G1547" s="2001"/>
      <c r="H1547" s="2001"/>
      <c r="I1547" s="2001"/>
      <c r="J1547" s="2008">
        <f>'Part VIII Scoring Criteria'!J353</f>
        <v>0</v>
      </c>
      <c r="K1547" s="2009"/>
      <c r="L1547" s="2009"/>
      <c r="M1547" s="1992">
        <v>2</v>
      </c>
      <c r="N1547" s="2402"/>
      <c r="O1547" s="2404">
        <f>'Part VIII Scoring Criteria'!O353</f>
        <v>0</v>
      </c>
      <c r="P1547" s="2000"/>
      <c r="Q1547" s="2003" t="str">
        <f>IF(OR(O1547=0,O1547="",O1547=$M1547),"","Check!")</f>
        <v/>
      </c>
      <c r="R1547" s="2875" t="str">
        <f t="shared" si="461"/>
        <v/>
      </c>
      <c r="S1547" s="1973"/>
      <c r="T1547" s="1973"/>
      <c r="U1547" s="1973"/>
      <c r="V1547" s="1973"/>
      <c r="W1547" s="2001"/>
      <c r="X1547" s="2001"/>
      <c r="Y1547" s="2001"/>
      <c r="Z1547" s="2001"/>
      <c r="AA1547" s="2001"/>
      <c r="AB1547" s="2001"/>
      <c r="AC1547" s="2001"/>
      <c r="AD1547" s="2001"/>
      <c r="AE1547" s="2001"/>
      <c r="AF1547" s="2001"/>
    </row>
    <row r="1548" spans="1:32" ht="14.4">
      <c r="A1548" s="1974"/>
      <c r="B1548" s="2869" t="s">
        <v>5173</v>
      </c>
      <c r="C1548" s="1974"/>
      <c r="D1548" s="1974"/>
      <c r="E1548" s="1974"/>
      <c r="F1548" s="1974"/>
      <c r="G1548" s="1974"/>
      <c r="H1548" s="1974"/>
      <c r="I1548" s="1974"/>
      <c r="J1548" s="1974"/>
      <c r="K1548" s="1974"/>
      <c r="L1548" s="2001"/>
      <c r="M1548" s="1987"/>
      <c r="N1548" s="1992"/>
      <c r="O1548" s="2000"/>
      <c r="P1548" s="2003"/>
      <c r="Q1548" s="2001"/>
      <c r="R1548" s="1973"/>
      <c r="S1548" s="1973"/>
      <c r="T1548" s="1973"/>
      <c r="U1548" s="1973"/>
      <c r="V1548" s="1973"/>
      <c r="W1548" s="2001"/>
      <c r="X1548" s="2001"/>
      <c r="Y1548" s="2001"/>
      <c r="Z1548" s="2001"/>
      <c r="AA1548" s="2001"/>
      <c r="AB1548" s="2001"/>
      <c r="AC1548" s="2001"/>
      <c r="AD1548" s="2001"/>
      <c r="AE1548" s="2001"/>
      <c r="AF1548" s="2001"/>
    </row>
    <row r="1549" spans="1:32" ht="13.8">
      <c r="A1549" s="2008" t="str">
        <f>'Part VIII Scoring Criteria'!A355</f>
        <v>This scoring section is Not Applicable to 4%/Bonds, Preservation applications.</v>
      </c>
      <c r="B1549" s="2927"/>
      <c r="C1549" s="2927"/>
      <c r="D1549" s="2927"/>
      <c r="E1549" s="2927"/>
      <c r="F1549" s="2927"/>
      <c r="G1549" s="2927"/>
      <c r="H1549" s="2927"/>
      <c r="I1549" s="2927"/>
      <c r="J1549" s="2927"/>
      <c r="K1549" s="2927"/>
      <c r="L1549" s="2927"/>
      <c r="M1549" s="2927"/>
      <c r="N1549" s="2927"/>
      <c r="O1549" s="2927"/>
      <c r="P1549" s="2927"/>
      <c r="Q1549" s="1973"/>
      <c r="R1549" s="2001"/>
      <c r="S1549" s="2001"/>
      <c r="T1549" s="2001"/>
      <c r="U1549" s="2001"/>
      <c r="V1549" s="2001"/>
      <c r="W1549" s="2001"/>
      <c r="X1549" s="2001"/>
      <c r="Y1549" s="2001"/>
      <c r="Z1549" s="2001"/>
      <c r="AA1549" s="2001"/>
      <c r="AB1549" s="2001"/>
      <c r="AC1549" s="2001"/>
      <c r="AD1549" s="2001"/>
      <c r="AE1549" s="2001"/>
      <c r="AF1549" s="2001"/>
    </row>
    <row r="1550" spans="1:32" ht="14.4">
      <c r="A1550" s="1974"/>
      <c r="B1550" s="2887" t="s">
        <v>1724</v>
      </c>
      <c r="C1550" s="1974"/>
      <c r="D1550" s="2887"/>
      <c r="E1550" s="2007"/>
      <c r="F1550" s="2007"/>
      <c r="G1550" s="2007"/>
      <c r="H1550" s="2007"/>
      <c r="I1550" s="2007"/>
      <c r="J1550" s="2007"/>
      <c r="K1550" s="2007"/>
      <c r="L1550" s="2007"/>
      <c r="M1550" s="2007"/>
      <c r="N1550" s="2007"/>
      <c r="O1550" s="2863"/>
      <c r="P1550" s="1973"/>
      <c r="Q1550" s="2001"/>
      <c r="R1550" s="2001"/>
      <c r="S1550" s="2001"/>
      <c r="T1550" s="2001"/>
      <c r="U1550" s="2001"/>
      <c r="V1550" s="2001"/>
      <c r="W1550" s="2001"/>
      <c r="X1550" s="2001"/>
      <c r="Y1550" s="2001"/>
      <c r="Z1550" s="2001"/>
      <c r="AA1550" s="2001"/>
      <c r="AB1550" s="2001"/>
      <c r="AC1550" s="2001"/>
      <c r="AD1550" s="2001"/>
      <c r="AE1550" s="2001"/>
      <c r="AF1550" s="2001"/>
    </row>
    <row r="1551" spans="1:32" ht="13.8">
      <c r="A1551" s="2007"/>
      <c r="B1551" s="2007"/>
      <c r="C1551" s="2007"/>
      <c r="D1551" s="2007"/>
      <c r="E1551" s="2007"/>
      <c r="F1551" s="2007"/>
      <c r="G1551" s="2007"/>
      <c r="H1551" s="2007"/>
      <c r="I1551" s="2007"/>
      <c r="J1551" s="2007"/>
      <c r="K1551" s="2007"/>
      <c r="L1551" s="2007"/>
      <c r="M1551" s="2007"/>
      <c r="N1551" s="2007"/>
      <c r="O1551" s="2007"/>
      <c r="P1551" s="2007"/>
      <c r="Q1551" s="1973"/>
      <c r="R1551" s="2001"/>
      <c r="S1551" s="2001"/>
      <c r="T1551" s="2001"/>
      <c r="U1551" s="2001"/>
      <c r="V1551" s="2001"/>
      <c r="W1551" s="2001"/>
      <c r="X1551" s="2001"/>
      <c r="Y1551" s="2001"/>
      <c r="Z1551" s="2001"/>
      <c r="AA1551" s="2001"/>
      <c r="AB1551" s="2001"/>
      <c r="AC1551" s="2001"/>
      <c r="AD1551" s="2001"/>
      <c r="AE1551" s="2001"/>
      <c r="AF1551" s="2001"/>
    </row>
    <row r="1552" spans="1:32" ht="13.8">
      <c r="A1552" s="1974"/>
      <c r="B1552" s="2001"/>
      <c r="C1552" s="2001"/>
      <c r="D1552" s="1974"/>
      <c r="E1552" s="1974"/>
      <c r="F1552" s="1973"/>
      <c r="G1552" s="1973"/>
      <c r="H1552" s="1973"/>
      <c r="I1552" s="1973"/>
      <c r="J1552" s="1974"/>
      <c r="K1552" s="1974"/>
      <c r="L1552" s="1974"/>
      <c r="M1552" s="1974"/>
      <c r="N1552" s="1973"/>
      <c r="O1552" s="2009"/>
      <c r="P1552" s="2888"/>
      <c r="Q1552" s="2001"/>
      <c r="R1552" s="2001"/>
      <c r="S1552" s="2001"/>
      <c r="T1552" s="2001"/>
      <c r="U1552" s="2001"/>
      <c r="V1552" s="2001"/>
      <c r="W1552" s="2001"/>
      <c r="X1552" s="2001"/>
      <c r="Y1552" s="2001"/>
      <c r="Z1552" s="2001"/>
      <c r="AA1552" s="2001"/>
      <c r="AB1552" s="2001"/>
      <c r="AC1552" s="2001"/>
      <c r="AD1552" s="2001"/>
      <c r="AE1552" s="2001"/>
      <c r="AF1552" s="2001"/>
    </row>
    <row r="1553" spans="1:32" ht="13.8">
      <c r="A1553" s="2001"/>
      <c r="B1553" s="2001"/>
      <c r="C1553" s="2001"/>
      <c r="D1553" s="2001"/>
      <c r="E1553" s="2001"/>
      <c r="F1553" s="2001"/>
      <c r="G1553" s="2001"/>
      <c r="H1553" s="2001"/>
      <c r="I1553" s="2001"/>
      <c r="J1553" s="2001"/>
      <c r="K1553" s="2001"/>
      <c r="L1553" s="2001"/>
      <c r="M1553" s="2001"/>
      <c r="N1553" s="1992"/>
      <c r="O1553" s="2003"/>
      <c r="P1553" s="2003"/>
      <c r="Q1553" s="2001"/>
      <c r="R1553" s="2001"/>
      <c r="S1553" s="2001"/>
      <c r="T1553" s="2001"/>
      <c r="U1553" s="2001"/>
      <c r="V1553" s="2001"/>
      <c r="W1553" s="2001"/>
      <c r="X1553" s="2001"/>
      <c r="Y1553" s="2001"/>
      <c r="Z1553" s="2001"/>
      <c r="AA1553" s="2001"/>
      <c r="AB1553" s="2001"/>
      <c r="AC1553" s="2001"/>
      <c r="AD1553" s="2001"/>
      <c r="AE1553" s="2001"/>
      <c r="AF1553" s="2001"/>
    </row>
    <row r="1554" spans="1:32" ht="14.4">
      <c r="A1554" s="2913" t="s">
        <v>3288</v>
      </c>
      <c r="B1554" s="2400" t="s">
        <v>1553</v>
      </c>
      <c r="C1554" s="2001"/>
      <c r="D1554" s="2009"/>
      <c r="E1554" s="2009"/>
      <c r="F1554" s="2001"/>
      <c r="G1554" s="1974"/>
      <c r="H1554" s="2001"/>
      <c r="I1554" s="2001"/>
      <c r="J1554" s="2001"/>
      <c r="K1554" s="2001"/>
      <c r="L1554" s="2938" t="str">
        <f>IF(AND(O1554&gt;0,NOT($C$16="9%")),"Ineligible, not 9%!","")</f>
        <v/>
      </c>
      <c r="M1554" s="2404">
        <v>2</v>
      </c>
      <c r="N1554" s="2875"/>
      <c r="O1554" s="2404">
        <f>'Part VIII Scoring Criteria'!O360</f>
        <v>0</v>
      </c>
      <c r="P1554" s="2409"/>
      <c r="Q1554" s="2404" t="s">
        <v>415</v>
      </c>
      <c r="R1554" s="2863"/>
      <c r="S1554" s="2863"/>
      <c r="T1554" s="2001"/>
      <c r="U1554" s="2001"/>
      <c r="V1554" s="2001"/>
      <c r="W1554" s="2001"/>
      <c r="X1554" s="2001"/>
      <c r="Y1554" s="2001"/>
      <c r="Z1554" s="2001"/>
      <c r="AA1554" s="2001"/>
      <c r="AB1554" s="2001"/>
      <c r="AC1554" s="2001"/>
      <c r="AD1554" s="2001"/>
      <c r="AE1554" s="2001"/>
      <c r="AF1554" s="2001"/>
    </row>
    <row r="1555" spans="1:32" ht="13.8">
      <c r="A1555" s="2407"/>
      <c r="B1555" s="2877" t="s">
        <v>3067</v>
      </c>
      <c r="C1555" s="2001"/>
      <c r="D1555" s="2009"/>
      <c r="E1555" s="2009"/>
      <c r="F1555" s="2001"/>
      <c r="G1555" s="1974"/>
      <c r="H1555" s="2001"/>
      <c r="I1555" s="2008" t="str">
        <f>'Part VIII Scoring Criteria'!I361</f>
        <v>Enter GICH Community Name here</v>
      </c>
      <c r="J1555" s="1973"/>
      <c r="K1555" s="1973"/>
      <c r="L1555" s="1973"/>
      <c r="M1555" s="1987"/>
      <c r="N1555" s="1987"/>
      <c r="O1555" s="1992"/>
      <c r="P1555" s="1992"/>
      <c r="Q1555" s="2876"/>
      <c r="R1555" s="2863"/>
      <c r="S1555" s="2863"/>
      <c r="T1555" s="2001"/>
      <c r="U1555" s="2001"/>
      <c r="V1555" s="2001"/>
      <c r="W1555" s="2001"/>
      <c r="X1555" s="2001"/>
      <c r="Y1555" s="2001"/>
      <c r="Z1555" s="2001"/>
      <c r="AA1555" s="2001"/>
      <c r="AB1555" s="2001"/>
      <c r="AC1555" s="2001"/>
      <c r="AD1555" s="2001"/>
      <c r="AE1555" s="2001"/>
      <c r="AF1555" s="2001"/>
    </row>
    <row r="1556" spans="1:32" ht="13.8">
      <c r="A1556" s="2001"/>
      <c r="B1556" s="2877"/>
      <c r="C1556" s="2001"/>
      <c r="D1556" s="1974"/>
      <c r="E1556" s="1974"/>
      <c r="F1556" s="1974"/>
      <c r="G1556" s="1974"/>
      <c r="H1556" s="1974"/>
      <c r="I1556" s="1974"/>
      <c r="J1556" s="1974"/>
      <c r="K1556" s="1974"/>
      <c r="L1556" s="1974"/>
      <c r="M1556" s="1974"/>
      <c r="N1556" s="2402"/>
      <c r="O1556" s="2402"/>
      <c r="P1556" s="2402"/>
      <c r="Q1556" s="2001"/>
      <c r="R1556" s="2001"/>
      <c r="S1556" s="2001"/>
      <c r="T1556" s="2001"/>
      <c r="U1556" s="2001"/>
      <c r="V1556" s="2001"/>
      <c r="W1556" s="2001"/>
      <c r="X1556" s="2001"/>
      <c r="Y1556" s="2001"/>
      <c r="Z1556" s="2001"/>
      <c r="AA1556" s="2001"/>
      <c r="AB1556" s="2001"/>
      <c r="AC1556" s="2001"/>
      <c r="AD1556" s="2001"/>
      <c r="AE1556" s="2001"/>
      <c r="AF1556" s="2001"/>
    </row>
    <row r="1557" spans="1:32" ht="14.4">
      <c r="A1557" s="1974"/>
      <c r="B1557" s="2869" t="s">
        <v>5173</v>
      </c>
      <c r="C1557" s="1974"/>
      <c r="D1557" s="1974"/>
      <c r="E1557" s="1974"/>
      <c r="F1557" s="1974"/>
      <c r="G1557" s="1974"/>
      <c r="H1557" s="1974"/>
      <c r="I1557" s="1974"/>
      <c r="J1557" s="1974"/>
      <c r="K1557" s="1974"/>
      <c r="L1557" s="2001"/>
      <c r="M1557" s="1987"/>
      <c r="N1557" s="1992"/>
      <c r="O1557" s="2000"/>
      <c r="P1557" s="2003"/>
      <c r="Q1557" s="1974"/>
      <c r="R1557" s="1974"/>
      <c r="S1557" s="1974"/>
      <c r="T1557" s="1974"/>
      <c r="U1557" s="1974"/>
      <c r="V1557" s="1974"/>
      <c r="W1557" s="1974"/>
      <c r="X1557" s="1974"/>
      <c r="Y1557" s="1974"/>
      <c r="Z1557" s="1974"/>
      <c r="AA1557" s="1974"/>
      <c r="AB1557" s="1974"/>
      <c r="AC1557" s="1974"/>
      <c r="AD1557" s="1974"/>
      <c r="AE1557" s="1974"/>
      <c r="AF1557" s="1974"/>
    </row>
    <row r="1558" spans="1:32" ht="13.8">
      <c r="A1558" s="2008" t="str">
        <f>'Part VIII Scoring Criteria'!A364</f>
        <v>This scoring section is Not Applicable, Preservation applications.</v>
      </c>
      <c r="B1558" s="2927"/>
      <c r="C1558" s="2927"/>
      <c r="D1558" s="2927"/>
      <c r="E1558" s="2927"/>
      <c r="F1558" s="2927"/>
      <c r="G1558" s="2927"/>
      <c r="H1558" s="2927"/>
      <c r="I1558" s="2927"/>
      <c r="J1558" s="2927"/>
      <c r="K1558" s="2927"/>
      <c r="L1558" s="2927"/>
      <c r="M1558" s="2927"/>
      <c r="N1558" s="2927"/>
      <c r="O1558" s="2927"/>
      <c r="P1558" s="2927"/>
      <c r="Q1558" s="1973"/>
      <c r="R1558" s="2001"/>
      <c r="S1558" s="2001"/>
      <c r="T1558" s="2001"/>
      <c r="U1558" s="2001"/>
      <c r="V1558" s="2001"/>
      <c r="W1558" s="2001"/>
      <c r="X1558" s="2001"/>
      <c r="Y1558" s="2001"/>
      <c r="Z1558" s="2001"/>
      <c r="AA1558" s="2001"/>
      <c r="AB1558" s="2001"/>
      <c r="AC1558" s="2001"/>
      <c r="AD1558" s="2001"/>
      <c r="AE1558" s="2001"/>
      <c r="AF1558" s="2001"/>
    </row>
    <row r="1559" spans="1:32" ht="14.4">
      <c r="A1559" s="1974"/>
      <c r="B1559" s="2869" t="s">
        <v>1724</v>
      </c>
      <c r="C1559" s="1974"/>
      <c r="D1559" s="2869"/>
      <c r="E1559" s="1974"/>
      <c r="F1559" s="1974"/>
      <c r="G1559" s="1974"/>
      <c r="H1559" s="1974"/>
      <c r="I1559" s="1974"/>
      <c r="J1559" s="1974"/>
      <c r="K1559" s="1974"/>
      <c r="L1559" s="1974"/>
      <c r="M1559" s="1974"/>
      <c r="N1559" s="1974"/>
      <c r="O1559" s="1973"/>
      <c r="P1559" s="1973"/>
      <c r="Q1559" s="2001"/>
      <c r="R1559" s="1974"/>
      <c r="S1559" s="1974"/>
      <c r="T1559" s="1974"/>
      <c r="U1559" s="1974"/>
      <c r="V1559" s="1974"/>
      <c r="W1559" s="1974"/>
      <c r="X1559" s="1974"/>
      <c r="Y1559" s="1974"/>
      <c r="Z1559" s="1974"/>
      <c r="AA1559" s="1974"/>
      <c r="AB1559" s="1974"/>
      <c r="AC1559" s="1974"/>
      <c r="AD1559" s="1974"/>
      <c r="AE1559" s="1974"/>
      <c r="AF1559" s="1974"/>
    </row>
    <row r="1560" spans="1:32" ht="13.8">
      <c r="A1560" s="2007"/>
      <c r="B1560" s="2007"/>
      <c r="C1560" s="2007"/>
      <c r="D1560" s="2007"/>
      <c r="E1560" s="2007"/>
      <c r="F1560" s="2007"/>
      <c r="G1560" s="2007"/>
      <c r="H1560" s="2007"/>
      <c r="I1560" s="2007"/>
      <c r="J1560" s="2007"/>
      <c r="K1560" s="2007"/>
      <c r="L1560" s="2007"/>
      <c r="M1560" s="2007"/>
      <c r="N1560" s="2007"/>
      <c r="O1560" s="2007"/>
      <c r="P1560" s="2007"/>
      <c r="Q1560" s="1973"/>
      <c r="R1560" s="2001"/>
      <c r="S1560" s="2001"/>
      <c r="T1560" s="2001"/>
      <c r="U1560" s="2001"/>
      <c r="V1560" s="2001"/>
      <c r="W1560" s="2001"/>
      <c r="X1560" s="2001"/>
      <c r="Y1560" s="2001"/>
      <c r="Z1560" s="2001"/>
      <c r="AA1560" s="2001"/>
      <c r="AB1560" s="2001"/>
      <c r="AC1560" s="2001"/>
      <c r="AD1560" s="2001"/>
      <c r="AE1560" s="2001"/>
      <c r="AF1560" s="2001"/>
    </row>
    <row r="1561" spans="1:32" ht="13.8">
      <c r="A1561" s="2001"/>
      <c r="B1561" s="2001"/>
      <c r="C1561" s="2001"/>
      <c r="D1561" s="2001"/>
      <c r="E1561" s="2001"/>
      <c r="F1561" s="2001"/>
      <c r="G1561" s="2001"/>
      <c r="H1561" s="2001"/>
      <c r="I1561" s="2001"/>
      <c r="J1561" s="2001"/>
      <c r="K1561" s="2001"/>
      <c r="L1561" s="2001"/>
      <c r="M1561" s="2001"/>
      <c r="N1561" s="2001"/>
      <c r="O1561" s="2009"/>
      <c r="P1561" s="2009"/>
      <c r="Q1561" s="2001"/>
      <c r="R1561" s="2001"/>
      <c r="S1561" s="2001"/>
      <c r="T1561" s="2001"/>
      <c r="U1561" s="2001"/>
      <c r="V1561" s="2001"/>
      <c r="W1561" s="2001"/>
      <c r="X1561" s="2001"/>
      <c r="Y1561" s="2001"/>
      <c r="Z1561" s="2001"/>
      <c r="AA1561" s="2001"/>
      <c r="AB1561" s="2001"/>
      <c r="AC1561" s="2001"/>
      <c r="AD1561" s="2001"/>
      <c r="AE1561" s="2001"/>
      <c r="AF1561" s="2001"/>
    </row>
    <row r="1562" spans="1:32" ht="13.8">
      <c r="A1562" s="2913"/>
      <c r="B1562" s="1974"/>
      <c r="C1562" s="2008"/>
      <c r="D1562" s="2008"/>
      <c r="E1562" s="2008"/>
      <c r="F1562" s="2008"/>
      <c r="G1562" s="2001"/>
      <c r="H1562" s="2001"/>
      <c r="I1562" s="2008"/>
      <c r="J1562" s="2008"/>
      <c r="K1562" s="2008"/>
      <c r="L1562" s="2008"/>
      <c r="M1562" s="2008"/>
      <c r="N1562" s="2006"/>
      <c r="O1562" s="2882"/>
      <c r="P1562" s="2404"/>
      <c r="Q1562" s="2001"/>
      <c r="R1562" s="2001"/>
      <c r="S1562" s="2001"/>
      <c r="T1562" s="2001"/>
      <c r="U1562" s="2001"/>
      <c r="V1562" s="2001"/>
      <c r="W1562" s="2001"/>
      <c r="X1562" s="2001"/>
      <c r="Y1562" s="2001"/>
      <c r="Z1562" s="2001"/>
      <c r="AA1562" s="2001"/>
      <c r="AB1562" s="2001"/>
      <c r="AC1562" s="2001"/>
      <c r="AD1562" s="2001"/>
      <c r="AE1562" s="2001"/>
      <c r="AF1562" s="2001"/>
    </row>
    <row r="1563" spans="1:32" ht="14.4">
      <c r="A1563" s="2913" t="s">
        <v>3289</v>
      </c>
      <c r="B1563" s="2400" t="s">
        <v>4821</v>
      </c>
      <c r="C1563" s="1974"/>
      <c r="D1563" s="2400"/>
      <c r="E1563" s="2400"/>
      <c r="F1563" s="1974"/>
      <c r="G1563" s="1974"/>
      <c r="H1563" s="1974"/>
      <c r="I1563" s="2938" t="str">
        <f>IF(AND($O1563&gt;0,NOT($H$11="Preservation")),"Ineligible, not Preservation!","")</f>
        <v>Ineligible, not Preservation!</v>
      </c>
      <c r="J1563" s="1974"/>
      <c r="K1563" s="1974"/>
      <c r="L1563" s="1974"/>
      <c r="M1563" s="2404"/>
      <c r="N1563" s="1987"/>
      <c r="O1563" s="2409">
        <f>'Part VIII Scoring Criteria'!O369</f>
        <v>26</v>
      </c>
      <c r="P1563" s="2409">
        <f>'Part VIII Scoring Criteria'!P369</f>
        <v>0</v>
      </c>
      <c r="Q1563" s="2404" t="s">
        <v>415</v>
      </c>
      <c r="R1563" s="2877"/>
      <c r="S1563" s="1974"/>
      <c r="T1563" s="1974"/>
      <c r="U1563" s="1974"/>
      <c r="V1563" s="1974"/>
      <c r="W1563" s="1974"/>
      <c r="X1563" s="1974"/>
      <c r="Y1563" s="1974"/>
      <c r="Z1563" s="1974"/>
      <c r="AA1563" s="1974"/>
      <c r="AB1563" s="1974"/>
      <c r="AC1563" s="1974"/>
      <c r="AD1563" s="1974"/>
      <c r="AE1563" s="1974"/>
      <c r="AF1563" s="1974"/>
    </row>
    <row r="1564" spans="1:32" ht="13.8">
      <c r="A1564" s="2913"/>
      <c r="B1564" s="1974"/>
      <c r="C1564" s="2008"/>
      <c r="D1564" s="2008"/>
      <c r="E1564" s="2008"/>
      <c r="F1564" s="2008"/>
      <c r="G1564" s="2008"/>
      <c r="H1564" s="2008"/>
      <c r="I1564" s="2001"/>
      <c r="J1564" s="2008"/>
      <c r="K1564" s="2008"/>
      <c r="L1564" s="2008"/>
      <c r="M1564" s="2008"/>
      <c r="N1564" s="2006"/>
      <c r="O1564" s="2882"/>
      <c r="P1564" s="2882"/>
      <c r="Q1564" s="2001"/>
      <c r="R1564" s="2001"/>
      <c r="S1564" s="2001"/>
      <c r="T1564" s="2001"/>
      <c r="U1564" s="2001"/>
      <c r="V1564" s="2001"/>
      <c r="W1564" s="2001"/>
      <c r="X1564" s="2001"/>
      <c r="Y1564" s="2001"/>
      <c r="Z1564" s="2001"/>
      <c r="AA1564" s="2001"/>
      <c r="AB1564" s="2001"/>
      <c r="AC1564" s="2001"/>
      <c r="AD1564" s="2001"/>
      <c r="AE1564" s="2001"/>
      <c r="AF1564" s="2001"/>
    </row>
    <row r="1565" spans="1:32" ht="13.8">
      <c r="A1565" s="2404" t="s">
        <v>1835</v>
      </c>
      <c r="B1565" s="1973" t="s">
        <v>4027</v>
      </c>
      <c r="C1565" s="1974"/>
      <c r="D1565" s="2400"/>
      <c r="E1565" s="2400"/>
      <c r="F1565" s="1974"/>
      <c r="G1565" s="1974"/>
      <c r="H1565" s="1974"/>
      <c r="I1565" s="1974"/>
      <c r="J1565" s="1974"/>
      <c r="K1565" s="1974"/>
      <c r="L1565" s="2907" t="s">
        <v>4865</v>
      </c>
      <c r="M1565" s="2404">
        <v>6</v>
      </c>
      <c r="N1565" s="1987"/>
      <c r="O1565" s="2404">
        <f>'Part VIII Scoring Criteria'!O371</f>
        <v>4</v>
      </c>
      <c r="P1565" s="2000"/>
      <c r="Q1565" s="2404"/>
      <c r="R1565" s="2877"/>
      <c r="S1565" s="1974"/>
      <c r="T1565" s="1974"/>
      <c r="U1565" s="1974"/>
      <c r="V1565" s="1974"/>
      <c r="W1565" s="1974"/>
      <c r="X1565" s="1974"/>
      <c r="Y1565" s="1974"/>
      <c r="Z1565" s="1974"/>
      <c r="AA1565" s="1974"/>
      <c r="AB1565" s="1974"/>
      <c r="AC1565" s="1974"/>
      <c r="AD1565" s="1974"/>
      <c r="AE1565" s="1974"/>
      <c r="AF1565" s="1974"/>
    </row>
    <row r="1566" spans="1:32" ht="13.8">
      <c r="A1566" s="2882" t="s">
        <v>1837</v>
      </c>
      <c r="B1566" s="1973" t="s">
        <v>4718</v>
      </c>
      <c r="C1566" s="1974"/>
      <c r="D1566" s="2400"/>
      <c r="E1566" s="2400"/>
      <c r="F1566" s="1974"/>
      <c r="G1566" s="2900" t="s">
        <v>5188</v>
      </c>
      <c r="H1566" s="1974"/>
      <c r="I1566" s="1974"/>
      <c r="J1566" s="2900"/>
      <c r="K1566" s="2876" t="str">
        <f>IF(OR($O1566=$M1566,$O1566=0,$O1566=""),"","*CHECK!*")</f>
        <v/>
      </c>
      <c r="L1566" s="2907" t="s">
        <v>4865</v>
      </c>
      <c r="M1566" s="2404">
        <v>6</v>
      </c>
      <c r="N1566" s="1987"/>
      <c r="O1566" s="1987"/>
      <c r="P1566" s="2000"/>
      <c r="Q1566" s="2404"/>
      <c r="R1566" s="2877"/>
      <c r="S1566" s="1974"/>
      <c r="T1566" s="1974"/>
      <c r="U1566" s="1974"/>
      <c r="V1566" s="1974"/>
      <c r="W1566" s="1974"/>
      <c r="X1566" s="1974"/>
      <c r="Y1566" s="1974"/>
      <c r="Z1566" s="1974"/>
      <c r="AA1566" s="1974"/>
      <c r="AB1566" s="1974"/>
      <c r="AC1566" s="1974"/>
      <c r="AD1566" s="1974"/>
      <c r="AE1566" s="1974"/>
      <c r="AF1566" s="1974"/>
    </row>
    <row r="1567" spans="1:32" ht="13.8">
      <c r="A1567" s="2913"/>
      <c r="B1567" s="1974" t="s">
        <v>4692</v>
      </c>
      <c r="C1567" s="1974"/>
      <c r="D1567" s="2400"/>
      <c r="E1567" s="2400"/>
      <c r="F1567" s="1973"/>
      <c r="G1567" s="1974"/>
      <c r="H1567" s="1974"/>
      <c r="I1567" s="1974"/>
      <c r="J1567" s="1974"/>
      <c r="K1567" s="1974"/>
      <c r="L1567" s="2876"/>
      <c r="M1567" s="2404"/>
      <c r="N1567" s="1987"/>
      <c r="O1567" s="2404" t="str">
        <f>'Part VIII Scoring Criteria'!O373</f>
        <v>Yes</v>
      </c>
      <c r="P1567" s="2404"/>
      <c r="Q1567" s="2404"/>
      <c r="R1567" s="2877"/>
      <c r="S1567" s="1974"/>
      <c r="T1567" s="1974"/>
      <c r="U1567" s="1974"/>
      <c r="V1567" s="1974"/>
      <c r="W1567" s="1974"/>
      <c r="X1567" s="1974"/>
      <c r="Y1567" s="1974"/>
      <c r="Z1567" s="1974"/>
      <c r="AA1567" s="1974"/>
      <c r="AB1567" s="1974"/>
      <c r="AC1567" s="1974"/>
      <c r="AD1567" s="1974"/>
      <c r="AE1567" s="1974"/>
      <c r="AF1567" s="1974"/>
    </row>
    <row r="1568" spans="1:32" ht="15" customHeight="1">
      <c r="A1568" s="2404" t="s">
        <v>697</v>
      </c>
      <c r="B1568" s="2863" t="s">
        <v>4029</v>
      </c>
      <c r="C1568" s="2007"/>
      <c r="D1568" s="2007"/>
      <c r="E1568" s="2007"/>
      <c r="F1568" s="2007"/>
      <c r="G1568" s="2872" t="s">
        <v>4999</v>
      </c>
      <c r="H1568" s="2872"/>
      <c r="I1568" s="2872"/>
      <c r="J1568" s="1973" t="str">
        <f>IF(AND(O1568&gt;0, O1569&gt;0), "Choose EITHER C OR D, but not both!","")</f>
        <v/>
      </c>
      <c r="K1568" s="1973"/>
      <c r="L1568" s="2907" t="s">
        <v>4865</v>
      </c>
      <c r="M1568" s="2404">
        <v>4</v>
      </c>
      <c r="N1568" s="2402"/>
      <c r="O1568" s="2404">
        <f>'Part VIII Scoring Criteria'!O374</f>
        <v>2</v>
      </c>
      <c r="P1568" s="2000"/>
      <c r="Q1568" s="2876"/>
      <c r="R1568" s="2877"/>
      <c r="S1568" s="2007"/>
      <c r="T1568" s="2007"/>
      <c r="U1568" s="2007"/>
      <c r="V1568" s="2007"/>
      <c r="W1568" s="2007"/>
      <c r="X1568" s="2007"/>
      <c r="Y1568" s="2007"/>
      <c r="Z1568" s="2007"/>
      <c r="AA1568" s="2007"/>
      <c r="AB1568" s="2007"/>
      <c r="AC1568" s="2007"/>
      <c r="AD1568" s="2007"/>
      <c r="AE1568" s="2007"/>
      <c r="AF1568" s="2007"/>
    </row>
    <row r="1569" spans="1:32" ht="15" customHeight="1">
      <c r="A1569" s="2404" t="s">
        <v>1956</v>
      </c>
      <c r="B1569" s="1973" t="s">
        <v>4028</v>
      </c>
      <c r="C1569" s="2001"/>
      <c r="D1569" s="2001"/>
      <c r="E1569" s="2009"/>
      <c r="F1569" s="2001"/>
      <c r="G1569" s="2872"/>
      <c r="H1569" s="2872"/>
      <c r="I1569" s="2872"/>
      <c r="J1569" s="1973"/>
      <c r="K1569" s="1973"/>
      <c r="L1569" s="2907" t="s">
        <v>4865</v>
      </c>
      <c r="M1569" s="2404">
        <v>4</v>
      </c>
      <c r="N1569" s="2402"/>
      <c r="O1569" s="2404">
        <f>'Part VIII Scoring Criteria'!O375</f>
        <v>0</v>
      </c>
      <c r="P1569" s="2000"/>
      <c r="Q1569" s="2876"/>
      <c r="R1569" s="2877"/>
      <c r="S1569" s="2001"/>
      <c r="T1569" s="2001"/>
      <c r="U1569" s="2001"/>
      <c r="V1569" s="2001"/>
      <c r="W1569" s="2001"/>
      <c r="X1569" s="2001"/>
      <c r="Y1569" s="2001"/>
      <c r="Z1569" s="2001"/>
      <c r="AA1569" s="2001"/>
      <c r="AB1569" s="2001"/>
      <c r="AC1569" s="2001"/>
      <c r="AD1569" s="2001"/>
      <c r="AE1569" s="2001"/>
      <c r="AF1569" s="2001"/>
    </row>
    <row r="1570" spans="1:32" ht="13.8">
      <c r="A1570" s="2404" t="s">
        <v>1609</v>
      </c>
      <c r="B1570" s="1973" t="s">
        <v>4822</v>
      </c>
      <c r="C1570" s="1974"/>
      <c r="D1570" s="2400"/>
      <c r="E1570" s="1974"/>
      <c r="F1570" s="1974"/>
      <c r="G1570" s="2900" t="s">
        <v>5188</v>
      </c>
      <c r="H1570" s="1974"/>
      <c r="I1570" s="1974"/>
      <c r="J1570" s="2900"/>
      <c r="K1570" s="1639" t="str">
        <f>IF(AND($O1570&gt;0,NOT($H$11="Preservation")),"Ineligible, not Preservation!","")</f>
        <v>Ineligible, not Preservation!</v>
      </c>
      <c r="L1570" s="2907" t="s">
        <v>4865</v>
      </c>
      <c r="M1570" s="2404">
        <v>20</v>
      </c>
      <c r="N1570" s="1987"/>
      <c r="O1570" s="2000">
        <f>'Part VIII Scoring Criteria'!O376</f>
        <v>20</v>
      </c>
      <c r="P1570" s="2000">
        <f>'Part VIII Scoring Criteria'!P376</f>
        <v>0</v>
      </c>
      <c r="Q1570" s="2404"/>
      <c r="R1570" s="2877"/>
      <c r="S1570" s="1974"/>
      <c r="T1570" s="1974"/>
      <c r="U1570" s="1974"/>
      <c r="V1570" s="1974"/>
      <c r="W1570" s="1974"/>
      <c r="X1570" s="1974"/>
      <c r="Y1570" s="1974"/>
      <c r="Z1570" s="1974"/>
      <c r="AA1570" s="1974"/>
      <c r="AB1570" s="1974"/>
      <c r="AC1570" s="1974"/>
      <c r="AD1570" s="1974"/>
      <c r="AE1570" s="1974"/>
      <c r="AF1570" s="1974"/>
    </row>
    <row r="1571" spans="1:32" ht="13.8">
      <c r="A1571" s="2404"/>
      <c r="B1571" s="1973"/>
      <c r="C1571" s="1974"/>
      <c r="D1571" s="1974"/>
      <c r="E1571" s="1974"/>
      <c r="F1571" s="1974" t="s">
        <v>5071</v>
      </c>
      <c r="G1571" s="2400"/>
      <c r="H1571" s="1974"/>
      <c r="I1571" s="1974"/>
      <c r="J1571" s="1974"/>
      <c r="K1571" s="2407" t="s">
        <v>2879</v>
      </c>
      <c r="L1571" s="2404" t="s">
        <v>245</v>
      </c>
      <c r="M1571" s="1974"/>
      <c r="N1571" s="1974"/>
      <c r="O1571" s="1974"/>
      <c r="P1571" s="1974"/>
      <c r="Q1571" s="1974"/>
      <c r="R1571" s="2404"/>
      <c r="S1571" s="2404"/>
      <c r="T1571" s="2404"/>
      <c r="U1571" s="2404"/>
      <c r="V1571" s="2404"/>
      <c r="W1571" s="2404"/>
      <c r="X1571" s="2404"/>
      <c r="Y1571" s="2404"/>
      <c r="Z1571" s="2404"/>
      <c r="AA1571" s="2404"/>
      <c r="AB1571" s="1974"/>
      <c r="AC1571" s="1974"/>
      <c r="AD1571" s="1974"/>
      <c r="AE1571" s="1974"/>
      <c r="AF1571" s="1974"/>
    </row>
    <row r="1572" spans="1:32" ht="13.8">
      <c r="A1572" s="2404"/>
      <c r="B1572" s="1973"/>
      <c r="C1572" s="1974"/>
      <c r="D1572" s="1974"/>
      <c r="E1572" s="1974"/>
      <c r="F1572" s="1974"/>
      <c r="G1572" s="2956" t="s">
        <v>3303</v>
      </c>
      <c r="H1572" s="1974"/>
      <c r="I1572" s="1974"/>
      <c r="J1572" s="1974"/>
      <c r="K1572" s="2947">
        <f>'Part VIII Scoring Criteria'!K378</f>
        <v>20</v>
      </c>
      <c r="L1572" s="2947">
        <f>MAX(P1354,P1355-P1356)</f>
        <v>0</v>
      </c>
      <c r="M1572" s="1974"/>
      <c r="N1572" s="1974"/>
      <c r="O1572" s="1974"/>
      <c r="P1572" s="1974"/>
      <c r="Q1572" s="1974"/>
      <c r="R1572" s="2404"/>
      <c r="S1572" s="2404"/>
      <c r="T1572" s="2404"/>
      <c r="U1572" s="2404"/>
      <c r="V1572" s="2404"/>
      <c r="W1572" s="2404"/>
      <c r="X1572" s="2404"/>
      <c r="Y1572" s="2404"/>
      <c r="Z1572" s="2404"/>
      <c r="AA1572" s="2404"/>
      <c r="AB1572" s="1974"/>
      <c r="AC1572" s="1974"/>
      <c r="AD1572" s="1974"/>
      <c r="AE1572" s="1974"/>
      <c r="AF1572" s="1974"/>
    </row>
    <row r="1573" spans="1:32" ht="13.8">
      <c r="A1573" s="2404"/>
      <c r="B1573" s="1973"/>
      <c r="C1573" s="1974"/>
      <c r="D1573" s="1974"/>
      <c r="E1573" s="1974"/>
      <c r="F1573" s="1974"/>
      <c r="G1573" s="2956" t="s">
        <v>3905</v>
      </c>
      <c r="H1573" s="1974"/>
      <c r="I1573" s="1974"/>
      <c r="J1573" s="1974"/>
      <c r="K1573" s="2947">
        <f>'Part VIII Scoring Criteria'!K379</f>
        <v>3</v>
      </c>
      <c r="L1573" s="2947">
        <f>MAX(P1363,P1372+P1373+P1375+P1376+P1377)</f>
        <v>0</v>
      </c>
      <c r="M1573" s="1974"/>
      <c r="N1573" s="1974"/>
      <c r="O1573" s="1974"/>
      <c r="P1573" s="1974"/>
      <c r="Q1573" s="1974"/>
      <c r="R1573" s="2404"/>
      <c r="S1573" s="2404"/>
      <c r="T1573" s="2404"/>
      <c r="U1573" s="2404"/>
      <c r="V1573" s="2404"/>
      <c r="W1573" s="2404"/>
      <c r="X1573" s="2404"/>
      <c r="Y1573" s="2404"/>
      <c r="Z1573" s="2404"/>
      <c r="AA1573" s="2404"/>
      <c r="AB1573" s="1974"/>
      <c r="AC1573" s="1974"/>
      <c r="AD1573" s="1974"/>
      <c r="AE1573" s="1974"/>
      <c r="AF1573" s="1974"/>
    </row>
    <row r="1574" spans="1:32" ht="13.8">
      <c r="A1574" s="2404"/>
      <c r="B1574" s="1973"/>
      <c r="C1574" s="1974"/>
      <c r="D1574" s="1974"/>
      <c r="E1574" s="1974"/>
      <c r="F1574" s="1974"/>
      <c r="G1574" s="2956" t="s">
        <v>3248</v>
      </c>
      <c r="H1574" s="1974"/>
      <c r="I1574" s="1974"/>
      <c r="J1574" s="1974"/>
      <c r="K1574" s="2980">
        <f>'Part VIII Scoring Criteria'!K380</f>
        <v>1.5</v>
      </c>
      <c r="L1574" s="2981">
        <f>$P$190</f>
        <v>50000</v>
      </c>
      <c r="M1574" s="1974"/>
      <c r="N1574" s="1974"/>
      <c r="O1574" s="1974"/>
      <c r="P1574" s="1974"/>
      <c r="Q1574" s="1974"/>
      <c r="R1574" s="2404"/>
      <c r="S1574" s="2404"/>
      <c r="T1574" s="2404"/>
      <c r="U1574" s="2404"/>
      <c r="V1574" s="2404"/>
      <c r="W1574" s="2404"/>
      <c r="X1574" s="2404"/>
      <c r="Y1574" s="2404"/>
      <c r="Z1574" s="2404"/>
      <c r="AA1574" s="2404"/>
      <c r="AB1574" s="1974"/>
      <c r="AC1574" s="1974"/>
      <c r="AD1574" s="1974"/>
      <c r="AE1574" s="1974"/>
      <c r="AF1574" s="1974"/>
    </row>
    <row r="1575" spans="1:32" ht="13.8">
      <c r="A1575" s="2404"/>
      <c r="B1575" s="1973"/>
      <c r="C1575" s="1974"/>
      <c r="D1575" s="1974"/>
      <c r="E1575" s="1974"/>
      <c r="F1575" s="1974" t="s">
        <v>4954</v>
      </c>
      <c r="G1575" s="1974"/>
      <c r="H1575" s="1974"/>
      <c r="I1575" s="1974"/>
      <c r="J1575" s="2932" t="s">
        <v>4955</v>
      </c>
      <c r="K1575" s="2947">
        <f>MAX(K1576:K1578)</f>
        <v>0</v>
      </c>
      <c r="L1575" s="2947">
        <f>MAX(L1576:L1578)</f>
        <v>65000</v>
      </c>
      <c r="M1575" s="1974"/>
      <c r="N1575" s="1974"/>
      <c r="O1575" s="1974"/>
      <c r="P1575" s="1974"/>
      <c r="Q1575" s="1974"/>
      <c r="R1575" s="2404"/>
      <c r="S1575" s="2404"/>
      <c r="T1575" s="2404"/>
      <c r="U1575" s="2404"/>
      <c r="V1575" s="2404"/>
      <c r="W1575" s="2404"/>
      <c r="X1575" s="2404"/>
      <c r="Y1575" s="2404"/>
      <c r="Z1575" s="2404"/>
      <c r="AA1575" s="2404"/>
      <c r="AB1575" s="1974"/>
      <c r="AC1575" s="1974"/>
      <c r="AD1575" s="1974"/>
      <c r="AE1575" s="1974"/>
      <c r="AF1575" s="1974"/>
    </row>
    <row r="1576" spans="1:32" ht="13.8">
      <c r="A1576" s="2404"/>
      <c r="B1576" s="1973"/>
      <c r="C1576" s="1974"/>
      <c r="D1576" s="1974"/>
      <c r="E1576" s="1974"/>
      <c r="F1576" s="1974"/>
      <c r="G1576" s="2956" t="s">
        <v>3304</v>
      </c>
      <c r="H1576" s="1974"/>
      <c r="I1576" s="1974"/>
      <c r="J1576" s="1974"/>
      <c r="K1576" s="2947">
        <f>'Part VIII Scoring Criteria'!K382</f>
        <v>0</v>
      </c>
      <c r="L1576" s="2947">
        <f>P1401</f>
        <v>0</v>
      </c>
      <c r="M1576" s="1974"/>
      <c r="N1576" s="1974"/>
      <c r="O1576" s="1974"/>
      <c r="P1576" s="1974"/>
      <c r="Q1576" s="1974"/>
      <c r="R1576" s="2404"/>
      <c r="S1576" s="2404"/>
      <c r="T1576" s="2404"/>
      <c r="U1576" s="2404"/>
      <c r="V1576" s="2404"/>
      <c r="W1576" s="2404"/>
      <c r="X1576" s="2404"/>
      <c r="Y1576" s="2404"/>
      <c r="Z1576" s="2404"/>
      <c r="AA1576" s="2404"/>
      <c r="AB1576" s="1974"/>
      <c r="AC1576" s="1974"/>
      <c r="AD1576" s="1974"/>
      <c r="AE1576" s="1974"/>
      <c r="AF1576" s="1974"/>
    </row>
    <row r="1577" spans="1:32" ht="13.8">
      <c r="A1577" s="2404"/>
      <c r="B1577" s="1973"/>
      <c r="C1577" s="1974"/>
      <c r="D1577" s="1974"/>
      <c r="E1577" s="1974"/>
      <c r="F1577" s="1974"/>
      <c r="G1577" s="2956" t="s">
        <v>3906</v>
      </c>
      <c r="H1577" s="1974"/>
      <c r="I1577" s="1974"/>
      <c r="J1577" s="1974"/>
      <c r="K1577" s="2867">
        <f>'Part VIII Scoring Criteria'!K383</f>
        <v>0</v>
      </c>
      <c r="L1577" s="2867">
        <f>MAX($K$251,$P$238)</f>
        <v>65000</v>
      </c>
      <c r="M1577" s="1974"/>
      <c r="N1577" s="1974"/>
      <c r="O1577" s="1974"/>
      <c r="P1577" s="1974"/>
      <c r="Q1577" s="1974"/>
      <c r="R1577" s="2404"/>
      <c r="S1577" s="2404"/>
      <c r="T1577" s="2404"/>
      <c r="U1577" s="2404"/>
      <c r="V1577" s="2404"/>
      <c r="W1577" s="2404"/>
      <c r="X1577" s="2404"/>
      <c r="Y1577" s="2404"/>
      <c r="Z1577" s="2404"/>
      <c r="AA1577" s="2404"/>
      <c r="AB1577" s="1974"/>
      <c r="AC1577" s="1974"/>
      <c r="AD1577" s="1974"/>
      <c r="AE1577" s="1974"/>
      <c r="AF1577" s="1974"/>
    </row>
    <row r="1578" spans="1:32" ht="13.8">
      <c r="A1578" s="2404"/>
      <c r="B1578" s="1973"/>
      <c r="C1578" s="1974"/>
      <c r="D1578" s="1974"/>
      <c r="E1578" s="1974"/>
      <c r="F1578" s="1974"/>
      <c r="G1578" s="2956" t="s">
        <v>3176</v>
      </c>
      <c r="H1578" s="1974"/>
      <c r="I1578" s="1974"/>
      <c r="J1578" s="1974"/>
      <c r="K1578" s="2867">
        <f>'Part VIII Scoring Criteria'!K384</f>
        <v>0</v>
      </c>
      <c r="L1578" s="2867">
        <f>IF(OR(P1460="Yes",P1461="Yes"),M1459,0)</f>
        <v>0</v>
      </c>
      <c r="M1578" s="1974"/>
      <c r="N1578" s="1974"/>
      <c r="O1578" s="1974"/>
      <c r="P1578" s="1974"/>
      <c r="Q1578" s="1974"/>
      <c r="R1578" s="2404"/>
      <c r="S1578" s="2404"/>
      <c r="T1578" s="2404"/>
      <c r="U1578" s="2404"/>
      <c r="V1578" s="2404"/>
      <c r="W1578" s="2404"/>
      <c r="X1578" s="2404"/>
      <c r="Y1578" s="2404"/>
      <c r="Z1578" s="2404"/>
      <c r="AA1578" s="2404"/>
      <c r="AB1578" s="1974"/>
      <c r="AC1578" s="1974"/>
      <c r="AD1578" s="1974"/>
      <c r="AE1578" s="1974"/>
      <c r="AF1578" s="1974"/>
    </row>
    <row r="1579" spans="1:32" ht="13.8">
      <c r="A1579" s="2404" t="s">
        <v>1610</v>
      </c>
      <c r="B1579" s="1973" t="s">
        <v>4823</v>
      </c>
      <c r="C1579" s="1974"/>
      <c r="D1579" s="2400"/>
      <c r="E1579" s="1974"/>
      <c r="F1579" s="1974"/>
      <c r="G1579" s="2874"/>
      <c r="H1579" s="1974"/>
      <c r="I1579" s="1974"/>
      <c r="J1579" s="1974"/>
      <c r="K1579" s="2876" t="str">
        <f>IF(OR($O1579&lt;=$M1579,$O1579=0,$O1579=""),"","*CHECK!*")</f>
        <v/>
      </c>
      <c r="L1579" s="2402" t="s">
        <v>4865</v>
      </c>
      <c r="M1579" s="2404">
        <v>22</v>
      </c>
      <c r="N1579" s="1987"/>
      <c r="O1579" s="2000">
        <f>'Part VIII Scoring Criteria'!O385</f>
        <v>0</v>
      </c>
      <c r="P1579" s="2000">
        <f>'Part VIII Scoring Criteria'!P385</f>
        <v>0</v>
      </c>
      <c r="Q1579" s="2404" t="s">
        <v>415</v>
      </c>
      <c r="R1579" s="2877"/>
      <c r="S1579" s="1974"/>
      <c r="T1579" s="1974"/>
      <c r="U1579" s="1974"/>
      <c r="V1579" s="1974"/>
      <c r="W1579" s="1974"/>
      <c r="X1579" s="1974"/>
      <c r="Y1579" s="1974"/>
      <c r="Z1579" s="1974"/>
      <c r="AA1579" s="1974"/>
      <c r="AB1579" s="1974"/>
      <c r="AC1579" s="1974"/>
      <c r="AD1579" s="1974"/>
      <c r="AE1579" s="1974"/>
      <c r="AF1579" s="1974"/>
    </row>
    <row r="1580" spans="1:32" ht="13.8">
      <c r="A1580" s="2404"/>
      <c r="B1580" s="2878"/>
      <c r="C1580" s="2004" t="s">
        <v>4894</v>
      </c>
      <c r="D1580" s="1974"/>
      <c r="E1580" s="1974"/>
      <c r="F1580" s="1974"/>
      <c r="G1580" s="2957" t="s">
        <v>4906</v>
      </c>
      <c r="H1580" s="1974"/>
      <c r="I1580" s="2404"/>
      <c r="J1580" s="1974"/>
      <c r="K1580" s="2921">
        <f>'Part VIII Scoring Criteria'!K386</f>
        <v>0</v>
      </c>
      <c r="L1580" s="1974"/>
      <c r="M1580" s="2907" t="s">
        <v>4865</v>
      </c>
      <c r="N1580" s="2909">
        <v>3</v>
      </c>
      <c r="O1580" s="2404">
        <f>'Part VIII Scoring Criteria'!O386</f>
        <v>0</v>
      </c>
      <c r="P1580" s="2000"/>
      <c r="Q1580" s="2877"/>
      <c r="R1580" s="1974"/>
      <c r="S1580" s="1974"/>
      <c r="T1580" s="1974"/>
      <c r="U1580" s="1974"/>
      <c r="V1580" s="2400"/>
      <c r="W1580" s="1974"/>
      <c r="X1580" s="1974"/>
      <c r="Y1580" s="1974"/>
      <c r="Z1580" s="1974"/>
      <c r="AA1580" s="1974"/>
      <c r="AB1580" s="1974"/>
      <c r="AC1580" s="1974"/>
      <c r="AD1580" s="1974"/>
      <c r="AE1580" s="1974"/>
      <c r="AF1580" s="1974"/>
    </row>
    <row r="1581" spans="1:32" ht="13.8">
      <c r="A1581" s="2404"/>
      <c r="B1581" s="2880"/>
      <c r="C1581" s="2007" t="s">
        <v>4895</v>
      </c>
      <c r="D1581" s="2007"/>
      <c r="E1581" s="2007"/>
      <c r="F1581" s="1974"/>
      <c r="G1581" s="2956" t="s">
        <v>4905</v>
      </c>
      <c r="H1581" s="1974"/>
      <c r="I1581" s="2007"/>
      <c r="J1581" s="1974"/>
      <c r="K1581" s="2006">
        <f>'Part VIII Scoring Criteria'!K387</f>
        <v>0</v>
      </c>
      <c r="L1581" s="1974"/>
      <c r="M1581" s="2907" t="s">
        <v>4865</v>
      </c>
      <c r="N1581" s="2909">
        <v>3</v>
      </c>
      <c r="O1581" s="2404">
        <f>'Part VIII Scoring Criteria'!O387</f>
        <v>0</v>
      </c>
      <c r="P1581" s="2000"/>
      <c r="Q1581" s="2402"/>
      <c r="R1581" s="1974"/>
      <c r="S1581" s="1974"/>
      <c r="T1581" s="1974"/>
      <c r="U1581" s="1974"/>
      <c r="V1581" s="2400"/>
      <c r="W1581" s="1974"/>
      <c r="X1581" s="1974"/>
      <c r="Y1581" s="1974"/>
      <c r="Z1581" s="1974"/>
      <c r="AA1581" s="1974"/>
      <c r="AB1581" s="1974"/>
      <c r="AC1581" s="1974"/>
      <c r="AD1581" s="1974"/>
      <c r="AE1581" s="1974"/>
      <c r="AF1581" s="1974"/>
    </row>
    <row r="1582" spans="1:32" ht="13.8">
      <c r="A1582" s="2001"/>
      <c r="B1582" s="2878"/>
      <c r="C1582" s="1974" t="s">
        <v>4719</v>
      </c>
      <c r="D1582" s="2001"/>
      <c r="E1582" s="2001"/>
      <c r="F1582" s="2001"/>
      <c r="G1582" s="2900" t="s">
        <v>4896</v>
      </c>
      <c r="H1582" s="2001"/>
      <c r="I1582" s="2001"/>
      <c r="J1582" s="2001"/>
      <c r="K1582" s="1987" t="str">
        <f>'Part VIII Scoring Criteria'!K388</f>
        <v/>
      </c>
      <c r="L1582" s="2001"/>
      <c r="M1582" s="2907" t="s">
        <v>4865</v>
      </c>
      <c r="N1582" s="2909">
        <v>10</v>
      </c>
      <c r="O1582" s="2404">
        <f>'Part VIII Scoring Criteria'!O388</f>
        <v>0</v>
      </c>
      <c r="P1582" s="2000"/>
      <c r="Q1582" s="2876" t="str">
        <f>IF(OR($O1582&lt;=$N1582,$O1582=0,$O1582=""),"","*CHECK!*")</f>
        <v/>
      </c>
      <c r="R1582" s="2877"/>
      <c r="S1582" s="2001"/>
      <c r="T1582" s="2001"/>
      <c r="U1582" s="2001"/>
      <c r="V1582" s="2001"/>
      <c r="W1582" s="2001"/>
      <c r="X1582" s="2001"/>
      <c r="Y1582" s="2001"/>
      <c r="Z1582" s="2001"/>
      <c r="AA1582" s="2001"/>
      <c r="AB1582" s="2001"/>
      <c r="AC1582" s="2001"/>
      <c r="AD1582" s="2001"/>
      <c r="AE1582" s="2001"/>
      <c r="AF1582" s="2001"/>
    </row>
    <row r="1583" spans="1:32" ht="13.8">
      <c r="A1583" s="2404"/>
      <c r="B1583" s="2001" t="s">
        <v>1132</v>
      </c>
      <c r="C1583" s="2001"/>
      <c r="D1583" s="2001" t="s">
        <v>4723</v>
      </c>
      <c r="E1583" s="1974"/>
      <c r="F1583" s="1974"/>
      <c r="G1583" s="1974" t="s">
        <v>4114</v>
      </c>
      <c r="H1583" s="1974"/>
      <c r="I1583" s="1974"/>
      <c r="J1583" s="1974" t="s">
        <v>574</v>
      </c>
      <c r="K1583" s="1974"/>
      <c r="L1583" s="1992" t="s">
        <v>4724</v>
      </c>
      <c r="M1583" s="2001" t="s">
        <v>4728</v>
      </c>
      <c r="N1583" s="2001"/>
      <c r="O1583" s="2001"/>
      <c r="P1583" s="2001"/>
      <c r="Q1583" s="2876"/>
      <c r="R1583" s="2001"/>
      <c r="S1583" s="2001"/>
      <c r="T1583" s="2001"/>
      <c r="U1583" s="2001"/>
      <c r="V1583" s="2001"/>
      <c r="W1583" s="2001"/>
      <c r="X1583" s="2001"/>
      <c r="Y1583" s="2001"/>
      <c r="Z1583" s="2001"/>
      <c r="AA1583" s="2001"/>
      <c r="AB1583" s="2001"/>
      <c r="AC1583" s="2001"/>
      <c r="AD1583" s="2001"/>
      <c r="AE1583" s="2001"/>
      <c r="AF1583" s="2001"/>
    </row>
    <row r="1584" spans="1:32" ht="13.8">
      <c r="A1584" s="2879" t="s">
        <v>1957</v>
      </c>
      <c r="B1584" s="2008">
        <f>'Part VIII Scoring Criteria'!B390</f>
        <v>0</v>
      </c>
      <c r="C1584" s="1974"/>
      <c r="D1584" s="2008">
        <f>'Part VIII Scoring Criteria'!D390</f>
        <v>0</v>
      </c>
      <c r="E1584" s="1974"/>
      <c r="F1584" s="1974"/>
      <c r="G1584" s="2008">
        <f>'Part VIII Scoring Criteria'!G390</f>
        <v>0</v>
      </c>
      <c r="H1584" s="1974"/>
      <c r="I1584" s="1974"/>
      <c r="J1584" s="2008">
        <f>'Part VIII Scoring Criteria'!J390</f>
        <v>0</v>
      </c>
      <c r="K1584" s="1974"/>
      <c r="L1584" s="2982">
        <f>'Part VIII Scoring Criteria'!L390</f>
        <v>0</v>
      </c>
      <c r="M1584" s="2008">
        <f>'Part VIII Scoring Criteria'!M390</f>
        <v>0</v>
      </c>
      <c r="N1584" s="1974"/>
      <c r="O1584" s="1974"/>
      <c r="P1584" s="1974"/>
      <c r="Q1584" s="2876"/>
      <c r="R1584" s="2001"/>
      <c r="S1584" s="2001"/>
      <c r="T1584" s="2001"/>
      <c r="U1584" s="2001"/>
      <c r="V1584" s="2001"/>
      <c r="W1584" s="2001"/>
      <c r="X1584" s="2001"/>
      <c r="Y1584" s="2001"/>
      <c r="Z1584" s="2001"/>
      <c r="AA1584" s="2001"/>
      <c r="AB1584" s="2001"/>
      <c r="AC1584" s="2001"/>
      <c r="AD1584" s="2001"/>
      <c r="AE1584" s="2001"/>
      <c r="AF1584" s="2001"/>
    </row>
    <row r="1585" spans="1:32" ht="13.8">
      <c r="A1585" s="2879" t="s">
        <v>1958</v>
      </c>
      <c r="B1585" s="2008">
        <f>'Part VIII Scoring Criteria'!B391</f>
        <v>0</v>
      </c>
      <c r="C1585" s="1974"/>
      <c r="D1585" s="2008">
        <f>'Part VIII Scoring Criteria'!D391</f>
        <v>0</v>
      </c>
      <c r="E1585" s="1974"/>
      <c r="F1585" s="1974"/>
      <c r="G1585" s="2008">
        <f>'Part VIII Scoring Criteria'!G391</f>
        <v>0</v>
      </c>
      <c r="H1585" s="1974"/>
      <c r="I1585" s="1974"/>
      <c r="J1585" s="2008">
        <f>'Part VIII Scoring Criteria'!J391</f>
        <v>0</v>
      </c>
      <c r="K1585" s="1974"/>
      <c r="L1585" s="2982">
        <f>'Part VIII Scoring Criteria'!L391</f>
        <v>0</v>
      </c>
      <c r="M1585" s="2008">
        <f>'Part VIII Scoring Criteria'!M391</f>
        <v>0</v>
      </c>
      <c r="N1585" s="1974"/>
      <c r="O1585" s="1974"/>
      <c r="P1585" s="1974"/>
      <c r="Q1585" s="2876"/>
      <c r="R1585" s="2001"/>
      <c r="S1585" s="2001"/>
      <c r="T1585" s="2001"/>
      <c r="U1585" s="2001"/>
      <c r="V1585" s="2001"/>
      <c r="W1585" s="2001"/>
      <c r="X1585" s="2001"/>
      <c r="Y1585" s="2001"/>
      <c r="Z1585" s="2001"/>
      <c r="AA1585" s="2001"/>
      <c r="AB1585" s="2001"/>
      <c r="AC1585" s="2001"/>
      <c r="AD1585" s="2001"/>
      <c r="AE1585" s="2001"/>
      <c r="AF1585" s="2001"/>
    </row>
    <row r="1586" spans="1:32" ht="13.8">
      <c r="A1586" s="2879" t="s">
        <v>1608</v>
      </c>
      <c r="B1586" s="2008">
        <f>'Part VIII Scoring Criteria'!B392</f>
        <v>0</v>
      </c>
      <c r="C1586" s="1974"/>
      <c r="D1586" s="2008">
        <f>'Part VIII Scoring Criteria'!D392</f>
        <v>0</v>
      </c>
      <c r="E1586" s="1974"/>
      <c r="F1586" s="1974"/>
      <c r="G1586" s="2008">
        <f>'Part VIII Scoring Criteria'!G392</f>
        <v>0</v>
      </c>
      <c r="H1586" s="1974"/>
      <c r="I1586" s="1974"/>
      <c r="J1586" s="2008">
        <f>'Part VIII Scoring Criteria'!J392</f>
        <v>0</v>
      </c>
      <c r="K1586" s="1974"/>
      <c r="L1586" s="2982">
        <f>'Part VIII Scoring Criteria'!L392</f>
        <v>0</v>
      </c>
      <c r="M1586" s="2008">
        <f>'Part VIII Scoring Criteria'!M392</f>
        <v>0</v>
      </c>
      <c r="N1586" s="1974"/>
      <c r="O1586" s="1974"/>
      <c r="P1586" s="1974"/>
      <c r="Q1586" s="2876"/>
      <c r="R1586" s="2001"/>
      <c r="S1586" s="2001"/>
      <c r="T1586" s="2001"/>
      <c r="U1586" s="2001"/>
      <c r="V1586" s="2001"/>
      <c r="W1586" s="2001"/>
      <c r="X1586" s="2001"/>
      <c r="Y1586" s="2001"/>
      <c r="Z1586" s="2001"/>
      <c r="AA1586" s="2001"/>
      <c r="AB1586" s="2001"/>
      <c r="AC1586" s="2001"/>
      <c r="AD1586" s="2001"/>
      <c r="AE1586" s="2001"/>
      <c r="AF1586" s="2001"/>
    </row>
    <row r="1587" spans="1:32" ht="13.8">
      <c r="A1587" s="2879" t="s">
        <v>3739</v>
      </c>
      <c r="B1587" s="2008">
        <f>'Part VIII Scoring Criteria'!B393</f>
        <v>0</v>
      </c>
      <c r="C1587" s="1974"/>
      <c r="D1587" s="2008">
        <f>'Part VIII Scoring Criteria'!D393</f>
        <v>0</v>
      </c>
      <c r="E1587" s="1974"/>
      <c r="F1587" s="1974"/>
      <c r="G1587" s="2008">
        <f>'Part VIII Scoring Criteria'!G393</f>
        <v>0</v>
      </c>
      <c r="H1587" s="1974"/>
      <c r="I1587" s="1974"/>
      <c r="J1587" s="2008">
        <f>'Part VIII Scoring Criteria'!J393</f>
        <v>0</v>
      </c>
      <c r="K1587" s="1974"/>
      <c r="L1587" s="2982">
        <f>'Part VIII Scoring Criteria'!L393</f>
        <v>0</v>
      </c>
      <c r="M1587" s="2008">
        <f>'Part VIII Scoring Criteria'!M393</f>
        <v>0</v>
      </c>
      <c r="N1587" s="1974"/>
      <c r="O1587" s="1974"/>
      <c r="P1587" s="1974"/>
      <c r="Q1587" s="2876"/>
      <c r="R1587" s="2001"/>
      <c r="S1587" s="2001"/>
      <c r="T1587" s="2001"/>
      <c r="U1587" s="2001"/>
      <c r="V1587" s="2001"/>
      <c r="W1587" s="2001"/>
      <c r="X1587" s="2001"/>
      <c r="Y1587" s="2001"/>
      <c r="Z1587" s="2001"/>
      <c r="AA1587" s="2001"/>
      <c r="AB1587" s="2001"/>
      <c r="AC1587" s="2001"/>
      <c r="AD1587" s="2001"/>
      <c r="AE1587" s="2001"/>
      <c r="AF1587" s="2001"/>
    </row>
    <row r="1588" spans="1:32" ht="13.8">
      <c r="A1588" s="2879" t="s">
        <v>4672</v>
      </c>
      <c r="B1588" s="2008">
        <f>'Part VIII Scoring Criteria'!B394</f>
        <v>0</v>
      </c>
      <c r="C1588" s="1974"/>
      <c r="D1588" s="2008">
        <f>'Part VIII Scoring Criteria'!D394</f>
        <v>0</v>
      </c>
      <c r="E1588" s="1974"/>
      <c r="F1588" s="1974"/>
      <c r="G1588" s="2008">
        <f>'Part VIII Scoring Criteria'!G394</f>
        <v>0</v>
      </c>
      <c r="H1588" s="1974"/>
      <c r="I1588" s="1974"/>
      <c r="J1588" s="2008">
        <f>'Part VIII Scoring Criteria'!J394</f>
        <v>0</v>
      </c>
      <c r="K1588" s="1974"/>
      <c r="L1588" s="2982">
        <f>'Part VIII Scoring Criteria'!L394</f>
        <v>0</v>
      </c>
      <c r="M1588" s="2008">
        <f>'Part VIII Scoring Criteria'!M394</f>
        <v>0</v>
      </c>
      <c r="N1588" s="1974"/>
      <c r="O1588" s="1974"/>
      <c r="P1588" s="1974"/>
      <c r="Q1588" s="2876"/>
      <c r="R1588" s="2001"/>
      <c r="S1588" s="2001"/>
      <c r="T1588" s="2001"/>
      <c r="U1588" s="2001"/>
      <c r="V1588" s="2001"/>
      <c r="W1588" s="2001"/>
      <c r="X1588" s="2001"/>
      <c r="Y1588" s="2001"/>
      <c r="Z1588" s="2001"/>
      <c r="AA1588" s="2001"/>
      <c r="AB1588" s="2001"/>
      <c r="AC1588" s="2001"/>
      <c r="AD1588" s="2001"/>
      <c r="AE1588" s="2001"/>
      <c r="AF1588" s="2001"/>
    </row>
    <row r="1589" spans="1:32" ht="13.8">
      <c r="A1589" s="2879" t="s">
        <v>4673</v>
      </c>
      <c r="B1589" s="2008">
        <f>'Part VIII Scoring Criteria'!B395</f>
        <v>0</v>
      </c>
      <c r="C1589" s="1974"/>
      <c r="D1589" s="2008">
        <f>'Part VIII Scoring Criteria'!D395</f>
        <v>0</v>
      </c>
      <c r="E1589" s="1974"/>
      <c r="F1589" s="1974"/>
      <c r="G1589" s="2008">
        <f>'Part VIII Scoring Criteria'!G395</f>
        <v>0</v>
      </c>
      <c r="H1589" s="1974"/>
      <c r="I1589" s="1974"/>
      <c r="J1589" s="2008">
        <f>'Part VIII Scoring Criteria'!J395</f>
        <v>0</v>
      </c>
      <c r="K1589" s="1974"/>
      <c r="L1589" s="2982">
        <f>'Part VIII Scoring Criteria'!L395</f>
        <v>0</v>
      </c>
      <c r="M1589" s="2008">
        <f>'Part VIII Scoring Criteria'!M395</f>
        <v>0</v>
      </c>
      <c r="N1589" s="1974"/>
      <c r="O1589" s="1974"/>
      <c r="P1589" s="1974"/>
      <c r="Q1589" s="2876"/>
      <c r="R1589" s="2001"/>
      <c r="S1589" s="2001"/>
      <c r="T1589" s="2001"/>
      <c r="U1589" s="2001"/>
      <c r="V1589" s="2001"/>
      <c r="W1589" s="2001"/>
      <c r="X1589" s="2001"/>
      <c r="Y1589" s="2001"/>
      <c r="Z1589" s="2001"/>
      <c r="AA1589" s="2001"/>
      <c r="AB1589" s="2001"/>
      <c r="AC1589" s="2001"/>
      <c r="AD1589" s="2001"/>
      <c r="AE1589" s="2001"/>
      <c r="AF1589" s="2001"/>
    </row>
    <row r="1590" spans="1:32" ht="13.8">
      <c r="A1590" s="2879" t="s">
        <v>4897</v>
      </c>
      <c r="B1590" s="2008">
        <f>'Part VIII Scoring Criteria'!B396</f>
        <v>0</v>
      </c>
      <c r="C1590" s="1974"/>
      <c r="D1590" s="2008">
        <f>'Part VIII Scoring Criteria'!D396</f>
        <v>0</v>
      </c>
      <c r="E1590" s="1974"/>
      <c r="F1590" s="1974"/>
      <c r="G1590" s="2008">
        <f>'Part VIII Scoring Criteria'!G396</f>
        <v>0</v>
      </c>
      <c r="H1590" s="1974"/>
      <c r="I1590" s="1974"/>
      <c r="J1590" s="2008">
        <f>'Part VIII Scoring Criteria'!J396</f>
        <v>0</v>
      </c>
      <c r="K1590" s="1974"/>
      <c r="L1590" s="2982">
        <f>'Part VIII Scoring Criteria'!L396</f>
        <v>0</v>
      </c>
      <c r="M1590" s="2008">
        <f>'Part VIII Scoring Criteria'!M396</f>
        <v>0</v>
      </c>
      <c r="N1590" s="1974"/>
      <c r="O1590" s="1974"/>
      <c r="P1590" s="1974"/>
      <c r="Q1590" s="2876"/>
      <c r="R1590" s="2001"/>
      <c r="S1590" s="2001"/>
      <c r="T1590" s="2001"/>
      <c r="U1590" s="2001"/>
      <c r="V1590" s="2001"/>
      <c r="W1590" s="2001"/>
      <c r="X1590" s="2001"/>
      <c r="Y1590" s="2001"/>
      <c r="Z1590" s="2001"/>
      <c r="AA1590" s="2001"/>
      <c r="AB1590" s="2001"/>
      <c r="AC1590" s="2001"/>
      <c r="AD1590" s="2001"/>
      <c r="AE1590" s="2001"/>
      <c r="AF1590" s="2001"/>
    </row>
    <row r="1591" spans="1:32" ht="13.8">
      <c r="A1591" s="2879" t="s">
        <v>4898</v>
      </c>
      <c r="B1591" s="2008">
        <f>'Part VIII Scoring Criteria'!B397</f>
        <v>0</v>
      </c>
      <c r="C1591" s="1974"/>
      <c r="D1591" s="2008">
        <f>'Part VIII Scoring Criteria'!D397</f>
        <v>0</v>
      </c>
      <c r="E1591" s="1974"/>
      <c r="F1591" s="1974"/>
      <c r="G1591" s="2008">
        <f>'Part VIII Scoring Criteria'!G397</f>
        <v>0</v>
      </c>
      <c r="H1591" s="1974"/>
      <c r="I1591" s="1974"/>
      <c r="J1591" s="2008">
        <f>'Part VIII Scoring Criteria'!J397</f>
        <v>0</v>
      </c>
      <c r="K1591" s="1974"/>
      <c r="L1591" s="2982">
        <f>'Part VIII Scoring Criteria'!L397</f>
        <v>0</v>
      </c>
      <c r="M1591" s="2008">
        <f>'Part VIII Scoring Criteria'!M397</f>
        <v>0</v>
      </c>
      <c r="N1591" s="1974"/>
      <c r="O1591" s="1974"/>
      <c r="P1591" s="1974"/>
      <c r="Q1591" s="2876"/>
      <c r="R1591" s="2001"/>
      <c r="S1591" s="2001"/>
      <c r="T1591" s="2001"/>
      <c r="U1591" s="2001"/>
      <c r="V1591" s="2001"/>
      <c r="W1591" s="2001"/>
      <c r="X1591" s="2001"/>
      <c r="Y1591" s="2001"/>
      <c r="Z1591" s="2001"/>
      <c r="AA1591" s="2001"/>
      <c r="AB1591" s="2001"/>
      <c r="AC1591" s="2001"/>
      <c r="AD1591" s="2001"/>
      <c r="AE1591" s="2001"/>
      <c r="AF1591" s="2001"/>
    </row>
    <row r="1592" spans="1:32" ht="13.8">
      <c r="A1592" s="2879" t="s">
        <v>4873</v>
      </c>
      <c r="B1592" s="2008">
        <f>'Part VIII Scoring Criteria'!B398</f>
        <v>0</v>
      </c>
      <c r="C1592" s="1974"/>
      <c r="D1592" s="2008">
        <f>'Part VIII Scoring Criteria'!D398</f>
        <v>0</v>
      </c>
      <c r="E1592" s="1974"/>
      <c r="F1592" s="1974"/>
      <c r="G1592" s="2008">
        <f>'Part VIII Scoring Criteria'!G398</f>
        <v>0</v>
      </c>
      <c r="H1592" s="1974"/>
      <c r="I1592" s="1974"/>
      <c r="J1592" s="2008">
        <f>'Part VIII Scoring Criteria'!J398</f>
        <v>0</v>
      </c>
      <c r="K1592" s="1974"/>
      <c r="L1592" s="2982">
        <f>'Part VIII Scoring Criteria'!L398</f>
        <v>0</v>
      </c>
      <c r="M1592" s="2008">
        <f>'Part VIII Scoring Criteria'!M398</f>
        <v>0</v>
      </c>
      <c r="N1592" s="1974"/>
      <c r="O1592" s="1974"/>
      <c r="P1592" s="1974"/>
      <c r="Q1592" s="2001"/>
      <c r="R1592" s="2001"/>
      <c r="S1592" s="2001"/>
      <c r="T1592" s="2001"/>
      <c r="U1592" s="2001"/>
      <c r="V1592" s="2001"/>
      <c r="W1592" s="2001"/>
      <c r="X1592" s="2001"/>
      <c r="Y1592" s="2001"/>
      <c r="Z1592" s="2001"/>
      <c r="AA1592" s="2001"/>
      <c r="AB1592" s="2001"/>
      <c r="AC1592" s="2001"/>
      <c r="AD1592" s="2001"/>
      <c r="AE1592" s="2001"/>
      <c r="AF1592" s="2001"/>
    </row>
    <row r="1593" spans="1:32" ht="13.8">
      <c r="A1593" s="2879" t="s">
        <v>4899</v>
      </c>
      <c r="B1593" s="2008">
        <f>'Part VIII Scoring Criteria'!B399</f>
        <v>0</v>
      </c>
      <c r="C1593" s="1974"/>
      <c r="D1593" s="2008">
        <f>'Part VIII Scoring Criteria'!D399</f>
        <v>0</v>
      </c>
      <c r="E1593" s="1974"/>
      <c r="F1593" s="1974"/>
      <c r="G1593" s="2008">
        <f>'Part VIII Scoring Criteria'!G399</f>
        <v>0</v>
      </c>
      <c r="H1593" s="1974"/>
      <c r="I1593" s="1974"/>
      <c r="J1593" s="2008">
        <f>'Part VIII Scoring Criteria'!J399</f>
        <v>0</v>
      </c>
      <c r="K1593" s="1974"/>
      <c r="L1593" s="2982">
        <f>'Part VIII Scoring Criteria'!L399</f>
        <v>0</v>
      </c>
      <c r="M1593" s="2008">
        <f>'Part VIII Scoring Criteria'!M399</f>
        <v>0</v>
      </c>
      <c r="N1593" s="1974"/>
      <c r="O1593" s="1974"/>
      <c r="P1593" s="1974"/>
      <c r="Q1593" s="2876"/>
      <c r="R1593" s="2001"/>
      <c r="S1593" s="2001"/>
      <c r="T1593" s="2001"/>
      <c r="U1593" s="2001"/>
      <c r="V1593" s="2001"/>
      <c r="W1593" s="2001"/>
      <c r="X1593" s="2001"/>
      <c r="Y1593" s="2001"/>
      <c r="Z1593" s="2001"/>
      <c r="AA1593" s="2001"/>
      <c r="AB1593" s="2001"/>
      <c r="AC1593" s="2001"/>
      <c r="AD1593" s="2001"/>
      <c r="AE1593" s="2001"/>
      <c r="AF1593" s="2001"/>
    </row>
    <row r="1594" spans="1:32" ht="13.8">
      <c r="A1594" s="2882"/>
      <c r="B1594" s="2883"/>
      <c r="C1594" s="2007" t="s">
        <v>4720</v>
      </c>
      <c r="D1594" s="2007"/>
      <c r="E1594" s="2007"/>
      <c r="F1594" s="2007"/>
      <c r="G1594" s="2900" t="s">
        <v>4896</v>
      </c>
      <c r="H1594" s="2007"/>
      <c r="I1594" s="2007"/>
      <c r="J1594" s="2900" t="s">
        <v>4904</v>
      </c>
      <c r="K1594" s="2968">
        <f>'Part VIII Scoring Criteria'!K400</f>
        <v>0</v>
      </c>
      <c r="L1594" s="1987" t="str">
        <f>'Part VIII Scoring Criteria'!L400</f>
        <v/>
      </c>
      <c r="M1594" s="2919" t="s">
        <v>4865</v>
      </c>
      <c r="N1594" s="1974">
        <v>6</v>
      </c>
      <c r="O1594" s="2404">
        <f>'Part VIII Scoring Criteria'!O400</f>
        <v>0</v>
      </c>
      <c r="P1594" s="2888"/>
      <c r="Q1594" s="2876" t="str">
        <f>IF(OR($O1594&lt;=$N1594,$O1594=0,$O1594=""),"","*CHECK!*")</f>
        <v/>
      </c>
      <c r="R1594" s="2007"/>
      <c r="S1594" s="2007"/>
      <c r="T1594" s="2007"/>
      <c r="U1594" s="2007"/>
      <c r="V1594" s="2007"/>
      <c r="W1594" s="2007"/>
      <c r="X1594" s="2007"/>
      <c r="Y1594" s="2007"/>
      <c r="Z1594" s="2007"/>
      <c r="AA1594" s="2007"/>
      <c r="AB1594" s="2007"/>
      <c r="AC1594" s="2007"/>
      <c r="AD1594" s="2007"/>
      <c r="AE1594" s="2007"/>
      <c r="AF1594" s="2007"/>
    </row>
    <row r="1595" spans="1:32" ht="14.4">
      <c r="A1595" s="1974"/>
      <c r="B1595" s="2869" t="s">
        <v>5173</v>
      </c>
      <c r="C1595" s="1974"/>
      <c r="D1595" s="1974"/>
      <c r="E1595" s="1974"/>
      <c r="F1595" s="1974"/>
      <c r="G1595" s="1974"/>
      <c r="H1595" s="1974"/>
      <c r="I1595" s="1974"/>
      <c r="J1595" s="1974"/>
      <c r="K1595" s="1974"/>
      <c r="L1595" s="2001"/>
      <c r="M1595" s="1987"/>
      <c r="N1595" s="1992"/>
      <c r="O1595" s="2000"/>
      <c r="P1595" s="2003"/>
      <c r="Q1595" s="2001"/>
      <c r="R1595" s="2001"/>
      <c r="S1595" s="2001"/>
      <c r="T1595" s="2001"/>
      <c r="U1595" s="2001"/>
      <c r="V1595" s="2001"/>
      <c r="W1595" s="2001"/>
      <c r="X1595" s="2001"/>
      <c r="Y1595" s="2001"/>
      <c r="Z1595" s="2001"/>
      <c r="AA1595" s="2001"/>
      <c r="AB1595" s="2001"/>
      <c r="AC1595" s="2001"/>
      <c r="AD1595" s="2001"/>
      <c r="AE1595" s="2001"/>
      <c r="AF1595" s="2001"/>
    </row>
    <row r="1596" spans="1:32" ht="13.8">
      <c r="A1596" s="2008" t="str">
        <f>'Part VIII Scoring Criteria'!A402</f>
        <v>The Placed-In-Service date for Building #100 was 12.19.2006 and for Building #200 was 02.16.2007.</v>
      </c>
      <c r="B1596" s="2007"/>
      <c r="C1596" s="2007"/>
      <c r="D1596" s="2007"/>
      <c r="E1596" s="2007"/>
      <c r="F1596" s="2007"/>
      <c r="G1596" s="2007"/>
      <c r="H1596" s="2007"/>
      <c r="I1596" s="2007"/>
      <c r="J1596" s="2007"/>
      <c r="K1596" s="2007"/>
      <c r="L1596" s="2007"/>
      <c r="M1596" s="2007"/>
      <c r="N1596" s="2007"/>
      <c r="O1596" s="2007"/>
      <c r="P1596" s="2007"/>
      <c r="Q1596" s="1973"/>
      <c r="R1596" s="1973"/>
      <c r="S1596" s="2001"/>
      <c r="T1596" s="2001"/>
      <c r="U1596" s="2001"/>
      <c r="V1596" s="2001"/>
      <c r="W1596" s="2001"/>
      <c r="X1596" s="2001"/>
      <c r="Y1596" s="2001"/>
      <c r="Z1596" s="2001"/>
      <c r="AA1596" s="2001"/>
      <c r="AB1596" s="2001"/>
      <c r="AC1596" s="2001"/>
      <c r="AD1596" s="2001"/>
      <c r="AE1596" s="2001"/>
      <c r="AF1596" s="2001"/>
    </row>
    <row r="1597" spans="1:32" ht="14.4">
      <c r="A1597" s="2869"/>
      <c r="B1597" s="2869" t="s">
        <v>1724</v>
      </c>
      <c r="C1597" s="1974"/>
      <c r="D1597" s="2869"/>
      <c r="E1597" s="1974"/>
      <c r="F1597" s="1974"/>
      <c r="G1597" s="1974"/>
      <c r="H1597" s="1974"/>
      <c r="I1597" s="1974"/>
      <c r="J1597" s="1974"/>
      <c r="K1597" s="1974"/>
      <c r="L1597" s="1974"/>
      <c r="M1597" s="1974"/>
      <c r="N1597" s="1974"/>
      <c r="O1597" s="1973"/>
      <c r="P1597" s="1973"/>
      <c r="Q1597" s="1974"/>
      <c r="R1597" s="1974"/>
      <c r="S1597" s="1974"/>
      <c r="T1597" s="1974"/>
      <c r="U1597" s="1974"/>
      <c r="V1597" s="1974"/>
      <c r="W1597" s="1974"/>
      <c r="X1597" s="1974"/>
      <c r="Y1597" s="1974"/>
      <c r="Z1597" s="1974"/>
      <c r="AA1597" s="1974"/>
      <c r="AB1597" s="1974"/>
      <c r="AC1597" s="1974"/>
      <c r="AD1597" s="1974"/>
      <c r="AE1597" s="1974"/>
      <c r="AF1597" s="1974"/>
    </row>
    <row r="1598" spans="1:32" ht="13.8">
      <c r="A1598" s="2007"/>
      <c r="B1598" s="2007"/>
      <c r="C1598" s="2007"/>
      <c r="D1598" s="2007"/>
      <c r="E1598" s="2007"/>
      <c r="F1598" s="2007"/>
      <c r="G1598" s="2007"/>
      <c r="H1598" s="2007"/>
      <c r="I1598" s="2007"/>
      <c r="J1598" s="2007"/>
      <c r="K1598" s="2007"/>
      <c r="L1598" s="2007"/>
      <c r="M1598" s="2007"/>
      <c r="N1598" s="2007"/>
      <c r="O1598" s="2007"/>
      <c r="P1598" s="2007"/>
      <c r="Q1598" s="1973"/>
      <c r="R1598" s="1973"/>
      <c r="S1598" s="2001"/>
      <c r="T1598" s="2001"/>
      <c r="U1598" s="2001"/>
      <c r="V1598" s="2001"/>
      <c r="W1598" s="2001"/>
      <c r="X1598" s="2001"/>
      <c r="Y1598" s="2001"/>
      <c r="Z1598" s="2001"/>
      <c r="AA1598" s="2001"/>
      <c r="AB1598" s="2001"/>
      <c r="AC1598" s="2001"/>
      <c r="AD1598" s="2001"/>
      <c r="AE1598" s="2001"/>
      <c r="AF1598" s="2001"/>
    </row>
    <row r="1599" spans="1:32" ht="15" customHeight="1">
      <c r="A1599" s="1974"/>
      <c r="B1599" s="1974"/>
      <c r="C1599" s="2007"/>
      <c r="D1599" s="2007"/>
      <c r="E1599" s="2007"/>
      <c r="F1599" s="2007"/>
      <c r="G1599" s="2007"/>
      <c r="H1599" s="2007"/>
      <c r="I1599" s="2007"/>
      <c r="J1599" s="2007"/>
      <c r="K1599" s="2007"/>
      <c r="L1599" s="2007"/>
      <c r="M1599" s="2007"/>
      <c r="N1599" s="2007"/>
      <c r="O1599" s="2863"/>
      <c r="P1599" s="1973"/>
      <c r="Q1599" s="2927" t="s">
        <v>5189</v>
      </c>
      <c r="R1599" s="2927"/>
      <c r="S1599" s="2927"/>
      <c r="T1599" s="2927"/>
      <c r="U1599" s="2927"/>
      <c r="V1599" s="2927"/>
      <c r="W1599" s="2927"/>
      <c r="X1599" s="2927"/>
      <c r="Y1599" s="2927"/>
      <c r="Z1599" s="2927"/>
      <c r="AA1599" s="2927"/>
      <c r="AB1599" s="2927"/>
      <c r="AC1599" s="2927"/>
      <c r="AD1599" s="2927"/>
      <c r="AE1599" s="2927"/>
      <c r="AF1599" s="2927"/>
    </row>
    <row r="1600" spans="1:32" ht="13.8">
      <c r="A1600" s="1974"/>
      <c r="B1600" s="1974"/>
      <c r="C1600" s="2008"/>
      <c r="D1600" s="2008"/>
      <c r="E1600" s="2008"/>
      <c r="F1600" s="2008"/>
      <c r="G1600" s="2008"/>
      <c r="H1600" s="2008"/>
      <c r="I1600" s="2008"/>
      <c r="J1600" s="2008"/>
      <c r="K1600" s="2008"/>
      <c r="L1600" s="2008"/>
      <c r="M1600" s="2008"/>
      <c r="N1600" s="2006"/>
      <c r="O1600" s="2882"/>
      <c r="P1600" s="2404"/>
      <c r="Q1600" s="2927"/>
      <c r="R1600" s="2927"/>
      <c r="S1600" s="2927"/>
      <c r="T1600" s="2927"/>
      <c r="U1600" s="2927"/>
      <c r="V1600" s="2927"/>
      <c r="W1600" s="2927"/>
      <c r="X1600" s="2927"/>
      <c r="Y1600" s="2927"/>
      <c r="Z1600" s="2927"/>
      <c r="AA1600" s="2927"/>
      <c r="AB1600" s="2927"/>
      <c r="AC1600" s="2927"/>
      <c r="AD1600" s="2927"/>
      <c r="AE1600" s="2927"/>
      <c r="AF1600" s="2927"/>
    </row>
    <row r="1601" spans="1:32" ht="13.8">
      <c r="A1601" s="2001"/>
      <c r="B1601" s="2001"/>
      <c r="C1601" s="2001"/>
      <c r="D1601" s="2001"/>
      <c r="E1601" s="2001"/>
      <c r="F1601" s="2001"/>
      <c r="G1601" s="2001"/>
      <c r="H1601" s="2001"/>
      <c r="I1601" s="2001"/>
      <c r="J1601" s="2001"/>
      <c r="K1601" s="2001"/>
      <c r="L1601" s="2001"/>
      <c r="M1601" s="2001"/>
      <c r="N1601" s="1992"/>
      <c r="O1601" s="2003"/>
      <c r="P1601" s="2003"/>
      <c r="Q1601" s="2927"/>
      <c r="R1601" s="2927"/>
      <c r="S1601" s="2927"/>
      <c r="T1601" s="2927"/>
      <c r="U1601" s="2927"/>
      <c r="V1601" s="2927"/>
      <c r="W1601" s="2927"/>
      <c r="X1601" s="2927"/>
      <c r="Y1601" s="2927"/>
      <c r="Z1601" s="2927"/>
      <c r="AA1601" s="2927"/>
      <c r="AB1601" s="2927"/>
      <c r="AC1601" s="2927"/>
      <c r="AD1601" s="2927"/>
      <c r="AE1601" s="2927"/>
      <c r="AF1601" s="2927"/>
    </row>
    <row r="1602" spans="1:32" ht="13.8">
      <c r="A1602" s="1973" t="s">
        <v>401</v>
      </c>
      <c r="B1602" s="2001"/>
      <c r="C1602" s="1974"/>
      <c r="D1602" s="2001"/>
      <c r="E1602" s="2001"/>
      <c r="F1602" s="2001"/>
      <c r="G1602" s="1974"/>
      <c r="H1602" s="1974"/>
      <c r="I1602" s="1974"/>
      <c r="J1602" s="1974"/>
      <c r="K1602" s="1974"/>
      <c r="L1602" s="1974"/>
      <c r="M1602" s="2000"/>
      <c r="N1602" s="2867"/>
      <c r="O1602" s="2868">
        <f>'Part VIII Scoring Criteria'!O408</f>
        <v>65</v>
      </c>
      <c r="P1602" s="2868">
        <f>'Part VIII Scoring Criteria'!P408</f>
        <v>12</v>
      </c>
      <c r="Q1602" s="2927"/>
      <c r="R1602" s="2927"/>
      <c r="S1602" s="2927"/>
      <c r="T1602" s="2927"/>
      <c r="U1602" s="2927"/>
      <c r="V1602" s="2927"/>
      <c r="W1602" s="2927"/>
      <c r="X1602" s="2927"/>
      <c r="Y1602" s="2927"/>
      <c r="Z1602" s="2927"/>
      <c r="AA1602" s="2927"/>
      <c r="AB1602" s="2927"/>
      <c r="AC1602" s="2927"/>
      <c r="AD1602" s="2927"/>
      <c r="AE1602" s="2927"/>
      <c r="AF1602" s="2927"/>
    </row>
    <row r="1603" spans="1:32" ht="13.8">
      <c r="A1603" s="1974"/>
      <c r="B1603" s="2001"/>
      <c r="C1603" s="2008"/>
      <c r="D1603" s="2008"/>
      <c r="E1603" s="2008"/>
      <c r="F1603" s="2008"/>
      <c r="G1603" s="2008"/>
      <c r="H1603" s="2008"/>
      <c r="I1603" s="2008"/>
      <c r="J1603" s="2008"/>
      <c r="K1603" s="2008"/>
      <c r="L1603" s="2008"/>
      <c r="M1603" s="2008"/>
      <c r="N1603" s="2008"/>
      <c r="O1603" s="2008"/>
      <c r="P1603" s="2008"/>
      <c r="Q1603" s="2927"/>
      <c r="R1603" s="2927"/>
      <c r="S1603" s="2927"/>
      <c r="T1603" s="2927"/>
      <c r="U1603" s="2927"/>
      <c r="V1603" s="2927"/>
      <c r="W1603" s="2927"/>
      <c r="X1603" s="2927"/>
      <c r="Y1603" s="2927"/>
      <c r="Z1603" s="2927"/>
      <c r="AA1603" s="2927"/>
      <c r="AB1603" s="2927"/>
      <c r="AC1603" s="2927"/>
      <c r="AD1603" s="2927"/>
      <c r="AE1603" s="2927"/>
      <c r="AF1603" s="2927"/>
    </row>
    <row r="1604" spans="1:32" ht="13.8">
      <c r="A1604" s="2001"/>
      <c r="B1604" s="2001"/>
      <c r="C1604" s="2001"/>
      <c r="D1604" s="2001"/>
      <c r="E1604" s="2001"/>
      <c r="F1604" s="2004"/>
      <c r="G1604" s="2004"/>
      <c r="H1604" s="2404"/>
      <c r="I1604" s="2404"/>
      <c r="J1604" s="2001"/>
      <c r="K1604" s="2001"/>
      <c r="L1604" s="2001"/>
      <c r="M1604" s="2001"/>
      <c r="N1604" s="2404"/>
      <c r="O1604" s="2404"/>
      <c r="P1604" s="2000"/>
      <c r="Q1604" s="2927"/>
      <c r="R1604" s="2927"/>
      <c r="S1604" s="2927"/>
      <c r="T1604" s="2927"/>
      <c r="U1604" s="2927"/>
      <c r="V1604" s="2927"/>
      <c r="W1604" s="2927"/>
      <c r="X1604" s="2927"/>
      <c r="Y1604" s="2927"/>
      <c r="Z1604" s="2927"/>
      <c r="AA1604" s="2927"/>
      <c r="AB1604" s="2927"/>
      <c r="AC1604" s="2927"/>
      <c r="AD1604" s="2927"/>
      <c r="AE1604" s="2927"/>
      <c r="AF1604" s="2927"/>
    </row>
    <row r="1605" spans="1:32" ht="14.25" customHeight="1">
      <c r="A1605" s="2869" t="s">
        <v>5190</v>
      </c>
      <c r="B1605" s="2869"/>
      <c r="C1605" s="2869"/>
      <c r="D1605" s="2869"/>
      <c r="E1605" s="2869"/>
      <c r="F1605" s="2869"/>
      <c r="G1605" s="2869"/>
      <c r="H1605" s="2869"/>
      <c r="I1605" s="2869"/>
      <c r="J1605" s="2869"/>
      <c r="K1605" s="2869"/>
      <c r="L1605" s="2869"/>
      <c r="M1605" s="2869"/>
      <c r="N1605" s="2869"/>
      <c r="O1605" s="2869"/>
      <c r="P1605" s="2869"/>
      <c r="Q1605" s="2927"/>
      <c r="R1605" s="2927"/>
      <c r="S1605" s="2927"/>
      <c r="T1605" s="2927"/>
      <c r="U1605" s="2927"/>
      <c r="V1605" s="2927"/>
      <c r="W1605" s="2927"/>
      <c r="X1605" s="2927"/>
      <c r="Y1605" s="2927"/>
      <c r="Z1605" s="2927"/>
      <c r="AA1605" s="2927"/>
      <c r="AB1605" s="2927"/>
      <c r="AC1605" s="2927"/>
      <c r="AD1605" s="2927"/>
      <c r="AE1605" s="2927"/>
      <c r="AF1605" s="2927"/>
    </row>
    <row r="1606" spans="1:32" ht="13.8">
      <c r="A1606" s="2008">
        <f>'Part VIII Scoring Criteria'!A412</f>
        <v>0</v>
      </c>
      <c r="B1606" s="2007"/>
      <c r="C1606" s="2007"/>
      <c r="D1606" s="2007"/>
      <c r="E1606" s="2007"/>
      <c r="F1606" s="2007"/>
      <c r="G1606" s="2007"/>
      <c r="H1606" s="2007"/>
      <c r="I1606" s="2007"/>
      <c r="J1606" s="2007"/>
      <c r="K1606" s="2007"/>
      <c r="L1606" s="2007"/>
      <c r="M1606" s="2007"/>
      <c r="N1606" s="2007"/>
      <c r="O1606" s="2007"/>
      <c r="P1606" s="2007"/>
      <c r="Q1606" s="1974"/>
      <c r="R1606" s="1974"/>
      <c r="S1606" s="1974"/>
      <c r="T1606" s="1974"/>
      <c r="U1606" s="1974"/>
      <c r="V1606" s="1974"/>
      <c r="W1606" s="1974"/>
      <c r="X1606" s="1974"/>
      <c r="Y1606" s="1974"/>
      <c r="Z1606" s="2001"/>
      <c r="AA1606" s="2001"/>
      <c r="AB1606" s="2001"/>
      <c r="AC1606" s="2001"/>
      <c r="AD1606" s="2001"/>
      <c r="AE1606" s="2001"/>
      <c r="AF1606" s="2001"/>
    </row>
    <row r="1610" spans="1:32" ht="18">
      <c r="A1610" s="2983" t="s">
        <v>3833</v>
      </c>
      <c r="B1610" s="2983"/>
      <c r="C1610" s="2983"/>
      <c r="D1610" s="2983"/>
      <c r="E1610" s="2983"/>
      <c r="F1610" s="2983"/>
      <c r="G1610" s="2983"/>
      <c r="H1610" s="2983"/>
      <c r="I1610" s="2984"/>
      <c r="J1610" s="2984"/>
      <c r="K1610" s="2984"/>
    </row>
    <row r="1611" spans="1:32" ht="18">
      <c r="A1611" s="2983" t="s">
        <v>3834</v>
      </c>
      <c r="B1611" s="2983"/>
      <c r="C1611" s="2983"/>
      <c r="D1611" s="2983"/>
      <c r="E1611" s="2983"/>
      <c r="F1611" s="2983"/>
      <c r="G1611" s="2983"/>
      <c r="H1611" s="2983"/>
      <c r="I1611" s="2984"/>
      <c r="J1611" s="2984"/>
      <c r="K1611" s="2984"/>
    </row>
    <row r="1612" spans="1:32" ht="13.8">
      <c r="A1612" s="2985" t="s">
        <v>3835</v>
      </c>
      <c r="B1612" s="2986"/>
      <c r="C1612" s="2986"/>
      <c r="D1612" s="2987">
        <f>'Part I-Project Identification'!F1631</f>
        <v>0</v>
      </c>
      <c r="E1612" s="2987"/>
      <c r="F1612" s="2987"/>
      <c r="G1612" s="2987"/>
      <c r="H1612" s="2987"/>
      <c r="I1612" s="2987"/>
      <c r="J1612" s="2988" t="s">
        <v>4062</v>
      </c>
      <c r="K1612" s="2988"/>
    </row>
    <row r="1613" spans="1:32" ht="16.5" customHeight="1">
      <c r="A1613" s="2985" t="s">
        <v>3836</v>
      </c>
      <c r="B1613" s="2986"/>
      <c r="C1613" s="2986"/>
      <c r="D1613" s="2987">
        <f>'Part X - HOME NHTF Unit Calcs'!D4</f>
        <v>0</v>
      </c>
      <c r="E1613" s="2987"/>
      <c r="F1613" s="2987"/>
      <c r="G1613" s="2987"/>
      <c r="H1613" s="2987"/>
      <c r="I1613" s="2987"/>
      <c r="J1613" s="2988" t="s">
        <v>3877</v>
      </c>
      <c r="K1613" s="2988"/>
    </row>
    <row r="1614" spans="1:32" ht="13.8">
      <c r="A1614" s="2985" t="s">
        <v>3837</v>
      </c>
      <c r="B1614" s="2986"/>
      <c r="C1614" s="2986"/>
      <c r="D1614" s="2989">
        <f>'Part X - HOME NHTF Unit Calcs'!D5</f>
        <v>0</v>
      </c>
      <c r="E1614" s="2989"/>
      <c r="F1614" s="2989"/>
      <c r="G1614" s="2989"/>
      <c r="H1614" s="2989"/>
      <c r="I1614" s="2989"/>
      <c r="J1614" s="2988"/>
      <c r="K1614" s="2988"/>
    </row>
    <row r="1615" spans="1:32" ht="13.8">
      <c r="A1615" s="2984"/>
      <c r="B1615" s="2984"/>
      <c r="C1615" s="2984"/>
      <c r="D1615" s="2984"/>
      <c r="E1615" s="2984"/>
      <c r="F1615" s="2984"/>
      <c r="G1615" s="2984"/>
      <c r="H1615" s="2984"/>
      <c r="I1615" s="2984"/>
      <c r="J1615" s="2984"/>
      <c r="K1615" s="2984"/>
    </row>
    <row r="1616" spans="1:32" ht="13.8">
      <c r="A1616" s="2990" t="s">
        <v>3839</v>
      </c>
      <c r="B1616" s="2990"/>
      <c r="C1616" s="2990"/>
      <c r="D1616" s="2990"/>
      <c r="E1616" s="2990"/>
      <c r="F1616" s="2990"/>
      <c r="G1616" s="2990"/>
      <c r="H1616" s="2990"/>
      <c r="I1616" s="2990"/>
      <c r="J1616" s="2990"/>
      <c r="K1616" s="2990"/>
    </row>
    <row r="1617" spans="1:11" ht="13.8">
      <c r="A1617" s="2986"/>
      <c r="B1617" s="2986"/>
      <c r="C1617" s="2991">
        <v>1</v>
      </c>
      <c r="D1617" s="2986" t="s">
        <v>3840</v>
      </c>
      <c r="E1617" s="2986"/>
      <c r="F1617" s="2986"/>
      <c r="G1617" s="2986"/>
      <c r="H1617" s="2986"/>
      <c r="I1617" s="2986"/>
      <c r="J1617" s="2987">
        <f>'Part X - HOME NHTF Unit Calcs'!J8</f>
        <v>0</v>
      </c>
      <c r="K1617" s="2987"/>
    </row>
    <row r="1618" spans="1:11" ht="13.8">
      <c r="A1618" s="2986"/>
      <c r="B1618" s="2986"/>
      <c r="C1618" s="2986"/>
      <c r="D1618" s="2986"/>
      <c r="E1618" s="2986"/>
      <c r="F1618" s="2986"/>
      <c r="G1618" s="2986"/>
      <c r="H1618" s="2986"/>
      <c r="I1618" s="2986"/>
      <c r="J1618" s="2986"/>
      <c r="K1618" s="2992"/>
    </row>
    <row r="1619" spans="1:11" ht="13.8">
      <c r="A1619" s="2990" t="s">
        <v>3841</v>
      </c>
      <c r="B1619" s="2990"/>
      <c r="C1619" s="2990"/>
      <c r="D1619" s="2990"/>
      <c r="E1619" s="2990"/>
      <c r="F1619" s="2990"/>
      <c r="G1619" s="2990"/>
      <c r="H1619" s="2990"/>
      <c r="I1619" s="2990"/>
      <c r="J1619" s="2990"/>
      <c r="K1619" s="2990"/>
    </row>
    <row r="1620" spans="1:11" ht="13.8">
      <c r="A1620" s="2986"/>
      <c r="B1620" s="2986"/>
      <c r="C1620" s="2991">
        <v>2</v>
      </c>
      <c r="D1620" s="2986" t="s">
        <v>3842</v>
      </c>
      <c r="E1620" s="2990"/>
      <c r="F1620" s="2990"/>
      <c r="G1620" s="2990"/>
      <c r="H1620" s="2990"/>
      <c r="I1620" s="2990"/>
      <c r="J1620" s="2993">
        <f>'Part X - HOME NHTF Unit Calcs'!J11</f>
        <v>0</v>
      </c>
      <c r="K1620" s="2993"/>
    </row>
    <row r="1621" spans="1:11" ht="13.8">
      <c r="A1621" s="2986"/>
      <c r="B1621" s="2986"/>
      <c r="C1621" s="2986"/>
      <c r="D1621" s="2986"/>
      <c r="E1621" s="2986"/>
      <c r="F1621" s="2986"/>
      <c r="G1621" s="2986"/>
      <c r="H1621" s="2986"/>
      <c r="I1621" s="2986"/>
      <c r="J1621" s="2986"/>
      <c r="K1621" s="2991"/>
    </row>
    <row r="1622" spans="1:11" ht="13.8">
      <c r="A1622" s="2990" t="s">
        <v>3843</v>
      </c>
      <c r="B1622" s="2990"/>
      <c r="C1622" s="2990"/>
      <c r="D1622" s="2990"/>
      <c r="E1622" s="2990"/>
      <c r="F1622" s="2990"/>
      <c r="G1622" s="2990"/>
      <c r="H1622" s="2990"/>
      <c r="I1622" s="2990"/>
      <c r="J1622" s="2990"/>
      <c r="K1622" s="2990"/>
    </row>
    <row r="1623" spans="1:11" ht="13.8">
      <c r="A1623" s="2986"/>
      <c r="B1623" s="2986"/>
      <c r="C1623" s="2991">
        <v>3</v>
      </c>
      <c r="D1623" s="2986" t="s">
        <v>3844</v>
      </c>
      <c r="E1623" s="2986"/>
      <c r="F1623" s="2986"/>
      <c r="G1623" s="2986"/>
      <c r="H1623" s="2986"/>
      <c r="I1623" s="2986"/>
      <c r="J1623" s="2987">
        <f>'Part X - HOME NHTF Unit Calcs'!J14</f>
        <v>0</v>
      </c>
      <c r="K1623" s="2987"/>
    </row>
    <row r="1624" spans="1:11" ht="13.8">
      <c r="A1624" s="2986"/>
      <c r="B1624" s="2986"/>
      <c r="C1624" s="2986">
        <v>4</v>
      </c>
      <c r="D1624" s="2986" t="s">
        <v>3845</v>
      </c>
      <c r="E1624" s="2986"/>
      <c r="F1624" s="2986"/>
      <c r="G1624" s="2986"/>
      <c r="H1624" s="2986"/>
      <c r="I1624" s="2986"/>
      <c r="J1624" s="2987">
        <f>'Part X - HOME NHTF Unit Calcs'!J15</f>
        <v>1508548.853922151</v>
      </c>
      <c r="K1624" s="2987"/>
    </row>
    <row r="1625" spans="1:11" ht="13.8">
      <c r="A1625" s="2986"/>
      <c r="B1625" s="2986"/>
      <c r="C1625" s="2986">
        <v>5</v>
      </c>
      <c r="D1625" s="2986" t="s">
        <v>3846</v>
      </c>
      <c r="E1625" s="2986"/>
      <c r="F1625" s="2986"/>
      <c r="G1625" s="2986"/>
      <c r="H1625" s="2986"/>
      <c r="I1625" s="2986"/>
      <c r="J1625" s="2987">
        <f>'Part X - HOME NHTF Unit Calcs'!J16</f>
        <v>0</v>
      </c>
      <c r="K1625" s="2987"/>
    </row>
    <row r="1626" spans="1:11" ht="13.8">
      <c r="A1626" s="2986"/>
      <c r="B1626" s="2986"/>
      <c r="C1626" s="2991">
        <v>6</v>
      </c>
      <c r="D1626" s="2986" t="s">
        <v>3847</v>
      </c>
      <c r="E1626" s="2986"/>
      <c r="F1626" s="2986"/>
      <c r="G1626" s="2986"/>
      <c r="H1626" s="2986"/>
      <c r="I1626" s="2986"/>
      <c r="J1626" s="2986">
        <f>'Part X - HOME NHTF Unit Calcs'!J17</f>
        <v>0</v>
      </c>
      <c r="K1626" s="2986"/>
    </row>
    <row r="1627" spans="1:11" ht="13.8">
      <c r="A1627" s="2986"/>
      <c r="B1627" s="2986"/>
      <c r="C1627" s="2986"/>
      <c r="D1627" s="2986"/>
      <c r="E1627" s="2986"/>
      <c r="F1627" s="2986"/>
      <c r="G1627" s="2986"/>
      <c r="H1627" s="2986"/>
      <c r="I1627" s="2986"/>
      <c r="J1627" s="2986"/>
      <c r="K1627" s="2986"/>
    </row>
    <row r="1628" spans="1:11" ht="13.8">
      <c r="A1628" s="2986"/>
      <c r="B1628" s="2986"/>
      <c r="C1628" s="2991">
        <v>7</v>
      </c>
      <c r="D1628" s="2986" t="s">
        <v>3848</v>
      </c>
      <c r="E1628" s="2986"/>
      <c r="F1628" s="2986"/>
      <c r="G1628" s="2986"/>
      <c r="H1628" s="2986"/>
      <c r="I1628" s="2986"/>
      <c r="J1628" s="2987" t="str">
        <f>IF(J1626="No",J1623-J1624,IF(J1626="Yes",J1623-J1624-J1625,"Error"))</f>
        <v>Error</v>
      </c>
      <c r="K1628" s="2987"/>
    </row>
    <row r="1629" spans="1:11" ht="13.8">
      <c r="A1629" s="2986"/>
      <c r="B1629" s="2986"/>
      <c r="C1629" s="2991">
        <v>8</v>
      </c>
      <c r="D1629" s="2986" t="s">
        <v>3849</v>
      </c>
      <c r="E1629" s="2986"/>
      <c r="F1629" s="2986"/>
      <c r="G1629" s="2986"/>
      <c r="H1629" s="2986"/>
      <c r="I1629" s="2986"/>
      <c r="J1629" s="2994" t="e">
        <f>ROUNDDOWN(J1628/J1617,2)</f>
        <v>#VALUE!</v>
      </c>
      <c r="K1629" s="2994"/>
    </row>
    <row r="1630" spans="1:11" ht="13.8">
      <c r="A1630" s="2986"/>
      <c r="B1630" s="2986"/>
      <c r="C1630" s="2986"/>
      <c r="D1630" s="2986"/>
      <c r="E1630" s="2986"/>
      <c r="F1630" s="2986"/>
      <c r="G1630" s="2986"/>
      <c r="H1630" s="2986"/>
      <c r="I1630" s="2986"/>
      <c r="J1630" s="2986"/>
      <c r="K1630" s="2991"/>
    </row>
    <row r="1631" spans="1:11" ht="13.8">
      <c r="A1631" s="2986"/>
      <c r="B1631" s="2986"/>
      <c r="C1631" s="2991">
        <v>9</v>
      </c>
      <c r="D1631" s="2986" t="s">
        <v>3850</v>
      </c>
      <c r="E1631" s="2986"/>
      <c r="F1631" s="2986"/>
      <c r="G1631" s="2986"/>
      <c r="H1631" s="2986"/>
      <c r="I1631" s="2986"/>
      <c r="J1631" s="2995" t="e">
        <f>J1620/J1628</f>
        <v>#VALUE!</v>
      </c>
      <c r="K1631" s="2995"/>
    </row>
    <row r="1632" spans="1:11" ht="13.8">
      <c r="A1632" s="2996"/>
      <c r="B1632" s="2984"/>
      <c r="C1632" s="2997"/>
      <c r="D1632" s="2997"/>
      <c r="E1632" s="2997"/>
      <c r="F1632" s="2997"/>
      <c r="G1632" s="2997"/>
      <c r="H1632" s="2997"/>
      <c r="I1632" s="2997"/>
      <c r="J1632" s="2984"/>
      <c r="K1632" s="2998"/>
    </row>
    <row r="1633" spans="1:11" ht="18">
      <c r="A1633" s="2999" t="s">
        <v>3851</v>
      </c>
      <c r="B1633" s="2984"/>
      <c r="C1633" s="2984"/>
      <c r="D1633" s="2984"/>
      <c r="E1633" s="2984"/>
      <c r="F1633" s="2984"/>
      <c r="G1633" s="2984"/>
      <c r="H1633" s="2984"/>
      <c r="I1633" s="2984"/>
      <c r="J1633" s="2984"/>
      <c r="K1633" s="2998"/>
    </row>
    <row r="1634" spans="1:11" ht="14.4">
      <c r="A1634" s="3000" t="s">
        <v>5191</v>
      </c>
      <c r="B1634" s="2984"/>
      <c r="C1634" s="2997"/>
      <c r="D1634" s="2997"/>
      <c r="E1634" s="2997"/>
      <c r="F1634" s="2997"/>
      <c r="G1634" s="2997"/>
      <c r="H1634" s="2997"/>
      <c r="I1634" s="2997"/>
      <c r="J1634" s="2984"/>
      <c r="K1634" s="2998"/>
    </row>
    <row r="1635" spans="1:11" ht="14.4">
      <c r="A1635" s="3000" t="s">
        <v>5192</v>
      </c>
      <c r="B1635" s="2984"/>
      <c r="C1635" s="2997"/>
      <c r="D1635" s="2997"/>
      <c r="E1635" s="2997"/>
      <c r="F1635" s="2997"/>
      <c r="G1635" s="2997"/>
      <c r="H1635" s="2997"/>
      <c r="I1635" s="2997"/>
      <c r="J1635" s="2997"/>
      <c r="K1635" s="2998"/>
    </row>
    <row r="1636" spans="1:11" ht="14.4">
      <c r="A1636" s="3000" t="s">
        <v>5193</v>
      </c>
      <c r="B1636" s="2984"/>
      <c r="C1636" s="2997"/>
      <c r="D1636" s="2997"/>
      <c r="E1636" s="2997"/>
      <c r="F1636" s="2997"/>
      <c r="G1636" s="2997"/>
      <c r="H1636" s="2997"/>
      <c r="I1636" s="2997"/>
      <c r="J1636" s="2997"/>
      <c r="K1636" s="2998"/>
    </row>
    <row r="1637" spans="1:11" ht="14.4">
      <c r="A1637" s="3000" t="s">
        <v>5194</v>
      </c>
      <c r="B1637" s="2984"/>
      <c r="C1637" s="2997"/>
      <c r="D1637" s="2997"/>
      <c r="E1637" s="2997"/>
      <c r="F1637" s="2997"/>
      <c r="G1637" s="2997"/>
      <c r="H1637" s="2997"/>
      <c r="I1637" s="2997"/>
      <c r="J1637" s="2997"/>
      <c r="K1637" s="2998"/>
    </row>
    <row r="1638" spans="1:11" ht="13.8">
      <c r="A1638" s="2997"/>
      <c r="B1638" s="2984"/>
      <c r="C1638" s="2997"/>
      <c r="D1638" s="2997"/>
      <c r="E1638" s="2997"/>
      <c r="F1638" s="2997"/>
      <c r="G1638" s="2997"/>
      <c r="H1638" s="2997"/>
      <c r="I1638" s="2997"/>
      <c r="J1638" s="2997"/>
      <c r="K1638" s="2998"/>
    </row>
    <row r="1639" spans="1:11" ht="13.8">
      <c r="A1639" s="2988" t="s">
        <v>3881</v>
      </c>
      <c r="B1639" s="2988"/>
      <c r="C1639" s="2988"/>
      <c r="D1639" s="2988"/>
      <c r="E1639" s="2988"/>
      <c r="F1639" s="2988"/>
      <c r="G1639" s="2988"/>
      <c r="H1639" s="2988"/>
      <c r="I1639" s="2988"/>
      <c r="J1639" s="2988"/>
      <c r="K1639" s="2988"/>
    </row>
    <row r="1640" spans="1:11" ht="13.8">
      <c r="A1640" s="2984"/>
      <c r="B1640" s="2988" t="s">
        <v>4062</v>
      </c>
      <c r="C1640" s="2988"/>
      <c r="D1640" s="2988"/>
      <c r="E1640" s="2988"/>
      <c r="F1640" s="2988"/>
      <c r="G1640" s="2988" t="s">
        <v>3852</v>
      </c>
      <c r="H1640" s="2988"/>
      <c r="I1640" s="2988"/>
      <c r="J1640" s="2988"/>
      <c r="K1640" s="2988"/>
    </row>
    <row r="1641" spans="1:11" ht="13.8">
      <c r="A1641" s="2984"/>
      <c r="B1641" s="3001" t="s">
        <v>5195</v>
      </c>
      <c r="C1641" s="2996" t="s">
        <v>5196</v>
      </c>
      <c r="D1641" s="2996" t="s">
        <v>5197</v>
      </c>
      <c r="E1641" s="3002" t="s">
        <v>3994</v>
      </c>
      <c r="F1641" s="3002"/>
      <c r="G1641" s="3001" t="s">
        <v>3853</v>
      </c>
      <c r="H1641" s="3001" t="s">
        <v>3854</v>
      </c>
      <c r="I1641" s="2984"/>
      <c r="J1641" s="3001" t="s">
        <v>3855</v>
      </c>
      <c r="K1641" s="3001" t="s">
        <v>3856</v>
      </c>
    </row>
    <row r="1642" spans="1:11" ht="14.4">
      <c r="A1642" s="2984"/>
      <c r="B1642" s="3003">
        <f>'Part X - HOME NHTF Unit Calcs'!B33</f>
        <v>0</v>
      </c>
      <c r="C1642" s="3003">
        <f>'Part X - HOME NHTF Unit Calcs'!C33</f>
        <v>0</v>
      </c>
      <c r="D1642" s="3004">
        <f>'Part X - HOME NHTF Unit Calcs'!D33</f>
        <v>0</v>
      </c>
      <c r="E1642" s="3005">
        <f>'Part X - HOME NHTF Unit Calcs'!E33</f>
        <v>0</v>
      </c>
      <c r="F1642" s="3005"/>
      <c r="G1642" s="3006">
        <f t="shared" ref="G1642:G1660" si="462">$J$22*B1642</f>
        <v>0</v>
      </c>
      <c r="H1642" s="3003">
        <f>ROUNDUP(G1642,0)</f>
        <v>0</v>
      </c>
      <c r="I1642" s="3007"/>
      <c r="J1642" s="3008">
        <f t="shared" ref="J1642:J1660" si="463">$J$20*E1642</f>
        <v>0</v>
      </c>
      <c r="K1642" s="3008">
        <f t="shared" ref="K1642:K1660" si="464">ROUNDDOWN(J1642*H1642,0)</f>
        <v>0</v>
      </c>
    </row>
    <row r="1643" spans="1:11" ht="14.4">
      <c r="A1643" s="2984"/>
      <c r="B1643" s="3003">
        <f>'Part X - HOME NHTF Unit Calcs'!B34</f>
        <v>0</v>
      </c>
      <c r="C1643" s="3003">
        <f>'Part X - HOME NHTF Unit Calcs'!C34</f>
        <v>0</v>
      </c>
      <c r="D1643" s="3004">
        <f>'Part X - HOME NHTF Unit Calcs'!D34</f>
        <v>0</v>
      </c>
      <c r="E1643" s="3005">
        <f>'Part X - HOME NHTF Unit Calcs'!E34</f>
        <v>0</v>
      </c>
      <c r="F1643" s="3005"/>
      <c r="G1643" s="3006">
        <f t="shared" si="462"/>
        <v>0</v>
      </c>
      <c r="H1643" s="3003">
        <f t="shared" ref="H1643:H1660" si="465">ROUNDUP(G1643,0)</f>
        <v>0</v>
      </c>
      <c r="I1643" s="3007"/>
      <c r="J1643" s="3008">
        <f t="shared" si="463"/>
        <v>0</v>
      </c>
      <c r="K1643" s="3008">
        <f t="shared" si="464"/>
        <v>0</v>
      </c>
    </row>
    <row r="1644" spans="1:11" ht="14.4">
      <c r="A1644" s="2984"/>
      <c r="B1644" s="3003">
        <f>'Part X - HOME NHTF Unit Calcs'!B35</f>
        <v>0</v>
      </c>
      <c r="C1644" s="3003">
        <f>'Part X - HOME NHTF Unit Calcs'!C35</f>
        <v>0</v>
      </c>
      <c r="D1644" s="3004">
        <f>'Part X - HOME NHTF Unit Calcs'!D35</f>
        <v>0</v>
      </c>
      <c r="E1644" s="3005">
        <f>'Part X - HOME NHTF Unit Calcs'!E35</f>
        <v>0</v>
      </c>
      <c r="F1644" s="3005"/>
      <c r="G1644" s="3009">
        <f t="shared" si="462"/>
        <v>0</v>
      </c>
      <c r="H1644" s="3010">
        <f t="shared" si="465"/>
        <v>0</v>
      </c>
      <c r="I1644" s="3007"/>
      <c r="J1644" s="3011">
        <f t="shared" si="463"/>
        <v>0</v>
      </c>
      <c r="K1644" s="3011">
        <f t="shared" si="464"/>
        <v>0</v>
      </c>
    </row>
    <row r="1645" spans="1:11" ht="14.4">
      <c r="A1645" s="2984"/>
      <c r="B1645" s="3003">
        <f>'Part X - HOME NHTF Unit Calcs'!B36</f>
        <v>0</v>
      </c>
      <c r="C1645" s="3003">
        <f>'Part X - HOME NHTF Unit Calcs'!C36</f>
        <v>0</v>
      </c>
      <c r="D1645" s="3004">
        <f>'Part X - HOME NHTF Unit Calcs'!D36</f>
        <v>0</v>
      </c>
      <c r="E1645" s="3005">
        <f>'Part X - HOME NHTF Unit Calcs'!E36</f>
        <v>0</v>
      </c>
      <c r="F1645" s="3005"/>
      <c r="G1645" s="3009">
        <f t="shared" si="462"/>
        <v>0</v>
      </c>
      <c r="H1645" s="3010">
        <f t="shared" si="465"/>
        <v>0</v>
      </c>
      <c r="I1645" s="3007"/>
      <c r="J1645" s="3011">
        <f t="shared" si="463"/>
        <v>0</v>
      </c>
      <c r="K1645" s="3011">
        <f t="shared" si="464"/>
        <v>0</v>
      </c>
    </row>
    <row r="1646" spans="1:11" ht="14.4">
      <c r="A1646" s="2984"/>
      <c r="B1646" s="3003">
        <f>'Part X - HOME NHTF Unit Calcs'!B37</f>
        <v>0</v>
      </c>
      <c r="C1646" s="3003">
        <f>'Part X - HOME NHTF Unit Calcs'!C37</f>
        <v>0</v>
      </c>
      <c r="D1646" s="3004">
        <f>'Part X - HOME NHTF Unit Calcs'!D37</f>
        <v>0</v>
      </c>
      <c r="E1646" s="3005">
        <f>'Part X - HOME NHTF Unit Calcs'!E37</f>
        <v>0</v>
      </c>
      <c r="F1646" s="3005"/>
      <c r="G1646" s="3009">
        <f t="shared" si="462"/>
        <v>0</v>
      </c>
      <c r="H1646" s="3010">
        <f t="shared" si="465"/>
        <v>0</v>
      </c>
      <c r="I1646" s="3007"/>
      <c r="J1646" s="3011">
        <f t="shared" si="463"/>
        <v>0</v>
      </c>
      <c r="K1646" s="3011">
        <f t="shared" si="464"/>
        <v>0</v>
      </c>
    </row>
    <row r="1647" spans="1:11" ht="14.4">
      <c r="A1647" s="2984"/>
      <c r="B1647" s="3003">
        <f>'Part X - HOME NHTF Unit Calcs'!B38</f>
        <v>0</v>
      </c>
      <c r="C1647" s="3003">
        <f>'Part X - HOME NHTF Unit Calcs'!C38</f>
        <v>0</v>
      </c>
      <c r="D1647" s="3004">
        <f>'Part X - HOME NHTF Unit Calcs'!D38</f>
        <v>0</v>
      </c>
      <c r="E1647" s="3005">
        <f>'Part X - HOME NHTF Unit Calcs'!E38</f>
        <v>0</v>
      </c>
      <c r="F1647" s="3005"/>
      <c r="G1647" s="3009">
        <f t="shared" si="462"/>
        <v>0</v>
      </c>
      <c r="H1647" s="3010">
        <f t="shared" si="465"/>
        <v>0</v>
      </c>
      <c r="I1647" s="3007"/>
      <c r="J1647" s="3011">
        <f t="shared" si="463"/>
        <v>0</v>
      </c>
      <c r="K1647" s="3011">
        <f t="shared" si="464"/>
        <v>0</v>
      </c>
    </row>
    <row r="1648" spans="1:11" ht="14.4">
      <c r="A1648" s="2984"/>
      <c r="B1648" s="3003">
        <f>'Part X - HOME NHTF Unit Calcs'!B39</f>
        <v>0</v>
      </c>
      <c r="C1648" s="3003">
        <f>'Part X - HOME NHTF Unit Calcs'!C39</f>
        <v>0</v>
      </c>
      <c r="D1648" s="3004">
        <f>'Part X - HOME NHTF Unit Calcs'!D39</f>
        <v>0</v>
      </c>
      <c r="E1648" s="3005">
        <f>'Part X - HOME NHTF Unit Calcs'!E39</f>
        <v>0</v>
      </c>
      <c r="F1648" s="3005"/>
      <c r="G1648" s="3009">
        <f t="shared" si="462"/>
        <v>0</v>
      </c>
      <c r="H1648" s="3010">
        <f t="shared" si="465"/>
        <v>0</v>
      </c>
      <c r="I1648" s="3007"/>
      <c r="J1648" s="3011">
        <f t="shared" si="463"/>
        <v>0</v>
      </c>
      <c r="K1648" s="3011">
        <f t="shared" si="464"/>
        <v>0</v>
      </c>
    </row>
    <row r="1649" spans="1:11" ht="14.4">
      <c r="A1649" s="2984"/>
      <c r="B1649" s="3003">
        <f>'Part X - HOME NHTF Unit Calcs'!B40</f>
        <v>0</v>
      </c>
      <c r="C1649" s="3003">
        <f>'Part X - HOME NHTF Unit Calcs'!C40</f>
        <v>0</v>
      </c>
      <c r="D1649" s="3004">
        <f>'Part X - HOME NHTF Unit Calcs'!D40</f>
        <v>0</v>
      </c>
      <c r="E1649" s="3005">
        <f>'Part X - HOME NHTF Unit Calcs'!E40</f>
        <v>0</v>
      </c>
      <c r="F1649" s="3005"/>
      <c r="G1649" s="3009">
        <f t="shared" si="462"/>
        <v>0</v>
      </c>
      <c r="H1649" s="3010">
        <f t="shared" si="465"/>
        <v>0</v>
      </c>
      <c r="I1649" s="3007"/>
      <c r="J1649" s="3011">
        <f t="shared" si="463"/>
        <v>0</v>
      </c>
      <c r="K1649" s="3011">
        <f t="shared" si="464"/>
        <v>0</v>
      </c>
    </row>
    <row r="1650" spans="1:11" ht="14.4">
      <c r="A1650" s="2984"/>
      <c r="B1650" s="3003">
        <f>'Part X - HOME NHTF Unit Calcs'!B41</f>
        <v>0</v>
      </c>
      <c r="C1650" s="3003">
        <f>'Part X - HOME NHTF Unit Calcs'!C41</f>
        <v>0</v>
      </c>
      <c r="D1650" s="3004">
        <f>'Part X - HOME NHTF Unit Calcs'!D41</f>
        <v>0</v>
      </c>
      <c r="E1650" s="3005">
        <f>'Part X - HOME NHTF Unit Calcs'!E41</f>
        <v>0</v>
      </c>
      <c r="F1650" s="3005"/>
      <c r="G1650" s="3009">
        <f t="shared" si="462"/>
        <v>0</v>
      </c>
      <c r="H1650" s="3010">
        <f t="shared" si="465"/>
        <v>0</v>
      </c>
      <c r="I1650" s="3007"/>
      <c r="J1650" s="3011">
        <f t="shared" si="463"/>
        <v>0</v>
      </c>
      <c r="K1650" s="3011">
        <f t="shared" si="464"/>
        <v>0</v>
      </c>
    </row>
    <row r="1651" spans="1:11" ht="14.4">
      <c r="A1651" s="2984"/>
      <c r="B1651" s="3003">
        <f>'Part X - HOME NHTF Unit Calcs'!B42</f>
        <v>0</v>
      </c>
      <c r="C1651" s="3003">
        <f>'Part X - HOME NHTF Unit Calcs'!C42</f>
        <v>0</v>
      </c>
      <c r="D1651" s="3004">
        <f>'Part X - HOME NHTF Unit Calcs'!D42</f>
        <v>0</v>
      </c>
      <c r="E1651" s="3005">
        <f>'Part X - HOME NHTF Unit Calcs'!E42</f>
        <v>0</v>
      </c>
      <c r="F1651" s="3005"/>
      <c r="G1651" s="3009">
        <f t="shared" si="462"/>
        <v>0</v>
      </c>
      <c r="H1651" s="3010">
        <f t="shared" si="465"/>
        <v>0</v>
      </c>
      <c r="I1651" s="3007"/>
      <c r="J1651" s="3011">
        <f t="shared" si="463"/>
        <v>0</v>
      </c>
      <c r="K1651" s="3011">
        <f t="shared" si="464"/>
        <v>0</v>
      </c>
    </row>
    <row r="1652" spans="1:11" ht="14.4">
      <c r="A1652" s="2984"/>
      <c r="B1652" s="3003">
        <f>'Part X - HOME NHTF Unit Calcs'!B43</f>
        <v>0</v>
      </c>
      <c r="C1652" s="3003">
        <f>'Part X - HOME NHTF Unit Calcs'!C43</f>
        <v>0</v>
      </c>
      <c r="D1652" s="3004">
        <f>'Part X - HOME NHTF Unit Calcs'!D43</f>
        <v>0</v>
      </c>
      <c r="E1652" s="3005">
        <f>'Part X - HOME NHTF Unit Calcs'!E43</f>
        <v>0</v>
      </c>
      <c r="F1652" s="3005"/>
      <c r="G1652" s="3009">
        <f t="shared" si="462"/>
        <v>0</v>
      </c>
      <c r="H1652" s="3010">
        <f t="shared" si="465"/>
        <v>0</v>
      </c>
      <c r="I1652" s="3007"/>
      <c r="J1652" s="3011">
        <f t="shared" si="463"/>
        <v>0</v>
      </c>
      <c r="K1652" s="3011">
        <f t="shared" si="464"/>
        <v>0</v>
      </c>
    </row>
    <row r="1653" spans="1:11" ht="14.4">
      <c r="A1653" s="2984"/>
      <c r="B1653" s="3003">
        <f>'Part X - HOME NHTF Unit Calcs'!B44</f>
        <v>0</v>
      </c>
      <c r="C1653" s="3003">
        <f>'Part X - HOME NHTF Unit Calcs'!C44</f>
        <v>0</v>
      </c>
      <c r="D1653" s="3004">
        <f>'Part X - HOME NHTF Unit Calcs'!D44</f>
        <v>0</v>
      </c>
      <c r="E1653" s="3005">
        <f>'Part X - HOME NHTF Unit Calcs'!E44</f>
        <v>0</v>
      </c>
      <c r="F1653" s="3005"/>
      <c r="G1653" s="3009">
        <f t="shared" si="462"/>
        <v>0</v>
      </c>
      <c r="H1653" s="3010">
        <f t="shared" si="465"/>
        <v>0</v>
      </c>
      <c r="I1653" s="3007"/>
      <c r="J1653" s="3011">
        <f t="shared" si="463"/>
        <v>0</v>
      </c>
      <c r="K1653" s="3011">
        <f t="shared" si="464"/>
        <v>0</v>
      </c>
    </row>
    <row r="1654" spans="1:11" ht="14.4">
      <c r="A1654" s="2984"/>
      <c r="B1654" s="3003">
        <f>'Part X - HOME NHTF Unit Calcs'!B45</f>
        <v>0</v>
      </c>
      <c r="C1654" s="3003">
        <f>'Part X - HOME NHTF Unit Calcs'!C45</f>
        <v>0</v>
      </c>
      <c r="D1654" s="3004">
        <f>'Part X - HOME NHTF Unit Calcs'!D45</f>
        <v>0</v>
      </c>
      <c r="E1654" s="3005">
        <f>'Part X - HOME NHTF Unit Calcs'!E45</f>
        <v>0</v>
      </c>
      <c r="F1654" s="3005"/>
      <c r="G1654" s="3009">
        <f t="shared" si="462"/>
        <v>0</v>
      </c>
      <c r="H1654" s="3010">
        <f t="shared" si="465"/>
        <v>0</v>
      </c>
      <c r="I1654" s="3007"/>
      <c r="J1654" s="3011">
        <f t="shared" si="463"/>
        <v>0</v>
      </c>
      <c r="K1654" s="3011">
        <f t="shared" si="464"/>
        <v>0</v>
      </c>
    </row>
    <row r="1655" spans="1:11" ht="14.4">
      <c r="A1655" s="2984"/>
      <c r="B1655" s="3003">
        <f>'Part X - HOME NHTF Unit Calcs'!B46</f>
        <v>0</v>
      </c>
      <c r="C1655" s="3003">
        <f>'Part X - HOME NHTF Unit Calcs'!C46</f>
        <v>0</v>
      </c>
      <c r="D1655" s="3004">
        <f>'Part X - HOME NHTF Unit Calcs'!D46</f>
        <v>0</v>
      </c>
      <c r="E1655" s="3005">
        <f>'Part X - HOME NHTF Unit Calcs'!E46</f>
        <v>0</v>
      </c>
      <c r="F1655" s="3005"/>
      <c r="G1655" s="3009">
        <f t="shared" si="462"/>
        <v>0</v>
      </c>
      <c r="H1655" s="3010">
        <f t="shared" si="465"/>
        <v>0</v>
      </c>
      <c r="I1655" s="3007"/>
      <c r="J1655" s="3011">
        <f t="shared" si="463"/>
        <v>0</v>
      </c>
      <c r="K1655" s="3011">
        <f t="shared" si="464"/>
        <v>0</v>
      </c>
    </row>
    <row r="1656" spans="1:11" ht="14.4">
      <c r="A1656" s="2984"/>
      <c r="B1656" s="3003">
        <f>'Part X - HOME NHTF Unit Calcs'!B47</f>
        <v>0</v>
      </c>
      <c r="C1656" s="3003">
        <f>'Part X - HOME NHTF Unit Calcs'!C47</f>
        <v>0</v>
      </c>
      <c r="D1656" s="3004">
        <f>'Part X - HOME NHTF Unit Calcs'!D47</f>
        <v>0</v>
      </c>
      <c r="E1656" s="3005">
        <f>'Part X - HOME NHTF Unit Calcs'!E47</f>
        <v>0</v>
      </c>
      <c r="F1656" s="3005"/>
      <c r="G1656" s="3009">
        <f t="shared" si="462"/>
        <v>0</v>
      </c>
      <c r="H1656" s="3010">
        <f t="shared" si="465"/>
        <v>0</v>
      </c>
      <c r="I1656" s="3007"/>
      <c r="J1656" s="3011">
        <f t="shared" si="463"/>
        <v>0</v>
      </c>
      <c r="K1656" s="3011">
        <f t="shared" si="464"/>
        <v>0</v>
      </c>
    </row>
    <row r="1657" spans="1:11" ht="14.4">
      <c r="A1657" s="2984"/>
      <c r="B1657" s="3003">
        <f>'Part X - HOME NHTF Unit Calcs'!B48</f>
        <v>0</v>
      </c>
      <c r="C1657" s="3003">
        <f>'Part X - HOME NHTF Unit Calcs'!C48</f>
        <v>0</v>
      </c>
      <c r="D1657" s="3004">
        <f>'Part X - HOME NHTF Unit Calcs'!D48</f>
        <v>0</v>
      </c>
      <c r="E1657" s="3005">
        <f>'Part X - HOME NHTF Unit Calcs'!E48</f>
        <v>0</v>
      </c>
      <c r="F1657" s="3005"/>
      <c r="G1657" s="3009">
        <f t="shared" si="462"/>
        <v>0</v>
      </c>
      <c r="H1657" s="3010">
        <f t="shared" si="465"/>
        <v>0</v>
      </c>
      <c r="I1657" s="3007"/>
      <c r="J1657" s="3011">
        <f t="shared" si="463"/>
        <v>0</v>
      </c>
      <c r="K1657" s="3011">
        <f t="shared" si="464"/>
        <v>0</v>
      </c>
    </row>
    <row r="1658" spans="1:11" ht="14.4">
      <c r="A1658" s="2984"/>
      <c r="B1658" s="3003">
        <f>'Part X - HOME NHTF Unit Calcs'!B49</f>
        <v>0</v>
      </c>
      <c r="C1658" s="3003">
        <f>'Part X - HOME NHTF Unit Calcs'!C49</f>
        <v>0</v>
      </c>
      <c r="D1658" s="3004">
        <f>'Part X - HOME NHTF Unit Calcs'!D49</f>
        <v>0</v>
      </c>
      <c r="E1658" s="3005">
        <f>'Part X - HOME NHTF Unit Calcs'!E49</f>
        <v>0</v>
      </c>
      <c r="F1658" s="3005"/>
      <c r="G1658" s="3009">
        <f t="shared" si="462"/>
        <v>0</v>
      </c>
      <c r="H1658" s="3010">
        <f t="shared" si="465"/>
        <v>0</v>
      </c>
      <c r="I1658" s="3007"/>
      <c r="J1658" s="3011">
        <f t="shared" si="463"/>
        <v>0</v>
      </c>
      <c r="K1658" s="3011">
        <f t="shared" si="464"/>
        <v>0</v>
      </c>
    </row>
    <row r="1659" spans="1:11" ht="14.4">
      <c r="A1659" s="2984"/>
      <c r="B1659" s="3003">
        <f>'Part X - HOME NHTF Unit Calcs'!B50</f>
        <v>0</v>
      </c>
      <c r="C1659" s="3003">
        <f>'Part X - HOME NHTF Unit Calcs'!C50</f>
        <v>0</v>
      </c>
      <c r="D1659" s="3004">
        <f>'Part X - HOME NHTF Unit Calcs'!D50</f>
        <v>0</v>
      </c>
      <c r="E1659" s="3005">
        <f>'Part X - HOME NHTF Unit Calcs'!E50</f>
        <v>0</v>
      </c>
      <c r="F1659" s="3005"/>
      <c r="G1659" s="3009">
        <f t="shared" si="462"/>
        <v>0</v>
      </c>
      <c r="H1659" s="3010">
        <f t="shared" si="465"/>
        <v>0</v>
      </c>
      <c r="I1659" s="3007"/>
      <c r="J1659" s="3011">
        <f t="shared" si="463"/>
        <v>0</v>
      </c>
      <c r="K1659" s="3011">
        <f t="shared" si="464"/>
        <v>0</v>
      </c>
    </row>
    <row r="1660" spans="1:11" ht="14.4">
      <c r="A1660" s="2984"/>
      <c r="B1660" s="3003">
        <f>'Part X - HOME NHTF Unit Calcs'!B51</f>
        <v>0</v>
      </c>
      <c r="C1660" s="3003">
        <f>'Part X - HOME NHTF Unit Calcs'!C51</f>
        <v>0</v>
      </c>
      <c r="D1660" s="3004">
        <f>'Part X - HOME NHTF Unit Calcs'!D51</f>
        <v>0</v>
      </c>
      <c r="E1660" s="3005">
        <f>'Part X - HOME NHTF Unit Calcs'!E51</f>
        <v>0</v>
      </c>
      <c r="F1660" s="3005"/>
      <c r="G1660" s="3009">
        <f t="shared" si="462"/>
        <v>0</v>
      </c>
      <c r="H1660" s="3010">
        <f t="shared" si="465"/>
        <v>0</v>
      </c>
      <c r="I1660" s="3007"/>
      <c r="J1660" s="3011">
        <f t="shared" si="463"/>
        <v>0</v>
      </c>
      <c r="K1660" s="3011">
        <f t="shared" si="464"/>
        <v>0</v>
      </c>
    </row>
    <row r="1661" spans="1:11" ht="13.8">
      <c r="A1661" s="2984"/>
      <c r="B1661" s="3012"/>
      <c r="C1661" s="2984"/>
      <c r="D1661" s="2986"/>
      <c r="E1661" s="2986"/>
      <c r="F1661" s="2986"/>
      <c r="G1661" s="3013" t="s">
        <v>3858</v>
      </c>
      <c r="H1661" s="3014">
        <f>SUM(H1642:H1660)</f>
        <v>0</v>
      </c>
      <c r="I1661" s="2986"/>
      <c r="J1661" s="3012" t="s">
        <v>3859</v>
      </c>
      <c r="K1661" s="2992">
        <f>SUM(K1642:K1660)</f>
        <v>0</v>
      </c>
    </row>
    <row r="1662" spans="1:11" ht="13.8">
      <c r="A1662" s="2984"/>
      <c r="B1662" s="3012"/>
      <c r="C1662" s="2986" t="s">
        <v>3860</v>
      </c>
      <c r="D1662" s="2986"/>
      <c r="E1662" s="2986"/>
      <c r="F1662" s="2986"/>
      <c r="G1662" s="2986"/>
      <c r="H1662" s="2986"/>
      <c r="I1662" s="2986"/>
      <c r="J1662" s="2986"/>
      <c r="K1662" s="2992" t="str">
        <f>IF(J1626="no",0,IF(J1626="yes",J1625,"Error"))</f>
        <v>Error</v>
      </c>
    </row>
    <row r="1663" spans="1:11" ht="13.8">
      <c r="A1663" s="2984"/>
      <c r="B1663" s="3012"/>
      <c r="C1663" s="2990" t="s">
        <v>3861</v>
      </c>
      <c r="D1663" s="2990"/>
      <c r="E1663" s="2990"/>
      <c r="F1663" s="2990"/>
      <c r="G1663" s="2990"/>
      <c r="H1663" s="2990"/>
      <c r="I1663" s="2990"/>
      <c r="J1663" s="2990"/>
      <c r="K1663" s="3015" t="e">
        <f>K1661+K1662</f>
        <v>#VALUE!</v>
      </c>
    </row>
    <row r="1664" spans="1:11" ht="13.8">
      <c r="A1664" s="2984"/>
      <c r="B1664" s="2984"/>
      <c r="C1664" s="2984"/>
      <c r="D1664" s="2984"/>
      <c r="E1664" s="2984"/>
      <c r="F1664" s="2984"/>
      <c r="G1664" s="2984"/>
      <c r="H1664" s="2984"/>
      <c r="I1664" s="2984"/>
      <c r="J1664" s="2984"/>
      <c r="K1664" s="2984"/>
    </row>
    <row r="1665" spans="1:11" ht="13.8">
      <c r="A1665" s="3016" t="s">
        <v>3862</v>
      </c>
      <c r="B1665" s="3016"/>
      <c r="C1665" s="3016"/>
      <c r="D1665" s="3016"/>
      <c r="E1665" s="3016"/>
      <c r="F1665" s="3016"/>
      <c r="G1665" s="3016"/>
      <c r="H1665" s="3016"/>
      <c r="I1665" s="3016"/>
      <c r="J1665" s="3016"/>
      <c r="K1665" s="3016"/>
    </row>
    <row r="1666" spans="1:11" ht="82.5" customHeight="1">
      <c r="A1666" s="2984"/>
      <c r="B1666" s="2984"/>
      <c r="C1666" s="3016" t="s">
        <v>3863</v>
      </c>
      <c r="D1666" s="3016" t="s">
        <v>3961</v>
      </c>
      <c r="E1666" s="3016" t="s">
        <v>3879</v>
      </c>
      <c r="F1666" s="3016"/>
      <c r="G1666" s="3002" t="s">
        <v>3864</v>
      </c>
      <c r="H1666" s="3002"/>
      <c r="I1666" s="3016" t="s">
        <v>3878</v>
      </c>
      <c r="J1666" s="3016"/>
      <c r="K1666" s="2984"/>
    </row>
    <row r="1667" spans="1:11" ht="13.8">
      <c r="A1667" s="2984"/>
      <c r="B1667" s="2984"/>
      <c r="C1667" s="3017">
        <f>SUMIF(C1642:C1660, "0", H1642:H1660)</f>
        <v>0</v>
      </c>
      <c r="D1667" s="2984">
        <f t="shared" ref="D1667:D1672" si="466">ROUNDUP(C1667*1.1,0)</f>
        <v>0</v>
      </c>
      <c r="E1667" s="2986" t="s">
        <v>3865</v>
      </c>
      <c r="F1667" s="2986"/>
      <c r="G1667" s="3018">
        <f>'Part X - HOME NHTF Unit Calcs'!G58</f>
        <v>181488</v>
      </c>
      <c r="H1667" s="3018"/>
      <c r="I1667" s="3019">
        <f t="shared" ref="I1667:I1672" si="467">D1667*G1667</f>
        <v>0</v>
      </c>
      <c r="J1667" s="3019"/>
      <c r="K1667" s="2984"/>
    </row>
    <row r="1668" spans="1:11" ht="13.8">
      <c r="A1668" s="2984"/>
      <c r="B1668" s="2984"/>
      <c r="C1668" s="3017">
        <f>SUMIF(C1642:C1660, "1", H1642:H1660)</f>
        <v>0</v>
      </c>
      <c r="D1668" s="2984">
        <f t="shared" si="466"/>
        <v>0</v>
      </c>
      <c r="E1668" s="2986" t="s">
        <v>2454</v>
      </c>
      <c r="F1668" s="2986"/>
      <c r="G1668" s="3018">
        <f>'Part X - HOME NHTF Unit Calcs'!G59</f>
        <v>208048.8</v>
      </c>
      <c r="H1668" s="3018"/>
      <c r="I1668" s="3019">
        <f t="shared" si="467"/>
        <v>0</v>
      </c>
      <c r="J1668" s="3019"/>
      <c r="K1668" s="2984"/>
    </row>
    <row r="1669" spans="1:11" ht="13.8">
      <c r="A1669" s="2996"/>
      <c r="B1669" s="2984"/>
      <c r="C1669" s="3020">
        <f>SUMIF(C1642:C1660, "2", H1642:H1660)</f>
        <v>0</v>
      </c>
      <c r="D1669" s="2996">
        <f t="shared" si="466"/>
        <v>0</v>
      </c>
      <c r="E1669" s="2986" t="s">
        <v>2455</v>
      </c>
      <c r="F1669" s="2986"/>
      <c r="G1669" s="3018">
        <f>'Part X - HOME NHTF Unit Calcs'!G60</f>
        <v>252993.59999999998</v>
      </c>
      <c r="H1669" s="3018"/>
      <c r="I1669" s="3019">
        <f t="shared" si="467"/>
        <v>0</v>
      </c>
      <c r="J1669" s="3019"/>
      <c r="K1669" s="2984"/>
    </row>
    <row r="1670" spans="1:11" ht="13.8">
      <c r="A1670" s="2996"/>
      <c r="B1670" s="2984"/>
      <c r="C1670" s="3020">
        <f>SUMIF(C1642:C1660, "3", H1642:H1660)</f>
        <v>0</v>
      </c>
      <c r="D1670" s="2996">
        <f t="shared" si="466"/>
        <v>0</v>
      </c>
      <c r="E1670" s="2986" t="s">
        <v>2458</v>
      </c>
      <c r="F1670" s="2986"/>
      <c r="G1670" s="3018">
        <f>'Part X - HOME NHTF Unit Calcs'!G61</f>
        <v>327292.79999999999</v>
      </c>
      <c r="H1670" s="3018"/>
      <c r="I1670" s="3019">
        <f t="shared" si="467"/>
        <v>0</v>
      </c>
      <c r="J1670" s="3019"/>
      <c r="K1670" s="2984"/>
    </row>
    <row r="1671" spans="1:11" ht="13.8">
      <c r="A1671" s="2996"/>
      <c r="B1671" s="2984"/>
      <c r="C1671" s="3020">
        <f>SUMIF(C1642:C1660, "4", H1642:H1660)</f>
        <v>0</v>
      </c>
      <c r="D1671" s="2996">
        <f t="shared" si="466"/>
        <v>0</v>
      </c>
      <c r="E1671" s="2986" t="s">
        <v>3866</v>
      </c>
      <c r="F1671" s="2986"/>
      <c r="G1671" s="3018">
        <f>'Part X - HOME NHTF Unit Calcs'!G62</f>
        <v>359263.2</v>
      </c>
      <c r="H1671" s="3018"/>
      <c r="I1671" s="3019">
        <f t="shared" si="467"/>
        <v>0</v>
      </c>
      <c r="J1671" s="3019"/>
      <c r="K1671" s="2984"/>
    </row>
    <row r="1672" spans="1:11" ht="13.8">
      <c r="A1672" s="2996"/>
      <c r="B1672" s="2984"/>
      <c r="C1672" s="3020">
        <f>SUMIF(C1642:C1660, "5", H1642:H1660)</f>
        <v>0</v>
      </c>
      <c r="D1672" s="2996">
        <f t="shared" si="466"/>
        <v>0</v>
      </c>
      <c r="E1672" s="2986" t="s">
        <v>3867</v>
      </c>
      <c r="F1672" s="2986"/>
      <c r="G1672" s="3018">
        <f>'Part X - HOME NHTF Unit Calcs'!G63</f>
        <v>359263.2</v>
      </c>
      <c r="H1672" s="3018"/>
      <c r="I1672" s="3019">
        <f t="shared" si="467"/>
        <v>0</v>
      </c>
      <c r="J1672" s="3019"/>
      <c r="K1672" s="2984"/>
    </row>
    <row r="1673" spans="1:11" ht="13.8">
      <c r="A1673" s="3001" t="s">
        <v>3868</v>
      </c>
      <c r="B1673" s="3014">
        <f>SUM(C1667:C1672)</f>
        <v>0</v>
      </c>
      <c r="C1673" s="3001"/>
      <c r="D1673" s="3001">
        <f>SUM(D1667:D1672)</f>
        <v>0</v>
      </c>
      <c r="E1673" s="3016"/>
      <c r="F1673" s="3016"/>
      <c r="G1673" s="3016"/>
      <c r="H1673" s="3016"/>
      <c r="I1673" s="3016"/>
      <c r="J1673" s="3016" t="s">
        <v>3869</v>
      </c>
      <c r="K1673" s="3002">
        <f>SUM(I1667:I1671)</f>
        <v>0</v>
      </c>
    </row>
    <row r="1674" spans="1:11" ht="13.8">
      <c r="A1674" s="2984"/>
      <c r="B1674" s="2984"/>
      <c r="C1674" s="2984"/>
      <c r="D1674" s="2984"/>
      <c r="E1674" s="2984"/>
      <c r="F1674" s="2984"/>
      <c r="G1674" s="2984"/>
      <c r="H1674" s="2984"/>
      <c r="I1674" s="2984"/>
      <c r="J1674" s="2984"/>
      <c r="K1674" s="2984"/>
    </row>
    <row r="1675" spans="1:11" ht="13.8">
      <c r="A1675" s="3016" t="s">
        <v>3870</v>
      </c>
      <c r="B1675" s="3016"/>
      <c r="C1675" s="3016"/>
      <c r="D1675" s="3016"/>
      <c r="E1675" s="3016"/>
      <c r="F1675" s="3016"/>
      <c r="G1675" s="3016"/>
      <c r="H1675" s="3016"/>
      <c r="I1675" s="3016"/>
      <c r="J1675" s="3016"/>
      <c r="K1675" s="3016"/>
    </row>
    <row r="1676" spans="1:11" ht="13.8">
      <c r="A1676" s="2996"/>
      <c r="B1676" s="2984"/>
      <c r="C1676" s="2984"/>
      <c r="D1676" s="2984"/>
      <c r="E1676" s="2984" t="s">
        <v>3871</v>
      </c>
      <c r="F1676" s="2984"/>
      <c r="G1676" s="2984"/>
      <c r="H1676" s="2984"/>
      <c r="I1676" s="2984"/>
      <c r="J1676" s="2984"/>
      <c r="K1676" s="3021">
        <f>J1620</f>
        <v>0</v>
      </c>
    </row>
    <row r="1677" spans="1:11" ht="13.8">
      <c r="A1677" s="2984"/>
      <c r="B1677" s="2984"/>
      <c r="C1677" s="2984"/>
      <c r="D1677" s="2984"/>
      <c r="E1677" s="2984" t="s">
        <v>3872</v>
      </c>
      <c r="F1677" s="2984"/>
      <c r="G1677" s="2984"/>
      <c r="H1677" s="2984"/>
      <c r="I1677" s="2984"/>
      <c r="J1677" s="2984"/>
      <c r="K1677" s="3021" t="e">
        <f>K1663</f>
        <v>#VALUE!</v>
      </c>
    </row>
    <row r="1678" spans="1:11" ht="13.8">
      <c r="A1678" s="2984"/>
      <c r="B1678" s="2984"/>
      <c r="C1678" s="2984"/>
      <c r="D1678" s="2984"/>
      <c r="E1678" s="2984" t="s">
        <v>3873</v>
      </c>
      <c r="F1678" s="2984"/>
      <c r="G1678" s="2984"/>
      <c r="H1678" s="2984"/>
      <c r="I1678" s="2984"/>
      <c r="J1678" s="2984"/>
      <c r="K1678" s="3021">
        <f>K1673</f>
        <v>0</v>
      </c>
    </row>
    <row r="1679" spans="1:11" ht="13.8">
      <c r="A1679" s="2996"/>
      <c r="B1679" s="2984"/>
      <c r="C1679" s="2990" t="s">
        <v>3874</v>
      </c>
      <c r="D1679" s="2990"/>
      <c r="E1679" s="2990"/>
      <c r="F1679" s="2990"/>
      <c r="G1679" s="2990"/>
      <c r="H1679" s="2990"/>
      <c r="I1679" s="2990"/>
      <c r="J1679" s="2990"/>
      <c r="K1679" s="3022" t="e">
        <f>IF(ISBLANK(J1620),MIN(K1677:K1678),MIN(K1676:K1678))</f>
        <v>#VALUE!</v>
      </c>
    </row>
  </sheetData>
  <sheetProtection algorithmName="SHA-512" hashValue="VKOT6lV/vAC5F83XzROQf0puHBwPyKygomMjYj1z8peQybfLakocHMPU6FwW6+bPB5ESl5OjjdAN+rw3rr5eCA==" saltValue="Cabk4ifMwv6aDgx5OUl19Q=="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57" zoomScale="130" zoomScaleNormal="130" workbookViewId="0">
      <selection activeCell="I48" sqref="I48"/>
    </sheetView>
  </sheetViews>
  <sheetFormatPr defaultColWidth="9.33203125" defaultRowHeight="13.2"/>
  <cols>
    <col min="1" max="1" width="4.33203125" style="142" customWidth="1"/>
    <col min="2" max="2" width="8.33203125" style="142" customWidth="1"/>
    <col min="3" max="3" width="9.109375" style="142" customWidth="1"/>
    <col min="4" max="4" width="10.44140625" style="142" customWidth="1"/>
    <col min="5" max="5" width="8.88671875" style="142" customWidth="1"/>
    <col min="6" max="6" width="2.6640625" style="142" customWidth="1"/>
    <col min="7" max="8" width="12" style="142" customWidth="1"/>
    <col min="9"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10" bestFit="1" customWidth="1"/>
    <col min="26" max="26" width="9.33203125" style="2520"/>
    <col min="27" max="51" width="9.33203125" style="142"/>
    <col min="52" max="52" width="9.33203125" style="1577"/>
    <col min="53" max="16384" width="9.33203125" style="142"/>
  </cols>
  <sheetData>
    <row r="1" spans="1:52" s="2520" customFormat="1" ht="13.8" hidden="1">
      <c r="A1" s="2513"/>
      <c r="B1" s="2513" t="s">
        <v>4198</v>
      </c>
      <c r="C1" s="2513"/>
      <c r="D1" s="2513"/>
      <c r="E1" s="2513" t="s">
        <v>4217</v>
      </c>
      <c r="F1" s="2513"/>
      <c r="G1" s="2521"/>
      <c r="H1" s="2521" t="s">
        <v>4218</v>
      </c>
      <c r="I1" s="2521" t="s">
        <v>4219</v>
      </c>
      <c r="J1" s="2521"/>
      <c r="K1" s="2521" t="s">
        <v>4220</v>
      </c>
      <c r="L1" s="2521" t="s">
        <v>4221</v>
      </c>
      <c r="M1" s="2520" t="s">
        <v>4222</v>
      </c>
      <c r="N1" s="2520" t="s">
        <v>4223</v>
      </c>
      <c r="P1" s="2520" t="s">
        <v>4224</v>
      </c>
      <c r="Y1" s="2522"/>
      <c r="Z1" s="2514">
        <v>1</v>
      </c>
    </row>
    <row r="2" spans="1:52" s="223" customFormat="1" ht="14.1" customHeight="1">
      <c r="A2" s="3313" t="str">
        <f>CONCATENATE("PART TWO - SOURCES OF FUNDS (Proposed)","  -  ",'Part I-Project Identification'!$O$7," ",'Part I-Project Identification'!$F$26,", ",'Part I-Project Identification'!$F$27,", ",'Part I-Project Identification'!$J$27," County")</f>
        <v>PART TWO - SOURCES OF FUNDS (Proposed)  -  2025-0 Retreat at Madison Place, Decatur, DeKalb County</v>
      </c>
      <c r="B2" s="3314"/>
      <c r="C2" s="3314"/>
      <c r="D2" s="3314"/>
      <c r="E2" s="3314"/>
      <c r="F2" s="3314"/>
      <c r="G2" s="3314"/>
      <c r="H2" s="3314"/>
      <c r="I2" s="3314"/>
      <c r="J2" s="3314"/>
      <c r="K2" s="3314"/>
      <c r="L2" s="3314"/>
      <c r="M2" s="3314"/>
      <c r="N2" s="3314"/>
      <c r="O2" s="3314"/>
      <c r="P2" s="3314"/>
      <c r="Q2" s="3315"/>
      <c r="S2" s="3316" t="str">
        <f>$A$2</f>
        <v>PART TWO - SOURCES OF FUNDS (Proposed)  -  2025-0 Retreat at Madison Place, Decatur, DeKalb County</v>
      </c>
      <c r="T2" s="3316"/>
      <c r="Y2" s="2411"/>
      <c r="Z2" s="2514">
        <v>2</v>
      </c>
      <c r="AZ2" s="1578"/>
    </row>
    <row r="3" spans="1:52" ht="13.5" customHeight="1">
      <c r="A3" s="145"/>
      <c r="B3" s="145"/>
      <c r="C3" s="145"/>
      <c r="D3" s="145"/>
      <c r="E3" s="145"/>
      <c r="F3" s="145"/>
      <c r="G3" s="979"/>
      <c r="H3" s="979"/>
      <c r="I3" s="979"/>
      <c r="J3" s="979"/>
      <c r="K3" s="979"/>
      <c r="L3" s="979"/>
      <c r="Y3" s="2411"/>
      <c r="Z3" s="2514">
        <v>3</v>
      </c>
      <c r="AZ3" s="1578"/>
    </row>
    <row r="4" spans="1:52" s="223" customFormat="1" ht="13.35" customHeight="1">
      <c r="A4" s="243" t="s">
        <v>572</v>
      </c>
      <c r="B4" s="243" t="s">
        <v>2287</v>
      </c>
      <c r="C4" s="144"/>
      <c r="D4" s="144"/>
      <c r="E4" s="144"/>
      <c r="F4" s="144"/>
      <c r="G4" s="144"/>
      <c r="L4" s="3317" t="str">
        <f>'Part I-Project Identification'!$A$6</f>
        <v>May 31, 2025</v>
      </c>
      <c r="M4" s="3318"/>
      <c r="N4" s="3318"/>
      <c r="O4" s="3318"/>
      <c r="P4" s="3319"/>
      <c r="S4" s="258" t="str">
        <f>B4</f>
        <v>GOVERNMENT FUNDING SOURCES  (check all that apply)</v>
      </c>
      <c r="Y4" s="2411"/>
      <c r="Z4" s="2514">
        <v>4</v>
      </c>
      <c r="AZ4" s="1578"/>
    </row>
    <row r="5" spans="1:52" s="223" customFormat="1" ht="13.5" customHeight="1">
      <c r="A5" s="253"/>
      <c r="B5" s="374"/>
      <c r="C5" s="253"/>
      <c r="D5" s="144"/>
      <c r="E5" s="144"/>
      <c r="F5" s="144"/>
      <c r="G5" s="144"/>
      <c r="S5" s="3286" t="s">
        <v>2440</v>
      </c>
      <c r="T5" s="3286"/>
      <c r="Y5" s="2411"/>
      <c r="Z5" s="2514">
        <v>5</v>
      </c>
      <c r="AZ5" s="1578"/>
    </row>
    <row r="6" spans="1:52" s="223" customFormat="1" ht="16.5" customHeight="1">
      <c r="A6" s="374"/>
      <c r="B6" s="1166" t="s">
        <v>2640</v>
      </c>
      <c r="C6" s="224" t="s">
        <v>2212</v>
      </c>
      <c r="D6" s="144"/>
      <c r="E6" s="1166" t="s">
        <v>2643</v>
      </c>
      <c r="F6" s="224" t="s">
        <v>5092</v>
      </c>
      <c r="G6" s="144"/>
      <c r="H6" s="2482"/>
      <c r="L6" s="1166" t="s">
        <v>2643</v>
      </c>
      <c r="M6" s="224" t="s">
        <v>5062</v>
      </c>
      <c r="O6" s="638" t="s">
        <v>2643</v>
      </c>
      <c r="P6" s="224" t="s">
        <v>5110</v>
      </c>
      <c r="S6" s="3224"/>
      <c r="T6" s="3225"/>
      <c r="Y6" s="2411"/>
      <c r="Z6" s="2514">
        <v>6</v>
      </c>
      <c r="AZ6" s="1578"/>
    </row>
    <row r="7" spans="1:52" s="223" customFormat="1" ht="16.5" customHeight="1">
      <c r="A7" s="374"/>
      <c r="B7" s="806" t="s">
        <v>2643</v>
      </c>
      <c r="C7" s="224" t="s">
        <v>3751</v>
      </c>
      <c r="D7" s="144"/>
      <c r="E7" s="801" t="s">
        <v>2643</v>
      </c>
      <c r="F7" s="224" t="s">
        <v>5093</v>
      </c>
      <c r="H7" s="2481"/>
      <c r="L7" s="806" t="s">
        <v>2643</v>
      </c>
      <c r="M7" s="2446" t="s">
        <v>5063</v>
      </c>
      <c r="S7" s="3212"/>
      <c r="T7" s="3213"/>
      <c r="Y7" s="2411"/>
      <c r="Z7" s="2514">
        <v>7</v>
      </c>
      <c r="AZ7" s="1578"/>
    </row>
    <row r="8" spans="1:52" s="223" customFormat="1" ht="16.5" customHeight="1">
      <c r="A8" s="144"/>
      <c r="B8" s="806" t="s">
        <v>2643</v>
      </c>
      <c r="C8" s="224" t="s">
        <v>4544</v>
      </c>
      <c r="F8" s="223" t="s">
        <v>5094</v>
      </c>
      <c r="H8" s="3320" t="s">
        <v>2980</v>
      </c>
      <c r="I8" s="3321"/>
      <c r="J8" s="3322"/>
      <c r="L8" s="806" t="s">
        <v>2643</v>
      </c>
      <c r="M8" s="1523" t="s">
        <v>1435</v>
      </c>
      <c r="S8" s="3212"/>
      <c r="T8" s="3213"/>
      <c r="Y8" s="2411"/>
      <c r="Z8" s="2514">
        <v>8</v>
      </c>
      <c r="AZ8" s="1578"/>
    </row>
    <row r="9" spans="1:52" s="223" customFormat="1" ht="16.5" customHeight="1">
      <c r="A9" s="374"/>
      <c r="B9" s="806" t="s">
        <v>2643</v>
      </c>
      <c r="C9" s="223" t="s">
        <v>3214</v>
      </c>
      <c r="E9" s="638" t="s">
        <v>2643</v>
      </c>
      <c r="F9" s="224" t="s">
        <v>5109</v>
      </c>
      <c r="H9" s="2518"/>
      <c r="I9" s="2517"/>
      <c r="J9" s="2516"/>
      <c r="L9" s="806" t="s">
        <v>2643</v>
      </c>
      <c r="M9" s="1523" t="s">
        <v>513</v>
      </c>
      <c r="Q9" s="1523"/>
      <c r="S9" s="3214"/>
      <c r="T9" s="3215"/>
      <c r="Y9" s="2411"/>
      <c r="Z9" s="2514">
        <v>9</v>
      </c>
      <c r="AZ9" s="1578"/>
    </row>
    <row r="10" spans="1:52" s="223" customFormat="1" ht="16.5" customHeight="1">
      <c r="A10" s="374"/>
      <c r="B10" s="806" t="s">
        <v>2643</v>
      </c>
      <c r="C10" s="224" t="s">
        <v>2387</v>
      </c>
      <c r="L10" s="806" t="s">
        <v>2643</v>
      </c>
      <c r="M10" s="224" t="s">
        <v>4547</v>
      </c>
      <c r="Q10" s="1523"/>
      <c r="S10" s="3224"/>
      <c r="T10" s="3225"/>
      <c r="Y10" s="2411"/>
      <c r="Z10" s="2514">
        <v>10</v>
      </c>
      <c r="AZ10" s="1578"/>
    </row>
    <row r="11" spans="1:52" s="223" customFormat="1" ht="16.5" customHeight="1">
      <c r="A11" s="374"/>
      <c r="B11" s="806" t="s">
        <v>2643</v>
      </c>
      <c r="C11" s="224" t="s">
        <v>2388</v>
      </c>
      <c r="E11" s="1169" t="s">
        <v>2643</v>
      </c>
      <c r="F11" s="3323" t="s">
        <v>4543</v>
      </c>
      <c r="G11" s="3324"/>
      <c r="H11" s="3324"/>
      <c r="I11" s="3324"/>
      <c r="J11" s="3325"/>
      <c r="L11" s="806" t="s">
        <v>2643</v>
      </c>
      <c r="M11" s="224" t="s">
        <v>3752</v>
      </c>
      <c r="S11" s="3212"/>
      <c r="T11" s="3213"/>
      <c r="Y11" s="2411"/>
      <c r="Z11" s="2514">
        <v>11</v>
      </c>
      <c r="AZ11" s="1578"/>
    </row>
    <row r="12" spans="1:52" s="223" customFormat="1" ht="16.5" customHeight="1">
      <c r="A12" s="374"/>
      <c r="B12" s="806" t="s">
        <v>2643</v>
      </c>
      <c r="C12" s="224" t="s">
        <v>3107</v>
      </c>
      <c r="F12" s="3299" t="s">
        <v>3647</v>
      </c>
      <c r="G12" s="3300"/>
      <c r="H12" s="3300"/>
      <c r="I12" s="3300"/>
      <c r="J12" s="3301"/>
      <c r="L12" s="806" t="s">
        <v>2643</v>
      </c>
      <c r="M12" s="224" t="s">
        <v>3106</v>
      </c>
      <c r="S12" s="3212"/>
      <c r="T12" s="3213"/>
      <c r="Y12" s="2411"/>
      <c r="Z12" s="2514">
        <v>12</v>
      </c>
      <c r="AZ12" s="1578"/>
    </row>
    <row r="13" spans="1:52" s="223" customFormat="1" ht="16.5" customHeight="1">
      <c r="A13" s="374"/>
      <c r="B13" s="806" t="s">
        <v>2643</v>
      </c>
      <c r="C13" s="224" t="s">
        <v>4546</v>
      </c>
      <c r="E13" s="1169" t="s">
        <v>2643</v>
      </c>
      <c r="F13" s="3302" t="s">
        <v>4545</v>
      </c>
      <c r="G13" s="3303"/>
      <c r="H13" s="3303"/>
      <c r="I13" s="3303"/>
      <c r="J13" s="3304"/>
      <c r="L13" s="806" t="s">
        <v>2643</v>
      </c>
      <c r="M13" s="223" t="s">
        <v>2391</v>
      </c>
      <c r="S13" s="3212"/>
      <c r="T13" s="3213"/>
      <c r="Y13" s="2411"/>
      <c r="Z13" s="2514">
        <v>13</v>
      </c>
      <c r="AZ13" s="1578"/>
    </row>
    <row r="14" spans="1:52" s="223" customFormat="1" ht="16.5" customHeight="1">
      <c r="A14" s="374"/>
      <c r="B14" s="806" t="s">
        <v>2643</v>
      </c>
      <c r="C14" s="223" t="s">
        <v>2390</v>
      </c>
      <c r="F14" s="3305" t="s">
        <v>3648</v>
      </c>
      <c r="G14" s="3306"/>
      <c r="H14" s="3306"/>
      <c r="I14" s="3306"/>
      <c r="J14" s="3307"/>
      <c r="L14" s="806" t="s">
        <v>2643</v>
      </c>
      <c r="M14" s="223" t="s">
        <v>3133</v>
      </c>
      <c r="S14" s="3214"/>
      <c r="T14" s="3215"/>
      <c r="Y14" s="2411"/>
      <c r="Z14" s="2514">
        <v>14</v>
      </c>
      <c r="AZ14" s="1578"/>
    </row>
    <row r="15" spans="1:52" s="223" customFormat="1" ht="16.5" customHeight="1">
      <c r="A15" s="374"/>
      <c r="B15" s="806" t="s">
        <v>2643</v>
      </c>
      <c r="C15" s="223" t="s">
        <v>3132</v>
      </c>
      <c r="E15" s="1166" t="s">
        <v>2643</v>
      </c>
      <c r="F15" s="2529" t="s">
        <v>5095</v>
      </c>
      <c r="G15" s="2530"/>
      <c r="H15" s="3308" t="s">
        <v>3205</v>
      </c>
      <c r="I15" s="3309"/>
      <c r="J15" s="3310"/>
      <c r="L15" s="806" t="s">
        <v>2643</v>
      </c>
      <c r="M15" s="223" t="s">
        <v>3976</v>
      </c>
      <c r="S15" s="3224"/>
      <c r="T15" s="3225"/>
      <c r="Y15" s="2411"/>
      <c r="Z15" s="2514">
        <v>15</v>
      </c>
      <c r="AZ15" s="1578"/>
    </row>
    <row r="16" spans="1:52" s="223" customFormat="1" ht="16.5" customHeight="1">
      <c r="A16" s="374"/>
      <c r="B16" s="806" t="s">
        <v>2643</v>
      </c>
      <c r="C16" s="224" t="s">
        <v>1668</v>
      </c>
      <c r="E16" s="806" t="s">
        <v>2643</v>
      </c>
      <c r="F16" s="224" t="s">
        <v>3213</v>
      </c>
      <c r="L16" s="806" t="s">
        <v>2643</v>
      </c>
      <c r="M16" s="223" t="s">
        <v>4592</v>
      </c>
      <c r="S16" s="3212"/>
      <c r="T16" s="3213"/>
      <c r="Y16" s="2411"/>
      <c r="Z16" s="2514">
        <v>16</v>
      </c>
      <c r="AZ16" s="1578"/>
    </row>
    <row r="17" spans="1:52" s="223" customFormat="1" ht="16.5" customHeight="1">
      <c r="A17" s="374"/>
      <c r="B17" s="801" t="s">
        <v>2640</v>
      </c>
      <c r="C17" s="224" t="s">
        <v>5107</v>
      </c>
      <c r="E17" s="806" t="s">
        <v>2643</v>
      </c>
      <c r="F17" s="224" t="s">
        <v>3977</v>
      </c>
      <c r="L17" s="806" t="s">
        <v>2640</v>
      </c>
      <c r="M17" s="1523" t="s">
        <v>3978</v>
      </c>
      <c r="S17" s="3212"/>
      <c r="T17" s="3213"/>
      <c r="Y17" s="2411"/>
      <c r="Z17" s="2514">
        <v>17</v>
      </c>
      <c r="AZ17" s="1578"/>
    </row>
    <row r="18" spans="1:52" s="223" customFormat="1" ht="16.5" customHeight="1">
      <c r="A18" s="374"/>
      <c r="B18" s="224" t="s">
        <v>5108</v>
      </c>
      <c r="D18" s="3311">
        <v>13500000</v>
      </c>
      <c r="E18" s="3312"/>
      <c r="F18" s="224"/>
      <c r="L18" s="801" t="s">
        <v>2643</v>
      </c>
      <c r="M18" s="1523" t="s">
        <v>3975</v>
      </c>
      <c r="S18" s="3214"/>
      <c r="T18" s="3215"/>
      <c r="Y18" s="2411"/>
      <c r="Z18" s="2514">
        <v>18</v>
      </c>
      <c r="AZ18" s="1578"/>
    </row>
    <row r="19" spans="1:52" s="223" customFormat="1" ht="17.100000000000001" customHeight="1">
      <c r="A19" s="374"/>
      <c r="B19" s="223" t="s">
        <v>3753</v>
      </c>
      <c r="C19" s="144"/>
      <c r="D19" s="144"/>
      <c r="E19" s="144"/>
      <c r="F19" s="144"/>
      <c r="G19" s="144"/>
      <c r="H19" s="144"/>
      <c r="I19" s="144"/>
      <c r="J19" s="144"/>
      <c r="K19" s="144"/>
      <c r="L19" s="144"/>
      <c r="M19" s="142"/>
      <c r="N19" s="144"/>
      <c r="O19" s="144"/>
      <c r="P19" s="144"/>
      <c r="Q19" s="144"/>
      <c r="Y19" s="2411"/>
      <c r="Z19" s="2514">
        <v>19</v>
      </c>
      <c r="AZ19" s="1578"/>
    </row>
    <row r="20" spans="1:52" s="223" customFormat="1" ht="12" customHeight="1">
      <c r="A20" s="374"/>
      <c r="L20" s="144"/>
      <c r="M20" s="145"/>
      <c r="N20" s="144"/>
      <c r="O20" s="144"/>
      <c r="P20" s="144"/>
      <c r="Q20" s="144"/>
      <c r="Y20" s="2412"/>
      <c r="Z20" s="2514">
        <v>20</v>
      </c>
      <c r="AZ20" s="1579"/>
    </row>
    <row r="21" spans="1:52" s="258" customFormat="1" ht="15" customHeight="1">
      <c r="A21" s="243" t="s">
        <v>688</v>
      </c>
      <c r="B21" s="222" t="s">
        <v>2158</v>
      </c>
      <c r="C21" s="144"/>
      <c r="D21" s="144"/>
      <c r="E21" s="144"/>
      <c r="F21" s="144"/>
      <c r="G21" s="144"/>
      <c r="L21" s="144"/>
      <c r="M21" s="144"/>
      <c r="N21" s="3261"/>
      <c r="O21" s="3261"/>
      <c r="P21" s="144"/>
      <c r="Q21" s="144"/>
      <c r="S21" s="258" t="str">
        <f>B21</f>
        <v>CONSTRUCTION FINANCING</v>
      </c>
      <c r="Y21" s="2412"/>
      <c r="Z21" s="2514">
        <v>21</v>
      </c>
      <c r="AZ21" s="1579"/>
    </row>
    <row r="22" spans="1:52" s="258" customFormat="1" ht="5.25" customHeight="1">
      <c r="A22" s="243"/>
      <c r="B22" s="222"/>
      <c r="C22" s="144"/>
      <c r="K22" s="144"/>
      <c r="L22" s="144"/>
      <c r="M22" s="144"/>
      <c r="N22" s="248"/>
      <c r="O22" s="248"/>
      <c r="P22" s="144"/>
      <c r="Q22" s="144"/>
      <c r="Y22" s="2412"/>
      <c r="Z22" s="2514">
        <v>22</v>
      </c>
      <c r="AZ22" s="1578"/>
    </row>
    <row r="23" spans="1:52" s="223" customFormat="1" ht="17.100000000000001" customHeight="1">
      <c r="A23" s="144"/>
      <c r="B23" s="246" t="s">
        <v>1728</v>
      </c>
      <c r="C23" s="144"/>
      <c r="D23" s="144"/>
      <c r="E23" s="144"/>
      <c r="F23" s="144"/>
      <c r="G23" s="3264" t="s">
        <v>1218</v>
      </c>
      <c r="H23" s="3264"/>
      <c r="I23" s="3264"/>
      <c r="J23" s="3264"/>
      <c r="K23" s="3264"/>
      <c r="L23" s="3265" t="s">
        <v>3719</v>
      </c>
      <c r="M23" s="3265"/>
      <c r="N23" s="3265" t="s">
        <v>1408</v>
      </c>
      <c r="O23" s="3265"/>
      <c r="P23" s="3265" t="s">
        <v>1521</v>
      </c>
      <c r="Q23" s="3265"/>
      <c r="S23" s="3286" t="s">
        <v>2440</v>
      </c>
      <c r="T23" s="3286"/>
      <c r="Y23" s="2411"/>
      <c r="Z23" s="2514">
        <v>23</v>
      </c>
      <c r="AZ23" s="1578" t="s">
        <v>4232</v>
      </c>
    </row>
    <row r="24" spans="1:52" s="223" customFormat="1" ht="15.75" customHeight="1">
      <c r="A24" s="144"/>
      <c r="B24" s="3218" t="s">
        <v>1484</v>
      </c>
      <c r="C24" s="3219"/>
      <c r="D24" s="3219"/>
      <c r="E24" s="804"/>
      <c r="F24" s="804"/>
      <c r="G24" s="3216" t="s">
        <v>5232</v>
      </c>
      <c r="H24" s="3221"/>
      <c r="I24" s="3221"/>
      <c r="J24" s="3221"/>
      <c r="K24" s="3217"/>
      <c r="L24" s="3277">
        <v>26500000</v>
      </c>
      <c r="M24" s="3278"/>
      <c r="N24" s="3295">
        <v>7.2999999999999995E-2</v>
      </c>
      <c r="O24" s="3296"/>
      <c r="P24" s="3297">
        <v>24</v>
      </c>
      <c r="Q24" s="3298"/>
      <c r="S24" s="3224"/>
      <c r="T24" s="3225"/>
      <c r="Y24" s="2411" t="s">
        <v>4232</v>
      </c>
      <c r="Z24" s="2514">
        <v>24</v>
      </c>
      <c r="AZ24" s="1578" t="s">
        <v>4233</v>
      </c>
    </row>
    <row r="25" spans="1:52" s="223" customFormat="1" ht="15.75" customHeight="1">
      <c r="A25" s="144"/>
      <c r="B25" s="3226" t="s">
        <v>1485</v>
      </c>
      <c r="C25" s="3227"/>
      <c r="D25" s="3227"/>
      <c r="E25" s="144"/>
      <c r="F25" s="144"/>
      <c r="G25" s="3195" t="s">
        <v>5237</v>
      </c>
      <c r="H25" s="3196"/>
      <c r="I25" s="3196"/>
      <c r="J25" s="3196"/>
      <c r="K25" s="3197"/>
      <c r="L25" s="3275">
        <v>1000000</v>
      </c>
      <c r="M25" s="3276"/>
      <c r="N25" s="3284">
        <v>4.6399999999999997E-2</v>
      </c>
      <c r="O25" s="3285"/>
      <c r="P25" s="3287">
        <v>24</v>
      </c>
      <c r="Q25" s="3288"/>
      <c r="S25" s="3212"/>
      <c r="T25" s="3213"/>
      <c r="Y25" s="2411" t="s">
        <v>4233</v>
      </c>
      <c r="Z25" s="2514">
        <v>25</v>
      </c>
      <c r="AZ25" s="1578" t="s">
        <v>4234</v>
      </c>
    </row>
    <row r="26" spans="1:52" s="223" customFormat="1" ht="15.75" customHeight="1">
      <c r="A26" s="144"/>
      <c r="B26" s="3289" t="s">
        <v>1486</v>
      </c>
      <c r="C26" s="3290"/>
      <c r="D26" s="3290"/>
      <c r="E26" s="809"/>
      <c r="F26" s="809"/>
      <c r="G26" s="3201"/>
      <c r="H26" s="3203"/>
      <c r="I26" s="3203"/>
      <c r="J26" s="3203"/>
      <c r="K26" s="3202"/>
      <c r="L26" s="3267"/>
      <c r="M26" s="3268"/>
      <c r="N26" s="3291"/>
      <c r="O26" s="3292"/>
      <c r="P26" s="3293"/>
      <c r="Q26" s="3294"/>
      <c r="S26" s="3212"/>
      <c r="T26" s="3213"/>
      <c r="Y26" s="2411" t="s">
        <v>4234</v>
      </c>
      <c r="Z26" s="2514">
        <v>26</v>
      </c>
      <c r="AZ26" s="1578" t="s">
        <v>4235</v>
      </c>
    </row>
    <row r="27" spans="1:52" s="223" customFormat="1" ht="15.75" customHeight="1">
      <c r="A27" s="144"/>
      <c r="B27" s="3218" t="s">
        <v>2041</v>
      </c>
      <c r="C27" s="3219"/>
      <c r="D27" s="3219"/>
      <c r="E27" s="144"/>
      <c r="F27" s="144"/>
      <c r="G27" s="3216"/>
      <c r="H27" s="3221"/>
      <c r="I27" s="3221"/>
      <c r="J27" s="3221"/>
      <c r="K27" s="3217"/>
      <c r="L27" s="3277"/>
      <c r="M27" s="3278"/>
      <c r="N27" s="3279"/>
      <c r="O27" s="3280"/>
      <c r="P27" s="3281"/>
      <c r="Q27" s="3281"/>
      <c r="S27" s="3212"/>
      <c r="T27" s="3213"/>
      <c r="Y27" s="2411" t="s">
        <v>4235</v>
      </c>
      <c r="Z27" s="2514">
        <v>27</v>
      </c>
      <c r="AZ27" s="1578" t="s">
        <v>4236</v>
      </c>
    </row>
    <row r="28" spans="1:52" s="223" customFormat="1" ht="15.75" customHeight="1">
      <c r="A28" s="144"/>
      <c r="B28" s="3226" t="s">
        <v>744</v>
      </c>
      <c r="C28" s="3227"/>
      <c r="D28" s="3227"/>
      <c r="E28" s="144"/>
      <c r="G28" s="3195"/>
      <c r="H28" s="3196"/>
      <c r="I28" s="3196"/>
      <c r="J28" s="3196"/>
      <c r="K28" s="3197"/>
      <c r="L28" s="3275"/>
      <c r="M28" s="3276"/>
      <c r="N28" s="3282"/>
      <c r="O28" s="3283"/>
      <c r="P28" s="3261"/>
      <c r="Q28" s="3261"/>
      <c r="S28" s="3212"/>
      <c r="T28" s="3213"/>
      <c r="Y28" s="2411" t="s">
        <v>4236</v>
      </c>
      <c r="Z28" s="2514">
        <v>28</v>
      </c>
      <c r="AZ28" s="1578" t="s">
        <v>4237</v>
      </c>
    </row>
    <row r="29" spans="1:52" s="223" customFormat="1" ht="15.75" customHeight="1">
      <c r="A29" s="144"/>
      <c r="B29" s="3226" t="s">
        <v>594</v>
      </c>
      <c r="C29" s="3227"/>
      <c r="D29" s="3227"/>
      <c r="E29" s="144"/>
      <c r="G29" s="3195"/>
      <c r="H29" s="3196"/>
      <c r="I29" s="3196"/>
      <c r="J29" s="3196"/>
      <c r="K29" s="3197"/>
      <c r="L29" s="3275"/>
      <c r="M29" s="3276"/>
      <c r="N29" s="3282"/>
      <c r="O29" s="3283"/>
      <c r="P29" s="3261"/>
      <c r="Q29" s="3261"/>
      <c r="S29" s="3212"/>
      <c r="T29" s="3213"/>
      <c r="Y29" s="2411" t="s">
        <v>4237</v>
      </c>
      <c r="Z29" s="2514">
        <v>29</v>
      </c>
      <c r="AZ29" s="1578" t="s">
        <v>4238</v>
      </c>
    </row>
    <row r="30" spans="1:52" s="223" customFormat="1" ht="15.75" customHeight="1">
      <c r="A30" s="144"/>
      <c r="B30" s="3226" t="s">
        <v>745</v>
      </c>
      <c r="C30" s="3227"/>
      <c r="D30" s="3227"/>
      <c r="E30" s="144"/>
      <c r="G30" s="3195" t="s">
        <v>5233</v>
      </c>
      <c r="H30" s="3196"/>
      <c r="I30" s="3196"/>
      <c r="J30" s="3196"/>
      <c r="K30" s="3197"/>
      <c r="L30" s="3275">
        <v>1206605</v>
      </c>
      <c r="M30" s="3276"/>
      <c r="N30" s="144"/>
      <c r="Q30" s="144"/>
      <c r="S30" s="3214"/>
      <c r="T30" s="3215"/>
      <c r="Y30" s="2411" t="s">
        <v>4238</v>
      </c>
      <c r="Z30" s="2514">
        <v>30</v>
      </c>
      <c r="AZ30" s="1578" t="s">
        <v>4239</v>
      </c>
    </row>
    <row r="31" spans="1:52" s="223" customFormat="1" ht="15.75" customHeight="1">
      <c r="A31" s="144"/>
      <c r="B31" s="3226" t="s">
        <v>746</v>
      </c>
      <c r="C31" s="3227"/>
      <c r="D31" s="3227"/>
      <c r="E31" s="144"/>
      <c r="G31" s="3195" t="s">
        <v>5233</v>
      </c>
      <c r="H31" s="3196"/>
      <c r="I31" s="3196"/>
      <c r="J31" s="3196"/>
      <c r="K31" s="3197"/>
      <c r="L31" s="3275">
        <v>735058</v>
      </c>
      <c r="M31" s="3276"/>
      <c r="N31" s="144"/>
      <c r="Q31" s="144"/>
      <c r="S31" s="3224"/>
      <c r="T31" s="3225"/>
      <c r="Y31" s="2411" t="s">
        <v>4239</v>
      </c>
      <c r="Z31" s="2514">
        <v>31</v>
      </c>
      <c r="AZ31" s="1578" t="s">
        <v>4240</v>
      </c>
    </row>
    <row r="32" spans="1:52" s="223" customFormat="1" ht="15.75" customHeight="1">
      <c r="A32" s="144"/>
      <c r="B32" s="803" t="s">
        <v>232</v>
      </c>
      <c r="C32" s="144"/>
      <c r="D32" s="3216"/>
      <c r="E32" s="3221"/>
      <c r="F32" s="3217"/>
      <c r="G32" s="3195"/>
      <c r="H32" s="3196"/>
      <c r="I32" s="3196"/>
      <c r="J32" s="3196"/>
      <c r="K32" s="3197"/>
      <c r="L32" s="3275"/>
      <c r="M32" s="3276"/>
      <c r="N32" s="144"/>
      <c r="Q32" s="144"/>
      <c r="S32" s="3212"/>
      <c r="T32" s="3213"/>
      <c r="Y32" s="2411" t="s">
        <v>4240</v>
      </c>
      <c r="Z32" s="2514">
        <v>32</v>
      </c>
      <c r="AZ32" s="1578" t="s">
        <v>4241</v>
      </c>
    </row>
    <row r="33" spans="1:52" s="223" customFormat="1" ht="15.75" customHeight="1">
      <c r="A33" s="144"/>
      <c r="B33" s="803" t="s">
        <v>232</v>
      </c>
      <c r="C33" s="144"/>
      <c r="D33" s="3195"/>
      <c r="E33" s="3196"/>
      <c r="F33" s="3197"/>
      <c r="G33" s="3195"/>
      <c r="H33" s="3196"/>
      <c r="I33" s="3196"/>
      <c r="J33" s="3196"/>
      <c r="K33" s="3197"/>
      <c r="L33" s="3275"/>
      <c r="M33" s="3276"/>
      <c r="N33" s="144"/>
      <c r="S33" s="3212"/>
      <c r="T33" s="3213"/>
      <c r="Y33" s="2411" t="s">
        <v>4241</v>
      </c>
      <c r="Z33" s="2514">
        <v>33</v>
      </c>
      <c r="AZ33" s="1578" t="s">
        <v>4242</v>
      </c>
    </row>
    <row r="34" spans="1:52" s="223" customFormat="1" ht="15.75" customHeight="1">
      <c r="A34" s="144"/>
      <c r="B34" s="808" t="s">
        <v>232</v>
      </c>
      <c r="C34" s="809"/>
      <c r="D34" s="3201"/>
      <c r="E34" s="3203"/>
      <c r="F34" s="3202"/>
      <c r="G34" s="3201"/>
      <c r="H34" s="3203"/>
      <c r="I34" s="3203"/>
      <c r="J34" s="3203"/>
      <c r="K34" s="3202"/>
      <c r="L34" s="3267"/>
      <c r="M34" s="3268"/>
      <c r="N34" s="144"/>
      <c r="S34" s="3212"/>
      <c r="T34" s="3213"/>
      <c r="Y34" s="2411" t="s">
        <v>4242</v>
      </c>
      <c r="Z34" s="2514">
        <v>34</v>
      </c>
      <c r="AZ34" s="1578"/>
    </row>
    <row r="35" spans="1:52" s="223" customFormat="1" ht="16.5" customHeight="1">
      <c r="A35" s="144"/>
      <c r="B35" s="222" t="s">
        <v>1219</v>
      </c>
      <c r="C35" s="144"/>
      <c r="D35" s="144"/>
      <c r="E35" s="144"/>
      <c r="F35" s="144"/>
      <c r="G35" s="144"/>
      <c r="H35" s="144"/>
      <c r="I35" s="144"/>
      <c r="L35" s="3269">
        <f>SUM(L24:L34)</f>
        <v>29441663</v>
      </c>
      <c r="M35" s="3270"/>
      <c r="N35" s="145"/>
      <c r="S35" s="3212"/>
      <c r="T35" s="3213"/>
      <c r="Y35" s="2411"/>
      <c r="Z35" s="2514">
        <v>35</v>
      </c>
      <c r="AZ35" s="1578"/>
    </row>
    <row r="36" spans="1:52" s="223" customFormat="1" ht="16.5" customHeight="1">
      <c r="A36" s="144"/>
      <c r="B36" s="246" t="s">
        <v>1220</v>
      </c>
      <c r="C36" s="144"/>
      <c r="D36" s="144"/>
      <c r="E36" s="144"/>
      <c r="F36" s="144"/>
      <c r="G36" s="144"/>
      <c r="H36" s="144"/>
      <c r="I36" s="144"/>
      <c r="L36" s="3271">
        <f>'Part III-A-Uses of Funds'!$G$147-'Part III-A-Uses of Funds'!$G$103-'Part III-A-Uses of Funds'!$G$109-'Part III-A-Uses of Funds'!$G$130-'Part III-A-Uses of Funds'!$G$131-'Part III-A-Uses of Funds'!$G$133-'Part III-A-Uses of Funds'!$G$127+'Part III-A-Uses of Funds'!$F$123</f>
        <v>29129746</v>
      </c>
      <c r="M36" s="3272"/>
      <c r="N36" s="643"/>
      <c r="S36" s="3212"/>
      <c r="T36" s="3213"/>
      <c r="Y36" s="2411"/>
      <c r="Z36" s="2514">
        <v>36</v>
      </c>
      <c r="AZ36" s="1578"/>
    </row>
    <row r="37" spans="1:52" s="223" customFormat="1" ht="16.5" customHeight="1">
      <c r="A37" s="144"/>
      <c r="B37" s="246" t="s">
        <v>1996</v>
      </c>
      <c r="C37" s="144"/>
      <c r="D37" s="144"/>
      <c r="E37" s="144"/>
      <c r="F37" s="144"/>
      <c r="G37" s="144"/>
      <c r="H37" s="144"/>
      <c r="I37" s="144"/>
      <c r="L37" s="3273">
        <f>L35-L36</f>
        <v>311917</v>
      </c>
      <c r="M37" s="3274"/>
      <c r="N37" s="643"/>
      <c r="S37" s="3214"/>
      <c r="T37" s="3215"/>
      <c r="Y37" s="2411"/>
      <c r="Z37" s="2514">
        <v>37</v>
      </c>
      <c r="AZ37" s="1577"/>
    </row>
    <row r="38" spans="1:52" ht="9.6" customHeight="1">
      <c r="A38" s="253"/>
      <c r="B38" s="222"/>
      <c r="C38" s="145"/>
      <c r="D38" s="145"/>
      <c r="E38" s="145"/>
      <c r="F38" s="145"/>
      <c r="G38" s="145"/>
      <c r="H38" s="145"/>
      <c r="I38" s="145"/>
      <c r="J38" s="145"/>
      <c r="K38" s="145"/>
      <c r="L38" s="145"/>
      <c r="M38" s="248"/>
      <c r="N38" s="248"/>
      <c r="Z38" s="2514">
        <v>38</v>
      </c>
    </row>
    <row r="39" spans="1:52" ht="9.6" customHeight="1">
      <c r="A39" s="243" t="s">
        <v>690</v>
      </c>
      <c r="B39" s="222" t="s">
        <v>743</v>
      </c>
      <c r="C39" s="145"/>
      <c r="D39" s="145"/>
      <c r="E39" s="145"/>
      <c r="F39" s="145"/>
      <c r="G39" s="145"/>
      <c r="H39" s="145"/>
      <c r="I39" s="145"/>
      <c r="J39" s="145"/>
      <c r="K39" s="145"/>
      <c r="L39" s="145"/>
      <c r="M39" s="248"/>
      <c r="N39" s="248"/>
      <c r="O39" s="145"/>
      <c r="S39" s="258" t="str">
        <f>B39</f>
        <v>PERMANENT FINANCING</v>
      </c>
      <c r="Z39" s="2514">
        <v>39</v>
      </c>
      <c r="AZ39" s="1578"/>
    </row>
    <row r="40" spans="1:52" s="223" customFormat="1" ht="13.35" customHeight="1">
      <c r="A40" s="144"/>
      <c r="B40" s="144"/>
      <c r="C40" s="144"/>
      <c r="D40" s="144"/>
      <c r="E40" s="144"/>
      <c r="F40" s="248"/>
      <c r="G40" s="248"/>
      <c r="H40" s="3261"/>
      <c r="I40" s="3261"/>
      <c r="K40" s="252" t="s">
        <v>1942</v>
      </c>
      <c r="L40" s="248" t="s">
        <v>1216</v>
      </c>
      <c r="M40" s="248" t="s">
        <v>1221</v>
      </c>
      <c r="P40" s="3262" t="s">
        <v>31</v>
      </c>
      <c r="Q40" s="3262"/>
      <c r="S40" s="258"/>
      <c r="Y40" s="2411"/>
      <c r="Z40" s="2514">
        <v>40</v>
      </c>
      <c r="AZ40" s="1578"/>
    </row>
    <row r="41" spans="1:52" s="223" customFormat="1" ht="13.35" customHeight="1">
      <c r="A41" s="144"/>
      <c r="B41" s="810" t="s">
        <v>1728</v>
      </c>
      <c r="C41" s="809"/>
      <c r="D41" s="809"/>
      <c r="E41" s="3264" t="s">
        <v>1218</v>
      </c>
      <c r="F41" s="3264"/>
      <c r="G41" s="3264"/>
      <c r="H41" s="3264"/>
      <c r="I41" s="3265" t="s">
        <v>3718</v>
      </c>
      <c r="J41" s="3265"/>
      <c r="K41" s="445" t="s">
        <v>1670</v>
      </c>
      <c r="L41" s="445" t="s">
        <v>2040</v>
      </c>
      <c r="M41" s="445" t="s">
        <v>2040</v>
      </c>
      <c r="N41" s="3265" t="s">
        <v>69</v>
      </c>
      <c r="O41" s="3265"/>
      <c r="P41" s="3263"/>
      <c r="Q41" s="3263"/>
      <c r="S41" s="3266" t="s">
        <v>2440</v>
      </c>
      <c r="T41" s="3266"/>
      <c r="Y41" s="2411"/>
      <c r="Z41" s="2514">
        <v>41</v>
      </c>
      <c r="AZ41" s="1578" t="s">
        <v>4243</v>
      </c>
    </row>
    <row r="42" spans="1:52" s="223" customFormat="1" ht="15" customHeight="1">
      <c r="A42" s="144"/>
      <c r="B42" s="3218" t="s">
        <v>2395</v>
      </c>
      <c r="C42" s="3219"/>
      <c r="D42" s="3220"/>
      <c r="E42" s="3216" t="s">
        <v>5234</v>
      </c>
      <c r="F42" s="3221"/>
      <c r="G42" s="3221"/>
      <c r="H42" s="3217"/>
      <c r="I42" s="3222">
        <v>13500000</v>
      </c>
      <c r="J42" s="3223"/>
      <c r="K42" s="640">
        <v>6.0499999999999998E-2</v>
      </c>
      <c r="L42" s="805">
        <v>15</v>
      </c>
      <c r="M42" s="805">
        <v>40</v>
      </c>
      <c r="N42" s="3257" t="s">
        <v>5235</v>
      </c>
      <c r="O42" s="3258"/>
      <c r="P42" s="3259">
        <f>IF(OR(I42&lt;=0,I42=""),"",IF(N42="Cash Flow",0,IF(N42="Amortizing",-PMT(K42/12,M42*12,I42,0,0)*12,"")))</f>
        <v>896999.03843217005</v>
      </c>
      <c r="Q42" s="3260"/>
      <c r="S42" s="3224"/>
      <c r="T42" s="3225"/>
      <c r="Y42" s="2411" t="s">
        <v>4243</v>
      </c>
      <c r="Z42" s="2514">
        <v>42</v>
      </c>
      <c r="AZ42" s="1578" t="s">
        <v>4244</v>
      </c>
    </row>
    <row r="43" spans="1:52" s="223" customFormat="1" ht="15" customHeight="1">
      <c r="A43" s="144"/>
      <c r="B43" s="3226" t="s">
        <v>2396</v>
      </c>
      <c r="C43" s="3227"/>
      <c r="D43" s="3228"/>
      <c r="E43" s="3195" t="s">
        <v>5236</v>
      </c>
      <c r="F43" s="3196"/>
      <c r="G43" s="3196"/>
      <c r="H43" s="3197"/>
      <c r="I43" s="3198">
        <v>1000000</v>
      </c>
      <c r="J43" s="3199"/>
      <c r="K43" s="641">
        <v>4.6399999999999997E-2</v>
      </c>
      <c r="L43" s="806">
        <v>15</v>
      </c>
      <c r="M43" s="806">
        <v>35</v>
      </c>
      <c r="N43" s="3255" t="s">
        <v>5235</v>
      </c>
      <c r="O43" s="3256"/>
      <c r="P43" s="3245">
        <f>IF(OR(I43&lt;=0,I43=""),"",IF(N43="Cash Flow",0,IF(N43="Amortizing",-PMT(K43/12,M43*12,I43,0,0)*12,"")))</f>
        <v>57835.669412132156</v>
      </c>
      <c r="Q43" s="3246"/>
      <c r="S43" s="3212"/>
      <c r="T43" s="3213"/>
      <c r="Y43" s="2411" t="s">
        <v>4244</v>
      </c>
      <c r="Z43" s="2514">
        <v>43</v>
      </c>
      <c r="AZ43" s="1578" t="s">
        <v>4245</v>
      </c>
    </row>
    <row r="44" spans="1:52" s="223" customFormat="1" ht="15" customHeight="1">
      <c r="A44" s="144"/>
      <c r="B44" s="3226" t="s">
        <v>2397</v>
      </c>
      <c r="C44" s="3227"/>
      <c r="D44" s="3228"/>
      <c r="E44" s="3195"/>
      <c r="F44" s="3196"/>
      <c r="G44" s="3196"/>
      <c r="H44" s="3197"/>
      <c r="I44" s="3198"/>
      <c r="J44" s="3199"/>
      <c r="K44" s="641"/>
      <c r="L44" s="806"/>
      <c r="M44" s="806"/>
      <c r="N44" s="3255"/>
      <c r="O44" s="3256"/>
      <c r="P44" s="3245" t="str">
        <f>IF(OR(I44&lt;=0,I44=""),"",IF(N44="Cash Flow",0,IF(N44="Amortizing",-PMT(K44/12,M44*12,I44,0,0)*12,"")))</f>
        <v/>
      </c>
      <c r="Q44" s="3246"/>
      <c r="S44" s="3212"/>
      <c r="T44" s="3213"/>
      <c r="Y44" s="2411" t="s">
        <v>4245</v>
      </c>
      <c r="Z44" s="2514">
        <v>44</v>
      </c>
      <c r="AZ44" s="1578" t="s">
        <v>4246</v>
      </c>
    </row>
    <row r="45" spans="1:52" s="223" customFormat="1" ht="15" customHeight="1">
      <c r="A45" s="144"/>
      <c r="B45" s="803" t="s">
        <v>689</v>
      </c>
      <c r="C45" s="3247"/>
      <c r="D45" s="3248"/>
      <c r="E45" s="3195"/>
      <c r="F45" s="3196"/>
      <c r="G45" s="3196"/>
      <c r="H45" s="3197"/>
      <c r="I45" s="3198"/>
      <c r="J45" s="3199"/>
      <c r="K45" s="642"/>
      <c r="L45" s="801"/>
      <c r="M45" s="801"/>
      <c r="N45" s="3249"/>
      <c r="O45" s="3250"/>
      <c r="P45" s="3251" t="str">
        <f>IF(OR(I45&lt;=0,I45=""),"",IF(N45="Cash Flow",0,IF(N45="Amortizing",-PMT(K45/12,M45*12,I45,0,0)*12,"")))</f>
        <v/>
      </c>
      <c r="Q45" s="3252"/>
      <c r="S45" s="3212"/>
      <c r="T45" s="3213"/>
      <c r="Y45" s="2411" t="s">
        <v>4246</v>
      </c>
      <c r="Z45" s="2514">
        <v>45</v>
      </c>
      <c r="AZ45" s="1578" t="s">
        <v>4247</v>
      </c>
    </row>
    <row r="46" spans="1:52" s="223" customFormat="1" ht="15" customHeight="1">
      <c r="A46" s="144"/>
      <c r="B46" s="803" t="s">
        <v>3815</v>
      </c>
      <c r="C46" s="144"/>
      <c r="D46" s="807"/>
      <c r="E46" s="3195"/>
      <c r="F46" s="3196"/>
      <c r="G46" s="3196"/>
      <c r="H46" s="3197"/>
      <c r="I46" s="3198"/>
      <c r="J46" s="3199"/>
      <c r="K46" s="363"/>
      <c r="L46" s="802"/>
      <c r="M46" s="802"/>
      <c r="N46" s="3253"/>
      <c r="O46" s="3253"/>
      <c r="P46" s="3254"/>
      <c r="Q46" s="3254"/>
      <c r="S46" s="3212"/>
      <c r="T46" s="3213"/>
      <c r="Y46" s="2411" t="s">
        <v>4247</v>
      </c>
      <c r="Z46" s="2514">
        <v>46</v>
      </c>
      <c r="AZ46" s="1578" t="s">
        <v>4248</v>
      </c>
    </row>
    <row r="47" spans="1:52" s="223" customFormat="1" ht="15" customHeight="1">
      <c r="A47" s="144"/>
      <c r="B47" s="808" t="s">
        <v>220</v>
      </c>
      <c r="C47" s="809"/>
      <c r="D47" s="300">
        <f>IF(OR(I47="",I47=0,'Part III-A-Uses of Funds'!$G$127="",'Part III-A-Uses of Funds'!$G$127=0),"",I47/'Part III-A-Uses of Funds'!$G$127)</f>
        <v>0.24292939393939394</v>
      </c>
      <c r="E47" s="3201" t="s">
        <v>5244</v>
      </c>
      <c r="F47" s="3203"/>
      <c r="G47" s="3203"/>
      <c r="H47" s="3202"/>
      <c r="I47" s="3233">
        <v>801667</v>
      </c>
      <c r="J47" s="3234"/>
      <c r="K47" s="639">
        <v>0</v>
      </c>
      <c r="L47" s="638">
        <v>15</v>
      </c>
      <c r="M47" s="638">
        <v>15</v>
      </c>
      <c r="N47" s="3085" t="s">
        <v>1095</v>
      </c>
      <c r="O47" s="3086"/>
      <c r="P47" s="3235">
        <f>IF(OR(I47&lt;=0,I47=""),"",IF(N47="Cash Flow",0,IF(N47="Amortizing",-PMT(K47/12,M47*12,I47,0,0)*12,"")))</f>
        <v>0</v>
      </c>
      <c r="Q47" s="3236"/>
      <c r="S47" s="3212"/>
      <c r="T47" s="3213"/>
      <c r="Y47" s="2411" t="s">
        <v>4248</v>
      </c>
      <c r="Z47" s="2514">
        <v>47</v>
      </c>
      <c r="AZ47" s="1578"/>
    </row>
    <row r="48" spans="1:52" s="223" customFormat="1" ht="3" customHeight="1">
      <c r="A48" s="144"/>
      <c r="B48" s="144"/>
      <c r="C48" s="144"/>
      <c r="D48" s="144"/>
      <c r="E48" s="144"/>
      <c r="F48" s="144"/>
      <c r="G48" s="144"/>
      <c r="H48" s="144"/>
      <c r="I48" s="950"/>
      <c r="J48" s="951"/>
      <c r="K48" s="823"/>
      <c r="L48" s="262"/>
      <c r="M48" s="262"/>
      <c r="N48" s="824"/>
      <c r="O48" s="824"/>
      <c r="P48" s="262"/>
      <c r="Q48" s="262"/>
      <c r="S48" s="3212"/>
      <c r="T48" s="3213"/>
      <c r="Y48" s="2411"/>
      <c r="Z48" s="2514">
        <v>48</v>
      </c>
      <c r="AZ48" s="1578"/>
    </row>
    <row r="49" spans="1:52" s="223" customFormat="1" ht="15" customHeight="1">
      <c r="A49" s="144"/>
      <c r="B49" s="223" t="s">
        <v>3315</v>
      </c>
      <c r="C49" s="144"/>
      <c r="E49" s="223" t="s">
        <v>3273</v>
      </c>
      <c r="F49" s="3237">
        <f>IF(OR($I$47="",$I$47=0,'Part VI-Pro Forma'!$S$35=0,'Part VI-Pro Forma'!$S$35=""),"",VLOOKUP($L$47,'Part VI-Pro Forma'!$Q$21:$S$40,3))</f>
        <v>4685048.2050296655</v>
      </c>
      <c r="G49" s="3238"/>
      <c r="H49" s="483" t="s">
        <v>3314</v>
      </c>
      <c r="I49" s="3237">
        <f>IF(OR($I$47="",$I$47=0,'Part VI-Pro Forma'!$R$35=0,'Part VI-Pro Forma'!$R$35=""),"",VLOOKUP($L$47,'Part VI-Pro Forma'!$Q$21:$S$35,2))</f>
        <v>801667</v>
      </c>
      <c r="J49" s="3238"/>
      <c r="K49" s="483" t="s">
        <v>3316</v>
      </c>
      <c r="L49" s="3239">
        <f>IF(OR($F$49 = 0,$F$49 =""),"",$I$49/$F$49)</f>
        <v>0.17111179328728462</v>
      </c>
      <c r="M49" s="3240"/>
      <c r="N49" s="3241" t="s">
        <v>3722</v>
      </c>
      <c r="O49" s="3242"/>
      <c r="P49" s="3243">
        <f>IF(OR($I$64=0,$I$62&gt;$I$63),0,ABS($I$62-$I$63))</f>
        <v>0</v>
      </c>
      <c r="Q49" s="3244"/>
      <c r="S49" s="3212"/>
      <c r="T49" s="3213"/>
      <c r="Y49" s="2411"/>
      <c r="Z49" s="2514">
        <v>49</v>
      </c>
      <c r="AZ49" s="1578"/>
    </row>
    <row r="50" spans="1:52" s="223" customFormat="1" ht="3" customHeight="1">
      <c r="A50" s="144"/>
      <c r="B50" s="144"/>
      <c r="C50" s="144"/>
      <c r="D50" s="144"/>
      <c r="E50" s="144"/>
      <c r="F50" s="144"/>
      <c r="G50" s="144"/>
      <c r="H50" s="144"/>
      <c r="I50" s="825"/>
      <c r="J50" s="826"/>
      <c r="K50" s="823"/>
      <c r="L50" s="262"/>
      <c r="M50" s="262"/>
      <c r="N50" s="824"/>
      <c r="O50" s="824"/>
      <c r="P50" s="262"/>
      <c r="Q50" s="262"/>
      <c r="S50" s="3214"/>
      <c r="T50" s="3215"/>
      <c r="Y50" s="2411"/>
      <c r="Z50" s="2514">
        <v>50</v>
      </c>
      <c r="AZ50" s="1578" t="s">
        <v>4249</v>
      </c>
    </row>
    <row r="51" spans="1:52" s="223" customFormat="1" ht="15" customHeight="1">
      <c r="A51" s="144"/>
      <c r="B51" s="3218" t="s">
        <v>2041</v>
      </c>
      <c r="C51" s="3219"/>
      <c r="D51" s="3220"/>
      <c r="E51" s="3216"/>
      <c r="F51" s="3221"/>
      <c r="G51" s="3221"/>
      <c r="H51" s="3217"/>
      <c r="I51" s="3222"/>
      <c r="J51" s="3223"/>
      <c r="K51" s="144"/>
      <c r="L51" s="144"/>
      <c r="M51" s="144"/>
      <c r="N51" s="144"/>
      <c r="O51" s="144"/>
      <c r="P51" s="248" t="s">
        <v>482</v>
      </c>
      <c r="Q51" s="144"/>
      <c r="S51" s="3224"/>
      <c r="T51" s="3225"/>
      <c r="Y51" s="2411" t="s">
        <v>4249</v>
      </c>
      <c r="Z51" s="2514">
        <v>51</v>
      </c>
      <c r="AZ51" s="1578" t="s">
        <v>4250</v>
      </c>
    </row>
    <row r="52" spans="1:52" s="223" customFormat="1" ht="15" customHeight="1">
      <c r="A52" s="144"/>
      <c r="B52" s="3226" t="s">
        <v>744</v>
      </c>
      <c r="C52" s="3227"/>
      <c r="D52" s="3228"/>
      <c r="E52" s="3195"/>
      <c r="F52" s="3196"/>
      <c r="G52" s="3196"/>
      <c r="H52" s="3197"/>
      <c r="I52" s="3198"/>
      <c r="J52" s="3199"/>
      <c r="L52" s="3229" t="s">
        <v>483</v>
      </c>
      <c r="M52" s="3229"/>
      <c r="N52" s="3230" t="s">
        <v>484</v>
      </c>
      <c r="O52" s="3230"/>
      <c r="P52" s="313" t="s">
        <v>2350</v>
      </c>
      <c r="Q52" s="144"/>
      <c r="S52" s="3212"/>
      <c r="T52" s="3213"/>
      <c r="Y52" s="2411" t="s">
        <v>4250</v>
      </c>
      <c r="Z52" s="2514">
        <v>52</v>
      </c>
      <c r="AZ52" s="1578" t="s">
        <v>4251</v>
      </c>
    </row>
    <row r="53" spans="1:52" s="223" customFormat="1" ht="15" customHeight="1">
      <c r="A53" s="144"/>
      <c r="B53" s="3226" t="s">
        <v>745</v>
      </c>
      <c r="C53" s="3227"/>
      <c r="D53" s="3228"/>
      <c r="E53" s="3195" t="s">
        <v>5233</v>
      </c>
      <c r="F53" s="3196"/>
      <c r="G53" s="3196"/>
      <c r="H53" s="3197"/>
      <c r="I53" s="3198">
        <v>12066047.4</v>
      </c>
      <c r="J53" s="3199"/>
      <c r="L53" s="3231">
        <f>'Part III-A-Uses of Funds'!$J$192*10*'Part III-A-Uses of Funds'!$N$183</f>
        <v>12066047.4</v>
      </c>
      <c r="M53" s="3231"/>
      <c r="N53" s="3232">
        <f>I53-L53</f>
        <v>0</v>
      </c>
      <c r="O53" s="3232"/>
      <c r="P53" s="323">
        <f>I53/I63</f>
        <v>0.34754147491310017</v>
      </c>
      <c r="Q53" s="144"/>
      <c r="S53" s="3212"/>
      <c r="T53" s="3213"/>
      <c r="Y53" s="2411" t="s">
        <v>4251</v>
      </c>
      <c r="Z53" s="2514">
        <v>53</v>
      </c>
      <c r="AZ53" s="1578" t="s">
        <v>4252</v>
      </c>
    </row>
    <row r="54" spans="1:52" s="223" customFormat="1" ht="15" customHeight="1">
      <c r="A54" s="144"/>
      <c r="B54" s="3226" t="s">
        <v>746</v>
      </c>
      <c r="C54" s="3227"/>
      <c r="D54" s="3228"/>
      <c r="E54" s="3195" t="s">
        <v>5233</v>
      </c>
      <c r="F54" s="3196"/>
      <c r="G54" s="3196"/>
      <c r="H54" s="3197"/>
      <c r="I54" s="3198">
        <v>7350580.5999999996</v>
      </c>
      <c r="J54" s="3199"/>
      <c r="L54" s="3231">
        <f>'Part III-A-Uses of Funds'!$J$192*10*'Part III-A-Uses of Funds'!$Q$183</f>
        <v>7350580.6000000006</v>
      </c>
      <c r="M54" s="3231"/>
      <c r="N54" s="3232">
        <f>I54-L54</f>
        <v>0</v>
      </c>
      <c r="O54" s="3232"/>
      <c r="P54" s="323">
        <f>I54/I63</f>
        <v>0.21172066862522193</v>
      </c>
      <c r="Q54" s="144"/>
      <c r="S54" s="3212"/>
      <c r="T54" s="3213"/>
      <c r="Y54" s="2411" t="s">
        <v>4252</v>
      </c>
      <c r="Z54" s="2514">
        <v>54</v>
      </c>
      <c r="AZ54" s="1578" t="s">
        <v>4253</v>
      </c>
    </row>
    <row r="55" spans="1:52" s="223" customFormat="1" ht="15" customHeight="1">
      <c r="A55" s="144"/>
      <c r="B55" s="3226" t="s">
        <v>1329</v>
      </c>
      <c r="C55" s="3227"/>
      <c r="D55" s="3228"/>
      <c r="E55" s="3195"/>
      <c r="F55" s="3196"/>
      <c r="G55" s="3196"/>
      <c r="H55" s="3197"/>
      <c r="I55" s="3198"/>
      <c r="J55" s="3199"/>
      <c r="P55" s="324">
        <f>SUM(P53:P54)</f>
        <v>0.55926214353832204</v>
      </c>
      <c r="Q55" s="144"/>
      <c r="S55" s="3214"/>
      <c r="T55" s="3215"/>
      <c r="Y55" s="2411" t="s">
        <v>4253</v>
      </c>
      <c r="Z55" s="2514">
        <v>55</v>
      </c>
      <c r="AZ55" s="1578"/>
    </row>
    <row r="56" spans="1:52" s="223" customFormat="1" ht="15" customHeight="1">
      <c r="A56" s="144"/>
      <c r="B56" s="803" t="s">
        <v>496</v>
      </c>
      <c r="C56" s="144"/>
      <c r="D56" s="807"/>
      <c r="E56" s="3195"/>
      <c r="F56" s="3196"/>
      <c r="G56" s="3196"/>
      <c r="H56" s="3197"/>
      <c r="I56" s="3198"/>
      <c r="J56" s="3199"/>
      <c r="K56" s="144"/>
      <c r="Q56" s="144"/>
      <c r="S56" s="3212"/>
      <c r="T56" s="3213"/>
      <c r="Y56" s="2411"/>
      <c r="Z56" s="2514">
        <v>56</v>
      </c>
      <c r="AZ56" s="1578"/>
    </row>
    <row r="57" spans="1:52" s="223" customFormat="1" ht="15" customHeight="1">
      <c r="A57" s="144"/>
      <c r="B57" s="803" t="s">
        <v>1726</v>
      </c>
      <c r="C57" s="144"/>
      <c r="D57" s="807"/>
      <c r="E57" s="3195"/>
      <c r="F57" s="3196"/>
      <c r="G57" s="3196"/>
      <c r="H57" s="3197"/>
      <c r="I57" s="3198"/>
      <c r="J57" s="3199"/>
      <c r="N57" s="301"/>
      <c r="O57" s="301"/>
      <c r="P57" s="301"/>
      <c r="Q57" s="144"/>
      <c r="S57" s="3212"/>
      <c r="T57" s="3213"/>
      <c r="Y57" s="2411"/>
      <c r="Z57" s="2514">
        <v>57</v>
      </c>
      <c r="AZ57" s="1578"/>
    </row>
    <row r="58" spans="1:52" s="223" customFormat="1" ht="15" customHeight="1">
      <c r="A58" s="144"/>
      <c r="B58" s="803" t="s">
        <v>1727</v>
      </c>
      <c r="C58" s="144"/>
      <c r="D58" s="807"/>
      <c r="E58" s="3195"/>
      <c r="F58" s="3196"/>
      <c r="G58" s="3196"/>
      <c r="H58" s="3197"/>
      <c r="I58" s="3198"/>
      <c r="J58" s="3199"/>
      <c r="M58" s="301"/>
      <c r="N58" s="301"/>
      <c r="O58" s="301"/>
      <c r="P58" s="301"/>
      <c r="Q58" s="144"/>
      <c r="S58" s="3212"/>
      <c r="T58" s="3213"/>
      <c r="Y58" s="2411"/>
      <c r="Z58" s="2514">
        <v>58</v>
      </c>
      <c r="AZ58" s="1578" t="s">
        <v>4254</v>
      </c>
    </row>
    <row r="59" spans="1:52" s="223" customFormat="1" ht="15" customHeight="1">
      <c r="A59" s="144"/>
      <c r="B59" s="803" t="s">
        <v>689</v>
      </c>
      <c r="C59" s="3216"/>
      <c r="D59" s="3217"/>
      <c r="E59" s="3195"/>
      <c r="F59" s="3196"/>
      <c r="G59" s="3196"/>
      <c r="H59" s="3197"/>
      <c r="I59" s="3198"/>
      <c r="J59" s="3199"/>
      <c r="M59" s="301"/>
      <c r="N59" s="301"/>
      <c r="O59" s="301"/>
      <c r="P59" s="301"/>
      <c r="Q59" s="144"/>
      <c r="S59" s="3212"/>
      <c r="T59" s="3213"/>
      <c r="Y59" s="2411" t="s">
        <v>4254</v>
      </c>
      <c r="Z59" s="2514">
        <v>59</v>
      </c>
      <c r="AZ59" s="1578" t="s">
        <v>4255</v>
      </c>
    </row>
    <row r="60" spans="1:52" s="223" customFormat="1" ht="15" customHeight="1">
      <c r="A60" s="144"/>
      <c r="B60" s="803" t="s">
        <v>689</v>
      </c>
      <c r="C60" s="3195"/>
      <c r="D60" s="3197"/>
      <c r="E60" s="3195"/>
      <c r="F60" s="3196"/>
      <c r="G60" s="3196"/>
      <c r="H60" s="3197"/>
      <c r="I60" s="3198"/>
      <c r="J60" s="3199"/>
      <c r="K60" s="144"/>
      <c r="L60" s="248"/>
      <c r="M60" s="301"/>
      <c r="N60" s="301"/>
      <c r="O60" s="301"/>
      <c r="P60" s="301"/>
      <c r="Q60" s="144"/>
      <c r="S60" s="3212"/>
      <c r="T60" s="3213"/>
      <c r="Y60" s="2411" t="s">
        <v>4255</v>
      </c>
      <c r="Z60" s="2514">
        <v>60</v>
      </c>
      <c r="AZ60" s="1578" t="s">
        <v>4256</v>
      </c>
    </row>
    <row r="61" spans="1:52" s="223" customFormat="1" ht="15" customHeight="1">
      <c r="A61" s="144"/>
      <c r="B61" s="808" t="s">
        <v>689</v>
      </c>
      <c r="C61" s="3201"/>
      <c r="D61" s="3202"/>
      <c r="E61" s="3201"/>
      <c r="F61" s="3203"/>
      <c r="G61" s="3203"/>
      <c r="H61" s="3202"/>
      <c r="I61" s="3204"/>
      <c r="J61" s="3205"/>
      <c r="K61" s="144"/>
      <c r="L61" s="248"/>
      <c r="M61" s="301"/>
      <c r="N61" s="301"/>
      <c r="O61" s="301"/>
      <c r="P61" s="301"/>
      <c r="Q61" s="144"/>
      <c r="S61" s="3212"/>
      <c r="T61" s="3213"/>
      <c r="Y61" s="2411" t="s">
        <v>4256</v>
      </c>
      <c r="Z61" s="2514">
        <v>61</v>
      </c>
      <c r="AZ61" s="1578"/>
    </row>
    <row r="62" spans="1:52" s="223" customFormat="1" ht="14.25" customHeight="1">
      <c r="A62" s="144"/>
      <c r="B62" s="246" t="s">
        <v>2042</v>
      </c>
      <c r="C62" s="144"/>
      <c r="D62" s="144"/>
      <c r="E62" s="144"/>
      <c r="F62" s="144"/>
      <c r="G62" s="144"/>
      <c r="I62" s="3206">
        <f>SUM(I42:J47)+SUM(I51:J61)</f>
        <v>34718295</v>
      </c>
      <c r="J62" s="3207"/>
      <c r="K62" s="144"/>
      <c r="L62" s="248"/>
      <c r="M62" s="301"/>
      <c r="N62" s="301"/>
      <c r="O62" s="301"/>
      <c r="P62" s="301"/>
      <c r="Q62" s="144"/>
      <c r="S62" s="3212"/>
      <c r="T62" s="3213"/>
      <c r="Y62" s="2411"/>
      <c r="Z62" s="2514">
        <v>62</v>
      </c>
      <c r="AZ62" s="1578"/>
    </row>
    <row r="63" spans="1:52" s="223" customFormat="1" ht="14.25" customHeight="1" thickBot="1">
      <c r="A63" s="144"/>
      <c r="B63" s="246" t="s">
        <v>2043</v>
      </c>
      <c r="C63" s="144"/>
      <c r="D63" s="144"/>
      <c r="E63" s="144"/>
      <c r="F63" s="144"/>
      <c r="G63" s="144"/>
      <c r="I63" s="3208">
        <f>'Part III-A-Uses of Funds'!$G$147</f>
        <v>34718294.853922151</v>
      </c>
      <c r="J63" s="3209"/>
      <c r="K63" s="144"/>
      <c r="L63" s="248"/>
      <c r="M63" s="301"/>
      <c r="N63" s="301"/>
      <c r="O63" s="301"/>
      <c r="P63" s="301"/>
      <c r="Q63" s="144"/>
      <c r="S63" s="3212"/>
      <c r="T63" s="3213"/>
      <c r="Y63" s="2411"/>
      <c r="Z63" s="2514">
        <v>63</v>
      </c>
      <c r="AZ63" s="1578"/>
    </row>
    <row r="64" spans="1:52" s="223" customFormat="1" ht="14.25" customHeight="1" thickBot="1">
      <c r="A64" s="144"/>
      <c r="B64" s="246" t="s">
        <v>1426</v>
      </c>
      <c r="C64" s="144"/>
      <c r="D64" s="144"/>
      <c r="E64" s="144"/>
      <c r="F64" s="144"/>
      <c r="G64" s="144"/>
      <c r="I64" s="3210">
        <f>I62-I63</f>
        <v>0.14607784897089005</v>
      </c>
      <c r="J64" s="3211"/>
      <c r="K64" s="144"/>
      <c r="L64" s="248"/>
      <c r="M64" s="301"/>
      <c r="N64" s="301"/>
      <c r="O64" s="301"/>
      <c r="P64" s="301"/>
      <c r="Q64" s="144"/>
      <c r="S64" s="3214"/>
      <c r="T64" s="3215"/>
      <c r="Y64" s="2411"/>
      <c r="Z64" s="2514">
        <v>64</v>
      </c>
      <c r="AZ64" s="1578"/>
    </row>
    <row r="65" spans="1:52" s="223" customFormat="1" ht="13.35" customHeight="1">
      <c r="A65" s="144" t="s">
        <v>3816</v>
      </c>
      <c r="B65" s="246"/>
      <c r="C65" s="144"/>
      <c r="D65" s="144"/>
      <c r="E65" s="144"/>
      <c r="F65" s="144"/>
      <c r="G65" s="144"/>
      <c r="H65" s="297"/>
      <c r="I65" s="297"/>
      <c r="J65" s="145"/>
      <c r="K65" s="144"/>
      <c r="L65" s="248"/>
      <c r="M65" s="301"/>
      <c r="N65" s="301"/>
      <c r="O65" s="301"/>
      <c r="P65" s="301"/>
      <c r="Q65" s="144"/>
      <c r="R65" s="144"/>
      <c r="S65" s="144"/>
      <c r="T65" s="144"/>
      <c r="Y65" s="2411"/>
      <c r="Z65" s="2514">
        <v>65</v>
      </c>
      <c r="AZ65" s="1577"/>
    </row>
    <row r="66" spans="1:52" ht="2.25" customHeight="1">
      <c r="A66" s="145"/>
      <c r="B66" s="145"/>
      <c r="C66" s="145"/>
      <c r="D66" s="145"/>
      <c r="E66" s="145"/>
      <c r="F66" s="145"/>
      <c r="G66" s="145"/>
      <c r="H66" s="145"/>
      <c r="I66" s="145"/>
      <c r="J66" s="145"/>
      <c r="K66" s="145"/>
      <c r="L66" s="145"/>
      <c r="M66" s="145"/>
      <c r="N66" s="145"/>
      <c r="O66" s="145"/>
      <c r="P66" s="145"/>
      <c r="Q66" s="145"/>
      <c r="Z66" s="2514">
        <v>66</v>
      </c>
    </row>
    <row r="67" spans="1:52" ht="12" customHeight="1">
      <c r="A67" s="243" t="s">
        <v>1661</v>
      </c>
      <c r="B67" s="243" t="s">
        <v>529</v>
      </c>
      <c r="C67" s="145"/>
      <c r="D67" s="145"/>
      <c r="E67" s="145"/>
      <c r="F67" s="145"/>
      <c r="G67" s="145"/>
      <c r="H67" s="145"/>
      <c r="I67" s="145"/>
      <c r="J67" s="145"/>
      <c r="M67" s="243" t="s">
        <v>1661</v>
      </c>
      <c r="N67" s="243" t="s">
        <v>74</v>
      </c>
      <c r="O67" s="145"/>
      <c r="P67" s="145"/>
      <c r="Q67" s="145"/>
      <c r="Z67" s="2514">
        <v>67</v>
      </c>
      <c r="AZ67" s="1580"/>
    </row>
    <row r="68" spans="1:52" ht="141" customHeight="1">
      <c r="A68" s="3048" t="s">
        <v>5249</v>
      </c>
      <c r="B68" s="3049"/>
      <c r="C68" s="3049"/>
      <c r="D68" s="3049"/>
      <c r="E68" s="3049"/>
      <c r="F68" s="3049"/>
      <c r="G68" s="3049"/>
      <c r="H68" s="3049"/>
      <c r="I68" s="3049"/>
      <c r="J68" s="3049"/>
      <c r="K68" s="3049"/>
      <c r="L68" s="3050"/>
      <c r="M68" s="3051"/>
      <c r="N68" s="3052"/>
      <c r="O68" s="3052"/>
      <c r="P68" s="3052"/>
      <c r="Q68" s="3053"/>
      <c r="S68" s="3200" t="s">
        <v>2444</v>
      </c>
      <c r="T68" s="3200"/>
      <c r="U68" s="366"/>
      <c r="V68" s="366"/>
      <c r="W68" s="366"/>
      <c r="Y68" s="2413"/>
      <c r="Z68" s="2514">
        <v>68</v>
      </c>
      <c r="AZ68" s="1580"/>
    </row>
    <row r="69" spans="1:52" ht="11.25" customHeight="1">
      <c r="S69" s="366"/>
      <c r="T69" s="366"/>
      <c r="U69" s="366"/>
      <c r="V69" s="366"/>
      <c r="W69" s="366"/>
      <c r="Y69" s="2413"/>
      <c r="Z69" s="2514">
        <v>69</v>
      </c>
    </row>
    <row r="70" spans="1:52" ht="12" customHeight="1">
      <c r="Z70" s="2514">
        <v>70</v>
      </c>
    </row>
    <row r="71" spans="1:52" ht="12" customHeight="1">
      <c r="B71" s="277"/>
      <c r="Z71" s="2514">
        <v>71</v>
      </c>
    </row>
    <row r="72" spans="1:52" ht="14.7" customHeight="1">
      <c r="Z72" s="2514">
        <v>72</v>
      </c>
      <c r="AZ72" s="1578"/>
    </row>
    <row r="73" spans="1:52" s="223" customFormat="1" ht="14.7" customHeight="1">
      <c r="Y73" s="2411"/>
      <c r="Z73" s="2514">
        <v>73</v>
      </c>
      <c r="AZ73" s="1578"/>
    </row>
    <row r="74" spans="1:52" s="223" customFormat="1" ht="14.7" customHeight="1">
      <c r="Y74" s="2411"/>
      <c r="Z74" s="2514">
        <v>74</v>
      </c>
      <c r="AZ74" s="1578"/>
    </row>
    <row r="75" spans="1:52" s="223" customFormat="1" ht="14.7" customHeight="1">
      <c r="Y75" s="2411"/>
      <c r="Z75" s="2519"/>
      <c r="AZ75" s="1577"/>
    </row>
    <row r="76" spans="1:52" ht="14.7" customHeight="1">
      <c r="AZ76" s="1578"/>
    </row>
    <row r="77" spans="1:52" s="223" customFormat="1" ht="14.7" customHeight="1">
      <c r="A77" s="278"/>
      <c r="Y77" s="2411"/>
      <c r="Z77" s="2519"/>
      <c r="AZ77" s="1578"/>
    </row>
    <row r="78" spans="1:52" s="223" customFormat="1" ht="14.7" customHeight="1">
      <c r="A78" s="278"/>
      <c r="Y78" s="2411"/>
      <c r="Z78" s="2519"/>
      <c r="AZ78" s="1578"/>
    </row>
    <row r="79" spans="1:52" s="223" customFormat="1" ht="14.7" customHeight="1">
      <c r="Y79" s="2411"/>
      <c r="Z79" s="2519"/>
      <c r="AZ79" s="1578"/>
    </row>
    <row r="80" spans="1:52" s="223" customFormat="1" ht="14.7" customHeight="1">
      <c r="A80" s="278"/>
      <c r="Y80" s="2411"/>
      <c r="Z80" s="2519"/>
      <c r="AZ80" s="1578"/>
    </row>
    <row r="81" spans="1:52" s="223" customFormat="1" ht="14.7" customHeight="1">
      <c r="A81" s="276"/>
      <c r="Y81" s="2411"/>
      <c r="Z81" s="2519"/>
      <c r="AZ81" s="1578"/>
    </row>
    <row r="82" spans="1:52" s="223" customFormat="1" ht="14.7" customHeight="1">
      <c r="A82" s="276"/>
      <c r="Y82" s="2411"/>
      <c r="Z82" s="2519"/>
      <c r="AZ82" s="1578"/>
    </row>
    <row r="83" spans="1:52" s="223" customFormat="1" ht="14.7" customHeight="1">
      <c r="A83" s="279"/>
      <c r="Y83" s="2411"/>
      <c r="Z83" s="2519"/>
      <c r="AZ83" s="1578"/>
    </row>
    <row r="84" spans="1:52" s="223" customFormat="1" ht="14.7" customHeight="1">
      <c r="A84" s="278"/>
      <c r="Y84" s="2411"/>
      <c r="Z84" s="2519"/>
      <c r="AZ84" s="1578"/>
    </row>
    <row r="85" spans="1:52" s="223" customFormat="1" ht="14.7" customHeight="1">
      <c r="A85" s="276"/>
      <c r="Y85" s="2411"/>
      <c r="Z85" s="2519"/>
      <c r="AZ85" s="1578"/>
    </row>
    <row r="86" spans="1:52" s="223" customFormat="1" ht="14.7" customHeight="1">
      <c r="A86" s="276"/>
      <c r="Y86" s="2411"/>
      <c r="Z86" s="2519"/>
      <c r="AZ86" s="1578"/>
    </row>
    <row r="87" spans="1:52" s="223" customFormat="1" ht="14.7" customHeight="1">
      <c r="A87" s="279"/>
      <c r="Y87" s="2411"/>
      <c r="Z87" s="2519"/>
      <c r="AZ87" s="1578"/>
    </row>
    <row r="88" spans="1:52" s="223" customFormat="1" ht="14.7" customHeight="1">
      <c r="A88" s="278"/>
      <c r="Y88" s="2411"/>
      <c r="Z88" s="2519"/>
      <c r="AZ88" s="1578"/>
    </row>
    <row r="89" spans="1:52" s="223" customFormat="1" ht="14.7" customHeight="1">
      <c r="A89" s="276"/>
      <c r="Y89" s="2411"/>
      <c r="Z89" s="2519"/>
      <c r="AZ89" s="1578"/>
    </row>
    <row r="90" spans="1:52" s="223" customFormat="1" ht="14.7" customHeight="1">
      <c r="A90" s="276"/>
      <c r="Y90" s="2411"/>
      <c r="Z90" s="2519"/>
      <c r="AZ90" s="1578"/>
    </row>
    <row r="91" spans="1:52" s="223" customFormat="1" ht="14.7" customHeight="1">
      <c r="A91" s="279"/>
      <c r="Y91" s="2411"/>
      <c r="Z91" s="2519"/>
      <c r="AZ91" s="1578"/>
    </row>
    <row r="92" spans="1:52" s="223" customFormat="1" ht="14.7" customHeight="1">
      <c r="A92" s="279"/>
      <c r="Y92" s="2411"/>
      <c r="Z92" s="2519"/>
      <c r="AZ92" s="1578"/>
    </row>
    <row r="93" spans="1:52" s="223" customFormat="1" ht="14.7" customHeight="1">
      <c r="A93" s="279"/>
      <c r="Y93" s="2411"/>
      <c r="Z93" s="2519"/>
      <c r="AZ93" s="1578"/>
    </row>
    <row r="94" spans="1:52" s="223" customFormat="1" ht="14.7" customHeight="1">
      <c r="A94" s="279"/>
      <c r="Y94" s="2411"/>
      <c r="Z94" s="2519"/>
      <c r="AZ94" s="1578"/>
    </row>
    <row r="95" spans="1:52" s="223" customFormat="1" ht="14.7" customHeight="1">
      <c r="Y95" s="2411"/>
      <c r="Z95" s="2519"/>
      <c r="AZ95" s="1578"/>
    </row>
    <row r="96" spans="1:52" s="223" customFormat="1" ht="14.7" customHeight="1">
      <c r="Y96" s="2411"/>
      <c r="Z96" s="2519"/>
      <c r="AZ96" s="1577"/>
    </row>
    <row r="97" spans="11:14" ht="14.7" customHeight="1"/>
    <row r="98" spans="11:14" ht="14.7" customHeight="1"/>
    <row r="99" spans="11:14" ht="14.7" customHeight="1"/>
    <row r="100" spans="11:14" ht="14.7" customHeight="1"/>
    <row r="101" spans="11:14" ht="14.7" customHeight="1"/>
    <row r="102" spans="11:14" ht="14.7" customHeight="1"/>
    <row r="103" spans="11:14" ht="14.7" customHeight="1">
      <c r="K103" s="144"/>
      <c r="L103" s="223"/>
      <c r="M103" s="223"/>
      <c r="N103" s="223"/>
    </row>
    <row r="104" spans="11:14" ht="14.7" customHeight="1"/>
    <row r="105" spans="11:14" ht="14.7" customHeight="1"/>
    <row r="106" spans="11:14" ht="14.7" customHeight="1"/>
    <row r="107" spans="11:14" ht="14.7" customHeight="1"/>
    <row r="108" spans="11:14" ht="14.7" customHeight="1"/>
    <row r="109" spans="11:14" ht="14.7" customHeight="1"/>
    <row r="110" spans="11:14" ht="14.7" customHeight="1"/>
    <row r="111" spans="11:14" ht="14.7" customHeight="1"/>
  </sheetData>
  <sheetProtection algorithmName="SHA-512" hashValue="QNaJmyR8Oq/JansEQObcIl+HSn5bNTqWTpySLZ5Gb121PQUIJeNHNo6tDyl8wBGMpoENEhKF9cN1yDzkvjldtw==" saltValue="y7+f2oeZ83XJ2KbI7WubOQ==" spinCount="100000" sheet="1" objects="1" scenarios="1" formatRows="0"/>
  <mergeCells count="155">
    <mergeCell ref="G23:K23"/>
    <mergeCell ref="G27:K27"/>
    <mergeCell ref="G24:K24"/>
    <mergeCell ref="G25:K25"/>
    <mergeCell ref="G26:K26"/>
    <mergeCell ref="G28:K28"/>
    <mergeCell ref="G29:K29"/>
    <mergeCell ref="G30:K30"/>
    <mergeCell ref="G31:K31"/>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B27:D27"/>
    <mergeCell ref="L27:M27"/>
    <mergeCell ref="N27:O27"/>
    <mergeCell ref="P27:Q27"/>
    <mergeCell ref="B28:D28"/>
    <mergeCell ref="L28:M28"/>
    <mergeCell ref="N28:O28"/>
    <mergeCell ref="P28:Q28"/>
    <mergeCell ref="B31:D31"/>
    <mergeCell ref="L31:M31"/>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C45:D45"/>
    <mergeCell ref="E45:H45"/>
    <mergeCell ref="I45:J45"/>
    <mergeCell ref="N45:O45"/>
    <mergeCell ref="P45:Q45"/>
    <mergeCell ref="E46:H46"/>
    <mergeCell ref="I46:J46"/>
    <mergeCell ref="N46:O46"/>
    <mergeCell ref="P46:Q46"/>
    <mergeCell ref="E47:H47"/>
    <mergeCell ref="I47:J47"/>
    <mergeCell ref="N47:O47"/>
    <mergeCell ref="P47:Q47"/>
    <mergeCell ref="S48:T50"/>
    <mergeCell ref="F49:G49"/>
    <mergeCell ref="I49:J49"/>
    <mergeCell ref="L49:M49"/>
    <mergeCell ref="N49:O49"/>
    <mergeCell ref="P49:Q49"/>
    <mergeCell ref="S42:T47"/>
    <mergeCell ref="P43:Q43"/>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26" t="s">
        <v>210</v>
      </c>
      <c r="B3" s="3326"/>
      <c r="C3" s="3326"/>
      <c r="D3" s="3326"/>
      <c r="E3" s="3326"/>
      <c r="F3" s="3326"/>
      <c r="G3" s="162"/>
      <c r="H3" s="162"/>
    </row>
    <row r="4" spans="1:17" ht="6" customHeight="1"/>
    <row r="5" spans="1:17">
      <c r="A5" s="26" t="s">
        <v>2077</v>
      </c>
      <c r="B5" s="26"/>
      <c r="C5" s="213"/>
      <c r="D5" s="214">
        <f>IF(C5&gt;1500000,1500000,0)</f>
        <v>0</v>
      </c>
      <c r="E5" s="215">
        <f>IF(C5&gt;1500000,C5-1500000,0)</f>
        <v>0</v>
      </c>
    </row>
    <row r="6" spans="1:17">
      <c r="A6" s="26" t="s">
        <v>2260</v>
      </c>
      <c r="B6" s="41" t="s">
        <v>474</v>
      </c>
      <c r="C6" s="216">
        <v>0</v>
      </c>
      <c r="D6" s="32" t="s">
        <v>475</v>
      </c>
      <c r="E6" s="26"/>
    </row>
    <row r="7" spans="1:17">
      <c r="A7" s="26"/>
      <c r="B7" s="41" t="s">
        <v>2276</v>
      </c>
      <c r="C7" s="217"/>
      <c r="D7" s="32" t="s">
        <v>1547</v>
      </c>
      <c r="E7" s="26"/>
    </row>
    <row r="8" spans="1:17" ht="13.35" customHeight="1">
      <c r="A8" s="26" t="s">
        <v>2264</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7" t="s">
        <v>122</v>
      </c>
      <c r="B14" s="3327"/>
      <c r="C14" s="3327"/>
      <c r="D14" s="3327"/>
      <c r="E14" s="3327"/>
      <c r="F14" s="3327"/>
      <c r="G14" s="162"/>
      <c r="H14" s="162"/>
    </row>
    <row r="15" spans="1:17" ht="5.7" customHeight="1">
      <c r="A15" s="10"/>
      <c r="E15" s="169"/>
      <c r="F15" s="162"/>
      <c r="G15" s="162"/>
      <c r="H15" s="162"/>
    </row>
    <row r="16" spans="1:17" ht="13.35" customHeight="1">
      <c r="A16" s="170" t="s">
        <v>2277</v>
      </c>
      <c r="B16" s="171" t="s">
        <v>2274</v>
      </c>
      <c r="C16" s="171" t="s">
        <v>2275</v>
      </c>
      <c r="D16" s="3336" t="s">
        <v>2076</v>
      </c>
      <c r="E16" s="3336"/>
      <c r="F16" s="162"/>
      <c r="G16" s="162"/>
      <c r="H16" s="162"/>
    </row>
    <row r="17" spans="1:8" ht="12.6" customHeight="1">
      <c r="A17" s="60">
        <v>1</v>
      </c>
      <c r="B17" s="155">
        <f>IF(A17&gt;$C$9,0,SUM(C64:C75)*($C$6/$C$7))</f>
        <v>0</v>
      </c>
      <c r="C17" s="158">
        <f>IF(A17&gt;C9,0,(E63+K63)*$C$8)</f>
        <v>0</v>
      </c>
      <c r="D17" s="3331">
        <f t="shared" ref="D17:D56" si="0">IF(A17&gt;$C$9,0,$C$11+C17)</f>
        <v>0</v>
      </c>
      <c r="E17" s="3331"/>
      <c r="F17" s="162"/>
      <c r="G17" s="162"/>
      <c r="H17" s="162"/>
    </row>
    <row r="18" spans="1:8" ht="12.6" customHeight="1">
      <c r="A18" s="60">
        <v>2</v>
      </c>
      <c r="B18" s="155">
        <f>IF(A18&gt;C9,0,SUM(C76:C87)*($C$6/$C$7))</f>
        <v>0</v>
      </c>
      <c r="C18" s="158">
        <f>IF(A18&gt;C9,0,(E75+K75)*$C$8)</f>
        <v>0</v>
      </c>
      <c r="D18" s="3329">
        <f t="shared" si="0"/>
        <v>0</v>
      </c>
      <c r="E18" s="3329"/>
      <c r="F18" s="162"/>
      <c r="G18" s="162"/>
      <c r="H18" s="162"/>
    </row>
    <row r="19" spans="1:8" ht="12.6" customHeight="1">
      <c r="A19" s="60">
        <v>3</v>
      </c>
      <c r="B19" s="155">
        <f>IF(A19&gt;C9,0,SUM(C88:C99)*($C$6/$C$7))</f>
        <v>0</v>
      </c>
      <c r="C19" s="158">
        <f>IF(A19&gt;C9,0,(E87+K87)*$C$8)</f>
        <v>0</v>
      </c>
      <c r="D19" s="3329">
        <f t="shared" si="0"/>
        <v>0</v>
      </c>
      <c r="E19" s="3329"/>
      <c r="F19" s="162"/>
      <c r="G19" s="162"/>
      <c r="H19" s="162"/>
    </row>
    <row r="20" spans="1:8" ht="12.6" customHeight="1">
      <c r="A20" s="60">
        <v>4</v>
      </c>
      <c r="B20" s="155">
        <f>IF(A20&gt;C9,0,SUM(C100:C111)*($C$6/$C$7))</f>
        <v>0</v>
      </c>
      <c r="C20" s="158">
        <f>IF(A20&gt;C9,0,(E99+K99)*$C$8)</f>
        <v>0</v>
      </c>
      <c r="D20" s="3329">
        <f t="shared" si="0"/>
        <v>0</v>
      </c>
      <c r="E20" s="3329"/>
      <c r="F20" s="162"/>
      <c r="G20" s="162"/>
      <c r="H20" s="162"/>
    </row>
    <row r="21" spans="1:8" ht="12.6" customHeight="1">
      <c r="A21" s="60">
        <v>5</v>
      </c>
      <c r="B21" s="155">
        <f>IF(A21&gt;C9,0,SUM(C112:C123)*($C$6/$C$7))</f>
        <v>0</v>
      </c>
      <c r="C21" s="158">
        <f>IF(A21&gt;C9,0,(E111+K111)*$C$8)</f>
        <v>0</v>
      </c>
      <c r="D21" s="3330">
        <f t="shared" si="0"/>
        <v>0</v>
      </c>
      <c r="E21" s="3330"/>
      <c r="F21" s="162"/>
      <c r="G21" s="162"/>
      <c r="H21" s="162"/>
    </row>
    <row r="22" spans="1:8" ht="12.6" customHeight="1">
      <c r="A22" s="156">
        <v>6</v>
      </c>
      <c r="B22" s="157">
        <f>IF(A22&gt;C9,0,SUM(C124:C135)*($C$6/$C$7))</f>
        <v>0</v>
      </c>
      <c r="C22" s="173">
        <f>IF(A22&gt;C9,0,(E123+K123)*$C$8)</f>
        <v>0</v>
      </c>
      <c r="D22" s="3329">
        <f t="shared" si="0"/>
        <v>0</v>
      </c>
      <c r="E22" s="3329"/>
      <c r="F22" s="162"/>
      <c r="G22" s="162"/>
      <c r="H22" s="162"/>
    </row>
    <row r="23" spans="1:8" ht="12.6" customHeight="1">
      <c r="A23" s="60">
        <v>7</v>
      </c>
      <c r="B23" s="155">
        <f>IF(A23&gt;C9,0,SUM(C136:C147)*($C$6/$C$7))</f>
        <v>0</v>
      </c>
      <c r="C23" s="158">
        <f>IF(A23&gt;C9,0,(E135+K135)*$C$8)</f>
        <v>0</v>
      </c>
      <c r="D23" s="3329">
        <f t="shared" si="0"/>
        <v>0</v>
      </c>
      <c r="E23" s="3329"/>
      <c r="F23" s="162"/>
      <c r="G23" s="162"/>
      <c r="H23" s="162"/>
    </row>
    <row r="24" spans="1:8" ht="12.6" customHeight="1">
      <c r="A24" s="60">
        <v>8</v>
      </c>
      <c r="B24" s="155">
        <f>IF(A24&gt;C9,0,SUM(C148:C159)*($C$6/$C$7))</f>
        <v>0</v>
      </c>
      <c r="C24" s="158">
        <f>IF(A24&gt;C9,0,(E147+K147)*$C$8)</f>
        <v>0</v>
      </c>
      <c r="D24" s="3329">
        <f t="shared" si="0"/>
        <v>0</v>
      </c>
      <c r="E24" s="3329"/>
      <c r="F24" s="162"/>
      <c r="G24" s="162"/>
      <c r="H24" s="162"/>
    </row>
    <row r="25" spans="1:8" ht="12.6" customHeight="1">
      <c r="A25" s="60">
        <v>9</v>
      </c>
      <c r="B25" s="155">
        <f>IF(A25&gt;C9,0,SUM(C160:C171)*($C$6/$C$7))</f>
        <v>0</v>
      </c>
      <c r="C25" s="158">
        <f>IF(A25&gt;C9,0,(E159+K159)*$C$8)</f>
        <v>0</v>
      </c>
      <c r="D25" s="3329">
        <f t="shared" si="0"/>
        <v>0</v>
      </c>
      <c r="E25" s="3329"/>
      <c r="F25" s="162"/>
      <c r="G25" s="162"/>
      <c r="H25" s="162"/>
    </row>
    <row r="26" spans="1:8" ht="12.6" customHeight="1">
      <c r="A26" s="159">
        <v>10</v>
      </c>
      <c r="B26" s="160">
        <f>IF(A26&gt;C9,0,SUM(C172:C183)*($C$6/$C$7))</f>
        <v>0</v>
      </c>
      <c r="C26" s="172">
        <f>IF(A26&gt;C9,0,(E171+K171)*$C$8)</f>
        <v>0</v>
      </c>
      <c r="D26" s="3330">
        <f t="shared" si="0"/>
        <v>0</v>
      </c>
      <c r="E26" s="3330"/>
      <c r="F26" s="162"/>
      <c r="G26" s="162"/>
      <c r="H26" s="162"/>
    </row>
    <row r="27" spans="1:8" ht="12.6" customHeight="1">
      <c r="A27" s="60">
        <v>11</v>
      </c>
      <c r="B27" s="155">
        <f>IF(A27&gt;C9,0,SUM(C184:C195)*($C$6/$C$7))</f>
        <v>0</v>
      </c>
      <c r="C27" s="158">
        <f>IF(A27&gt;C9,0,(E183+K183)*$C$8)</f>
        <v>0</v>
      </c>
      <c r="D27" s="3329">
        <f t="shared" si="0"/>
        <v>0</v>
      </c>
      <c r="E27" s="3329"/>
      <c r="F27" s="162"/>
      <c r="G27" s="162"/>
      <c r="H27" s="162"/>
    </row>
    <row r="28" spans="1:8" ht="12.6" customHeight="1">
      <c r="A28" s="60">
        <v>12</v>
      </c>
      <c r="B28" s="155">
        <f>IF(A28&gt;C9,0,SUM(C196:C207)*($C$6/$C$7))</f>
        <v>0</v>
      </c>
      <c r="C28" s="158">
        <f>IF(A28&gt;C9,0,(E195+K195)*$C$8)</f>
        <v>0</v>
      </c>
      <c r="D28" s="3329">
        <f t="shared" si="0"/>
        <v>0</v>
      </c>
      <c r="E28" s="3329"/>
      <c r="F28" s="162"/>
      <c r="G28" s="162"/>
      <c r="H28" s="162"/>
    </row>
    <row r="29" spans="1:8" ht="12.6" customHeight="1">
      <c r="A29" s="60">
        <v>13</v>
      </c>
      <c r="B29" s="155">
        <f>IF(A29&gt;C9,0,SUM(C208:C219)*($C$6/$C$7))</f>
        <v>0</v>
      </c>
      <c r="C29" s="158">
        <f>IF(A29&gt;C9,0,(E207+K207)*$C$8)</f>
        <v>0</v>
      </c>
      <c r="D29" s="3329">
        <f t="shared" si="0"/>
        <v>0</v>
      </c>
      <c r="E29" s="3329"/>
      <c r="F29" s="162"/>
      <c r="G29" s="162"/>
      <c r="H29" s="162"/>
    </row>
    <row r="30" spans="1:8" ht="12.6" customHeight="1">
      <c r="A30" s="60">
        <v>14</v>
      </c>
      <c r="B30" s="155">
        <f>IF(A30&gt;C9,0,SUM(C220:C231)*($C$6/$C$7))</f>
        <v>0</v>
      </c>
      <c r="C30" s="158">
        <f>IF(A30&gt;C9,0,(E219+K219)*$C$8)</f>
        <v>0</v>
      </c>
      <c r="D30" s="3329">
        <f t="shared" si="0"/>
        <v>0</v>
      </c>
      <c r="E30" s="3329"/>
      <c r="F30" s="162"/>
      <c r="G30" s="162"/>
      <c r="H30" s="162"/>
    </row>
    <row r="31" spans="1:8" ht="12.6" customHeight="1">
      <c r="A31" s="60">
        <v>15</v>
      </c>
      <c r="B31" s="155">
        <f>IF(A31&gt;C9,0,SUM(C232:C243)*($C$6/$C$7))</f>
        <v>0</v>
      </c>
      <c r="C31" s="158">
        <f>IF(A31&gt;C9,0,(E231+K231)*$C$8)</f>
        <v>0</v>
      </c>
      <c r="D31" s="3330">
        <f t="shared" si="0"/>
        <v>0</v>
      </c>
      <c r="E31" s="3330"/>
      <c r="F31" s="162"/>
      <c r="G31" s="162"/>
      <c r="H31" s="162"/>
    </row>
    <row r="32" spans="1:8" ht="12.6" customHeight="1">
      <c r="A32" s="156">
        <v>16</v>
      </c>
      <c r="B32" s="157">
        <f>IF(A32&gt;C9,0,SUM(C244:C255)*($C$6/$C$7))</f>
        <v>0</v>
      </c>
      <c r="C32" s="173">
        <f>IF(A32&gt;C9,0,(E243+K243)*$C$8)</f>
        <v>0</v>
      </c>
      <c r="D32" s="3329">
        <f t="shared" si="0"/>
        <v>0</v>
      </c>
      <c r="E32" s="3329"/>
      <c r="F32" s="162"/>
      <c r="G32" s="162"/>
      <c r="H32" s="162"/>
    </row>
    <row r="33" spans="1:8" ht="12.6" customHeight="1">
      <c r="A33" s="60">
        <v>17</v>
      </c>
      <c r="B33" s="155">
        <f>IF(A33&gt;C9,0,SUM(C256:C267)*($C$6/$C$7))</f>
        <v>0</v>
      </c>
      <c r="C33" s="158">
        <f>IF(A33&gt;C9,0,(E255+K255)*$C$8)</f>
        <v>0</v>
      </c>
      <c r="D33" s="3329">
        <f t="shared" si="0"/>
        <v>0</v>
      </c>
      <c r="E33" s="3329"/>
      <c r="F33" s="162"/>
      <c r="G33" s="162"/>
      <c r="H33" s="162"/>
    </row>
    <row r="34" spans="1:8" ht="12.6" customHeight="1">
      <c r="A34" s="60">
        <v>18</v>
      </c>
      <c r="B34" s="155">
        <f>IF(A34&gt;C9,0,SUM(C268:C279)*($C$6/$C$7))</f>
        <v>0</v>
      </c>
      <c r="C34" s="158">
        <f>IF(A34&gt;C9,0,(E267+K267)*$C$8)</f>
        <v>0</v>
      </c>
      <c r="D34" s="3329">
        <f t="shared" si="0"/>
        <v>0</v>
      </c>
      <c r="E34" s="3329"/>
      <c r="F34" s="162"/>
      <c r="G34" s="162"/>
      <c r="H34" s="162"/>
    </row>
    <row r="35" spans="1:8" ht="12.6" customHeight="1">
      <c r="A35" s="60">
        <v>19</v>
      </c>
      <c r="B35" s="155">
        <f>IF(A35&gt;C9,0,SUM(C280:C291)*($C$6/$C$7))</f>
        <v>0</v>
      </c>
      <c r="C35" s="158">
        <f>IF(A35&gt;C9,0,(E279+K279)*$C$8)</f>
        <v>0</v>
      </c>
      <c r="D35" s="3329">
        <f t="shared" si="0"/>
        <v>0</v>
      </c>
      <c r="E35" s="3329"/>
      <c r="F35" s="162"/>
      <c r="G35" s="162"/>
      <c r="H35" s="162"/>
    </row>
    <row r="36" spans="1:8" ht="12.6" customHeight="1">
      <c r="A36" s="159">
        <v>20</v>
      </c>
      <c r="B36" s="160">
        <f>IF(A36&gt;C9,0,SUM(C292:C303)*($C$6/$C$7))</f>
        <v>0</v>
      </c>
      <c r="C36" s="172">
        <f>IF(A36&gt;C9,0,(E291+K291)*$C$8)</f>
        <v>0</v>
      </c>
      <c r="D36" s="3330">
        <f t="shared" si="0"/>
        <v>0</v>
      </c>
      <c r="E36" s="3330"/>
      <c r="F36" s="162"/>
      <c r="G36" s="162"/>
      <c r="H36" s="162"/>
    </row>
    <row r="37" spans="1:8" ht="12.6" customHeight="1">
      <c r="A37" s="60">
        <v>21</v>
      </c>
      <c r="B37" s="157">
        <f>IF(A37&gt;C9,0,SUM(C293:C304)*($C$6/$C$7))</f>
        <v>0</v>
      </c>
      <c r="C37" s="173">
        <f>IF(A37&gt;C9,0,(E303+K303)*$C$8)</f>
        <v>0</v>
      </c>
      <c r="D37" s="3332">
        <f t="shared" si="0"/>
        <v>0</v>
      </c>
      <c r="E37" s="3332"/>
      <c r="F37" s="162"/>
      <c r="G37" s="162"/>
      <c r="H37" s="162"/>
    </row>
    <row r="38" spans="1:8" ht="12.6" customHeight="1">
      <c r="A38" s="60">
        <v>22</v>
      </c>
      <c r="B38" s="155">
        <f>IF(A38&gt;C9,0,SUM(C294:C305)*($C$6/$C$7))</f>
        <v>0</v>
      </c>
      <c r="C38" s="158">
        <f>IF(A38&gt;C9,0,(E315+K315)*$C$8)</f>
        <v>0</v>
      </c>
      <c r="D38" s="3329">
        <f t="shared" si="0"/>
        <v>0</v>
      </c>
      <c r="E38" s="3329"/>
      <c r="F38" s="162"/>
      <c r="G38" s="162"/>
      <c r="H38" s="162"/>
    </row>
    <row r="39" spans="1:8" ht="12.6" customHeight="1">
      <c r="A39" s="60">
        <v>23</v>
      </c>
      <c r="B39" s="155">
        <f>IF(A39&gt;C9,0,SUM(C295:C306)*($C$6/$C$7))</f>
        <v>0</v>
      </c>
      <c r="C39" s="158">
        <f>IF(A39&gt;C9,0,(E327+K327)*$C$8)</f>
        <v>0</v>
      </c>
      <c r="D39" s="3329">
        <f t="shared" si="0"/>
        <v>0</v>
      </c>
      <c r="E39" s="3329"/>
      <c r="F39" s="162"/>
      <c r="G39" s="162"/>
      <c r="H39" s="162"/>
    </row>
    <row r="40" spans="1:8" ht="12.6" customHeight="1">
      <c r="A40" s="60">
        <v>24</v>
      </c>
      <c r="B40" s="155">
        <f>IF(A40&gt;C9,0,SUM(C296:C307)*($C$6/$C$7))</f>
        <v>0</v>
      </c>
      <c r="C40" s="158">
        <f>IF(A40&gt;C9,0,(E339+K339)*$C$8)</f>
        <v>0</v>
      </c>
      <c r="D40" s="3329">
        <f t="shared" si="0"/>
        <v>0</v>
      </c>
      <c r="E40" s="3329"/>
      <c r="F40" s="162"/>
      <c r="G40" s="162"/>
      <c r="H40" s="162"/>
    </row>
    <row r="41" spans="1:8" ht="12.6" customHeight="1">
      <c r="A41" s="60">
        <v>25</v>
      </c>
      <c r="B41" s="160">
        <f>IF(A41&gt;C9,0,SUM(C297:C308)*($C$6/$C$7))</f>
        <v>0</v>
      </c>
      <c r="C41" s="172">
        <f>IF(A41&gt;C9,0,(E351+K351)*$C$8)</f>
        <v>0</v>
      </c>
      <c r="D41" s="3330">
        <f t="shared" si="0"/>
        <v>0</v>
      </c>
      <c r="E41" s="3330"/>
      <c r="F41" s="162"/>
      <c r="G41" s="162"/>
      <c r="H41" s="162"/>
    </row>
    <row r="42" spans="1:8" ht="12.6" customHeight="1">
      <c r="A42" s="156">
        <v>26</v>
      </c>
      <c r="B42" s="157">
        <f>IF(A42&gt;C9,0,SUM(C298:C309)*($C$6/$C$7))</f>
        <v>0</v>
      </c>
      <c r="C42" s="173">
        <f>IF(A42&gt;C9,0,(E363+K363)*$C$8)</f>
        <v>0</v>
      </c>
      <c r="D42" s="3332">
        <f t="shared" si="0"/>
        <v>0</v>
      </c>
      <c r="E42" s="3332"/>
      <c r="F42" s="162"/>
      <c r="G42" s="162"/>
      <c r="H42" s="162"/>
    </row>
    <row r="43" spans="1:8" ht="12.6" customHeight="1">
      <c r="A43" s="60">
        <v>27</v>
      </c>
      <c r="B43" s="155">
        <f>IF(A43&gt;C9,0,SUM(C299:C310)*($C$6/$C$7))</f>
        <v>0</v>
      </c>
      <c r="C43" s="158">
        <f>IF(A43&gt;C9,0,(E375+K375)*$C$8)</f>
        <v>0</v>
      </c>
      <c r="D43" s="3329">
        <f t="shared" si="0"/>
        <v>0</v>
      </c>
      <c r="E43" s="3329"/>
      <c r="F43" s="162"/>
      <c r="G43" s="162"/>
      <c r="H43" s="162"/>
    </row>
    <row r="44" spans="1:8" ht="12.6" customHeight="1">
      <c r="A44" s="60">
        <v>28</v>
      </c>
      <c r="B44" s="155">
        <f>IF(A44&gt;C9,0,SUM(C300:C311)*($C$6/$C$7))</f>
        <v>0</v>
      </c>
      <c r="C44" s="158">
        <f>IF(A44&gt;C9,0,(E387+K387)*$C$8)</f>
        <v>0</v>
      </c>
      <c r="D44" s="3329">
        <f t="shared" si="0"/>
        <v>0</v>
      </c>
      <c r="E44" s="3329"/>
      <c r="F44" s="162"/>
      <c r="G44" s="162"/>
      <c r="H44" s="162"/>
    </row>
    <row r="45" spans="1:8" ht="12.6" customHeight="1">
      <c r="A45" s="60">
        <v>29</v>
      </c>
      <c r="B45" s="155">
        <f>IF(A45&gt;C9,0,SUM(C301:C312)*($C$6/$C$7))</f>
        <v>0</v>
      </c>
      <c r="C45" s="158">
        <f>IF(A45&gt;C9,0,(E411+K411)*$C$8)</f>
        <v>0</v>
      </c>
      <c r="D45" s="3329">
        <f t="shared" si="0"/>
        <v>0</v>
      </c>
      <c r="E45" s="3329"/>
      <c r="F45" s="162"/>
      <c r="G45" s="162"/>
      <c r="H45" s="162"/>
    </row>
    <row r="46" spans="1:8" ht="12.6" customHeight="1">
      <c r="A46" s="159">
        <v>30</v>
      </c>
      <c r="B46" s="160">
        <f>IF(A46&gt;C9,0,SUM(C302:C313)*($C$6/$C$7))</f>
        <v>0</v>
      </c>
      <c r="C46" s="172">
        <f>IF(A46&gt;C9,0,(E423+K423)*$C$8)</f>
        <v>0</v>
      </c>
      <c r="D46" s="3330">
        <f t="shared" si="0"/>
        <v>0</v>
      </c>
      <c r="E46" s="3330"/>
      <c r="F46" s="162"/>
      <c r="G46" s="162"/>
      <c r="H46" s="162"/>
    </row>
    <row r="47" spans="1:8" ht="12.6" customHeight="1">
      <c r="A47" s="156">
        <v>31</v>
      </c>
      <c r="B47" s="157">
        <f>IF(A47&gt;C9,0,SUM(C303:C314)*($C$6/$C$7))</f>
        <v>0</v>
      </c>
      <c r="C47" s="173">
        <f>IF(A47&gt;C9,0,(E435+K435)*$C$8)</f>
        <v>0</v>
      </c>
      <c r="D47" s="3332">
        <f t="shared" si="0"/>
        <v>0</v>
      </c>
      <c r="E47" s="3332"/>
      <c r="F47" s="162"/>
      <c r="G47" s="162"/>
      <c r="H47" s="162"/>
    </row>
    <row r="48" spans="1:8" ht="12.6" customHeight="1">
      <c r="A48" s="60">
        <v>32</v>
      </c>
      <c r="B48" s="155">
        <f>IF(A48&gt;C9,0,SUM(C304:C315)*($C$6/$C$7))</f>
        <v>0</v>
      </c>
      <c r="C48" s="158">
        <f>IF(A48&gt;C9,0,(E447+K447)*$C$8)</f>
        <v>0</v>
      </c>
      <c r="D48" s="3329">
        <f t="shared" si="0"/>
        <v>0</v>
      </c>
      <c r="E48" s="3329"/>
      <c r="F48" s="162"/>
      <c r="G48" s="162"/>
      <c r="H48" s="162"/>
    </row>
    <row r="49" spans="1:12" ht="12.6" customHeight="1">
      <c r="A49" s="60">
        <v>33</v>
      </c>
      <c r="B49" s="155">
        <f>IF(A49&gt;C9,0,SUM(C305:C316)*($C$6/$C$7))</f>
        <v>0</v>
      </c>
      <c r="C49" s="158">
        <f>IF(A49&gt;C9,0,(E459+K459)*$C$8)</f>
        <v>0</v>
      </c>
      <c r="D49" s="3329">
        <f t="shared" si="0"/>
        <v>0</v>
      </c>
      <c r="E49" s="3329"/>
      <c r="F49" s="162"/>
      <c r="G49" s="162"/>
      <c r="H49" s="162"/>
    </row>
    <row r="50" spans="1:12" ht="12.6" customHeight="1">
      <c r="A50" s="60">
        <v>34</v>
      </c>
      <c r="B50" s="155">
        <f>IF(A50&gt;C9,0,SUM(C306:C317)*($C$6/$C$7))</f>
        <v>0</v>
      </c>
      <c r="C50" s="158">
        <f>IF(A50&gt;C9,0,(E471+K471)*$C$8)</f>
        <v>0</v>
      </c>
      <c r="D50" s="3329">
        <f t="shared" si="0"/>
        <v>0</v>
      </c>
      <c r="E50" s="3329"/>
      <c r="F50" s="162"/>
      <c r="G50" s="162"/>
      <c r="H50" s="162"/>
    </row>
    <row r="51" spans="1:12" ht="12.6" customHeight="1">
      <c r="A51" s="159">
        <v>35</v>
      </c>
      <c r="B51" s="160">
        <f>IF(A51&gt;C9,0,SUM(C307:C318)*($C$6/$C$7))</f>
        <v>0</v>
      </c>
      <c r="C51" s="172">
        <f>IF(A51&gt;C9,0,(E483+K483)*$C$8)</f>
        <v>0</v>
      </c>
      <c r="D51" s="3330">
        <f t="shared" si="0"/>
        <v>0</v>
      </c>
      <c r="E51" s="3330"/>
      <c r="F51" s="162"/>
      <c r="G51" s="162"/>
      <c r="H51" s="162"/>
    </row>
    <row r="52" spans="1:12" ht="12.6" customHeight="1">
      <c r="A52" s="156">
        <v>36</v>
      </c>
      <c r="B52" s="157">
        <f>IF(A52&gt;C9,0,SUM(C308:C319)*($C$6/$C$7))</f>
        <v>0</v>
      </c>
      <c r="C52" s="173">
        <f>IF(A52&gt;C9,0,(E495+K495)*$C$8)</f>
        <v>0</v>
      </c>
      <c r="D52" s="3332">
        <f t="shared" si="0"/>
        <v>0</v>
      </c>
      <c r="E52" s="3332"/>
      <c r="F52" s="162"/>
      <c r="G52" s="162"/>
      <c r="H52" s="162"/>
    </row>
    <row r="53" spans="1:12" ht="12.6" customHeight="1">
      <c r="A53" s="60">
        <v>37</v>
      </c>
      <c r="B53" s="155">
        <f>IF(A53&gt;C9,0,SUM(C309:C320)*($C$6/$C$7))</f>
        <v>0</v>
      </c>
      <c r="C53" s="158">
        <f>IF(A53&gt;C9,0,(E507+K507)*$C$8)</f>
        <v>0</v>
      </c>
      <c r="D53" s="3329">
        <f t="shared" si="0"/>
        <v>0</v>
      </c>
      <c r="E53" s="3329"/>
      <c r="F53" s="162"/>
      <c r="G53" s="162"/>
      <c r="H53" s="162"/>
    </row>
    <row r="54" spans="1:12" ht="12.6" customHeight="1">
      <c r="A54" s="60">
        <v>38</v>
      </c>
      <c r="B54" s="155">
        <f>IF(A54&gt;C9,0,SUM(C310:C321)*($C$6/$C$7))</f>
        <v>0</v>
      </c>
      <c r="C54" s="158">
        <f>IF(A54&gt;C9,0,(E519+K519)*$C$8)</f>
        <v>0</v>
      </c>
      <c r="D54" s="3329">
        <f t="shared" si="0"/>
        <v>0</v>
      </c>
      <c r="E54" s="3329"/>
      <c r="F54" s="162"/>
      <c r="G54" s="162"/>
      <c r="H54" s="162"/>
    </row>
    <row r="55" spans="1:12" ht="12.6" customHeight="1">
      <c r="A55" s="60">
        <v>39</v>
      </c>
      <c r="B55" s="155">
        <f>IF(A55&gt;C9,0,SUM(C311:C322)*($C$6/$C$7))</f>
        <v>0</v>
      </c>
      <c r="C55" s="158">
        <f>IF(A55&gt;C9,0,(E531+K531)*$C$8)</f>
        <v>0</v>
      </c>
      <c r="D55" s="3329">
        <f t="shared" si="0"/>
        <v>0</v>
      </c>
      <c r="E55" s="3329"/>
      <c r="F55" s="162"/>
      <c r="G55" s="162"/>
      <c r="H55" s="162"/>
    </row>
    <row r="56" spans="1:12" ht="12.6" customHeight="1">
      <c r="A56" s="159">
        <v>40</v>
      </c>
      <c r="B56" s="160">
        <f>IF(A56&gt;C9,0,SUM(C312:C323)*($C$6/$C$7))</f>
        <v>0</v>
      </c>
      <c r="C56" s="172">
        <f>IF(A56&gt;C9,0,(E543+K543)*$C$8)</f>
        <v>0</v>
      </c>
      <c r="D56" s="3330">
        <f t="shared" si="0"/>
        <v>0</v>
      </c>
      <c r="E56" s="3330"/>
      <c r="F56" s="162"/>
      <c r="G56" s="162"/>
      <c r="H56" s="162"/>
    </row>
    <row r="57" spans="1:12" ht="3" customHeight="1">
      <c r="A57" s="162"/>
      <c r="B57" s="162"/>
      <c r="C57" s="162"/>
      <c r="D57" s="162"/>
      <c r="E57" s="162"/>
      <c r="F57" s="162"/>
      <c r="G57" s="162"/>
      <c r="H57" s="162"/>
    </row>
    <row r="58" spans="1:12" ht="13.35" customHeight="1">
      <c r="A58" s="3328" t="e">
        <f>CONCATENATE(#REF!," ",#REF!,", ",#REF!,", ",#REF!," County")</f>
        <v>#REF!</v>
      </c>
      <c r="B58" s="3328"/>
      <c r="C58" s="3328"/>
      <c r="D58" s="3328"/>
      <c r="E58" s="3328"/>
      <c r="F58" s="3328"/>
      <c r="G58" s="3328" t="e">
        <f>CONCATENATE(#REF!," ",#REF!,", ",#REF!,", ",#REF!," County")</f>
        <v>#REF!</v>
      </c>
      <c r="H58" s="3328"/>
      <c r="I58" s="3328"/>
      <c r="J58" s="3328"/>
      <c r="K58" s="3328"/>
      <c r="L58" s="3328"/>
    </row>
    <row r="59" spans="1:12" ht="13.8">
      <c r="A59" s="3326" t="s">
        <v>2268</v>
      </c>
      <c r="B59" s="3326"/>
      <c r="C59" s="3326"/>
      <c r="D59" s="3326"/>
      <c r="E59" s="3326"/>
      <c r="F59" s="3326"/>
      <c r="G59" s="3326" t="s">
        <v>2268</v>
      </c>
      <c r="H59" s="3326"/>
      <c r="I59" s="3326"/>
      <c r="J59" s="3326"/>
      <c r="K59" s="3326"/>
      <c r="L59" s="3326"/>
    </row>
    <row r="60" spans="1:12" ht="6" customHeight="1">
      <c r="C60" s="161"/>
      <c r="D60" s="161"/>
      <c r="I60" s="161"/>
      <c r="J60" s="161"/>
    </row>
    <row r="61" spans="1:12">
      <c r="A61" s="163" t="s">
        <v>2269</v>
      </c>
      <c r="B61" s="164" t="s">
        <v>2270</v>
      </c>
      <c r="C61" s="164" t="s">
        <v>1215</v>
      </c>
      <c r="D61" s="164" t="s">
        <v>2271</v>
      </c>
      <c r="E61" s="163" t="s">
        <v>2272</v>
      </c>
      <c r="F61" s="185" t="s">
        <v>2277</v>
      </c>
      <c r="G61" s="163" t="s">
        <v>2269</v>
      </c>
      <c r="H61" s="164" t="s">
        <v>2270</v>
      </c>
      <c r="I61" s="164" t="s">
        <v>1215</v>
      </c>
      <c r="J61" s="164" t="s">
        <v>2271</v>
      </c>
      <c r="K61" s="163" t="s">
        <v>2272</v>
      </c>
      <c r="L61" s="185" t="s">
        <v>2277</v>
      </c>
    </row>
    <row r="62" spans="1:12" ht="3.6" customHeight="1">
      <c r="A62" s="60"/>
      <c r="F62" s="60"/>
      <c r="G62" s="60"/>
      <c r="L62" s="60"/>
    </row>
    <row r="63" spans="1:12">
      <c r="A63" s="159" t="s">
        <v>2273</v>
      </c>
      <c r="B63" s="165"/>
      <c r="C63" s="165"/>
      <c r="D63" s="165"/>
      <c r="E63" s="166">
        <f>IF($C$5&gt;1500000,$D$5,$C$5)</f>
        <v>0</v>
      </c>
      <c r="F63" s="60"/>
      <c r="G63" s="159" t="s">
        <v>2273</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26" t="s">
        <v>210</v>
      </c>
      <c r="B3" s="3326"/>
      <c r="C3" s="3326"/>
      <c r="D3" s="3326"/>
      <c r="E3" s="3326"/>
      <c r="F3" s="3326"/>
      <c r="G3" s="189"/>
      <c r="H3" s="189"/>
    </row>
    <row r="4" spans="1:17">
      <c r="A4" s="10"/>
    </row>
    <row r="5" spans="1:17" ht="13.35" customHeight="1">
      <c r="A5" t="s">
        <v>2077</v>
      </c>
      <c r="D5" s="183"/>
      <c r="E5" s="3337" t="s">
        <v>894</v>
      </c>
      <c r="F5" s="3338"/>
      <c r="G5" s="126"/>
    </row>
    <row r="6" spans="1:17">
      <c r="E6" s="3338"/>
      <c r="F6" s="3338"/>
      <c r="G6" s="126"/>
    </row>
    <row r="7" spans="1:17">
      <c r="A7" t="s">
        <v>2260</v>
      </c>
      <c r="C7" t="s">
        <v>2261</v>
      </c>
      <c r="D7" s="184"/>
      <c r="E7" s="3338"/>
      <c r="F7" s="3338"/>
      <c r="G7" s="126"/>
    </row>
    <row r="8" spans="1:17">
      <c r="C8" t="s">
        <v>2262</v>
      </c>
      <c r="D8" s="184"/>
      <c r="E8" s="3338"/>
      <c r="F8" s="3338"/>
      <c r="G8" s="126"/>
    </row>
    <row r="9" spans="1:17">
      <c r="C9" t="s">
        <v>2263</v>
      </c>
      <c r="D9" s="184"/>
      <c r="E9" s="3338"/>
      <c r="F9" s="3338"/>
      <c r="G9" s="126"/>
    </row>
    <row r="10" spans="1:17">
      <c r="C10" t="s">
        <v>2276</v>
      </c>
      <c r="D10" s="190">
        <f>D7+D8+D9</f>
        <v>0</v>
      </c>
      <c r="E10" s="3338"/>
      <c r="F10" s="3338"/>
      <c r="G10" s="126"/>
    </row>
    <row r="11" spans="1:17">
      <c r="F11" s="126"/>
      <c r="G11" s="126"/>
    </row>
    <row r="12" spans="1:17">
      <c r="A12" t="s">
        <v>1593</v>
      </c>
      <c r="D12" s="182"/>
      <c r="E12" t="s">
        <v>1975</v>
      </c>
      <c r="F12" s="126"/>
      <c r="G12" s="126"/>
    </row>
    <row r="13" spans="1:17">
      <c r="D13" s="161"/>
      <c r="F13" s="126"/>
      <c r="G13" s="126"/>
    </row>
    <row r="14" spans="1:17">
      <c r="A14" t="s">
        <v>2265</v>
      </c>
      <c r="D14" s="181"/>
      <c r="E14" t="s">
        <v>2266</v>
      </c>
      <c r="F14" s="191"/>
    </row>
    <row r="15" spans="1:17">
      <c r="D15" s="174"/>
      <c r="F15" s="191"/>
    </row>
    <row r="16" spans="1:17">
      <c r="A16" t="s">
        <v>2267</v>
      </c>
      <c r="D16" s="181"/>
      <c r="E16" t="s">
        <v>2266</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327" t="s">
        <v>1594</v>
      </c>
      <c r="B24" s="3327"/>
      <c r="C24" s="3327"/>
      <c r="D24" s="3327"/>
      <c r="E24" s="3327"/>
      <c r="F24" s="3327"/>
      <c r="J24" s="192"/>
    </row>
    <row r="25" spans="1:10">
      <c r="C25" s="161"/>
      <c r="J25" s="192"/>
    </row>
    <row r="26" spans="1:10">
      <c r="A26" s="82"/>
      <c r="B26" s="60"/>
      <c r="C26" s="3339" t="s">
        <v>2076</v>
      </c>
      <c r="D26" s="188"/>
      <c r="E26" s="60"/>
      <c r="F26" s="3339" t="s">
        <v>2076</v>
      </c>
      <c r="J26" s="192"/>
    </row>
    <row r="27" spans="1:10">
      <c r="A27" s="193" t="s">
        <v>2277</v>
      </c>
      <c r="B27" s="24" t="s">
        <v>961</v>
      </c>
      <c r="C27" s="3340"/>
      <c r="D27" s="194" t="s">
        <v>2277</v>
      </c>
      <c r="E27" s="24" t="s">
        <v>961</v>
      </c>
      <c r="F27" s="334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8" t="e">
        <f>CONCATENATE(#REF!," ",#REF!,", ",#REF!,", ",#REF!," County")</f>
        <v>#REF!</v>
      </c>
      <c r="B50" s="3328"/>
      <c r="C50" s="3328"/>
      <c r="D50" s="3328"/>
      <c r="E50" s="3328"/>
      <c r="F50" s="3328"/>
      <c r="G50" s="41"/>
      <c r="H50" s="41"/>
    </row>
    <row r="51" spans="1:10" ht="13.8">
      <c r="A51" s="3326" t="s">
        <v>2268</v>
      </c>
      <c r="B51" s="3326"/>
      <c r="C51" s="3326"/>
      <c r="D51" s="3326"/>
      <c r="E51" s="3326"/>
      <c r="F51" s="3326"/>
      <c r="G51" s="189"/>
      <c r="H51" s="189"/>
      <c r="I51" s="189"/>
      <c r="J51" s="189"/>
    </row>
    <row r="52" spans="1:10" ht="5.7" customHeight="1">
      <c r="C52" s="161"/>
      <c r="D52" s="161"/>
    </row>
    <row r="53" spans="1:10">
      <c r="A53" s="163" t="s">
        <v>2269</v>
      </c>
      <c r="B53" s="163" t="s">
        <v>2270</v>
      </c>
      <c r="C53" s="163" t="s">
        <v>1215</v>
      </c>
      <c r="D53" s="163" t="s">
        <v>2271</v>
      </c>
      <c r="E53" s="163" t="s">
        <v>2272</v>
      </c>
      <c r="F53" s="185" t="s">
        <v>2277</v>
      </c>
      <c r="G53" s="163"/>
      <c r="H53" s="163"/>
      <c r="I53" s="163"/>
    </row>
    <row r="54" spans="1:10" ht="3.6" customHeight="1">
      <c r="F54" s="60"/>
    </row>
    <row r="55" spans="1:10">
      <c r="A55" t="s">
        <v>2273</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182" zoomScale="115" zoomScaleNormal="115" workbookViewId="0">
      <selection activeCell="H178" sqref="H178"/>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2513"/>
    <col min="54" max="16384" width="9.33203125" style="145"/>
  </cols>
  <sheetData>
    <row r="1" spans="1:53" s="728" customFormat="1" hidden="1">
      <c r="G1" s="728" t="s">
        <v>4225</v>
      </c>
      <c r="J1" s="728" t="s">
        <v>4226</v>
      </c>
      <c r="M1" s="728" t="s">
        <v>4227</v>
      </c>
      <c r="N1" s="728" t="s">
        <v>4228</v>
      </c>
      <c r="P1" s="728" t="s">
        <v>4229</v>
      </c>
      <c r="Q1" s="728" t="s">
        <v>4230</v>
      </c>
      <c r="S1" s="728" t="s">
        <v>4231</v>
      </c>
      <c r="AZ1" s="2513"/>
      <c r="BA1" s="2514">
        <v>1</v>
      </c>
    </row>
    <row r="2" spans="1:53" s="144" customFormat="1" ht="13.5" customHeight="1">
      <c r="A2" s="3515" t="str">
        <f>CONCATENATE("PART THREE (A):  USES OF FUNDS","  -  ",'Part I-Project Identification'!$O$7," ",'Part I-Project Identification'!$F$26,", ",'Part I-Project Identification'!F27,", ",'Part I-Project Identification'!J27," County")</f>
        <v>PART THREE (A):  USES OF FUNDS  -  2025-0 Retreat at Madison Place, Decatur, DeKalb County</v>
      </c>
      <c r="B2" s="3516"/>
      <c r="C2" s="3516"/>
      <c r="D2" s="3516"/>
      <c r="E2" s="3516"/>
      <c r="F2" s="3516"/>
      <c r="G2" s="3516"/>
      <c r="H2" s="3516"/>
      <c r="I2" s="3516"/>
      <c r="J2" s="3516"/>
      <c r="K2" s="3516"/>
      <c r="L2" s="3516"/>
      <c r="M2" s="3516"/>
      <c r="N2" s="3516"/>
      <c r="O2" s="3516"/>
      <c r="P2" s="3516"/>
      <c r="Q2" s="3516"/>
      <c r="R2" s="3516"/>
      <c r="S2" s="3516"/>
      <c r="T2" s="3516"/>
      <c r="W2" s="3517" t="str">
        <f>A2</f>
        <v>PART THREE (A):  USES OF FUNDS  -  2025-0 Retreat at Madison Place, Decatur, DeKalb County</v>
      </c>
      <c r="X2" s="3517"/>
      <c r="AZ2" s="2515"/>
      <c r="BA2" s="2514">
        <v>2</v>
      </c>
    </row>
    <row r="3" spans="1:53" ht="2.25" customHeight="1">
      <c r="BA3" s="2514">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2515"/>
      <c r="BA4" s="2514">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2515"/>
      <c r="BA5" s="2514">
        <v>5</v>
      </c>
    </row>
    <row r="6" spans="1:53" s="144" customFormat="1" ht="19.5" customHeight="1" thickBot="1">
      <c r="A6" s="342" t="s">
        <v>572</v>
      </c>
      <c r="B6" s="342" t="s">
        <v>841</v>
      </c>
      <c r="D6" s="3518" t="str">
        <f>'Part I-Project Identification'!$A$6</f>
        <v>May 31, 2025</v>
      </c>
      <c r="E6" s="3518"/>
      <c r="F6" s="3518"/>
      <c r="G6" s="3518"/>
      <c r="H6" s="3518"/>
      <c r="I6" s="375"/>
      <c r="J6" s="3427" t="s">
        <v>259</v>
      </c>
      <c r="K6" s="3428"/>
      <c r="L6" s="280"/>
      <c r="M6" s="3440" t="s">
        <v>459</v>
      </c>
      <c r="N6" s="3441"/>
      <c r="P6" s="3427" t="s">
        <v>260</v>
      </c>
      <c r="Q6" s="3428"/>
      <c r="S6" s="3427" t="s">
        <v>261</v>
      </c>
      <c r="T6" s="3428"/>
      <c r="V6" s="343" t="str">
        <f>B6</f>
        <v>DEVELOPMENT BUDGET</v>
      </c>
      <c r="AZ6" s="2515"/>
      <c r="BA6" s="2514">
        <v>6</v>
      </c>
    </row>
    <row r="7" spans="1:53" s="144" customFormat="1" ht="19.5" customHeight="1" thickBot="1">
      <c r="D7" s="1161"/>
      <c r="E7" s="1161"/>
      <c r="F7" s="1161"/>
      <c r="G7" s="3444" t="s">
        <v>95</v>
      </c>
      <c r="H7" s="3445"/>
      <c r="J7" s="3429"/>
      <c r="K7" s="3430"/>
      <c r="L7" s="280"/>
      <c r="M7" s="3442"/>
      <c r="N7" s="3443"/>
      <c r="P7" s="3429"/>
      <c r="Q7" s="3430"/>
      <c r="S7" s="3429"/>
      <c r="T7" s="3430"/>
      <c r="V7" s="253" t="s">
        <v>2440</v>
      </c>
      <c r="X7" s="253"/>
      <c r="AZ7" s="2515"/>
      <c r="BA7" s="2514">
        <v>7</v>
      </c>
    </row>
    <row r="8" spans="1:53" s="144" customFormat="1" ht="12" customHeight="1">
      <c r="B8" s="243" t="s">
        <v>96</v>
      </c>
      <c r="O8" s="374" t="str">
        <f>B8</f>
        <v>PRE-DEVELOPMENT COSTS</v>
      </c>
      <c r="W8" s="144" t="str">
        <f>B8</f>
        <v>PRE-DEVELOPMENT COSTS</v>
      </c>
      <c r="AZ8" s="2515"/>
      <c r="BA8" s="2514">
        <v>8</v>
      </c>
    </row>
    <row r="9" spans="1:53" s="144" customFormat="1" ht="11.25" customHeight="1">
      <c r="B9" s="144" t="s">
        <v>1849</v>
      </c>
      <c r="G9" s="3446">
        <v>10000</v>
      </c>
      <c r="H9" s="3447"/>
      <c r="J9" s="3446"/>
      <c r="K9" s="3447"/>
      <c r="L9" s="811"/>
      <c r="M9" s="3446"/>
      <c r="N9" s="3447"/>
      <c r="P9" s="3446">
        <v>10000</v>
      </c>
      <c r="Q9" s="3447"/>
      <c r="S9" s="3446"/>
      <c r="T9" s="3447"/>
      <c r="V9" s="832"/>
      <c r="W9" s="3341"/>
      <c r="X9" s="3342"/>
      <c r="AZ9" s="2515"/>
      <c r="BA9" s="2514">
        <v>9</v>
      </c>
    </row>
    <row r="10" spans="1:53" s="144" customFormat="1" ht="11.25" customHeight="1">
      <c r="B10" s="144" t="s">
        <v>430</v>
      </c>
      <c r="G10" s="3275">
        <v>7500</v>
      </c>
      <c r="H10" s="3276"/>
      <c r="J10" s="3275"/>
      <c r="K10" s="3276"/>
      <c r="L10" s="811"/>
      <c r="M10" s="3275"/>
      <c r="N10" s="3276"/>
      <c r="P10" s="3275">
        <v>7500</v>
      </c>
      <c r="Q10" s="3276"/>
      <c r="S10" s="3275"/>
      <c r="T10" s="3276"/>
      <c r="V10" s="832"/>
      <c r="W10" s="3341"/>
      <c r="X10" s="3342"/>
      <c r="AZ10" s="2515"/>
      <c r="BA10" s="2514">
        <v>10</v>
      </c>
    </row>
    <row r="11" spans="1:53" s="144" customFormat="1" ht="11.25" customHeight="1">
      <c r="B11" s="144" t="s">
        <v>457</v>
      </c>
      <c r="G11" s="3275">
        <v>8200</v>
      </c>
      <c r="H11" s="3276"/>
      <c r="J11" s="3275"/>
      <c r="K11" s="3276"/>
      <c r="L11" s="811"/>
      <c r="M11" s="3275"/>
      <c r="N11" s="3276"/>
      <c r="P11" s="3275">
        <v>8200</v>
      </c>
      <c r="Q11" s="3276"/>
      <c r="S11" s="3275"/>
      <c r="T11" s="3276"/>
      <c r="V11" s="832"/>
      <c r="W11" s="3341"/>
      <c r="X11" s="3342"/>
      <c r="AZ11" s="2515"/>
      <c r="BA11" s="2514">
        <v>11</v>
      </c>
    </row>
    <row r="12" spans="1:53" s="144" customFormat="1" ht="11.25" customHeight="1">
      <c r="B12" s="144" t="s">
        <v>458</v>
      </c>
      <c r="G12" s="3275"/>
      <c r="H12" s="3276"/>
      <c r="J12" s="3275"/>
      <c r="K12" s="3276"/>
      <c r="L12" s="811"/>
      <c r="M12" s="3275"/>
      <c r="N12" s="3276"/>
      <c r="P12" s="3275"/>
      <c r="Q12" s="3276"/>
      <c r="S12" s="3275"/>
      <c r="T12" s="3276"/>
      <c r="V12" s="832"/>
      <c r="W12" s="3341"/>
      <c r="X12" s="3342"/>
      <c r="AZ12" s="2515"/>
      <c r="BA12" s="2514">
        <v>12</v>
      </c>
    </row>
    <row r="13" spans="1:53" s="144" customFormat="1" ht="11.25" customHeight="1">
      <c r="B13" s="144" t="s">
        <v>2294</v>
      </c>
      <c r="G13" s="3275">
        <v>15000</v>
      </c>
      <c r="H13" s="3276"/>
      <c r="J13" s="3275"/>
      <c r="K13" s="3276"/>
      <c r="L13" s="811"/>
      <c r="M13" s="3275"/>
      <c r="N13" s="3276"/>
      <c r="P13" s="3275">
        <v>15000</v>
      </c>
      <c r="Q13" s="3276"/>
      <c r="S13" s="3275"/>
      <c r="T13" s="3276"/>
      <c r="V13" s="832"/>
      <c r="W13" s="3341"/>
      <c r="X13" s="3342"/>
      <c r="AZ13" s="2515"/>
      <c r="BA13" s="2514">
        <v>13</v>
      </c>
    </row>
    <row r="14" spans="1:53" s="144" customFormat="1" ht="11.25" customHeight="1">
      <c r="B14" s="144" t="s">
        <v>183</v>
      </c>
      <c r="G14" s="3275"/>
      <c r="H14" s="3276"/>
      <c r="J14" s="3275"/>
      <c r="K14" s="3276"/>
      <c r="L14" s="811"/>
      <c r="M14" s="3275"/>
      <c r="N14" s="3276"/>
      <c r="P14" s="3275"/>
      <c r="Q14" s="3276"/>
      <c r="S14" s="3275"/>
      <c r="T14" s="3276"/>
      <c r="V14" s="832"/>
      <c r="W14" s="3341"/>
      <c r="X14" s="3342"/>
      <c r="AZ14" s="2515"/>
      <c r="BA14" s="2514">
        <v>14</v>
      </c>
    </row>
    <row r="15" spans="1:53" s="144" customFormat="1" ht="11.25" customHeight="1">
      <c r="A15" s="303" t="str">
        <f>IF(AND(G15&gt;0,OR(C15="",C15="&lt;Enter detailed description here; use Comments section if needed&gt;")),"X","")</f>
        <v/>
      </c>
      <c r="B15" s="147" t="s">
        <v>4163</v>
      </c>
      <c r="C15" s="3438" t="s">
        <v>4937</v>
      </c>
      <c r="D15" s="3438"/>
      <c r="E15" s="3438"/>
      <c r="F15" s="3439"/>
      <c r="G15" s="3275">
        <v>15000</v>
      </c>
      <c r="H15" s="3276"/>
      <c r="J15" s="3275"/>
      <c r="K15" s="3276"/>
      <c r="L15" s="811"/>
      <c r="M15" s="3275"/>
      <c r="N15" s="3276"/>
      <c r="P15" s="3275">
        <v>15000</v>
      </c>
      <c r="Q15" s="3276"/>
      <c r="S15" s="3275"/>
      <c r="T15" s="3276"/>
      <c r="U15" s="302" t="str">
        <f>IF(AND(G15&gt;0,OR(C15="",C15="&lt;Enter detailed description here; use Comments section if needed&gt;")),"NO DESCRIPTION PROVIDED - please enter detailed description in Other box at left; use Comments section below if needed.","")</f>
        <v/>
      </c>
      <c r="V15" s="833"/>
      <c r="W15" s="3341"/>
      <c r="X15" s="3342"/>
      <c r="AZ15" s="2515" t="s">
        <v>4257</v>
      </c>
      <c r="BA15" s="2514">
        <v>15</v>
      </c>
    </row>
    <row r="16" spans="1:53" s="144" customFormat="1" ht="11.25" customHeight="1">
      <c r="A16" s="303" t="str">
        <f>IF(AND(G16&gt;0,OR(C16="",C16="&lt;Enter detailed description here; use Comments section if needed&gt;")),"X","")</f>
        <v/>
      </c>
      <c r="B16" s="147" t="s">
        <v>4164</v>
      </c>
      <c r="C16" s="3438" t="s">
        <v>4603</v>
      </c>
      <c r="D16" s="3438"/>
      <c r="E16" s="3438"/>
      <c r="F16" s="3439"/>
      <c r="G16" s="3275"/>
      <c r="H16" s="3276"/>
      <c r="J16" s="3275"/>
      <c r="K16" s="3276"/>
      <c r="L16" s="811"/>
      <c r="M16" s="3275"/>
      <c r="N16" s="3276"/>
      <c r="P16" s="3275"/>
      <c r="Q16" s="3276"/>
      <c r="S16" s="3275"/>
      <c r="T16" s="3276"/>
      <c r="U16" s="302" t="str">
        <f>IF(AND(G16&gt;0,OR(C16="",C16="&lt;Enter detailed description here; use Comments section if needed&gt;")),"NO DESCRIPTION PROVIDED - please enter detailed description in Other box at left; use Comments section below if needed.","")</f>
        <v/>
      </c>
      <c r="V16" s="833"/>
      <c r="W16" s="3341"/>
      <c r="X16" s="3342"/>
      <c r="AZ16" s="2515" t="s">
        <v>4258</v>
      </c>
      <c r="BA16" s="2514">
        <v>16</v>
      </c>
    </row>
    <row r="17" spans="1:53" s="144" customFormat="1" ht="11.25" customHeight="1" thickBot="1">
      <c r="A17" s="303" t="str">
        <f>IF(AND(G17&gt;0,OR(C17="",C17="&lt;Enter detailed description here; use Comments section if needed&gt;")),"X","")</f>
        <v/>
      </c>
      <c r="B17" s="147" t="s">
        <v>4165</v>
      </c>
      <c r="C17" s="3438" t="s">
        <v>4603</v>
      </c>
      <c r="D17" s="3438"/>
      <c r="E17" s="3438"/>
      <c r="F17" s="3439"/>
      <c r="G17" s="3448"/>
      <c r="H17" s="3449"/>
      <c r="J17" s="3448"/>
      <c r="K17" s="3449"/>
      <c r="L17" s="811"/>
      <c r="M17" s="3448"/>
      <c r="N17" s="3449"/>
      <c r="P17" s="3448"/>
      <c r="Q17" s="3449"/>
      <c r="S17" s="3448"/>
      <c r="T17" s="3449"/>
      <c r="U17" s="302" t="str">
        <f>IF(AND(G17&gt;0,OR(C17="",C17="&lt;Enter detailed description here; use Comments section if needed&gt;")),"NO DESCRIPTION PROVIDED - please enter detailed description in Other box at left; use Comments section below if needed.","")</f>
        <v/>
      </c>
      <c r="V17" s="833"/>
      <c r="W17" s="3399"/>
      <c r="X17" s="3400"/>
      <c r="AZ17" s="2515" t="s">
        <v>4259</v>
      </c>
      <c r="BA17" s="2514">
        <v>17</v>
      </c>
    </row>
    <row r="18" spans="1:53" s="144" customFormat="1" ht="12.6" customHeight="1" thickTop="1">
      <c r="F18" s="281" t="s">
        <v>184</v>
      </c>
      <c r="G18" s="3436">
        <f>SUM(G9:G17)</f>
        <v>55700</v>
      </c>
      <c r="H18" s="3437"/>
      <c r="J18" s="3436">
        <f>SUM(J9:J17)</f>
        <v>0</v>
      </c>
      <c r="K18" s="3437"/>
      <c r="L18" s="811"/>
      <c r="M18" s="3436">
        <f>SUM(M9:M17)</f>
        <v>0</v>
      </c>
      <c r="N18" s="3437"/>
      <c r="P18" s="3436">
        <f>SUM(P9:P17)</f>
        <v>55700</v>
      </c>
      <c r="Q18" s="3437"/>
      <c r="S18" s="3436">
        <f>SUM(S9:S17)</f>
        <v>0</v>
      </c>
      <c r="T18" s="3437"/>
      <c r="V18" s="834">
        <f>SUM(V9:V17)</f>
        <v>0</v>
      </c>
      <c r="W18" s="3420"/>
      <c r="X18" s="3421"/>
      <c r="AZ18" s="2515" t="s">
        <v>4260</v>
      </c>
      <c r="BA18" s="2514">
        <v>18</v>
      </c>
    </row>
    <row r="19" spans="1:53" s="144" customFormat="1" ht="12" customHeight="1">
      <c r="B19" s="243" t="s">
        <v>2031</v>
      </c>
      <c r="J19" s="280"/>
      <c r="K19" s="280"/>
      <c r="M19" s="280"/>
      <c r="N19" s="280"/>
      <c r="O19" s="282" t="str">
        <f>B19</f>
        <v>ACQUISITION</v>
      </c>
      <c r="P19" s="280"/>
      <c r="Q19" s="280"/>
      <c r="S19" s="280"/>
      <c r="T19" s="280"/>
      <c r="V19" s="835"/>
      <c r="W19" s="144" t="str">
        <f>B19</f>
        <v>ACQUISITION</v>
      </c>
      <c r="AZ19" s="2515"/>
      <c r="BA19" s="2514">
        <v>19</v>
      </c>
    </row>
    <row r="20" spans="1:53" s="144" customFormat="1" ht="11.25" customHeight="1">
      <c r="B20" s="144" t="s">
        <v>2032</v>
      </c>
      <c r="E20" s="644" t="s">
        <v>3134</v>
      </c>
      <c r="F20" s="1789">
        <f>IF('Part I-Project Identification'!$O$28="","",G20/'Part I-Project Identification'!$O$28)</f>
        <v>264598.54014598537</v>
      </c>
      <c r="G20" s="3446">
        <v>1450000</v>
      </c>
      <c r="H20" s="3447"/>
      <c r="J20" s="283"/>
      <c r="K20" s="280"/>
      <c r="L20" s="283"/>
      <c r="M20" s="283"/>
      <c r="N20" s="280"/>
      <c r="P20" s="283"/>
      <c r="Q20" s="280"/>
      <c r="S20" s="3446">
        <v>1450000</v>
      </c>
      <c r="T20" s="3447"/>
      <c r="V20" s="832"/>
      <c r="W20" s="3341"/>
      <c r="X20" s="3342"/>
      <c r="AZ20" s="2515"/>
      <c r="BA20" s="2514">
        <v>20</v>
      </c>
    </row>
    <row r="21" spans="1:53" s="144" customFormat="1" ht="11.25" customHeight="1">
      <c r="B21" s="144" t="s">
        <v>1053</v>
      </c>
      <c r="G21" s="3275"/>
      <c r="H21" s="3276"/>
      <c r="J21" s="283"/>
      <c r="K21" s="280"/>
      <c r="L21" s="283"/>
      <c r="M21" s="283"/>
      <c r="N21" s="280"/>
      <c r="P21" s="283"/>
      <c r="Q21" s="280"/>
      <c r="S21" s="3275"/>
      <c r="T21" s="3276"/>
      <c r="V21" s="832"/>
      <c r="W21" s="3341"/>
      <c r="X21" s="3342"/>
      <c r="AZ21" s="2515"/>
      <c r="BA21" s="2514">
        <v>21</v>
      </c>
    </row>
    <row r="22" spans="1:53" s="144" customFormat="1" ht="11.25" customHeight="1">
      <c r="B22" s="144" t="s">
        <v>431</v>
      </c>
      <c r="G22" s="3275"/>
      <c r="H22" s="3276"/>
      <c r="J22" s="283"/>
      <c r="K22" s="280"/>
      <c r="L22" s="283"/>
      <c r="M22" s="3446"/>
      <c r="N22" s="3447"/>
      <c r="P22" s="283"/>
      <c r="Q22" s="280"/>
      <c r="S22" s="3275"/>
      <c r="T22" s="3276"/>
      <c r="V22" s="832"/>
      <c r="W22" s="3341"/>
      <c r="X22" s="3342"/>
      <c r="AZ22" s="2515"/>
      <c r="BA22" s="2514">
        <v>22</v>
      </c>
    </row>
    <row r="23" spans="1:53" s="144" customFormat="1" ht="11.25" customHeight="1" thickBot="1">
      <c r="B23" s="144" t="s">
        <v>404</v>
      </c>
      <c r="G23" s="3448">
        <v>13050000</v>
      </c>
      <c r="H23" s="3449"/>
      <c r="J23" s="283"/>
      <c r="K23" s="280"/>
      <c r="L23" s="283"/>
      <c r="M23" s="3448">
        <v>13050000</v>
      </c>
      <c r="N23" s="3449"/>
      <c r="P23" s="283"/>
      <c r="Q23" s="280"/>
      <c r="S23" s="3448"/>
      <c r="T23" s="3449"/>
      <c r="V23" s="832"/>
      <c r="W23" s="3399"/>
      <c r="X23" s="3400"/>
      <c r="AZ23" s="2515"/>
      <c r="BA23" s="2514">
        <v>23</v>
      </c>
    </row>
    <row r="24" spans="1:53" s="144" customFormat="1" ht="12.6" customHeight="1" thickTop="1">
      <c r="F24" s="281" t="s">
        <v>184</v>
      </c>
      <c r="G24" s="3436">
        <f>SUM(G20:G23)</f>
        <v>14500000</v>
      </c>
      <c r="H24" s="3437"/>
      <c r="J24" s="283"/>
      <c r="K24" s="280"/>
      <c r="L24" s="283"/>
      <c r="M24" s="3436">
        <f>SUM(M22:M23)</f>
        <v>13050000</v>
      </c>
      <c r="N24" s="3437"/>
      <c r="P24" s="283"/>
      <c r="Q24" s="280"/>
      <c r="S24" s="3436">
        <f>SUM(S20:S23)</f>
        <v>1450000</v>
      </c>
      <c r="T24" s="3437"/>
      <c r="V24" s="834">
        <f>SUM(V20:V23)</f>
        <v>0</v>
      </c>
      <c r="W24" s="3420"/>
      <c r="X24" s="3421"/>
      <c r="AZ24" s="2515" t="s">
        <v>4261</v>
      </c>
      <c r="BA24" s="2514">
        <v>24</v>
      </c>
    </row>
    <row r="25" spans="1:53" s="144" customFormat="1" ht="12" customHeight="1">
      <c r="B25" s="243" t="s">
        <v>1054</v>
      </c>
      <c r="J25" s="283"/>
      <c r="K25" s="280"/>
      <c r="M25" s="283"/>
      <c r="N25" s="280"/>
      <c r="O25" s="282" t="str">
        <f>B25</f>
        <v>LAND IMPROVEMENTS</v>
      </c>
      <c r="P25" s="283"/>
      <c r="Q25" s="280"/>
      <c r="S25" s="283"/>
      <c r="T25" s="280"/>
      <c r="V25" s="835"/>
      <c r="W25" s="144" t="str">
        <f>B25</f>
        <v>LAND IMPROVEMENTS</v>
      </c>
      <c r="AZ25" s="2515"/>
      <c r="BA25" s="2514">
        <v>25</v>
      </c>
    </row>
    <row r="26" spans="1:53" s="144" customFormat="1" ht="11.25" customHeight="1">
      <c r="B26" s="144" t="s">
        <v>1055</v>
      </c>
      <c r="E26" s="644" t="s">
        <v>3134</v>
      </c>
      <c r="F26" s="1789">
        <f>IF('Part I-Project Identification'!$O$28="","",G26/'Part I-Project Identification'!$O$28)</f>
        <v>0</v>
      </c>
      <c r="G26" s="3446"/>
      <c r="H26" s="3447"/>
      <c r="J26" s="3446"/>
      <c r="K26" s="3447"/>
      <c r="L26" s="811"/>
      <c r="M26" s="3513"/>
      <c r="N26" s="3514"/>
      <c r="P26" s="3513"/>
      <c r="Q26" s="3514"/>
      <c r="S26" s="3446"/>
      <c r="T26" s="3447"/>
      <c r="V26" s="832"/>
      <c r="W26" s="3341"/>
      <c r="X26" s="3342"/>
      <c r="AZ26" s="2515"/>
      <c r="BA26" s="2514">
        <v>26</v>
      </c>
    </row>
    <row r="27" spans="1:53" s="144" customFormat="1" ht="11.25" customHeight="1" thickBot="1">
      <c r="B27" s="144" t="s">
        <v>1056</v>
      </c>
      <c r="G27" s="3448"/>
      <c r="H27" s="3449"/>
      <c r="J27" s="3448"/>
      <c r="K27" s="3449"/>
      <c r="L27" s="284"/>
      <c r="M27" s="3512"/>
      <c r="N27" s="3512"/>
      <c r="P27" s="3512"/>
      <c r="Q27" s="3512"/>
      <c r="S27" s="3448"/>
      <c r="T27" s="3449"/>
      <c r="V27" s="832"/>
      <c r="W27" s="3399"/>
      <c r="X27" s="3400"/>
      <c r="AZ27" s="2515"/>
      <c r="BA27" s="2514">
        <v>27</v>
      </c>
    </row>
    <row r="28" spans="1:53" s="144" customFormat="1" ht="12.6" customHeight="1" thickTop="1">
      <c r="F28" s="281" t="s">
        <v>184</v>
      </c>
      <c r="G28" s="3436">
        <f>SUM(G26:G27)</f>
        <v>0</v>
      </c>
      <c r="H28" s="3437"/>
      <c r="J28" s="3436">
        <f>SUM(J26:J27)</f>
        <v>0</v>
      </c>
      <c r="K28" s="3437"/>
      <c r="L28" s="283"/>
      <c r="M28" s="3436">
        <f>M26</f>
        <v>0</v>
      </c>
      <c r="N28" s="3437"/>
      <c r="P28" s="3436">
        <f>P26</f>
        <v>0</v>
      </c>
      <c r="Q28" s="3437"/>
      <c r="S28" s="3436">
        <f>SUM(S26:S27)</f>
        <v>0</v>
      </c>
      <c r="T28" s="3437"/>
      <c r="V28" s="834">
        <f>SUM(V26:V27)</f>
        <v>0</v>
      </c>
      <c r="W28" s="3420"/>
      <c r="X28" s="3421"/>
      <c r="AZ28" s="2515" t="s">
        <v>4262</v>
      </c>
      <c r="BA28" s="2514">
        <v>28</v>
      </c>
    </row>
    <row r="29" spans="1:53" s="144" customFormat="1" ht="12" customHeight="1">
      <c r="B29" s="243" t="s">
        <v>1057</v>
      </c>
      <c r="J29" s="283"/>
      <c r="K29" s="280"/>
      <c r="M29" s="283"/>
      <c r="N29" s="280"/>
      <c r="O29" s="282" t="str">
        <f>B29</f>
        <v>STRUCTURES</v>
      </c>
      <c r="P29" s="283"/>
      <c r="Q29" s="280"/>
      <c r="S29" s="283"/>
      <c r="T29" s="280"/>
      <c r="V29" s="835"/>
      <c r="W29" s="144" t="str">
        <f>B29</f>
        <v>STRUCTURES</v>
      </c>
      <c r="AZ29" s="2515"/>
      <c r="BA29" s="2514">
        <v>29</v>
      </c>
    </row>
    <row r="30" spans="1:53" s="144" customFormat="1" ht="11.25" customHeight="1">
      <c r="B30" s="144" t="s">
        <v>1058</v>
      </c>
      <c r="G30" s="3446"/>
      <c r="H30" s="3447"/>
      <c r="J30" s="3446"/>
      <c r="K30" s="3447"/>
      <c r="L30" s="811"/>
      <c r="M30" s="3446"/>
      <c r="N30" s="3447"/>
      <c r="P30" s="3446"/>
      <c r="Q30" s="3447"/>
      <c r="S30" s="3446"/>
      <c r="T30" s="3447"/>
      <c r="V30" s="832"/>
      <c r="W30" s="3341"/>
      <c r="X30" s="3342"/>
      <c r="AZ30" s="2515"/>
      <c r="BA30" s="2514">
        <v>30</v>
      </c>
    </row>
    <row r="31" spans="1:53" s="144" customFormat="1" ht="11.25" customHeight="1">
      <c r="B31" s="144" t="s">
        <v>1059</v>
      </c>
      <c r="G31" s="3275">
        <v>8000000</v>
      </c>
      <c r="H31" s="3276"/>
      <c r="J31" s="3275"/>
      <c r="K31" s="3276"/>
      <c r="L31" s="811"/>
      <c r="M31" s="3275"/>
      <c r="N31" s="3276"/>
      <c r="P31" s="3275">
        <f>G31</f>
        <v>8000000</v>
      </c>
      <c r="Q31" s="3276"/>
      <c r="S31" s="3275"/>
      <c r="T31" s="3276"/>
      <c r="V31" s="832"/>
      <c r="W31" s="3341"/>
      <c r="X31" s="3342"/>
      <c r="AZ31" s="2515"/>
      <c r="BA31" s="2514">
        <v>31</v>
      </c>
    </row>
    <row r="32" spans="1:53" s="144" customFormat="1" ht="11.25" customHeight="1">
      <c r="B32" s="144" t="s">
        <v>3984</v>
      </c>
      <c r="G32" s="3275"/>
      <c r="H32" s="3276"/>
      <c r="J32" s="3275"/>
      <c r="K32" s="3276"/>
      <c r="L32" s="811"/>
      <c r="M32" s="3275"/>
      <c r="N32" s="3276"/>
      <c r="P32" s="3275"/>
      <c r="Q32" s="3276"/>
      <c r="S32" s="3275"/>
      <c r="T32" s="3276"/>
      <c r="V32" s="832"/>
      <c r="W32" s="3341"/>
      <c r="X32" s="3342"/>
      <c r="AZ32" s="2515"/>
      <c r="BA32" s="2514">
        <v>32</v>
      </c>
    </row>
    <row r="33" spans="1:53" s="144" customFormat="1" ht="11.25" customHeight="1">
      <c r="B33" s="144" t="s">
        <v>3982</v>
      </c>
      <c r="G33" s="3275"/>
      <c r="H33" s="3276"/>
      <c r="J33" s="3275"/>
      <c r="K33" s="3276"/>
      <c r="L33" s="811"/>
      <c r="M33" s="3275"/>
      <c r="N33" s="3276"/>
      <c r="P33" s="3275"/>
      <c r="Q33" s="3276"/>
      <c r="S33" s="3275"/>
      <c r="T33" s="3276"/>
      <c r="V33" s="832"/>
      <c r="W33" s="3341"/>
      <c r="X33" s="3342"/>
      <c r="AZ33" s="2515"/>
      <c r="BA33" s="2514">
        <v>33</v>
      </c>
    </row>
    <row r="34" spans="1:53" ht="11.25" customHeight="1">
      <c r="B34" s="144" t="s">
        <v>2486</v>
      </c>
      <c r="G34" s="3275"/>
      <c r="H34" s="3276"/>
      <c r="I34" s="144"/>
      <c r="J34" s="3275"/>
      <c r="K34" s="3276"/>
      <c r="L34" s="811"/>
      <c r="M34" s="3275"/>
      <c r="N34" s="3276"/>
      <c r="O34" s="144"/>
      <c r="P34" s="3275"/>
      <c r="Q34" s="3276"/>
      <c r="R34" s="144"/>
      <c r="S34" s="3275"/>
      <c r="T34" s="3276"/>
      <c r="V34" s="832"/>
      <c r="W34" s="3399"/>
      <c r="X34" s="3400"/>
      <c r="BA34" s="2514">
        <v>34</v>
      </c>
    </row>
    <row r="35" spans="1:53" ht="11.25" customHeight="1" thickBot="1">
      <c r="B35" s="144" t="s">
        <v>3983</v>
      </c>
      <c r="G35" s="3510"/>
      <c r="H35" s="3511"/>
      <c r="I35" s="144"/>
      <c r="J35" s="3510"/>
      <c r="K35" s="3511"/>
      <c r="L35" s="811"/>
      <c r="M35" s="3510"/>
      <c r="N35" s="3511"/>
      <c r="O35" s="144"/>
      <c r="P35" s="3510"/>
      <c r="Q35" s="3511"/>
      <c r="R35" s="144"/>
      <c r="S35" s="3510"/>
      <c r="T35" s="3511"/>
      <c r="V35" s="832"/>
      <c r="W35" s="3399"/>
      <c r="X35" s="3400"/>
      <c r="BA35" s="2514">
        <v>35</v>
      </c>
    </row>
    <row r="36" spans="1:53" s="144" customFormat="1" ht="12.6" customHeight="1" thickTop="1">
      <c r="C36" s="3509"/>
      <c r="D36" s="3509"/>
      <c r="E36" s="812"/>
      <c r="F36" s="281" t="s">
        <v>184</v>
      </c>
      <c r="G36" s="3436">
        <f>SUM(G30:G35)</f>
        <v>8000000</v>
      </c>
      <c r="H36" s="3437"/>
      <c r="J36" s="3436">
        <f>SUM(J30:J35)</f>
        <v>0</v>
      </c>
      <c r="K36" s="3437"/>
      <c r="L36" s="811"/>
      <c r="M36" s="3436">
        <f>SUM(M30:M35)</f>
        <v>0</v>
      </c>
      <c r="N36" s="3437"/>
      <c r="P36" s="3436">
        <f>SUM(P30:P35)</f>
        <v>8000000</v>
      </c>
      <c r="Q36" s="3437"/>
      <c r="S36" s="3436">
        <f>SUM(S30:S35)</f>
        <v>0</v>
      </c>
      <c r="T36" s="3437"/>
      <c r="V36" s="834">
        <f>SUM(V30:V35)</f>
        <v>0</v>
      </c>
      <c r="W36" s="3420"/>
      <c r="X36" s="3421"/>
      <c r="AZ36" s="2515" t="s">
        <v>4263</v>
      </c>
      <c r="BA36" s="2514">
        <v>36</v>
      </c>
    </row>
    <row r="37" spans="1:53" s="144" customFormat="1" ht="12" customHeight="1">
      <c r="B37" s="243" t="s">
        <v>2156</v>
      </c>
      <c r="D37" s="3508" t="s">
        <v>3138</v>
      </c>
      <c r="E37" s="3508"/>
      <c r="F37" s="743">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5"/>
      <c r="W37" s="144" t="str">
        <f>B37</f>
        <v>CONTRACTOR SERVICES</v>
      </c>
      <c r="AZ37" s="2515"/>
      <c r="BA37" s="2514">
        <v>37</v>
      </c>
    </row>
    <row r="38" spans="1:53" s="144" customFormat="1" ht="11.25" customHeight="1">
      <c r="B38" s="144" t="s">
        <v>2157</v>
      </c>
      <c r="D38" s="1836">
        <f>'DCA Underwriting Assumptions'!$R$52</f>
        <v>0.06</v>
      </c>
      <c r="E38" s="1837">
        <f>ROUNDDOWN(D38*(G28+G36),0)</f>
        <v>480000</v>
      </c>
      <c r="F38" s="1838">
        <f>IF(($G$28+$G$36)=0,0,G38/($G$28+$G$36))</f>
        <v>0.06</v>
      </c>
      <c r="G38" s="3446">
        <v>480000</v>
      </c>
      <c r="H38" s="3447"/>
      <c r="I38" s="145"/>
      <c r="J38" s="3446"/>
      <c r="K38" s="3447"/>
      <c r="L38" s="811"/>
      <c r="M38" s="3446"/>
      <c r="N38" s="3447"/>
      <c r="P38" s="3446">
        <v>480000</v>
      </c>
      <c r="Q38" s="3447"/>
      <c r="S38" s="3446"/>
      <c r="T38" s="3447"/>
      <c r="V38" s="832"/>
      <c r="W38" s="3341"/>
      <c r="X38" s="3342"/>
      <c r="AZ38" s="2515"/>
      <c r="BA38" s="2514">
        <v>38</v>
      </c>
    </row>
    <row r="39" spans="1:53" s="144" customFormat="1" ht="11.25" customHeight="1">
      <c r="B39" s="144" t="s">
        <v>2467</v>
      </c>
      <c r="D39" s="1836">
        <f>'DCA Underwriting Assumptions'!$R$53</f>
        <v>0.02</v>
      </c>
      <c r="E39" s="1837">
        <f>ROUNDDOWN(D39*(G28+G36),0)</f>
        <v>160000</v>
      </c>
      <c r="F39" s="1838">
        <f>IF(($G$28+$G$36)=0,0,G39/($G$28+$G$36))</f>
        <v>0.02</v>
      </c>
      <c r="G39" s="3275">
        <v>160000</v>
      </c>
      <c r="H39" s="3276"/>
      <c r="I39" s="145"/>
      <c r="J39" s="3275"/>
      <c r="K39" s="3276"/>
      <c r="L39" s="811"/>
      <c r="M39" s="3275"/>
      <c r="N39" s="3276"/>
      <c r="P39" s="3275">
        <v>160000</v>
      </c>
      <c r="Q39" s="3276"/>
      <c r="S39" s="3275"/>
      <c r="T39" s="3276"/>
      <c r="V39" s="832"/>
      <c r="W39" s="3341"/>
      <c r="X39" s="3342"/>
      <c r="AZ39" s="2515"/>
      <c r="BA39" s="2514">
        <v>39</v>
      </c>
    </row>
    <row r="40" spans="1:53" s="144" customFormat="1" ht="11.25" customHeight="1" thickBot="1">
      <c r="B40" s="144" t="s">
        <v>2468</v>
      </c>
      <c r="D40" s="1839">
        <f>'DCA Underwriting Assumptions'!$R$54</f>
        <v>0.06</v>
      </c>
      <c r="E40" s="1840">
        <f>ROUNDDOWN(D40*(G28+G36),0)</f>
        <v>480000</v>
      </c>
      <c r="F40" s="1841">
        <f>IF(($G$28+$G$36)=0,0,G40/($G$28+$G$36))</f>
        <v>0.06</v>
      </c>
      <c r="G40" s="3448">
        <v>480000</v>
      </c>
      <c r="H40" s="3449"/>
      <c r="I40" s="145"/>
      <c r="J40" s="3448"/>
      <c r="K40" s="3449"/>
      <c r="L40" s="811"/>
      <c r="M40" s="3448"/>
      <c r="N40" s="3449"/>
      <c r="P40" s="3448">
        <v>480000</v>
      </c>
      <c r="Q40" s="3449"/>
      <c r="S40" s="3448"/>
      <c r="T40" s="3449"/>
      <c r="V40" s="832"/>
      <c r="W40" s="3399"/>
      <c r="X40" s="3400"/>
      <c r="AZ40" s="2515"/>
      <c r="BA40" s="2514">
        <v>40</v>
      </c>
    </row>
    <row r="41" spans="1:53" s="144" customFormat="1" ht="12.6" customHeight="1" thickTop="1">
      <c r="B41" s="147" t="s">
        <v>3139</v>
      </c>
      <c r="D41" s="744">
        <f>SUM(D38:D40)</f>
        <v>0.14000000000000001</v>
      </c>
      <c r="E41" s="745">
        <f>SUM(E38:E40)</f>
        <v>1120000</v>
      </c>
      <c r="F41" s="1835" t="s">
        <v>184</v>
      </c>
      <c r="G41" s="3436">
        <f>SUM(G38:G40)</f>
        <v>1120000</v>
      </c>
      <c r="H41" s="3437"/>
      <c r="J41" s="3436">
        <f>SUM(J38:J40)</f>
        <v>0</v>
      </c>
      <c r="K41" s="3437"/>
      <c r="L41" s="283"/>
      <c r="M41" s="3436">
        <f>SUM(M38:M40)</f>
        <v>0</v>
      </c>
      <c r="N41" s="3437"/>
      <c r="P41" s="3436">
        <f>SUM(P38:P40)</f>
        <v>1120000</v>
      </c>
      <c r="Q41" s="3437"/>
      <c r="S41" s="3436">
        <f>SUM(S38:S40)</f>
        <v>0</v>
      </c>
      <c r="T41" s="3437"/>
      <c r="V41" s="834">
        <f>SUM(V38:V40)</f>
        <v>0</v>
      </c>
      <c r="W41" s="3420"/>
      <c r="X41" s="3421"/>
      <c r="AZ41" s="2515" t="s">
        <v>4264</v>
      </c>
      <c r="BA41" s="2514">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5"/>
      <c r="AZ42" s="2515"/>
      <c r="BA42" s="2514">
        <v>42</v>
      </c>
    </row>
    <row r="43" spans="1:53" s="144" customFormat="1">
      <c r="A43" s="374"/>
      <c r="C43" s="1550" t="s">
        <v>4381</v>
      </c>
      <c r="D43" s="1614"/>
      <c r="E43" s="1551"/>
      <c r="F43" s="1551"/>
      <c r="G43" s="3504">
        <f>G28+G36+G41</f>
        <v>9120000</v>
      </c>
      <c r="H43" s="3505"/>
      <c r="I43" s="374"/>
      <c r="J43" s="374"/>
      <c r="K43" s="374"/>
      <c r="L43" s="374"/>
      <c r="M43" s="374"/>
      <c r="N43" s="374"/>
      <c r="O43" s="374"/>
      <c r="P43" s="374"/>
      <c r="Q43" s="374"/>
      <c r="R43" s="374"/>
      <c r="S43" s="374"/>
      <c r="T43" s="374"/>
      <c r="V43" s="835"/>
      <c r="AZ43" s="2515"/>
      <c r="BA43" s="2514">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2513" t="s">
        <v>4265</v>
      </c>
      <c r="BA44" s="2514">
        <v>44</v>
      </c>
    </row>
    <row r="45" spans="1:53" s="144" customFormat="1" ht="12" customHeight="1">
      <c r="B45" s="243" t="s">
        <v>2469</v>
      </c>
      <c r="J45" s="283"/>
      <c r="K45" s="280"/>
      <c r="M45" s="283"/>
      <c r="N45" s="280"/>
      <c r="O45" s="282" t="str">
        <f>B45</f>
        <v>OTHER CONSTRUCTION HARD COSTS (Non-GC work scope items done by Owner)</v>
      </c>
      <c r="P45" s="283"/>
      <c r="Q45" s="280"/>
      <c r="S45" s="283"/>
      <c r="T45" s="280"/>
      <c r="V45" s="835"/>
      <c r="W45" s="144" t="str">
        <f>B45</f>
        <v>OTHER CONSTRUCTION HARD COSTS (Non-GC work scope items done by Owner)</v>
      </c>
      <c r="AZ45" s="2515"/>
      <c r="BA45" s="2514">
        <v>45</v>
      </c>
    </row>
    <row r="46" spans="1:53" ht="11.25" customHeight="1">
      <c r="B46" s="147" t="s">
        <v>4166</v>
      </c>
      <c r="C46" s="3438" t="s">
        <v>4603</v>
      </c>
      <c r="D46" s="3506"/>
      <c r="E46" s="3506"/>
      <c r="F46" s="3507"/>
      <c r="G46" s="3499"/>
      <c r="H46" s="3500"/>
      <c r="I46" s="144"/>
      <c r="J46" s="3499"/>
      <c r="K46" s="3500"/>
      <c r="L46" s="811"/>
      <c r="M46" s="3499"/>
      <c r="N46" s="3500"/>
      <c r="O46" s="144"/>
      <c r="P46" s="3499"/>
      <c r="Q46" s="3500"/>
      <c r="R46" s="144"/>
      <c r="S46" s="3499"/>
      <c r="T46" s="3500"/>
      <c r="V46" s="832"/>
      <c r="W46" s="3487"/>
      <c r="X46" s="3488"/>
      <c r="AZ46" s="2515"/>
      <c r="BA46" s="2514">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5"/>
      <c r="W47" s="3489"/>
      <c r="X47" s="3490"/>
      <c r="AZ47" s="2515" t="s">
        <v>4266</v>
      </c>
      <c r="BA47" s="2514">
        <v>47</v>
      </c>
    </row>
    <row r="48" spans="1:53" s="144" customFormat="1" ht="12.6" customHeight="1">
      <c r="B48" s="1567" t="s">
        <v>2471</v>
      </c>
      <c r="C48" s="1568"/>
      <c r="E48" s="3502" t="s">
        <v>2470</v>
      </c>
      <c r="F48" s="1569">
        <f>C49/'Part V-Revenues &amp; Expenses'!$P$74</f>
        <v>57000</v>
      </c>
      <c r="G48" s="1570" t="s">
        <v>2484</v>
      </c>
      <c r="H48" s="1571"/>
      <c r="I48" s="1571"/>
      <c r="J48" s="3495">
        <f>C49/'Part V-Revenues &amp; Expenses'!$P$76</f>
        <v>57000</v>
      </c>
      <c r="K48" s="3495"/>
      <c r="L48" s="1571"/>
      <c r="M48" s="3496" t="s">
        <v>4367</v>
      </c>
      <c r="N48" s="3496"/>
      <c r="O48" s="1571"/>
      <c r="P48" s="3495">
        <f>C49/'Part V-Revenues &amp; Expenses'!$K$197</f>
        <v>63.087991145545104</v>
      </c>
      <c r="Q48" s="3495"/>
      <c r="R48" s="1571"/>
      <c r="S48" s="3497" t="s">
        <v>4369</v>
      </c>
      <c r="T48" s="3498"/>
      <c r="V48" s="835"/>
      <c r="W48" s="3489"/>
      <c r="X48" s="3490"/>
      <c r="AZ48" s="2515"/>
      <c r="BA48" s="2514">
        <v>48</v>
      </c>
    </row>
    <row r="49" spans="1:53" s="144" customFormat="1" ht="12.6" customHeight="1">
      <c r="B49" s="1616" t="s">
        <v>4380</v>
      </c>
      <c r="C49" s="1615">
        <f>G28+G36+G41+G46</f>
        <v>9120000</v>
      </c>
      <c r="E49" s="3503"/>
      <c r="F49" s="1572">
        <f>C49/'Part V-Revenues &amp; Expenses'!$P$188</f>
        <v>63.087991145545104</v>
      </c>
      <c r="G49" s="1573" t="s">
        <v>2485</v>
      </c>
      <c r="H49" s="1574"/>
      <c r="I49" s="1574"/>
      <c r="J49" s="3485">
        <f>C49/'Part V-Revenues &amp; Expenses'!$P$190</f>
        <v>63.087991145545104</v>
      </c>
      <c r="K49" s="3485"/>
      <c r="L49" s="1574"/>
      <c r="M49" s="3486" t="s">
        <v>4368</v>
      </c>
      <c r="N49" s="3486"/>
      <c r="O49" s="1574"/>
      <c r="P49" s="1574"/>
      <c r="Q49" s="1574"/>
      <c r="R49" s="1574"/>
      <c r="S49" s="1574"/>
      <c r="T49" s="1575"/>
      <c r="V49" s="835"/>
      <c r="W49" s="3491"/>
      <c r="X49" s="3492"/>
      <c r="AZ49" s="2515"/>
      <c r="BA49" s="2514">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5"/>
      <c r="AZ50" s="2515"/>
      <c r="BA50" s="2514">
        <v>50</v>
      </c>
    </row>
    <row r="51" spans="1:53" s="144" customFormat="1" ht="18.75" customHeight="1" thickBot="1">
      <c r="A51" s="342" t="s">
        <v>572</v>
      </c>
      <c r="B51" s="342" t="s">
        <v>2516</v>
      </c>
      <c r="J51" s="3427" t="s">
        <v>259</v>
      </c>
      <c r="K51" s="3428"/>
      <c r="L51" s="280"/>
      <c r="M51" s="3440" t="s">
        <v>459</v>
      </c>
      <c r="N51" s="3441"/>
      <c r="P51" s="3427" t="s">
        <v>260</v>
      </c>
      <c r="Q51" s="3428"/>
      <c r="S51" s="3427" t="s">
        <v>261</v>
      </c>
      <c r="T51" s="3428"/>
      <c r="V51" s="835"/>
      <c r="W51" s="343" t="str">
        <f>B51</f>
        <v>DEVELOPMENT BUDGET (cont'd)</v>
      </c>
      <c r="AZ51" s="2515"/>
      <c r="BA51" s="2514">
        <v>51</v>
      </c>
    </row>
    <row r="52" spans="1:53" s="144" customFormat="1" ht="18.75" customHeight="1" thickBot="1">
      <c r="G52" s="3444" t="s">
        <v>95</v>
      </c>
      <c r="H52" s="3445"/>
      <c r="J52" s="3429"/>
      <c r="K52" s="3430"/>
      <c r="L52" s="280"/>
      <c r="M52" s="3442"/>
      <c r="N52" s="3443"/>
      <c r="P52" s="3429"/>
      <c r="Q52" s="3430"/>
      <c r="S52" s="3429"/>
      <c r="T52" s="3430"/>
      <c r="V52" s="835"/>
      <c r="W52" s="3501" t="s">
        <v>2440</v>
      </c>
      <c r="X52" s="3501"/>
      <c r="AZ52" s="2515"/>
      <c r="BA52" s="2514">
        <v>52</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5"/>
      <c r="AZ53" s="2513"/>
      <c r="BA53" s="2514">
        <v>53</v>
      </c>
    </row>
    <row r="54" spans="1:53" s="144" customFormat="1" ht="12" customHeight="1">
      <c r="B54" s="243" t="s">
        <v>4188</v>
      </c>
      <c r="F54" s="231" t="s">
        <v>3320</v>
      </c>
      <c r="G54" s="392" t="str">
        <f>IF(G55&gt;E55,"Check Contingency Amount!!!!","")</f>
        <v/>
      </c>
      <c r="J54" s="283"/>
      <c r="K54" s="280"/>
      <c r="M54" s="283"/>
      <c r="N54" s="280"/>
      <c r="O54" s="282" t="str">
        <f>B54</f>
        <v>CONSTRUCTION CONTINGENCY (CC)</v>
      </c>
      <c r="P54" s="283"/>
      <c r="Q54" s="280"/>
      <c r="S54" s="283"/>
      <c r="T54" s="280"/>
      <c r="V54" s="835"/>
      <c r="W54" s="144" t="str">
        <f>B54</f>
        <v>CONSTRUCTION CONTINGENCY (CC)</v>
      </c>
      <c r="AZ54" s="2515"/>
      <c r="BA54" s="2514">
        <v>54</v>
      </c>
    </row>
    <row r="55" spans="1:53" ht="11.25" customHeight="1">
      <c r="B55" s="144" t="s">
        <v>1815</v>
      </c>
      <c r="D55" s="644" t="s">
        <v>3319</v>
      </c>
      <c r="E55" s="1647">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912000</v>
      </c>
      <c r="F55" s="1648">
        <f>G55/C49</f>
        <v>0.1</v>
      </c>
      <c r="G55" s="3499">
        <v>912000</v>
      </c>
      <c r="H55" s="3500"/>
      <c r="I55" s="144"/>
      <c r="J55" s="3499"/>
      <c r="K55" s="3500"/>
      <c r="L55" s="811"/>
      <c r="M55" s="3499"/>
      <c r="N55" s="3500"/>
      <c r="O55" s="144"/>
      <c r="P55" s="3499">
        <v>912000</v>
      </c>
      <c r="Q55" s="3500"/>
      <c r="R55" s="144"/>
      <c r="S55" s="3499"/>
      <c r="T55" s="3500"/>
      <c r="V55" s="832"/>
      <c r="W55" s="3341"/>
      <c r="X55" s="3342"/>
      <c r="AZ55" s="2515"/>
      <c r="BA55" s="2514">
        <v>55</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5"/>
      <c r="W56" s="3487"/>
      <c r="X56" s="3488"/>
      <c r="AZ56" s="2515"/>
      <c r="BA56" s="2514">
        <v>56</v>
      </c>
    </row>
    <row r="57" spans="1:53" s="144" customFormat="1" ht="12.6" customHeight="1">
      <c r="B57" s="1576" t="s">
        <v>4189</v>
      </c>
      <c r="C57" s="1568"/>
      <c r="E57" s="3493" t="s">
        <v>4190</v>
      </c>
      <c r="F57" s="1569">
        <f>B58/'Part V-Revenues &amp; Expenses'!$P$74</f>
        <v>62700</v>
      </c>
      <c r="G57" s="1570" t="s">
        <v>2484</v>
      </c>
      <c r="H57" s="1571"/>
      <c r="I57" s="1571"/>
      <c r="J57" s="3495">
        <f>B58/'Part V-Revenues &amp; Expenses'!$P$76</f>
        <v>62700</v>
      </c>
      <c r="K57" s="3495"/>
      <c r="L57" s="1571"/>
      <c r="M57" s="3496" t="s">
        <v>4367</v>
      </c>
      <c r="N57" s="3496"/>
      <c r="O57" s="1571"/>
      <c r="P57" s="3495">
        <f>B58/'Part V-Revenues &amp; Expenses'!$K$197</f>
        <v>69.396790260099607</v>
      </c>
      <c r="Q57" s="3495"/>
      <c r="R57" s="1571"/>
      <c r="S57" s="3497" t="s">
        <v>4369</v>
      </c>
      <c r="T57" s="3498"/>
      <c r="V57" s="835"/>
      <c r="W57" s="3489"/>
      <c r="X57" s="3490"/>
      <c r="AZ57" s="2515"/>
      <c r="BA57" s="2514">
        <v>57</v>
      </c>
    </row>
    <row r="58" spans="1:53" s="144" customFormat="1" ht="12.6" customHeight="1">
      <c r="B58" s="3483">
        <f>C49+G55</f>
        <v>10032000</v>
      </c>
      <c r="C58" s="3484"/>
      <c r="E58" s="3494"/>
      <c r="F58" s="1572">
        <f>B58/'Part V-Revenues &amp; Expenses'!$P$188</f>
        <v>69.396790260099607</v>
      </c>
      <c r="G58" s="1573" t="s">
        <v>2485</v>
      </c>
      <c r="H58" s="1574"/>
      <c r="I58" s="1574"/>
      <c r="J58" s="3485">
        <f>B58/'Part V-Revenues &amp; Expenses'!$P$190</f>
        <v>69.396790260099607</v>
      </c>
      <c r="K58" s="3485"/>
      <c r="L58" s="1574"/>
      <c r="M58" s="3486" t="s">
        <v>4368</v>
      </c>
      <c r="N58" s="3486"/>
      <c r="O58" s="1574"/>
      <c r="P58" s="1574"/>
      <c r="Q58" s="1574"/>
      <c r="R58" s="1574"/>
      <c r="S58" s="1574"/>
      <c r="T58" s="1575"/>
      <c r="V58" s="835"/>
      <c r="W58" s="3489"/>
      <c r="X58" s="3490"/>
      <c r="AZ58" s="2515"/>
      <c r="BA58" s="2514">
        <v>58</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5"/>
      <c r="W59" s="3491"/>
      <c r="X59" s="3492"/>
      <c r="AZ59" s="2515"/>
      <c r="BA59" s="2514">
        <v>59</v>
      </c>
    </row>
    <row r="60" spans="1:53" s="144" customFormat="1" ht="12" customHeight="1">
      <c r="B60" s="243" t="s">
        <v>674</v>
      </c>
      <c r="J60" s="283"/>
      <c r="K60" s="280"/>
      <c r="M60" s="283"/>
      <c r="N60" s="280"/>
      <c r="O60" s="282" t="str">
        <f>B60</f>
        <v>CONSTRUCTION PERIOD FINANCING</v>
      </c>
      <c r="P60" s="283"/>
      <c r="Q60" s="280"/>
      <c r="S60" s="283"/>
      <c r="T60" s="280"/>
      <c r="V60" s="835"/>
      <c r="W60" s="144" t="str">
        <f>B60</f>
        <v>CONSTRUCTION PERIOD FINANCING</v>
      </c>
      <c r="AZ60" s="2515"/>
      <c r="BA60" s="2514">
        <v>60</v>
      </c>
    </row>
    <row r="61" spans="1:53" s="144" customFormat="1" ht="12" customHeight="1">
      <c r="B61" s="144" t="s">
        <v>3140</v>
      </c>
      <c r="G61" s="3446"/>
      <c r="H61" s="3447"/>
      <c r="J61" s="3446"/>
      <c r="K61" s="3447"/>
      <c r="L61" s="811"/>
      <c r="M61" s="3446"/>
      <c r="N61" s="3447"/>
      <c r="P61" s="3446"/>
      <c r="Q61" s="3447"/>
      <c r="S61" s="3446"/>
      <c r="T61" s="3447"/>
      <c r="V61" s="836"/>
      <c r="W61" s="3341"/>
      <c r="X61" s="3342"/>
      <c r="AZ61" s="2515"/>
      <c r="BA61" s="2514">
        <v>61</v>
      </c>
    </row>
    <row r="62" spans="1:53" s="144" customFormat="1" ht="12" customHeight="1">
      <c r="B62" s="144" t="s">
        <v>3141</v>
      </c>
      <c r="G62" s="3275"/>
      <c r="H62" s="3276"/>
      <c r="J62" s="3275"/>
      <c r="K62" s="3276"/>
      <c r="L62" s="811"/>
      <c r="M62" s="3275"/>
      <c r="N62" s="3276"/>
      <c r="P62" s="3275"/>
      <c r="Q62" s="3276"/>
      <c r="S62" s="3275"/>
      <c r="T62" s="3276"/>
      <c r="V62" s="836"/>
      <c r="W62" s="3341"/>
      <c r="X62" s="3342"/>
      <c r="AZ62" s="2515"/>
      <c r="BA62" s="2514">
        <v>62</v>
      </c>
    </row>
    <row r="63" spans="1:53" s="144" customFormat="1" ht="12" customHeight="1">
      <c r="B63" s="144" t="s">
        <v>2159</v>
      </c>
      <c r="G63" s="3275">
        <v>280000</v>
      </c>
      <c r="H63" s="3276"/>
      <c r="J63" s="3275"/>
      <c r="K63" s="3276"/>
      <c r="L63" s="811"/>
      <c r="M63" s="3275"/>
      <c r="N63" s="3276"/>
      <c r="P63" s="3275">
        <v>280000</v>
      </c>
      <c r="Q63" s="3276"/>
      <c r="S63" s="3275"/>
      <c r="T63" s="3276"/>
      <c r="V63" s="836"/>
      <c r="W63" s="3341"/>
      <c r="X63" s="3342"/>
      <c r="AZ63" s="2515"/>
      <c r="BA63" s="2514">
        <v>63</v>
      </c>
    </row>
    <row r="64" spans="1:53" s="144" customFormat="1" ht="12" customHeight="1">
      <c r="B64" s="144" t="s">
        <v>2160</v>
      </c>
      <c r="G64" s="3275">
        <v>2366983</v>
      </c>
      <c r="H64" s="3276"/>
      <c r="J64" s="3275"/>
      <c r="K64" s="3276"/>
      <c r="L64" s="811"/>
      <c r="M64" s="3275"/>
      <c r="N64" s="3276"/>
      <c r="P64" s="3275">
        <v>2011935.55</v>
      </c>
      <c r="Q64" s="3276"/>
      <c r="S64" s="3275">
        <v>355047.44999999995</v>
      </c>
      <c r="T64" s="3276"/>
      <c r="V64" s="836"/>
      <c r="W64" s="3341"/>
      <c r="X64" s="3342"/>
      <c r="AZ64" s="2515"/>
      <c r="BA64" s="2514">
        <v>64</v>
      </c>
    </row>
    <row r="65" spans="1:53" s="144" customFormat="1" ht="12" customHeight="1">
      <c r="B65" s="144" t="s">
        <v>2161</v>
      </c>
      <c r="G65" s="3275">
        <v>50000</v>
      </c>
      <c r="H65" s="3276"/>
      <c r="J65" s="3275"/>
      <c r="K65" s="3276"/>
      <c r="L65" s="811"/>
      <c r="M65" s="3275"/>
      <c r="N65" s="3276"/>
      <c r="P65" s="3275">
        <v>50000</v>
      </c>
      <c r="Q65" s="3276"/>
      <c r="S65" s="3275"/>
      <c r="T65" s="3276"/>
      <c r="V65" s="836"/>
      <c r="W65" s="3341"/>
      <c r="X65" s="3342"/>
      <c r="AZ65" s="2515" t="s">
        <v>4267</v>
      </c>
      <c r="BA65" s="2514">
        <v>65</v>
      </c>
    </row>
    <row r="66" spans="1:53" s="144" customFormat="1" ht="12" customHeight="1">
      <c r="B66" s="144" t="s">
        <v>2442</v>
      </c>
      <c r="G66" s="3275">
        <v>55000</v>
      </c>
      <c r="H66" s="3276"/>
      <c r="J66" s="3275"/>
      <c r="K66" s="3276"/>
      <c r="L66" s="811"/>
      <c r="M66" s="3275"/>
      <c r="N66" s="3276"/>
      <c r="P66" s="3275">
        <v>55000</v>
      </c>
      <c r="Q66" s="3276"/>
      <c r="S66" s="3275"/>
      <c r="T66" s="3276"/>
      <c r="V66" s="836"/>
      <c r="W66" s="3341"/>
      <c r="X66" s="3342"/>
      <c r="AZ66" s="2515" t="s">
        <v>4268</v>
      </c>
      <c r="BA66" s="2514">
        <v>66</v>
      </c>
    </row>
    <row r="67" spans="1:53" s="144" customFormat="1" ht="12" customHeight="1">
      <c r="B67" s="144" t="s">
        <v>675</v>
      </c>
      <c r="G67" s="3275">
        <v>25000</v>
      </c>
      <c r="H67" s="3276"/>
      <c r="J67" s="3275"/>
      <c r="K67" s="3276"/>
      <c r="L67" s="811"/>
      <c r="M67" s="3275"/>
      <c r="N67" s="3276"/>
      <c r="P67" s="3275">
        <v>25000</v>
      </c>
      <c r="Q67" s="3276"/>
      <c r="S67" s="3275"/>
      <c r="T67" s="3276"/>
      <c r="V67" s="836"/>
      <c r="W67" s="3341"/>
      <c r="X67" s="3342"/>
      <c r="AZ67" s="2515" t="s">
        <v>4269</v>
      </c>
      <c r="BA67" s="2514">
        <v>67</v>
      </c>
    </row>
    <row r="68" spans="1:53" s="144" customFormat="1" ht="12" customHeight="1">
      <c r="B68" s="144" t="s">
        <v>2162</v>
      </c>
      <c r="G68" s="3275">
        <v>45000</v>
      </c>
      <c r="H68" s="3276"/>
      <c r="J68" s="3275"/>
      <c r="K68" s="3276"/>
      <c r="L68" s="811"/>
      <c r="M68" s="3275"/>
      <c r="N68" s="3276"/>
      <c r="P68" s="3275">
        <v>45000</v>
      </c>
      <c r="Q68" s="3276"/>
      <c r="S68" s="3275"/>
      <c r="T68" s="3276"/>
      <c r="V68" s="836"/>
      <c r="W68" s="3341"/>
      <c r="X68" s="3342"/>
      <c r="AZ68" s="2515"/>
      <c r="BA68" s="2514">
        <v>68</v>
      </c>
    </row>
    <row r="69" spans="1:53" s="144" customFormat="1" ht="12" customHeight="1">
      <c r="B69" s="144" t="s">
        <v>1198</v>
      </c>
      <c r="G69" s="3275">
        <v>30000</v>
      </c>
      <c r="H69" s="3276"/>
      <c r="J69" s="3275"/>
      <c r="K69" s="3276"/>
      <c r="L69" s="811"/>
      <c r="M69" s="3275"/>
      <c r="N69" s="3276"/>
      <c r="P69" s="3275">
        <v>30000</v>
      </c>
      <c r="Q69" s="3276"/>
      <c r="S69" s="3275"/>
      <c r="T69" s="3276"/>
      <c r="V69" s="836"/>
      <c r="W69" s="3341"/>
      <c r="X69" s="3342"/>
      <c r="AZ69" s="2515"/>
      <c r="BA69" s="2514">
        <v>69</v>
      </c>
    </row>
    <row r="70" spans="1:53" s="144" customFormat="1" ht="12" customHeight="1">
      <c r="B70" s="287" t="s">
        <v>1084</v>
      </c>
      <c r="D70" s="285"/>
      <c r="E70" s="285"/>
      <c r="F70" s="286"/>
      <c r="G70" s="3275">
        <v>75000</v>
      </c>
      <c r="H70" s="3276"/>
      <c r="I70" s="145"/>
      <c r="J70" s="3275"/>
      <c r="K70" s="3276"/>
      <c r="L70" s="811"/>
      <c r="M70" s="3275"/>
      <c r="N70" s="3276"/>
      <c r="P70" s="3275">
        <v>75000</v>
      </c>
      <c r="Q70" s="3276"/>
      <c r="S70" s="3275"/>
      <c r="T70" s="3276"/>
      <c r="V70" s="836"/>
      <c r="W70" s="3341"/>
      <c r="X70" s="3342"/>
      <c r="AZ70" s="2515"/>
      <c r="BA70" s="2514">
        <v>70</v>
      </c>
    </row>
    <row r="71" spans="1:53" s="144" customFormat="1" ht="12" customHeight="1">
      <c r="A71" s="303" t="str">
        <f>IF(AND(G71&gt;0,OR(C71="",C71="&lt;Enter detailed description here; use Comments section if needed&gt;")),"X","")</f>
        <v/>
      </c>
      <c r="B71" s="147" t="s">
        <v>4168</v>
      </c>
      <c r="C71" s="3475" t="s">
        <v>4603</v>
      </c>
      <c r="D71" s="3475"/>
      <c r="E71" s="3475"/>
      <c r="F71" s="3476"/>
      <c r="G71" s="3275"/>
      <c r="H71" s="3276"/>
      <c r="J71" s="3275"/>
      <c r="K71" s="3276"/>
      <c r="L71" s="811"/>
      <c r="M71" s="3275"/>
      <c r="N71" s="3276"/>
      <c r="P71" s="3275"/>
      <c r="Q71" s="3276"/>
      <c r="S71" s="3275"/>
      <c r="T71" s="3276"/>
      <c r="U71" s="302" t="str">
        <f>IF(AND(G71&gt;0,OR(C71="",C71="&lt;Enter detailed description here; use Comments section if needed&gt;")),"NO DESCRIPTION PROVIDED - please enter detailed description in Other box at left; use Comments section below if needed.","")</f>
        <v/>
      </c>
      <c r="V71" s="836"/>
      <c r="W71" s="3341"/>
      <c r="X71" s="3342"/>
      <c r="AZ71" s="2515"/>
      <c r="BA71" s="2514">
        <v>71</v>
      </c>
    </row>
    <row r="72" spans="1:53" s="144" customFormat="1" ht="12" customHeight="1" thickBot="1">
      <c r="A72" s="303" t="str">
        <f>IF(AND(G72&gt;0,OR(C72="",C72="&lt;Enter detailed description here; use Comments section if needed&gt;")),"X","")</f>
        <v/>
      </c>
      <c r="B72" s="147" t="s">
        <v>4169</v>
      </c>
      <c r="C72" s="3473" t="s">
        <v>4603</v>
      </c>
      <c r="D72" s="3473"/>
      <c r="E72" s="3473"/>
      <c r="F72" s="3474"/>
      <c r="G72" s="3267"/>
      <c r="H72" s="3268"/>
      <c r="J72" s="3267"/>
      <c r="K72" s="3268"/>
      <c r="L72" s="811"/>
      <c r="M72" s="3267"/>
      <c r="N72" s="3268"/>
      <c r="P72" s="3267"/>
      <c r="Q72" s="3268"/>
      <c r="S72" s="3267"/>
      <c r="T72" s="3268"/>
      <c r="U72" s="302" t="str">
        <f>IF(AND(G72&gt;0,OR(C72="",C72="&lt;Enter detailed description here; use Comments section if needed&gt;")),"NO DESCRIPTION PROVIDED - please enter detailed description in Other box at left; use Comments section below if needed.","")</f>
        <v/>
      </c>
      <c r="V72" s="836"/>
      <c r="W72" s="3399"/>
      <c r="X72" s="3400"/>
      <c r="AZ72" s="2515"/>
      <c r="BA72" s="2514">
        <v>72</v>
      </c>
    </row>
    <row r="73" spans="1:53" s="144" customFormat="1" ht="12" customHeight="1" thickTop="1">
      <c r="F73" s="281" t="s">
        <v>184</v>
      </c>
      <c r="G73" s="3436">
        <f>SUM(G61:G72)</f>
        <v>2926983</v>
      </c>
      <c r="H73" s="3437"/>
      <c r="J73" s="3436">
        <f>SUM(J61:J72)</f>
        <v>0</v>
      </c>
      <c r="K73" s="3437"/>
      <c r="L73" s="283"/>
      <c r="M73" s="3436">
        <f>SUM(M61:M72)</f>
        <v>0</v>
      </c>
      <c r="N73" s="3437"/>
      <c r="P73" s="3436">
        <f>SUM(P61:P72)</f>
        <v>2571935.5499999998</v>
      </c>
      <c r="Q73" s="3437"/>
      <c r="S73" s="3436">
        <f>SUM(S61:S72)</f>
        <v>355047.44999999995</v>
      </c>
      <c r="T73" s="3437"/>
      <c r="V73" s="837">
        <f>SUM(V61:V72)</f>
        <v>0</v>
      </c>
      <c r="W73" s="3420"/>
      <c r="X73" s="3421"/>
      <c r="AZ73" s="2515"/>
      <c r="BA73" s="2514">
        <v>73</v>
      </c>
    </row>
    <row r="74" spans="1:53" s="144" customFormat="1" ht="12" customHeight="1">
      <c r="B74" s="243" t="s">
        <v>448</v>
      </c>
      <c r="G74" s="280"/>
      <c r="H74" s="280"/>
      <c r="J74" s="280"/>
      <c r="K74" s="280"/>
      <c r="M74" s="280"/>
      <c r="N74" s="280"/>
      <c r="O74" s="282" t="str">
        <f>B74</f>
        <v>PROFESSIONAL SERVICES</v>
      </c>
      <c r="P74" s="280"/>
      <c r="Q74" s="280"/>
      <c r="S74" s="280"/>
      <c r="T74" s="280"/>
      <c r="V74" s="835"/>
      <c r="W74" s="144" t="str">
        <f>B74</f>
        <v>PROFESSIONAL SERVICES</v>
      </c>
      <c r="AZ74" s="2515"/>
      <c r="BA74" s="2514">
        <v>74</v>
      </c>
    </row>
    <row r="75" spans="1:53" s="144" customFormat="1" ht="12" customHeight="1">
      <c r="B75" s="144" t="s">
        <v>449</v>
      </c>
      <c r="G75" s="3446">
        <v>250000</v>
      </c>
      <c r="H75" s="3447"/>
      <c r="J75" s="3446"/>
      <c r="K75" s="3447"/>
      <c r="L75" s="811"/>
      <c r="M75" s="3446"/>
      <c r="N75" s="3447"/>
      <c r="P75" s="3446">
        <v>250000</v>
      </c>
      <c r="Q75" s="3447"/>
      <c r="S75" s="3446"/>
      <c r="T75" s="3447"/>
      <c r="V75" s="832"/>
      <c r="W75" s="3341"/>
      <c r="X75" s="3342"/>
      <c r="AZ75" s="2515"/>
      <c r="BA75" s="2514">
        <v>75</v>
      </c>
    </row>
    <row r="76" spans="1:53" s="144" customFormat="1" ht="12" customHeight="1">
      <c r="B76" s="144" t="s">
        <v>450</v>
      </c>
      <c r="G76" s="3275">
        <v>50000</v>
      </c>
      <c r="H76" s="3276"/>
      <c r="J76" s="3275"/>
      <c r="K76" s="3276"/>
      <c r="L76" s="811"/>
      <c r="M76" s="3275"/>
      <c r="N76" s="3276"/>
      <c r="P76" s="3275">
        <v>50000</v>
      </c>
      <c r="Q76" s="3276"/>
      <c r="S76" s="3275"/>
      <c r="T76" s="3276"/>
      <c r="V76" s="832"/>
      <c r="W76" s="3341"/>
      <c r="X76" s="3342"/>
      <c r="AZ76" s="2515"/>
      <c r="BA76" s="2514">
        <v>76</v>
      </c>
    </row>
    <row r="77" spans="1:53" s="144" customFormat="1" ht="12" customHeight="1">
      <c r="B77" s="144" t="s">
        <v>1060</v>
      </c>
      <c r="D77" s="247"/>
      <c r="E77" s="827"/>
      <c r="F77" s="392"/>
      <c r="G77" s="3275">
        <v>20000</v>
      </c>
      <c r="H77" s="3276"/>
      <c r="J77" s="3275"/>
      <c r="K77" s="3276"/>
      <c r="L77" s="811"/>
      <c r="M77" s="3275"/>
      <c r="N77" s="3276"/>
      <c r="P77" s="3275">
        <v>20000</v>
      </c>
      <c r="Q77" s="3276"/>
      <c r="S77" s="3275"/>
      <c r="T77" s="3276"/>
      <c r="V77" s="832"/>
      <c r="W77" s="3341"/>
      <c r="X77" s="3342"/>
      <c r="AZ77" s="2515"/>
      <c r="BA77" s="2514">
        <v>77</v>
      </c>
    </row>
    <row r="78" spans="1:53" s="144" customFormat="1" ht="12" customHeight="1">
      <c r="B78" s="144" t="s">
        <v>1061</v>
      </c>
      <c r="G78" s="3275">
        <v>20000</v>
      </c>
      <c r="H78" s="3276"/>
      <c r="J78" s="3275"/>
      <c r="K78" s="3276"/>
      <c r="L78" s="811"/>
      <c r="M78" s="3275"/>
      <c r="N78" s="3276"/>
      <c r="P78" s="3275">
        <v>20000</v>
      </c>
      <c r="Q78" s="3276"/>
      <c r="S78" s="3275"/>
      <c r="T78" s="3276"/>
      <c r="V78" s="832"/>
      <c r="W78" s="3341"/>
      <c r="X78" s="3342"/>
      <c r="AZ78" s="2515"/>
      <c r="BA78" s="2514">
        <v>78</v>
      </c>
    </row>
    <row r="79" spans="1:53" s="144" customFormat="1" ht="12" customHeight="1">
      <c r="B79" s="144" t="s">
        <v>1062</v>
      </c>
      <c r="G79" s="3275">
        <v>8100</v>
      </c>
      <c r="H79" s="3276"/>
      <c r="J79" s="3275"/>
      <c r="K79" s="3276"/>
      <c r="L79" s="811"/>
      <c r="M79" s="3275"/>
      <c r="N79" s="3276"/>
      <c r="P79" s="3275">
        <v>8100</v>
      </c>
      <c r="Q79" s="3276"/>
      <c r="S79" s="3275"/>
      <c r="T79" s="3276"/>
      <c r="V79" s="832"/>
      <c r="W79" s="3341"/>
      <c r="X79" s="3342"/>
      <c r="AZ79" s="2515" t="s">
        <v>4270</v>
      </c>
      <c r="BA79" s="2514">
        <v>79</v>
      </c>
    </row>
    <row r="80" spans="1:53" s="144" customFormat="1" ht="12" customHeight="1">
      <c r="B80" s="144" t="s">
        <v>1063</v>
      </c>
      <c r="G80" s="3275">
        <v>15000</v>
      </c>
      <c r="H80" s="3276"/>
      <c r="J80" s="3275"/>
      <c r="K80" s="3276"/>
      <c r="L80" s="811"/>
      <c r="M80" s="3275"/>
      <c r="N80" s="3276"/>
      <c r="P80" s="3275">
        <v>15000</v>
      </c>
      <c r="Q80" s="3276"/>
      <c r="S80" s="3275"/>
      <c r="T80" s="3276"/>
      <c r="V80" s="832"/>
      <c r="W80" s="3341"/>
      <c r="X80" s="3342"/>
      <c r="AZ80" s="2515" t="s">
        <v>4271</v>
      </c>
      <c r="BA80" s="2514">
        <v>80</v>
      </c>
    </row>
    <row r="81" spans="1:53" s="144" customFormat="1" ht="12" customHeight="1">
      <c r="B81" s="144" t="s">
        <v>451</v>
      </c>
      <c r="G81" s="3275">
        <v>60000</v>
      </c>
      <c r="H81" s="3276"/>
      <c r="J81" s="3275"/>
      <c r="K81" s="3276"/>
      <c r="L81" s="811"/>
      <c r="M81" s="3275"/>
      <c r="N81" s="3276"/>
      <c r="P81" s="3275">
        <v>60000</v>
      </c>
      <c r="Q81" s="3276"/>
      <c r="S81" s="3275"/>
      <c r="T81" s="3276"/>
      <c r="V81" s="832"/>
      <c r="W81" s="3341"/>
      <c r="X81" s="3342"/>
      <c r="AZ81" s="2513"/>
      <c r="BA81" s="2514">
        <v>81</v>
      </c>
    </row>
    <row r="82" spans="1:53" s="144" customFormat="1" ht="12" customHeight="1">
      <c r="B82" s="144" t="s">
        <v>452</v>
      </c>
      <c r="G82" s="3275">
        <v>130000</v>
      </c>
      <c r="H82" s="3276"/>
      <c r="J82" s="3275"/>
      <c r="K82" s="3276"/>
      <c r="L82" s="811"/>
      <c r="M82" s="3275"/>
      <c r="N82" s="3276"/>
      <c r="P82" s="3275">
        <v>130000</v>
      </c>
      <c r="Q82" s="3276"/>
      <c r="S82" s="3275"/>
      <c r="T82" s="3276"/>
      <c r="V82" s="832"/>
      <c r="W82" s="3341"/>
      <c r="X82" s="3342"/>
      <c r="AZ82" s="2515"/>
      <c r="BA82" s="2514">
        <v>82</v>
      </c>
    </row>
    <row r="83" spans="1:53" s="144" customFormat="1" ht="12" customHeight="1">
      <c r="B83" s="144" t="s">
        <v>1893</v>
      </c>
      <c r="G83" s="3275">
        <v>20000</v>
      </c>
      <c r="H83" s="3276"/>
      <c r="J83" s="3275"/>
      <c r="K83" s="3276"/>
      <c r="L83" s="811"/>
      <c r="M83" s="3275"/>
      <c r="N83" s="3276"/>
      <c r="P83" s="3275">
        <v>20000</v>
      </c>
      <c r="Q83" s="3276"/>
      <c r="S83" s="3275"/>
      <c r="T83" s="3276"/>
      <c r="V83" s="832"/>
      <c r="W83" s="3341"/>
      <c r="X83" s="3342"/>
      <c r="AZ83" s="2515"/>
      <c r="BA83" s="2514">
        <v>83</v>
      </c>
    </row>
    <row r="84" spans="1:53" s="144" customFormat="1" ht="12" customHeight="1">
      <c r="B84" s="144" t="s">
        <v>1199</v>
      </c>
      <c r="G84" s="3275">
        <v>15000</v>
      </c>
      <c r="H84" s="3276"/>
      <c r="J84" s="3275"/>
      <c r="K84" s="3276"/>
      <c r="L84" s="811"/>
      <c r="M84" s="3275"/>
      <c r="N84" s="3276"/>
      <c r="P84" s="3275">
        <v>15000</v>
      </c>
      <c r="Q84" s="3276"/>
      <c r="S84" s="3275"/>
      <c r="T84" s="3276"/>
      <c r="V84" s="832"/>
      <c r="W84" s="3341"/>
      <c r="X84" s="3342"/>
      <c r="AZ84" s="2515"/>
      <c r="BA84" s="2514">
        <v>84</v>
      </c>
    </row>
    <row r="85" spans="1:53" s="144" customFormat="1" ht="12" customHeight="1" thickBot="1">
      <c r="A85" s="303" t="str">
        <f>IF(AND(G85&gt;0,OR(C85="",C85="&lt;Enter detailed description here; use Comments section if needed&gt;")),"X","")</f>
        <v/>
      </c>
      <c r="B85" s="147" t="s">
        <v>4170</v>
      </c>
      <c r="C85" s="3438" t="s">
        <v>4603</v>
      </c>
      <c r="D85" s="3438"/>
      <c r="E85" s="3438"/>
      <c r="F85" s="3439"/>
      <c r="G85" s="3267"/>
      <c r="H85" s="3268"/>
      <c r="J85" s="3267"/>
      <c r="K85" s="3268"/>
      <c r="L85" s="811"/>
      <c r="M85" s="3267"/>
      <c r="N85" s="3268"/>
      <c r="P85" s="3267"/>
      <c r="Q85" s="3268"/>
      <c r="S85" s="3267"/>
      <c r="T85" s="3268"/>
      <c r="U85" s="302" t="str">
        <f>IF(AND(G85&gt;0,OR(C85="",C85="&lt;Enter detailed description here; use Comments section if needed&gt;")),"NO DESCRIPTION PROVIDED - please enter detailed description in Other box at left; use Comments section below if needed.","")</f>
        <v/>
      </c>
      <c r="V85" s="832"/>
      <c r="W85" s="3399"/>
      <c r="X85" s="3400"/>
      <c r="AZ85" s="2515"/>
      <c r="BA85" s="2514">
        <v>85</v>
      </c>
    </row>
    <row r="86" spans="1:53" s="144" customFormat="1" ht="12" customHeight="1" thickTop="1">
      <c r="F86" s="281" t="s">
        <v>184</v>
      </c>
      <c r="G86" s="3436">
        <f>SUM(G75:G85)</f>
        <v>588100</v>
      </c>
      <c r="H86" s="3437"/>
      <c r="J86" s="3436">
        <f>SUM(J75:J85)</f>
        <v>0</v>
      </c>
      <c r="K86" s="3437"/>
      <c r="L86" s="283"/>
      <c r="M86" s="3436">
        <f>SUM(M75:M85)</f>
        <v>0</v>
      </c>
      <c r="N86" s="3437"/>
      <c r="P86" s="3436">
        <f>SUM(P75:P85)</f>
        <v>588100</v>
      </c>
      <c r="Q86" s="3437"/>
      <c r="S86" s="3436">
        <f>SUM(S75:S85)</f>
        <v>0</v>
      </c>
      <c r="T86" s="3437"/>
      <c r="V86" s="834">
        <f>SUM(V75:V85)</f>
        <v>0</v>
      </c>
      <c r="W86" s="3420"/>
      <c r="X86" s="3421"/>
      <c r="AZ86" s="2515" t="s">
        <v>4272</v>
      </c>
      <c r="BA86" s="2514">
        <v>86</v>
      </c>
    </row>
    <row r="87" spans="1:53" ht="12" customHeight="1">
      <c r="A87" s="144"/>
      <c r="B87" s="243" t="s">
        <v>1191</v>
      </c>
      <c r="C87" s="144"/>
      <c r="D87" s="675" t="s">
        <v>3143</v>
      </c>
      <c r="E87" s="746">
        <f>G92/'Part V-Revenues &amp; Expenses'!$P$76</f>
        <v>531.25</v>
      </c>
      <c r="F87" s="144"/>
      <c r="G87" s="144"/>
      <c r="H87" s="144"/>
      <c r="I87" s="144"/>
      <c r="J87" s="283"/>
      <c r="K87" s="283"/>
      <c r="M87" s="283"/>
      <c r="N87" s="283"/>
      <c r="O87" s="282" t="str">
        <f>B87</f>
        <v>LOCAL GOVERNMENT FEES</v>
      </c>
      <c r="P87" s="283"/>
      <c r="Q87" s="283"/>
      <c r="S87" s="283"/>
      <c r="T87" s="283"/>
      <c r="V87" s="835"/>
      <c r="W87" s="144" t="str">
        <f>B87</f>
        <v>LOCAL GOVERNMENT FEES</v>
      </c>
      <c r="AZ87" s="2515"/>
      <c r="BA87" s="2514">
        <v>87</v>
      </c>
    </row>
    <row r="88" spans="1:53" s="144" customFormat="1" ht="12" customHeight="1">
      <c r="B88" s="144" t="s">
        <v>1192</v>
      </c>
      <c r="G88" s="3446">
        <v>85000</v>
      </c>
      <c r="H88" s="3447"/>
      <c r="J88" s="3446"/>
      <c r="K88" s="3447"/>
      <c r="L88" s="811"/>
      <c r="M88" s="3446"/>
      <c r="N88" s="3447"/>
      <c r="P88" s="3446">
        <v>85000</v>
      </c>
      <c r="Q88" s="3447"/>
      <c r="S88" s="3446"/>
      <c r="T88" s="3447"/>
      <c r="V88" s="832"/>
      <c r="W88" s="3341"/>
      <c r="X88" s="3342"/>
      <c r="AZ88" s="2515"/>
      <c r="BA88" s="2514">
        <v>88</v>
      </c>
    </row>
    <row r="89" spans="1:53" s="144" customFormat="1" ht="12" customHeight="1">
      <c r="B89" s="144" t="s">
        <v>1193</v>
      </c>
      <c r="G89" s="3275"/>
      <c r="H89" s="3276"/>
      <c r="J89" s="3275"/>
      <c r="K89" s="3276"/>
      <c r="L89" s="811"/>
      <c r="M89" s="3275"/>
      <c r="N89" s="3276"/>
      <c r="P89" s="3275"/>
      <c r="Q89" s="3276"/>
      <c r="S89" s="3275"/>
      <c r="T89" s="3276"/>
      <c r="V89" s="832"/>
      <c r="W89" s="3341"/>
      <c r="X89" s="3342"/>
      <c r="AZ89" s="2515"/>
      <c r="BA89" s="2514">
        <v>89</v>
      </c>
    </row>
    <row r="90" spans="1:53" s="144" customFormat="1" ht="12" customHeight="1">
      <c r="B90" s="144" t="s">
        <v>1194</v>
      </c>
      <c r="D90" s="289" t="s">
        <v>1322</v>
      </c>
      <c r="E90" s="846"/>
      <c r="G90" s="3275"/>
      <c r="H90" s="3276"/>
      <c r="I90" s="145"/>
      <c r="J90" s="3275"/>
      <c r="K90" s="3276"/>
      <c r="L90" s="811"/>
      <c r="M90" s="3275"/>
      <c r="N90" s="3276"/>
      <c r="P90" s="3275"/>
      <c r="Q90" s="3276"/>
      <c r="S90" s="3275"/>
      <c r="T90" s="3276"/>
      <c r="V90" s="832"/>
      <c r="W90" s="3341"/>
      <c r="X90" s="3342"/>
      <c r="AZ90" s="2515"/>
      <c r="BA90" s="2514">
        <v>90</v>
      </c>
    </row>
    <row r="91" spans="1:53" s="144" customFormat="1" ht="12" customHeight="1" thickBot="1">
      <c r="B91" s="144" t="s">
        <v>1195</v>
      </c>
      <c r="D91" s="289" t="s">
        <v>1322</v>
      </c>
      <c r="E91" s="847"/>
      <c r="G91" s="3267"/>
      <c r="H91" s="3268"/>
      <c r="I91" s="145"/>
      <c r="J91" s="3267"/>
      <c r="K91" s="3268"/>
      <c r="L91" s="811"/>
      <c r="M91" s="3267"/>
      <c r="N91" s="3268"/>
      <c r="P91" s="3267"/>
      <c r="Q91" s="3268"/>
      <c r="S91" s="3267"/>
      <c r="T91" s="3268"/>
      <c r="V91" s="832"/>
      <c r="W91" s="3399"/>
      <c r="X91" s="3400"/>
      <c r="AZ91" s="2515"/>
      <c r="BA91" s="2514">
        <v>91</v>
      </c>
    </row>
    <row r="92" spans="1:53" s="144" customFormat="1" ht="12" customHeight="1" thickTop="1">
      <c r="F92" s="281" t="s">
        <v>184</v>
      </c>
      <c r="G92" s="3436">
        <f>SUM(G88:G91)</f>
        <v>85000</v>
      </c>
      <c r="H92" s="3437"/>
      <c r="J92" s="3436">
        <f>SUM(J88:J91)</f>
        <v>0</v>
      </c>
      <c r="K92" s="3437"/>
      <c r="L92" s="283"/>
      <c r="M92" s="3436">
        <f>SUM(M88:M91)</f>
        <v>0</v>
      </c>
      <c r="N92" s="3437"/>
      <c r="P92" s="3436">
        <f>SUM(P88:P91)</f>
        <v>85000</v>
      </c>
      <c r="Q92" s="3437"/>
      <c r="S92" s="3436">
        <f>SUM(S88:S91)</f>
        <v>0</v>
      </c>
      <c r="T92" s="3437"/>
      <c r="V92" s="834">
        <f>SUM(V88:V91)</f>
        <v>0</v>
      </c>
      <c r="W92" s="3420"/>
      <c r="X92" s="3421"/>
      <c r="AZ92" s="2515"/>
      <c r="BA92" s="2514">
        <v>92</v>
      </c>
    </row>
    <row r="93" spans="1:53" s="144" customFormat="1" ht="3" customHeight="1" thickBot="1">
      <c r="A93" s="374"/>
      <c r="B93" s="374"/>
      <c r="C93" s="374"/>
      <c r="D93" s="374"/>
      <c r="E93" s="374"/>
      <c r="F93" s="374"/>
      <c r="G93" s="374"/>
      <c r="H93" s="374"/>
      <c r="I93" s="374"/>
      <c r="J93" s="374"/>
      <c r="K93" s="374"/>
      <c r="L93" s="374"/>
      <c r="M93" s="374"/>
      <c r="N93" s="374"/>
      <c r="O93" s="374"/>
      <c r="P93" s="374"/>
      <c r="Q93" s="374"/>
      <c r="R93" s="374"/>
      <c r="S93" s="374"/>
      <c r="T93" s="374"/>
      <c r="V93" s="835"/>
      <c r="AZ93" s="2515"/>
      <c r="BA93" s="2514">
        <v>93</v>
      </c>
    </row>
    <row r="94" spans="1:53" s="144" customFormat="1" ht="18" customHeight="1" thickBot="1">
      <c r="A94" s="342" t="s">
        <v>572</v>
      </c>
      <c r="B94" s="342" t="s">
        <v>2515</v>
      </c>
      <c r="J94" s="3427" t="s">
        <v>259</v>
      </c>
      <c r="K94" s="3428"/>
      <c r="L94" s="280"/>
      <c r="M94" s="3440" t="s">
        <v>459</v>
      </c>
      <c r="N94" s="3441"/>
      <c r="P94" s="3427" t="s">
        <v>260</v>
      </c>
      <c r="Q94" s="3428"/>
      <c r="S94" s="3427" t="s">
        <v>261</v>
      </c>
      <c r="T94" s="3428"/>
      <c r="V94" s="343" t="str">
        <f>B94</f>
        <v>DEVELOPMENT BUDGET  (cont'd)</v>
      </c>
      <c r="AZ94" s="2515"/>
      <c r="BA94" s="2514">
        <v>94</v>
      </c>
    </row>
    <row r="95" spans="1:53" s="144" customFormat="1" ht="18" customHeight="1" thickBot="1">
      <c r="G95" s="3444" t="s">
        <v>95</v>
      </c>
      <c r="H95" s="3445"/>
      <c r="J95" s="3429"/>
      <c r="K95" s="3430"/>
      <c r="L95" s="280"/>
      <c r="M95" s="3442"/>
      <c r="N95" s="3443"/>
      <c r="P95" s="3429"/>
      <c r="Q95" s="3430"/>
      <c r="S95" s="3429"/>
      <c r="T95" s="3430"/>
      <c r="V95" s="253" t="s">
        <v>2440</v>
      </c>
      <c r="X95" s="253"/>
      <c r="AZ95" s="2515"/>
      <c r="BA95" s="2514">
        <v>95</v>
      </c>
    </row>
    <row r="96" spans="1:53" s="144" customFormat="1" ht="12" customHeight="1">
      <c r="B96" s="243" t="s">
        <v>676</v>
      </c>
      <c r="J96" s="283"/>
      <c r="K96" s="283"/>
      <c r="M96" s="283"/>
      <c r="N96" s="283"/>
      <c r="O96" s="282" t="str">
        <f>B96</f>
        <v>PERMANENT FINANCING FEES</v>
      </c>
      <c r="P96" s="283"/>
      <c r="Q96" s="283"/>
      <c r="S96" s="283"/>
      <c r="T96" s="283"/>
      <c r="V96" s="835"/>
      <c r="W96" s="144" t="str">
        <f>B96</f>
        <v>PERMANENT FINANCING FEES</v>
      </c>
      <c r="AZ96" s="2515" t="s">
        <v>4273</v>
      </c>
      <c r="BA96" s="2514">
        <v>96</v>
      </c>
    </row>
    <row r="97" spans="1:53" s="144" customFormat="1" ht="12" customHeight="1">
      <c r="B97" s="144" t="s">
        <v>1196</v>
      </c>
      <c r="G97" s="3446">
        <v>135000</v>
      </c>
      <c r="H97" s="3447"/>
      <c r="J97" s="3472"/>
      <c r="K97" s="3472"/>
      <c r="L97" s="811"/>
      <c r="M97" s="3472"/>
      <c r="N97" s="3472"/>
      <c r="P97" s="3472"/>
      <c r="Q97" s="3472"/>
      <c r="S97" s="3446">
        <v>135000</v>
      </c>
      <c r="T97" s="3447"/>
      <c r="V97" s="832"/>
      <c r="W97" s="3341"/>
      <c r="X97" s="3342"/>
      <c r="AZ97" s="2515" t="s">
        <v>4274</v>
      </c>
      <c r="BA97" s="2514">
        <v>97</v>
      </c>
    </row>
    <row r="98" spans="1:53" s="144" customFormat="1" ht="12" customHeight="1">
      <c r="B98" s="144" t="s">
        <v>1197</v>
      </c>
      <c r="G98" s="3275">
        <v>30000</v>
      </c>
      <c r="H98" s="3276"/>
      <c r="J98" s="3472"/>
      <c r="K98" s="3472"/>
      <c r="L98" s="811"/>
      <c r="M98" s="3472"/>
      <c r="N98" s="3472"/>
      <c r="P98" s="3472"/>
      <c r="Q98" s="3472"/>
      <c r="S98" s="3275">
        <v>30000</v>
      </c>
      <c r="T98" s="3276"/>
      <c r="V98" s="832"/>
      <c r="W98" s="3341"/>
      <c r="X98" s="3342"/>
      <c r="AZ98" s="2515"/>
      <c r="BA98" s="2514">
        <v>98</v>
      </c>
    </row>
    <row r="99" spans="1:53" s="144" customFormat="1" ht="12" customHeight="1">
      <c r="B99" s="144" t="s">
        <v>1198</v>
      </c>
      <c r="G99" s="3275">
        <v>10000</v>
      </c>
      <c r="H99" s="3276"/>
      <c r="J99" s="3472"/>
      <c r="K99" s="3472"/>
      <c r="L99" s="811"/>
      <c r="M99" s="3472"/>
      <c r="N99" s="3472"/>
      <c r="P99" s="3472"/>
      <c r="Q99" s="3472"/>
      <c r="S99" s="3275">
        <v>10000</v>
      </c>
      <c r="T99" s="3276"/>
      <c r="V99" s="832"/>
      <c r="W99" s="3341"/>
      <c r="X99" s="3342"/>
      <c r="AZ99" s="2515"/>
      <c r="BA99" s="2514">
        <v>99</v>
      </c>
    </row>
    <row r="100" spans="1:53" s="144" customFormat="1" ht="12" customHeight="1">
      <c r="B100" s="144" t="s">
        <v>1200</v>
      </c>
      <c r="G100" s="3275">
        <v>250000</v>
      </c>
      <c r="H100" s="3276"/>
      <c r="J100" s="3472"/>
      <c r="K100" s="3472"/>
      <c r="L100" s="811"/>
      <c r="M100" s="3472"/>
      <c r="N100" s="3472"/>
      <c r="P100" s="3472"/>
      <c r="Q100" s="3472"/>
      <c r="S100" s="3275">
        <v>250000</v>
      </c>
      <c r="T100" s="3276"/>
      <c r="V100" s="832"/>
      <c r="W100" s="3341"/>
      <c r="X100" s="3342"/>
      <c r="AZ100" s="2515"/>
      <c r="BA100" s="2514">
        <v>100</v>
      </c>
    </row>
    <row r="101" spans="1:53" s="144" customFormat="1" ht="12" customHeight="1">
      <c r="B101" s="144" t="s">
        <v>2114</v>
      </c>
      <c r="G101" s="3275">
        <v>300000</v>
      </c>
      <c r="H101" s="3276"/>
      <c r="J101" s="3472"/>
      <c r="K101" s="3472"/>
      <c r="L101" s="811"/>
      <c r="M101" s="3472"/>
      <c r="N101" s="3472"/>
      <c r="P101" s="3472"/>
      <c r="Q101" s="3472"/>
      <c r="S101" s="3275">
        <v>300000</v>
      </c>
      <c r="T101" s="3276"/>
      <c r="V101" s="832"/>
      <c r="W101" s="3341"/>
      <c r="X101" s="3342"/>
      <c r="AZ101" s="2515"/>
      <c r="BA101" s="2514">
        <v>101</v>
      </c>
    </row>
    <row r="102" spans="1:53" s="144" customFormat="1" ht="12" customHeight="1" thickBot="1">
      <c r="A102" s="303" t="str">
        <f>IF(AND(G102&gt;0,OR(C102="",C102="&lt;Enter detailed description here; use Comments section if needed&gt;")),"X","")</f>
        <v/>
      </c>
      <c r="B102" s="147" t="s">
        <v>4171</v>
      </c>
      <c r="C102" s="3438" t="s">
        <v>4603</v>
      </c>
      <c r="D102" s="3438"/>
      <c r="E102" s="3438"/>
      <c r="F102" s="3439"/>
      <c r="G102" s="3267"/>
      <c r="H102" s="3268"/>
      <c r="J102" s="3472"/>
      <c r="K102" s="3472"/>
      <c r="L102" s="811"/>
      <c r="M102" s="3472"/>
      <c r="N102" s="3472"/>
      <c r="P102" s="3472"/>
      <c r="Q102" s="3472"/>
      <c r="S102" s="3267"/>
      <c r="T102" s="3268"/>
      <c r="U102" s="302" t="str">
        <f>IF(AND(G102&gt;0,OR(C102="",C102="&lt;Enter detailed description here; use Comments section if needed&gt;")),"NO DESCRIPTION PROVIDED - please enter detailed description in Other box at left; use Comments section below if needed.","")</f>
        <v/>
      </c>
      <c r="V102" s="832"/>
      <c r="W102" s="3399"/>
      <c r="X102" s="3400"/>
      <c r="AZ102" s="2515"/>
      <c r="BA102" s="2514">
        <v>102</v>
      </c>
    </row>
    <row r="103" spans="1:53" s="144" customFormat="1" ht="12" customHeight="1" thickTop="1">
      <c r="F103" s="281" t="s">
        <v>184</v>
      </c>
      <c r="G103" s="3436">
        <f>SUM(G97:G102)</f>
        <v>725000</v>
      </c>
      <c r="H103" s="3437"/>
      <c r="J103" s="3472"/>
      <c r="K103" s="3472"/>
      <c r="L103" s="283"/>
      <c r="M103" s="3472"/>
      <c r="N103" s="3472"/>
      <c r="P103" s="3472"/>
      <c r="Q103" s="3472"/>
      <c r="S103" s="3436">
        <f>SUM(S97:S102)</f>
        <v>725000</v>
      </c>
      <c r="T103" s="3437"/>
      <c r="V103" s="834">
        <f>SUM(V97:V102)</f>
        <v>0</v>
      </c>
      <c r="W103" s="3420"/>
      <c r="X103" s="3421"/>
      <c r="AZ103" s="2515"/>
      <c r="BA103" s="2514">
        <v>103</v>
      </c>
    </row>
    <row r="104" spans="1:53" s="144" customFormat="1" ht="12" customHeight="1">
      <c r="B104" s="243" t="s">
        <v>677</v>
      </c>
      <c r="J104" s="283"/>
      <c r="K104" s="283"/>
      <c r="M104" s="283"/>
      <c r="N104" s="283"/>
      <c r="O104" s="282" t="str">
        <f>B104</f>
        <v>DCA-RELATED COSTS</v>
      </c>
      <c r="P104" s="283"/>
      <c r="Q104" s="283"/>
      <c r="S104" s="283"/>
      <c r="T104" s="283"/>
      <c r="V104" s="835"/>
      <c r="W104" s="144" t="str">
        <f>B104</f>
        <v>DCA-RELATED COSTS</v>
      </c>
      <c r="AA104" s="147" t="s">
        <v>3797</v>
      </c>
      <c r="AB104" s="147"/>
      <c r="AC104" s="147"/>
      <c r="AD104" s="1819" t="str">
        <f>IF(OR($M$38="9% Credit Competitive Round only", $M$38="9% Credit &amp; HOME"),"9%",IF(OR($M$38="4% Credit/TE Bond", $M$38="4% Credit/TE Bond &amp; HOME", $M$38="4% Credit/TE Bond &amp; HOME NOFA", $M$38="4% Credit &amp; NHTF", $M$38="4% Credit &amp; NHTF &amp; HOME"),"4%",""))</f>
        <v/>
      </c>
      <c r="AZ104" s="2515"/>
      <c r="BA104" s="2514">
        <v>104</v>
      </c>
    </row>
    <row r="105" spans="1:53" s="144" customFormat="1" ht="12.6" customHeight="1">
      <c r="B105" s="144" t="s">
        <v>4963</v>
      </c>
      <c r="G105" s="3446"/>
      <c r="H105" s="3447"/>
      <c r="J105" s="283"/>
      <c r="K105" s="283"/>
      <c r="L105" s="811"/>
      <c r="M105" s="283"/>
      <c r="N105" s="283"/>
      <c r="P105" s="283"/>
      <c r="Q105" s="283"/>
      <c r="S105" s="3446"/>
      <c r="T105" s="3447"/>
      <c r="V105" s="832"/>
      <c r="W105" s="3341"/>
      <c r="X105" s="3342"/>
      <c r="Y105" s="3482" t="s">
        <v>4585</v>
      </c>
      <c r="AA105" s="236" t="s">
        <v>4533</v>
      </c>
      <c r="AB105" s="147"/>
      <c r="AC105" s="147"/>
      <c r="AD105" s="1818" t="str">
        <f>'Part V-Revenues &amp; Expenses'!$O$62</f>
        <v>Income Averaging</v>
      </c>
      <c r="AE105" s="1817"/>
      <c r="AF105" s="1817"/>
      <c r="AZ105" s="2515"/>
      <c r="BA105" s="2514">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275">
        <v>10000</v>
      </c>
      <c r="H106" s="3276"/>
      <c r="J106" s="283"/>
      <c r="K106" s="283"/>
      <c r="L106" s="290"/>
      <c r="M106" s="283"/>
      <c r="N106" s="283"/>
      <c r="P106" s="283"/>
      <c r="Q106" s="283"/>
      <c r="S106" s="3275">
        <v>10000</v>
      </c>
      <c r="T106" s="3276"/>
      <c r="V106" s="832"/>
      <c r="W106" s="3341"/>
      <c r="X106" s="3342"/>
      <c r="Y106" s="3482"/>
      <c r="AA106" s="1820" t="s">
        <v>3065</v>
      </c>
      <c r="AB106" s="1820"/>
      <c r="AC106" s="1820"/>
      <c r="AD106" s="1821">
        <f>'Part V-Revenues &amp; Expenses'!$P$76</f>
        <v>160</v>
      </c>
      <c r="AZ106" s="2515" t="s">
        <v>4275</v>
      </c>
      <c r="BA106" s="2514">
        <v>106</v>
      </c>
    </row>
    <row r="107" spans="1:53" s="144" customFormat="1" ht="12.6" customHeight="1">
      <c r="B107" s="144" t="s">
        <v>4964</v>
      </c>
      <c r="G107" s="3275"/>
      <c r="H107" s="3276"/>
      <c r="J107" s="283"/>
      <c r="K107" s="283"/>
      <c r="L107" s="290"/>
      <c r="M107" s="283"/>
      <c r="N107" s="283"/>
      <c r="P107" s="283"/>
      <c r="Q107" s="283"/>
      <c r="S107" s="3275"/>
      <c r="T107" s="3276"/>
      <c r="V107" s="832"/>
      <c r="W107" s="3341"/>
      <c r="X107" s="3342"/>
      <c r="Y107" s="3482"/>
      <c r="Z107" s="301"/>
      <c r="AA107" s="225" t="s">
        <v>4590</v>
      </c>
      <c r="AB107" s="147"/>
      <c r="AC107" s="147"/>
      <c r="AD107" s="147"/>
      <c r="AF107" s="1825" t="s">
        <v>4591</v>
      </c>
      <c r="AZ107" s="2515" t="s">
        <v>4276</v>
      </c>
      <c r="BA107" s="2514">
        <v>107</v>
      </c>
    </row>
    <row r="108" spans="1:53" s="144" customFormat="1" ht="12.6" customHeight="1">
      <c r="B108" s="144" t="s">
        <v>485</v>
      </c>
      <c r="E108" s="3477">
        <f>ROUNDUP('DCA Underwriting Assumptions'!$Q$70*J192,0)</f>
        <v>110953</v>
      </c>
      <c r="F108" s="3478"/>
      <c r="G108" s="3275">
        <v>110953</v>
      </c>
      <c r="H108" s="3276"/>
      <c r="J108" s="747" t="str">
        <f>IF(E108&gt;G108,"WARNING!  LIHTC Allocation Fee proposed is below minimum required.","")</f>
        <v/>
      </c>
      <c r="K108" s="283"/>
      <c r="L108" s="811"/>
      <c r="M108" s="283"/>
      <c r="N108" s="283"/>
      <c r="P108" s="283"/>
      <c r="Q108" s="283"/>
      <c r="S108" s="3275">
        <v>110953</v>
      </c>
      <c r="T108" s="3276"/>
      <c r="V108" s="832"/>
      <c r="W108" s="3341"/>
      <c r="X108" s="3342"/>
      <c r="Y108" s="3482"/>
      <c r="Z108" s="301"/>
      <c r="AA108" s="147" t="s">
        <v>4586</v>
      </c>
      <c r="AB108" s="147"/>
      <c r="AC108" s="147"/>
      <c r="AD108" s="234">
        <f>'Part V-Revenues &amp; Expenses'!P159+'Part V-Revenues &amp; Expenses'!P160</f>
        <v>0</v>
      </c>
      <c r="AF108" s="1823">
        <f>AD108*'DCA Underwriting Assumptions'!$Q$77</f>
        <v>0</v>
      </c>
      <c r="AZ108" s="2515" t="s">
        <v>4277</v>
      </c>
      <c r="BA108" s="2514">
        <v>108</v>
      </c>
    </row>
    <row r="109" spans="1:53" s="144" customFormat="1" ht="12.6" customHeight="1">
      <c r="B109" s="144" t="s">
        <v>701</v>
      </c>
      <c r="E109" s="3477">
        <f>AF111+AF115</f>
        <v>160000</v>
      </c>
      <c r="F109" s="3478"/>
      <c r="G109" s="3275">
        <v>160000</v>
      </c>
      <c r="H109" s="3276"/>
      <c r="I109" s="3479" t="str">
        <f>IF(E109&gt;G109,"WARNING!  LIHTC Compliance Fee proposed is below minimum required.","")</f>
        <v/>
      </c>
      <c r="J109" s="3480"/>
      <c r="K109" s="3480"/>
      <c r="L109" s="3480"/>
      <c r="M109" s="3480"/>
      <c r="N109" s="3480"/>
      <c r="O109" s="3480"/>
      <c r="P109" s="3480"/>
      <c r="Q109" s="3480"/>
      <c r="R109" s="3481"/>
      <c r="S109" s="3275">
        <v>160000</v>
      </c>
      <c r="T109" s="3276"/>
      <c r="V109" s="832"/>
      <c r="W109" s="3341"/>
      <c r="X109" s="3342"/>
      <c r="Y109" s="3482"/>
      <c r="Z109" s="301"/>
      <c r="AA109" s="147" t="s">
        <v>4179</v>
      </c>
      <c r="AB109" s="147"/>
      <c r="AC109" s="147"/>
      <c r="AD109" s="234">
        <f>'Part V-Revenues &amp; Expenses'!$P$163+'Part V-Revenues &amp; Expenses'!$P$164</f>
        <v>0</v>
      </c>
      <c r="AF109" s="1823">
        <f>AD109*'DCA Underwriting Assumptions'!$Q$77</f>
        <v>0</v>
      </c>
      <c r="AZ109" s="2515"/>
      <c r="BA109" s="2514">
        <v>109</v>
      </c>
    </row>
    <row r="110" spans="1:53" s="144" customFormat="1" ht="12.6" customHeight="1">
      <c r="B110" s="144" t="s">
        <v>3359</v>
      </c>
      <c r="F110" s="952"/>
      <c r="G110" s="3275"/>
      <c r="H110" s="3276"/>
      <c r="I110" s="3479"/>
      <c r="J110" s="3480"/>
      <c r="K110" s="3480"/>
      <c r="L110" s="3480"/>
      <c r="M110" s="3480"/>
      <c r="N110" s="3480"/>
      <c r="O110" s="3480"/>
      <c r="P110" s="3480"/>
      <c r="Q110" s="3480"/>
      <c r="R110" s="3481"/>
      <c r="S110" s="3275"/>
      <c r="T110" s="3276"/>
      <c r="V110" s="832"/>
      <c r="W110" s="3341"/>
      <c r="X110" s="3342"/>
      <c r="Y110" s="3482"/>
      <c r="AA110" s="147" t="s">
        <v>4587</v>
      </c>
      <c r="AB110" s="147"/>
      <c r="AC110" s="147"/>
      <c r="AD110" s="234">
        <f>'Part V-Revenues &amp; Expenses'!$P$165+'Part V-Revenues &amp; Expenses'!$P$166</f>
        <v>0</v>
      </c>
      <c r="AF110" s="1823">
        <f>AD110*'DCA Underwriting Assumptions'!$Q$77</f>
        <v>0</v>
      </c>
      <c r="AZ110" s="2515"/>
      <c r="BA110" s="2514">
        <v>110</v>
      </c>
    </row>
    <row r="111" spans="1:53" s="144" customFormat="1" ht="12.6" customHeight="1">
      <c r="B111" s="144" t="s">
        <v>4721</v>
      </c>
      <c r="F111" s="952">
        <f>ROUNDUP('DCA Underwriting Assumptions'!$Q$73,0)</f>
        <v>8000</v>
      </c>
      <c r="G111" s="3275">
        <v>8000</v>
      </c>
      <c r="H111" s="3276"/>
      <c r="J111" s="145"/>
      <c r="K111" s="145"/>
      <c r="L111" s="145"/>
      <c r="M111" s="145"/>
      <c r="N111" s="145"/>
      <c r="O111" s="145"/>
      <c r="P111" s="145"/>
      <c r="Q111" s="145"/>
      <c r="S111" s="3275">
        <v>8000</v>
      </c>
      <c r="T111" s="3276"/>
      <c r="V111" s="832"/>
      <c r="W111" s="3341"/>
      <c r="X111" s="3342"/>
      <c r="AA111" s="147"/>
      <c r="AB111" s="1451" t="s">
        <v>4588</v>
      </c>
      <c r="AC111" s="147"/>
      <c r="AD111" s="1822">
        <f>SUM(AD108:AD110)</f>
        <v>0</v>
      </c>
      <c r="AF111" s="1824">
        <f>SUM(AF108:AF110)</f>
        <v>0</v>
      </c>
      <c r="AZ111" s="2515"/>
      <c r="BA111" s="2514">
        <v>111</v>
      </c>
    </row>
    <row r="112" spans="1:53" s="144" customFormat="1" ht="12.6" customHeight="1">
      <c r="A112" s="303" t="str">
        <f>IF(AND(G112&gt;0,OR(C112="",C112="&lt;Enter detailed description here; use Comments section if needed&gt;")),"X","")</f>
        <v/>
      </c>
      <c r="B112" s="147" t="s">
        <v>4167</v>
      </c>
      <c r="C112" s="3475" t="s">
        <v>4603</v>
      </c>
      <c r="D112" s="3475"/>
      <c r="E112" s="3475"/>
      <c r="F112" s="3476"/>
      <c r="G112" s="3275"/>
      <c r="H112" s="3276"/>
      <c r="J112" s="145"/>
      <c r="K112" s="145"/>
      <c r="L112" s="145"/>
      <c r="M112" s="145"/>
      <c r="N112" s="145"/>
      <c r="O112" s="145"/>
      <c r="P112" s="145"/>
      <c r="Q112" s="145"/>
      <c r="S112" s="3275"/>
      <c r="T112" s="3276"/>
      <c r="U112" s="302" t="str">
        <f>IF(AND(G112&gt;0,OR(C112="",C112="&lt;Enter detailed description here; use Comments section if needed&gt;")),"NO DESCRIPTION PROVIDED - please enter detailed description in Other box at left; use Comments section below if needed.","")</f>
        <v/>
      </c>
      <c r="V112" s="832"/>
      <c r="W112" s="3341"/>
      <c r="X112" s="3342"/>
      <c r="AA112" s="225" t="s">
        <v>4589</v>
      </c>
      <c r="AB112" s="147"/>
      <c r="AC112" s="231"/>
      <c r="AD112" s="147"/>
      <c r="AF112" s="1823"/>
      <c r="AZ112" s="2515"/>
      <c r="BA112" s="2514">
        <v>112</v>
      </c>
    </row>
    <row r="113" spans="1:53" s="144" customFormat="1" ht="12.6" customHeight="1" thickBot="1">
      <c r="A113" s="303" t="str">
        <f>IF(AND(G113&gt;0,OR(C113="",C113="&lt;Enter detailed description here; use Comments section if needed&gt;")),"X","")</f>
        <v/>
      </c>
      <c r="B113" s="147" t="s">
        <v>4167</v>
      </c>
      <c r="C113" s="3473" t="s">
        <v>4603</v>
      </c>
      <c r="D113" s="3473"/>
      <c r="E113" s="3473"/>
      <c r="F113" s="3474"/>
      <c r="G113" s="3267"/>
      <c r="H113" s="3268"/>
      <c r="J113" s="145"/>
      <c r="K113" s="145"/>
      <c r="L113" s="145"/>
      <c r="M113" s="145"/>
      <c r="N113" s="145"/>
      <c r="O113" s="145"/>
      <c r="P113" s="145"/>
      <c r="Q113" s="145"/>
      <c r="S113" s="3267"/>
      <c r="T113" s="3268"/>
      <c r="U113" s="302" t="str">
        <f>IF(AND(G113&gt;0,OR(C113="",C113="&lt;Enter detailed description here; use Comments section if needed&gt;")),"NO DESCRIPTION PROVIDED - please enter detailed description in Other box at left; use Comments section below if needed.","")</f>
        <v/>
      </c>
      <c r="V113" s="832"/>
      <c r="W113" s="3399"/>
      <c r="X113" s="3400"/>
      <c r="AA113" s="147" t="s">
        <v>36</v>
      </c>
      <c r="AB113" s="147"/>
      <c r="AC113" s="231"/>
      <c r="AD113" s="234">
        <f>'Part V-Revenues &amp; Expenses'!$P$150</f>
        <v>160</v>
      </c>
      <c r="AF113" s="1823">
        <f>IF($AD$105="Income Averaging",AD113*'DCA Underwriting Assumptions'!$Q$75,AD113*'DCA Underwriting Assumptions'!$Q$74)</f>
        <v>160000</v>
      </c>
      <c r="AZ113" s="2515" t="s">
        <v>4278</v>
      </c>
      <c r="BA113" s="2514">
        <v>113</v>
      </c>
    </row>
    <row r="114" spans="1:53" s="144" customFormat="1" ht="12.6" customHeight="1" thickTop="1">
      <c r="F114" s="281" t="s">
        <v>184</v>
      </c>
      <c r="G114" s="3436">
        <f>SUM(G105:G113)</f>
        <v>288953</v>
      </c>
      <c r="H114" s="3437"/>
      <c r="J114" s="283"/>
      <c r="K114" s="283"/>
      <c r="L114" s="811"/>
      <c r="M114" s="283"/>
      <c r="N114" s="283"/>
      <c r="P114" s="283"/>
      <c r="Q114" s="283"/>
      <c r="S114" s="3436">
        <f>SUM(S105:S113)</f>
        <v>288953</v>
      </c>
      <c r="T114" s="3437"/>
      <c r="V114" s="834">
        <f>SUM(V105:V113)</f>
        <v>0</v>
      </c>
      <c r="W114" s="3366"/>
      <c r="X114" s="3367"/>
      <c r="AA114" s="147" t="s">
        <v>4373</v>
      </c>
      <c r="AB114" s="147"/>
      <c r="AC114" s="241"/>
      <c r="AD114" s="234">
        <f>'Part V-Revenues &amp; Expenses'!$P$161+'Part V-Revenues &amp; Expenses'!$P$162</f>
        <v>0</v>
      </c>
      <c r="AF114" s="1823">
        <f>IF($AD$105="Income Averaging",AD114*'DCA Underwriting Assumptions'!$Q$75,AD114*'DCA Underwriting Assumptions'!$Q$74)</f>
        <v>0</v>
      </c>
      <c r="AZ114" s="2515" t="s">
        <v>4279</v>
      </c>
      <c r="BA114" s="2514">
        <v>114</v>
      </c>
    </row>
    <row r="115" spans="1:53" s="144" customFormat="1" ht="12" customHeight="1">
      <c r="B115" s="243" t="s">
        <v>2115</v>
      </c>
      <c r="J115" s="283"/>
      <c r="K115" s="283"/>
      <c r="M115" s="283"/>
      <c r="N115" s="283"/>
      <c r="O115" s="282" t="str">
        <f>B115</f>
        <v>EQUITY COSTS</v>
      </c>
      <c r="P115" s="283"/>
      <c r="Q115" s="283"/>
      <c r="S115" s="283"/>
      <c r="T115" s="283"/>
      <c r="V115" s="835"/>
      <c r="W115" s="144" t="str">
        <f>B115</f>
        <v>EQUITY COSTS</v>
      </c>
      <c r="AA115" s="147"/>
      <c r="AB115" s="1451" t="s">
        <v>4588</v>
      </c>
      <c r="AC115" s="147"/>
      <c r="AD115" s="1822">
        <f>SUM(AD113:AD114)</f>
        <v>160</v>
      </c>
      <c r="AF115" s="1824">
        <f>SUM(AF113:AF114)</f>
        <v>160000</v>
      </c>
      <c r="AZ115" s="2499"/>
      <c r="BA115" s="2514">
        <v>115</v>
      </c>
    </row>
    <row r="116" spans="1:53" s="144" customFormat="1" ht="12.6" customHeight="1">
      <c r="B116" s="144" t="s">
        <v>267</v>
      </c>
      <c r="G116" s="3446">
        <v>25000</v>
      </c>
      <c r="H116" s="3447"/>
      <c r="J116" s="3472"/>
      <c r="K116" s="3472"/>
      <c r="L116" s="811"/>
      <c r="M116" s="3472"/>
      <c r="N116" s="3472"/>
      <c r="P116" s="3472"/>
      <c r="Q116" s="3472"/>
      <c r="S116" s="3446">
        <v>25000</v>
      </c>
      <c r="T116" s="3447"/>
      <c r="V116" s="832"/>
      <c r="W116" s="3341"/>
      <c r="X116" s="3342"/>
      <c r="AZ116" s="2499"/>
      <c r="BA116" s="2514">
        <v>116</v>
      </c>
    </row>
    <row r="117" spans="1:53" s="144" customFormat="1" ht="12.6" customHeight="1">
      <c r="B117" s="144" t="s">
        <v>268</v>
      </c>
      <c r="G117" s="3275">
        <v>30000</v>
      </c>
      <c r="H117" s="3276"/>
      <c r="J117" s="3472"/>
      <c r="K117" s="3472"/>
      <c r="L117" s="811"/>
      <c r="M117" s="3472"/>
      <c r="N117" s="3472"/>
      <c r="P117" s="3472"/>
      <c r="Q117" s="3472"/>
      <c r="S117" s="3275">
        <v>30000</v>
      </c>
      <c r="T117" s="3276"/>
      <c r="V117" s="832"/>
      <c r="W117" s="3341"/>
      <c r="X117" s="3342"/>
      <c r="AZ117" s="2499"/>
      <c r="BA117" s="2514">
        <v>117</v>
      </c>
    </row>
    <row r="118" spans="1:53" s="144" customFormat="1" ht="12.6" customHeight="1">
      <c r="B118" s="144" t="s">
        <v>2193</v>
      </c>
      <c r="G118" s="3275">
        <v>50000</v>
      </c>
      <c r="H118" s="3276"/>
      <c r="J118" s="3472"/>
      <c r="K118" s="3472"/>
      <c r="L118" s="811"/>
      <c r="M118" s="3472"/>
      <c r="N118" s="3472"/>
      <c r="P118" s="3472"/>
      <c r="Q118" s="3472"/>
      <c r="S118" s="3275">
        <v>50000</v>
      </c>
      <c r="T118" s="3276"/>
      <c r="V118" s="832"/>
      <c r="W118" s="3341"/>
      <c r="X118" s="3342"/>
      <c r="AZ118" s="2499"/>
      <c r="BA118" s="2514">
        <v>118</v>
      </c>
    </row>
    <row r="119" spans="1:53" s="144" customFormat="1" ht="12.6" customHeight="1" thickBot="1">
      <c r="A119" s="303" t="str">
        <f>IF(AND(G119&gt;0,OR(C119="",C119="&lt;Enter detailed description here; use Comments section if needed&gt;")),"X","")</f>
        <v/>
      </c>
      <c r="B119" s="147" t="s">
        <v>4167</v>
      </c>
      <c r="C119" s="3438" t="s">
        <v>4603</v>
      </c>
      <c r="D119" s="3438"/>
      <c r="E119" s="3438"/>
      <c r="F119" s="3439"/>
      <c r="G119" s="3267"/>
      <c r="H119" s="3268"/>
      <c r="J119" s="3472"/>
      <c r="K119" s="3472"/>
      <c r="L119" s="811"/>
      <c r="M119" s="3472"/>
      <c r="N119" s="3472"/>
      <c r="P119" s="3472"/>
      <c r="Q119" s="3472"/>
      <c r="S119" s="3267"/>
      <c r="T119" s="3268"/>
      <c r="U119" s="302" t="str">
        <f>IF(AND(G119&gt;0,OR(C119="",C119="&lt;Enter detailed description here; use Comments section if needed&gt;")),"NO DESCRIPTION PROVIDED - please enter detailed description in Other box at left; use Comments section below if needed.","")</f>
        <v/>
      </c>
      <c r="V119" s="832"/>
      <c r="W119" s="3399"/>
      <c r="X119" s="3400"/>
      <c r="AZ119" s="2499"/>
      <c r="BA119" s="2514">
        <v>119</v>
      </c>
    </row>
    <row r="120" spans="1:53" s="144" customFormat="1" ht="12.6" customHeight="1" thickTop="1">
      <c r="F120" s="281" t="s">
        <v>184</v>
      </c>
      <c r="G120" s="3436">
        <f>SUM(G116:G119)</f>
        <v>105000</v>
      </c>
      <c r="H120" s="3437"/>
      <c r="J120" s="3472"/>
      <c r="K120" s="3472"/>
      <c r="L120" s="811"/>
      <c r="M120" s="3472"/>
      <c r="N120" s="3472"/>
      <c r="P120" s="3472"/>
      <c r="Q120" s="3472"/>
      <c r="S120" s="3436">
        <f>SUM(S116:S119)</f>
        <v>105000</v>
      </c>
      <c r="T120" s="3437"/>
      <c r="V120" s="834">
        <f>SUM(V116:V119)</f>
        <v>0</v>
      </c>
      <c r="W120" s="3420"/>
      <c r="X120" s="3421"/>
      <c r="AC120" s="3466" t="s">
        <v>3794</v>
      </c>
      <c r="AD120" s="3466" t="s">
        <v>3795</v>
      </c>
      <c r="AE120" s="3468" t="s">
        <v>3798</v>
      </c>
      <c r="AF120" s="3469" t="s">
        <v>3796</v>
      </c>
      <c r="AG120" s="3468" t="s">
        <v>3787</v>
      </c>
      <c r="AH120" s="3471" t="s">
        <v>4623</v>
      </c>
      <c r="AI120" s="3471"/>
      <c r="AZ120" s="2499"/>
      <c r="BA120" s="2514">
        <v>120</v>
      </c>
    </row>
    <row r="121" spans="1:53" s="144" customFormat="1" ht="12" customHeight="1">
      <c r="B121" s="243" t="s">
        <v>269</v>
      </c>
      <c r="E121" s="483" t="s">
        <v>3797</v>
      </c>
      <c r="F121" s="928"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35"/>
      <c r="W121" s="144" t="str">
        <f>B121</f>
        <v>DEVELOPER'S FEE</v>
      </c>
      <c r="Y121" s="1222" t="s">
        <v>3785</v>
      </c>
      <c r="Z121" s="236"/>
      <c r="AA121" s="231" t="s">
        <v>3791</v>
      </c>
      <c r="AB121" s="231" t="s">
        <v>3792</v>
      </c>
      <c r="AC121" s="3467"/>
      <c r="AD121" s="3467"/>
      <c r="AE121" s="3184"/>
      <c r="AF121" s="3470"/>
      <c r="AG121" s="3468"/>
      <c r="AH121" s="3471"/>
      <c r="AI121" s="3471"/>
      <c r="AK121" s="44"/>
      <c r="AZ121" s="2499" t="s">
        <v>4280</v>
      </c>
      <c r="BA121" s="2514">
        <v>121</v>
      </c>
    </row>
    <row r="122" spans="1:53" s="144" customFormat="1" ht="12.6" customHeight="1">
      <c r="B122" s="144" t="s">
        <v>1718</v>
      </c>
      <c r="F122" s="322">
        <f>IF($G$127=0,0,G122/$G$127)</f>
        <v>0</v>
      </c>
      <c r="G122" s="3463"/>
      <c r="H122" s="3463"/>
      <c r="J122" s="3464"/>
      <c r="K122" s="3465"/>
      <c r="L122" s="282"/>
      <c r="M122" s="3464"/>
      <c r="N122" s="3465"/>
      <c r="P122" s="3464"/>
      <c r="Q122" s="3465"/>
      <c r="S122" s="3464"/>
      <c r="T122" s="3465"/>
      <c r="V122" s="832"/>
      <c r="W122" s="3341"/>
      <c r="X122" s="3342"/>
      <c r="Y122" s="115"/>
      <c r="Z122" s="1233">
        <v>0.09</v>
      </c>
      <c r="AA122" s="1230">
        <f>'DCA Underwriting Assumptions'!$J$82</f>
        <v>1</v>
      </c>
      <c r="AB122" s="1230">
        <f>'DCA Underwriting Assumptions'!$K$82</f>
        <v>50</v>
      </c>
      <c r="AC122" s="1227">
        <f>'DCA Underwriting Assumptions'!$Q$82</f>
        <v>27500</v>
      </c>
      <c r="AD122" s="1227">
        <f>AB122*AC122</f>
        <v>1375000</v>
      </c>
      <c r="AE122" s="1227">
        <f>IF('Part V-Revenues &amp; Expenses'!$P$76&lt;AA123,'Part V-Revenues &amp; Expenses'!$P$76*'Part III-A-Uses of Funds'!AC122,AB122*AC122)</f>
        <v>1375000</v>
      </c>
      <c r="AF122" s="3451">
        <f>SUM(AE122:AE124)</f>
        <v>2285000</v>
      </c>
      <c r="AG122" s="3460">
        <f>'DCA Underwriting Assumptions'!$Q$89</f>
        <v>2285000</v>
      </c>
      <c r="AH122" s="3454">
        <f>MIN(AF122,AG122)</f>
        <v>2285000</v>
      </c>
      <c r="AI122" s="3455"/>
      <c r="AZ122" s="2499"/>
      <c r="BA122" s="2514">
        <v>122</v>
      </c>
    </row>
    <row r="123" spans="1:53" s="144" customFormat="1" ht="12.6" customHeight="1">
      <c r="B123" s="144" t="s">
        <v>3321</v>
      </c>
      <c r="F123" s="932"/>
      <c r="G123" s="241" t="s">
        <v>4604</v>
      </c>
      <c r="V123" s="832"/>
      <c r="W123" s="3341"/>
      <c r="X123" s="3342"/>
      <c r="Y123" s="115"/>
      <c r="Z123" s="92"/>
      <c r="AA123" s="1231">
        <f>'DCA Underwriting Assumptions'!$J$83</f>
        <v>51</v>
      </c>
      <c r="AB123" s="1231">
        <f>'DCA Underwriting Assumptions'!$K$83</f>
        <v>70</v>
      </c>
      <c r="AC123" s="1228">
        <f>'DCA Underwriting Assumptions'!$Q$83</f>
        <v>22000</v>
      </c>
      <c r="AD123" s="1228">
        <f>(AB123-AB122)*AC123</f>
        <v>440000</v>
      </c>
      <c r="AE123" s="1228">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3452"/>
      <c r="AG123" s="3461"/>
      <c r="AH123" s="3456"/>
      <c r="AI123" s="3457"/>
      <c r="AZ123" s="2499"/>
      <c r="BA123" s="2514">
        <v>123</v>
      </c>
    </row>
    <row r="124" spans="1:53" s="144" customFormat="1" ht="12.6" customHeight="1">
      <c r="B124" s="144" t="s">
        <v>1719</v>
      </c>
      <c r="F124" s="322">
        <f>IF($G$127=0,0,G124/$G$127)</f>
        <v>1.9696969696969695E-2</v>
      </c>
      <c r="G124" s="3446">
        <v>65000</v>
      </c>
      <c r="H124" s="3447"/>
      <c r="J124" s="3446"/>
      <c r="K124" s="3447"/>
      <c r="L124" s="811"/>
      <c r="M124" s="3446"/>
      <c r="N124" s="3447"/>
      <c r="P124" s="3446">
        <v>65000</v>
      </c>
      <c r="Q124" s="3447"/>
      <c r="S124" s="3446"/>
      <c r="T124" s="3447"/>
      <c r="V124" s="832"/>
      <c r="W124" s="3341"/>
      <c r="X124" s="3342"/>
      <c r="Y124" s="115"/>
      <c r="Z124" s="92"/>
      <c r="AA124" s="1232">
        <f>'DCA Underwriting Assumptions'!$J$84</f>
        <v>71</v>
      </c>
      <c r="AB124" s="1237"/>
      <c r="AC124" s="1229">
        <f>'DCA Underwriting Assumptions'!$Q$84</f>
        <v>16500</v>
      </c>
      <c r="AD124" s="1229">
        <f>AG122-AD123-AD122</f>
        <v>470000</v>
      </c>
      <c r="AE124" s="1229">
        <f>MIN(AD124,IF('Part V-Revenues &amp; Expenses'!$P$76&gt;AB123,('Part V-Revenues &amp; Expenses'!$P$76-AB123)*AC124,0))</f>
        <v>470000</v>
      </c>
      <c r="AF124" s="3453"/>
      <c r="AG124" s="3462"/>
      <c r="AH124" s="3458"/>
      <c r="AI124" s="3459"/>
      <c r="AZ124" s="2499"/>
      <c r="BA124" s="2514">
        <v>124</v>
      </c>
    </row>
    <row r="125" spans="1:53" s="144" customFormat="1" ht="12.6" customHeight="1">
      <c r="B125" s="144" t="s">
        <v>3077</v>
      </c>
      <c r="F125" s="322">
        <f>IF($G$127=0,0,G125/$G$127)</f>
        <v>0</v>
      </c>
      <c r="G125" s="3275"/>
      <c r="H125" s="3276"/>
      <c r="J125" s="3275"/>
      <c r="K125" s="3276"/>
      <c r="L125" s="811"/>
      <c r="M125" s="3275"/>
      <c r="N125" s="3276"/>
      <c r="P125" s="3275"/>
      <c r="Q125" s="3276"/>
      <c r="S125" s="3275"/>
      <c r="T125" s="3276"/>
      <c r="V125" s="832"/>
      <c r="W125" s="3341"/>
      <c r="X125" s="3342"/>
      <c r="Y125"/>
      <c r="Z125" s="1233">
        <v>0.04</v>
      </c>
      <c r="AA125" s="1236">
        <f>'DCA Underwriting Assumptions'!$J$85</f>
        <v>1</v>
      </c>
      <c r="AB125" s="1236">
        <f>'DCA Underwriting Assumptions'!$K$85</f>
        <v>50</v>
      </c>
      <c r="AC125" s="1227">
        <f>'DCA Underwriting Assumptions'!$Q$85</f>
        <v>27500</v>
      </c>
      <c r="AD125" s="1227">
        <f>AB125*AC125</f>
        <v>1375000</v>
      </c>
      <c r="AE125" s="1227">
        <f>IF('Part V-Revenues &amp; Expenses'!$P$76&lt;AA126,'Part V-Revenues &amp; Expenses'!$P$76*'Part III-A-Uses of Funds'!AC125,AB125*AC125)</f>
        <v>1375000</v>
      </c>
      <c r="AF125" s="3451">
        <f>SUM(AE125:AE127)</f>
        <v>3300000</v>
      </c>
      <c r="AG125" s="3451">
        <f>'DCA Underwriting Assumptions'!$Q$90</f>
        <v>4000000</v>
      </c>
      <c r="AH125" s="3454">
        <f>MIN(AF125,AG125)</f>
        <v>3300000</v>
      </c>
      <c r="AI125" s="3455"/>
      <c r="AZ125" s="2499"/>
      <c r="BA125" s="2514">
        <v>125</v>
      </c>
    </row>
    <row r="126" spans="1:53" s="144" customFormat="1" ht="12.6" customHeight="1" thickBot="1">
      <c r="B126" s="144" t="s">
        <v>1711</v>
      </c>
      <c r="F126" s="322">
        <f>IF($G$127=0,0,G126/$G$127)</f>
        <v>0.98030303030303034</v>
      </c>
      <c r="G126" s="3267">
        <v>3235000</v>
      </c>
      <c r="H126" s="3268"/>
      <c r="J126" s="3267"/>
      <c r="K126" s="3268"/>
      <c r="L126" s="811"/>
      <c r="M126" s="3267"/>
      <c r="N126" s="3268"/>
      <c r="P126" s="3267">
        <v>3235000</v>
      </c>
      <c r="Q126" s="3268"/>
      <c r="S126" s="3267"/>
      <c r="T126" s="3268"/>
      <c r="V126" s="832"/>
      <c r="W126" s="3399"/>
      <c r="X126" s="3400"/>
      <c r="Y126"/>
      <c r="Z126" s="60"/>
      <c r="AA126" s="1231">
        <f>'DCA Underwriting Assumptions'!$J$86</f>
        <v>51</v>
      </c>
      <c r="AB126" s="1231">
        <f>'DCA Underwriting Assumptions'!$K$86</f>
        <v>70</v>
      </c>
      <c r="AC126" s="1228">
        <f>'DCA Underwriting Assumptions'!$Q$86</f>
        <v>22000</v>
      </c>
      <c r="AD126" s="1228">
        <f>(AB126-AB125)*AC126</f>
        <v>440000</v>
      </c>
      <c r="AE126" s="1228">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3452"/>
      <c r="AG126" s="3452"/>
      <c r="AH126" s="3456"/>
      <c r="AI126" s="3457"/>
      <c r="AZ126" s="2515"/>
      <c r="BA126" s="2514">
        <v>126</v>
      </c>
    </row>
    <row r="127" spans="1:53" s="144" customFormat="1" ht="12.6" customHeight="1" thickTop="1">
      <c r="A127" s="1238" t="str">
        <f>IF(G127&gt;E127,"DF over limit!  Round down/Enter nbr.","")</f>
        <v/>
      </c>
      <c r="B127" s="1842"/>
      <c r="D127" s="483" t="s">
        <v>3793</v>
      </c>
      <c r="E127" s="1843">
        <f>IF(AF122+AF125=0,"Fill in Rent Chart!",IF(F121="9%",AH122,IF(F121="4%",AH125,"Select App Type!")))</f>
        <v>3300000</v>
      </c>
      <c r="F127" s="281" t="s">
        <v>184</v>
      </c>
      <c r="G127" s="3436">
        <f>SUM(G122:G126)</f>
        <v>3300000</v>
      </c>
      <c r="H127" s="3450"/>
      <c r="J127" s="3436">
        <f>SUM(J122:J126)</f>
        <v>0</v>
      </c>
      <c r="K127" s="3450"/>
      <c r="L127" s="811"/>
      <c r="M127" s="3436">
        <f>SUM(M122:M126)</f>
        <v>0</v>
      </c>
      <c r="N127" s="3450"/>
      <c r="P127" s="3436">
        <f>SUM(P122:P126)</f>
        <v>3300000</v>
      </c>
      <c r="Q127" s="3450"/>
      <c r="S127" s="3436">
        <f>SUM(S122:S126)</f>
        <v>0</v>
      </c>
      <c r="T127" s="3450"/>
      <c r="V127" s="834">
        <f>SUM(V122:V126)</f>
        <v>0</v>
      </c>
      <c r="W127" s="3420"/>
      <c r="X127" s="3421"/>
      <c r="Y127"/>
      <c r="Z127" s="60"/>
      <c r="AA127" s="1232">
        <f>'DCA Underwriting Assumptions'!$J$87</f>
        <v>71</v>
      </c>
      <c r="AB127" s="1237"/>
      <c r="AC127" s="1229">
        <f>'DCA Underwriting Assumptions'!$Q$87</f>
        <v>16500</v>
      </c>
      <c r="AD127" s="1229">
        <f>AG125-AD126-AD125</f>
        <v>2185000</v>
      </c>
      <c r="AE127" s="1229">
        <f>MIN(AD127,IF('Part V-Revenues &amp; Expenses'!$P$76&gt;AB126,('Part V-Revenues &amp; Expenses'!$P$76-AB126)*AC127,0))</f>
        <v>1485000</v>
      </c>
      <c r="AF127" s="3453"/>
      <c r="AG127" s="3453"/>
      <c r="AH127" s="3458"/>
      <c r="AI127" s="3459"/>
      <c r="AZ127" s="2515"/>
      <c r="BA127" s="2514">
        <v>127</v>
      </c>
    </row>
    <row r="128" spans="1:53" s="144" customFormat="1" ht="12" customHeight="1">
      <c r="B128" s="243" t="s">
        <v>1229</v>
      </c>
      <c r="J128" s="280"/>
      <c r="K128" s="280"/>
      <c r="M128" s="280"/>
      <c r="N128" s="280"/>
      <c r="O128" s="282" t="str">
        <f>B128</f>
        <v>START-UP AND RESERVES</v>
      </c>
      <c r="P128" s="280"/>
      <c r="Q128" s="280"/>
      <c r="S128" s="280"/>
      <c r="T128" s="280"/>
      <c r="V128" s="835"/>
      <c r="W128" s="144" t="str">
        <f>B128</f>
        <v>START-UP AND RESERVES</v>
      </c>
      <c r="Y128" s="44"/>
      <c r="Z128" s="1234"/>
      <c r="AB128" s="44"/>
      <c r="AC128"/>
      <c r="AD128"/>
      <c r="AF128"/>
      <c r="AG128"/>
      <c r="AH128"/>
      <c r="AI128"/>
      <c r="AJ128"/>
      <c r="AK128"/>
      <c r="AZ128" s="2515" t="s">
        <v>4281</v>
      </c>
      <c r="BA128" s="2514">
        <v>128</v>
      </c>
    </row>
    <row r="129" spans="1:53" s="144" customFormat="1" ht="12.6" customHeight="1">
      <c r="B129" s="144" t="s">
        <v>241</v>
      </c>
      <c r="G129" s="3446">
        <v>25000</v>
      </c>
      <c r="H129" s="3447"/>
      <c r="J129" s="291"/>
      <c r="K129" s="291"/>
      <c r="L129" s="291"/>
      <c r="M129" s="291"/>
      <c r="N129" s="291"/>
      <c r="P129" s="291"/>
      <c r="Q129" s="291"/>
      <c r="S129" s="3446">
        <v>25000</v>
      </c>
      <c r="T129" s="3447"/>
      <c r="V129" s="832"/>
      <c r="W129" s="3341"/>
      <c r="X129" s="3342"/>
      <c r="Z129" s="1234"/>
      <c r="AB129" s="44"/>
      <c r="AC129"/>
      <c r="AD129"/>
      <c r="AF129"/>
      <c r="AG129"/>
      <c r="AH129"/>
      <c r="AI129"/>
      <c r="AJ129"/>
      <c r="AK129"/>
      <c r="AZ129" s="2515" t="s">
        <v>4282</v>
      </c>
      <c r="BA129" s="2514">
        <v>129</v>
      </c>
    </row>
    <row r="130" spans="1:53" s="144" customFormat="1" ht="12.6" customHeight="1">
      <c r="B130" s="144" t="s">
        <v>1434</v>
      </c>
      <c r="F130" s="364">
        <f>+'Part V-Revenues &amp; Expenses'!$Q$250*('DCA Underwriting Assumptions'!$Q$105/12)</f>
        <v>308710.5</v>
      </c>
      <c r="G130" s="3275">
        <v>308710.5</v>
      </c>
      <c r="H130" s="3276"/>
      <c r="J130" s="748" t="str">
        <f>IF(E130&gt;G130,"WARNING! Rent-Up Reserves proposed is below minimum - add comment.","")</f>
        <v/>
      </c>
      <c r="K130" s="748"/>
      <c r="L130" s="811"/>
      <c r="M130" s="734"/>
      <c r="N130" s="734"/>
      <c r="P130" s="734"/>
      <c r="Q130" s="734"/>
      <c r="S130" s="3275">
        <v>308710.5</v>
      </c>
      <c r="T130" s="3276"/>
      <c r="V130" s="832"/>
      <c r="W130" s="3341"/>
      <c r="X130" s="3342"/>
      <c r="Y130"/>
      <c r="Z130" s="1235"/>
      <c r="AB130" s="236"/>
      <c r="AD130"/>
      <c r="AG130"/>
      <c r="AH130"/>
      <c r="AI130"/>
      <c r="AZ130" s="2515"/>
      <c r="BA130" s="2514">
        <v>130</v>
      </c>
    </row>
    <row r="131" spans="1:53" s="144" customFormat="1" ht="12.6" customHeight="1">
      <c r="B131" s="144" t="s">
        <v>631</v>
      </c>
      <c r="F131" s="364">
        <f>'Part V-Revenues &amp; Expenses'!$Q$250*('DCA Underwriting Assumptions'!$Q$103/12)+('Part VI-Pro Forma'!$B$26+'Part VI-Pro Forma'!$B$27+'Part VI-Pro Forma'!$B$28+'Part VI-Pro Forma'!$B$29)*'DCA Underwriting Assumptions'!$Q$102/(-12)</f>
        <v>1094838.353922151</v>
      </c>
      <c r="G131" s="3275">
        <v>1094838.353922151</v>
      </c>
      <c r="H131" s="3276"/>
      <c r="J131" s="748" t="str">
        <f>IF(E131&gt;G131,"WARNING! ODR proposed is below minimum - add comment.","")</f>
        <v/>
      </c>
      <c r="K131" s="290"/>
      <c r="L131" s="290"/>
      <c r="M131" s="290"/>
      <c r="N131" s="290"/>
      <c r="P131" s="290"/>
      <c r="Q131" s="290"/>
      <c r="S131" s="3275">
        <v>1094838.353922151</v>
      </c>
      <c r="T131" s="3276"/>
      <c r="V131" s="832"/>
      <c r="W131" s="3341"/>
      <c r="X131" s="3342"/>
      <c r="Y131"/>
      <c r="Z131" s="1235"/>
      <c r="AB131" s="236"/>
      <c r="AD131"/>
      <c r="AG131"/>
      <c r="AH131"/>
      <c r="AI131"/>
      <c r="AZ131" s="2515"/>
      <c r="BA131" s="2514">
        <v>131</v>
      </c>
    </row>
    <row r="132" spans="1:53" s="144" customFormat="1" ht="12.6" customHeight="1">
      <c r="B132" s="144" t="s">
        <v>5096</v>
      </c>
      <c r="E132" s="644" t="s">
        <v>5097</v>
      </c>
      <c r="F132" s="364">
        <f>'Part V-Revenues &amp; Expenses'!$L$266+'Part V-Revenues &amp; Expenses'!$L$267</f>
        <v>418188</v>
      </c>
      <c r="G132" s="3275">
        <v>200000</v>
      </c>
      <c r="H132" s="3276"/>
      <c r="J132" s="748"/>
      <c r="K132" s="290"/>
      <c r="L132" s="290"/>
      <c r="M132" s="290"/>
      <c r="N132" s="290"/>
      <c r="P132" s="290"/>
      <c r="Q132" s="290"/>
      <c r="S132" s="3275">
        <v>200000</v>
      </c>
      <c r="T132" s="3276"/>
      <c r="V132" s="832"/>
      <c r="W132" s="3341"/>
      <c r="X132" s="3342"/>
      <c r="Y132"/>
      <c r="Z132" s="1235"/>
      <c r="AB132" s="236"/>
      <c r="AD132"/>
      <c r="AG132"/>
      <c r="AH132"/>
      <c r="AI132"/>
      <c r="AZ132" s="2515"/>
      <c r="BA132" s="2514">
        <v>132</v>
      </c>
    </row>
    <row r="133" spans="1:53" s="144" customFormat="1" ht="12.6" customHeight="1">
      <c r="B133" s="144" t="s">
        <v>1169</v>
      </c>
      <c r="E133" s="144" t="s">
        <v>5098</v>
      </c>
      <c r="G133" s="3275"/>
      <c r="H133" s="3276"/>
      <c r="J133" s="291"/>
      <c r="K133" s="291"/>
      <c r="L133" s="291"/>
      <c r="M133" s="291"/>
      <c r="N133" s="291"/>
      <c r="P133" s="291"/>
      <c r="Q133" s="291"/>
      <c r="S133" s="3275"/>
      <c r="T133" s="3276"/>
      <c r="V133" s="832"/>
      <c r="W133" s="3341"/>
      <c r="X133" s="3342"/>
      <c r="AZ133" s="2515" t="s">
        <v>4283</v>
      </c>
      <c r="BA133" s="2514">
        <v>133</v>
      </c>
    </row>
    <row r="134" spans="1:53" s="144" customFormat="1" ht="12.6" customHeight="1">
      <c r="B134" s="144" t="s">
        <v>1170</v>
      </c>
      <c r="E134" s="644" t="s">
        <v>3051</v>
      </c>
      <c r="F134" s="364">
        <f>IF('Part V-Revenues &amp; Expenses'!$P$76=0,0,G134/'Part V-Revenues &amp; Expenses'!$P$76)</f>
        <v>1250</v>
      </c>
      <c r="G134" s="3275">
        <v>200000</v>
      </c>
      <c r="H134" s="3276"/>
      <c r="J134" s="3446"/>
      <c r="K134" s="3447"/>
      <c r="L134" s="811"/>
      <c r="M134" s="3446"/>
      <c r="N134" s="3447"/>
      <c r="P134" s="3446"/>
      <c r="Q134" s="3447"/>
      <c r="S134" s="3275">
        <v>200000</v>
      </c>
      <c r="T134" s="3276"/>
      <c r="V134" s="832"/>
      <c r="W134" s="3341"/>
      <c r="X134" s="3342"/>
      <c r="AZ134" s="2515" t="s">
        <v>4284</v>
      </c>
      <c r="BA134" s="2514">
        <v>134</v>
      </c>
    </row>
    <row r="135" spans="1:53" s="144" customFormat="1" ht="12.6" customHeight="1" thickBot="1">
      <c r="A135" s="303" t="str">
        <f>IF(AND(G135&gt;0,OR(C135="",C135="&lt;Enter detailed description here; use Comments section if needed&gt;")),"X","")</f>
        <v/>
      </c>
      <c r="B135" s="147" t="s">
        <v>4167</v>
      </c>
      <c r="C135" s="3438" t="s">
        <v>4603</v>
      </c>
      <c r="D135" s="3438"/>
      <c r="E135" s="3438"/>
      <c r="F135" s="3439"/>
      <c r="G135" s="3267"/>
      <c r="H135" s="3268"/>
      <c r="J135" s="3448"/>
      <c r="K135" s="3449"/>
      <c r="L135" s="811"/>
      <c r="M135" s="3267"/>
      <c r="N135" s="3268"/>
      <c r="P135" s="3267"/>
      <c r="Q135" s="3268"/>
      <c r="S135" s="3267"/>
      <c r="T135" s="3268"/>
      <c r="U135" s="302" t="str">
        <f>IF(AND(G135&gt;0,OR(C135="",C135="&lt;Enter detailed description here; use Comments section if needed&gt;")),"NO DESCRIPTION PROVIDED - please enter detailed description in Other box at left; use Comments section below if needed.","")</f>
        <v/>
      </c>
      <c r="V135" s="832"/>
      <c r="W135" s="3399"/>
      <c r="X135" s="3400"/>
      <c r="AZ135" s="2515"/>
      <c r="BA135" s="2514">
        <v>135</v>
      </c>
    </row>
    <row r="136" spans="1:53" s="144" customFormat="1" ht="12.6" customHeight="1" thickTop="1">
      <c r="B136" s="292"/>
      <c r="F136" s="281" t="s">
        <v>184</v>
      </c>
      <c r="G136" s="3436">
        <f>SUM(G129:G135)</f>
        <v>1828548.853922151</v>
      </c>
      <c r="H136" s="3437"/>
      <c r="J136" s="3436">
        <f>SUM(J134:J135)</f>
        <v>0</v>
      </c>
      <c r="K136" s="3437"/>
      <c r="L136" s="811"/>
      <c r="M136" s="3436">
        <f>SUM(M134:M135)</f>
        <v>0</v>
      </c>
      <c r="N136" s="3437"/>
      <c r="P136" s="3436">
        <f>SUM(P134:P135)</f>
        <v>0</v>
      </c>
      <c r="Q136" s="3437"/>
      <c r="S136" s="3436">
        <f>SUM(S129:S135)</f>
        <v>1828548.853922151</v>
      </c>
      <c r="T136" s="3437"/>
      <c r="V136" s="834">
        <f>SUM(V129:V135)</f>
        <v>0</v>
      </c>
      <c r="W136" s="3420"/>
      <c r="X136" s="3421"/>
      <c r="AZ136" s="2515"/>
      <c r="BA136" s="2514">
        <v>136</v>
      </c>
    </row>
    <row r="137" spans="1:53" s="144" customFormat="1" ht="3" customHeight="1">
      <c r="I137" s="293"/>
      <c r="L137" s="293"/>
      <c r="V137" s="835"/>
      <c r="AZ137" s="2515"/>
      <c r="BA137" s="2514">
        <v>137</v>
      </c>
    </row>
    <row r="138" spans="1:53" s="144" customFormat="1" ht="3.6" customHeight="1">
      <c r="D138" s="246"/>
      <c r="E138" s="246"/>
      <c r="I138" s="288"/>
      <c r="J138" s="288"/>
      <c r="K138" s="294"/>
      <c r="L138" s="246"/>
      <c r="V138" s="835"/>
      <c r="AZ138" s="2515"/>
      <c r="BA138" s="2514">
        <v>138</v>
      </c>
    </row>
    <row r="139" spans="1:53" s="144" customFormat="1" ht="6" customHeight="1" thickBot="1">
      <c r="A139" s="374"/>
      <c r="B139" s="374"/>
      <c r="C139" s="374"/>
      <c r="D139" s="374"/>
      <c r="E139" s="374"/>
      <c r="F139" s="374"/>
      <c r="G139" s="374"/>
      <c r="H139" s="374"/>
      <c r="I139" s="374"/>
      <c r="J139" s="374"/>
      <c r="K139" s="374"/>
      <c r="L139" s="374"/>
      <c r="M139" s="374"/>
      <c r="N139" s="374"/>
      <c r="O139" s="374"/>
      <c r="P139" s="374"/>
      <c r="Q139" s="374"/>
      <c r="R139" s="374"/>
      <c r="S139" s="374"/>
      <c r="T139" s="374"/>
      <c r="V139" s="835"/>
      <c r="AZ139" s="2515"/>
      <c r="BA139" s="2514">
        <v>139</v>
      </c>
    </row>
    <row r="140" spans="1:53" s="144" customFormat="1" ht="18" customHeight="1" thickBot="1">
      <c r="A140" s="342" t="s">
        <v>572</v>
      </c>
      <c r="B140" s="342" t="s">
        <v>2515</v>
      </c>
      <c r="J140" s="3427" t="s">
        <v>259</v>
      </c>
      <c r="K140" s="3428"/>
      <c r="L140" s="280"/>
      <c r="M140" s="3440" t="s">
        <v>459</v>
      </c>
      <c r="N140" s="3441"/>
      <c r="P140" s="3427" t="s">
        <v>260</v>
      </c>
      <c r="Q140" s="3428"/>
      <c r="S140" s="3427" t="s">
        <v>261</v>
      </c>
      <c r="T140" s="3428"/>
      <c r="V140" s="343" t="str">
        <f>B140</f>
        <v>DEVELOPMENT BUDGET  (cont'd)</v>
      </c>
      <c r="AZ140" s="2515"/>
      <c r="BA140" s="2514">
        <v>140</v>
      </c>
    </row>
    <row r="141" spans="1:53" s="144" customFormat="1" ht="18" customHeight="1" thickBot="1">
      <c r="G141" s="3444" t="s">
        <v>95</v>
      </c>
      <c r="H141" s="3445"/>
      <c r="J141" s="3429"/>
      <c r="K141" s="3430"/>
      <c r="L141" s="280"/>
      <c r="M141" s="3442"/>
      <c r="N141" s="3443"/>
      <c r="P141" s="3429"/>
      <c r="Q141" s="3430"/>
      <c r="S141" s="3429"/>
      <c r="T141" s="3430"/>
      <c r="V141" s="253" t="s">
        <v>2440</v>
      </c>
      <c r="X141" s="253"/>
      <c r="AZ141" s="2515"/>
      <c r="BA141" s="2514">
        <v>141</v>
      </c>
    </row>
    <row r="142" spans="1:53" s="144" customFormat="1" ht="13.35" customHeight="1">
      <c r="B142" s="243" t="s">
        <v>567</v>
      </c>
      <c r="C142" s="246"/>
      <c r="H142" s="288"/>
      <c r="I142" s="288"/>
      <c r="J142" s="280"/>
      <c r="K142" s="280"/>
      <c r="M142" s="280"/>
      <c r="N142" s="280"/>
      <c r="O142" s="282" t="str">
        <f>B142</f>
        <v>OTHER COSTS</v>
      </c>
      <c r="P142" s="280"/>
      <c r="Q142" s="280"/>
      <c r="S142" s="280"/>
      <c r="T142" s="280"/>
      <c r="V142" s="835"/>
      <c r="W142" s="144" t="str">
        <f>B142</f>
        <v>OTHER COSTS</v>
      </c>
      <c r="AZ142" s="2515"/>
      <c r="BA142" s="2514">
        <v>142</v>
      </c>
    </row>
    <row r="143" spans="1:53" s="144" customFormat="1" ht="12.6" customHeight="1">
      <c r="B143" s="144" t="s">
        <v>568</v>
      </c>
      <c r="C143" s="246"/>
      <c r="G143" s="3446">
        <v>283010</v>
      </c>
      <c r="H143" s="3447"/>
      <c r="J143" s="3446"/>
      <c r="K143" s="3447"/>
      <c r="L143" s="282"/>
      <c r="M143" s="3446"/>
      <c r="N143" s="3447"/>
      <c r="P143" s="3446"/>
      <c r="Q143" s="3447"/>
      <c r="S143" s="3446">
        <v>283010</v>
      </c>
      <c r="T143" s="3447"/>
      <c r="V143" s="832"/>
      <c r="W143" s="3341"/>
      <c r="X143" s="3342"/>
      <c r="AZ143" s="2515"/>
      <c r="BA143" s="2514">
        <v>143</v>
      </c>
    </row>
    <row r="144" spans="1:53" s="144" customFormat="1" ht="12.6" customHeight="1" thickBot="1">
      <c r="A144" s="303" t="str">
        <f>IF(AND(G144&gt;0,OR(C144="",C144="&lt;Enter detailed description here; use Comments section if needed&gt;")),"X","")</f>
        <v/>
      </c>
      <c r="B144" s="147" t="s">
        <v>4167</v>
      </c>
      <c r="C144" s="3438" t="s">
        <v>4603</v>
      </c>
      <c r="D144" s="3438"/>
      <c r="E144" s="3438"/>
      <c r="F144" s="3439"/>
      <c r="G144" s="3267"/>
      <c r="H144" s="3268"/>
      <c r="J144" s="3267"/>
      <c r="K144" s="3268"/>
      <c r="L144" s="811"/>
      <c r="M144" s="3267"/>
      <c r="N144" s="3268"/>
      <c r="P144" s="3267"/>
      <c r="Q144" s="3268"/>
      <c r="S144" s="3267"/>
      <c r="T144" s="3268"/>
      <c r="U144" s="302" t="str">
        <f>IF(AND(G144&gt;0,OR(C144="",C144="&lt;Enter detailed description here; use Comments section if needed&gt;")),"NO DESCRIPTION PROVIDED - please enter detailed description in Other box at left; use Comments section below if needed.","")</f>
        <v/>
      </c>
      <c r="V144" s="832"/>
      <c r="W144" s="3399"/>
      <c r="X144" s="3400"/>
      <c r="AZ144" s="2515"/>
      <c r="BA144" s="2514">
        <v>144</v>
      </c>
    </row>
    <row r="145" spans="1:53" s="144" customFormat="1" ht="12.6" customHeight="1" thickTop="1">
      <c r="C145" s="246"/>
      <c r="F145" s="281" t="s">
        <v>184</v>
      </c>
      <c r="G145" s="3436">
        <f>SUM(G143:G144)</f>
        <v>283010</v>
      </c>
      <c r="H145" s="3437"/>
      <c r="J145" s="3436">
        <f>SUM(J143:J144)</f>
        <v>0</v>
      </c>
      <c r="K145" s="3437"/>
      <c r="L145" s="811"/>
      <c r="M145" s="3436">
        <f>SUM(M143:M144)</f>
        <v>0</v>
      </c>
      <c r="N145" s="3437"/>
      <c r="P145" s="3436">
        <f>SUM(P143:P144)</f>
        <v>0</v>
      </c>
      <c r="Q145" s="3437"/>
      <c r="S145" s="3436">
        <f>SUM(S143:S144)</f>
        <v>283010</v>
      </c>
      <c r="T145" s="3437"/>
      <c r="V145" s="834">
        <f>SUM(V143:V144)</f>
        <v>0</v>
      </c>
      <c r="W145" s="3420"/>
      <c r="X145" s="3421"/>
      <c r="AZ145" s="2515"/>
      <c r="BA145" s="2514">
        <v>145</v>
      </c>
    </row>
    <row r="146" spans="1:53" s="144" customFormat="1" ht="15" customHeight="1" thickBot="1">
      <c r="C146" s="246"/>
      <c r="H146" s="288"/>
      <c r="I146" s="288"/>
      <c r="V146" s="835"/>
      <c r="W146" s="830"/>
      <c r="X146" s="831"/>
      <c r="AZ146" s="2515"/>
      <c r="BA146" s="2514">
        <v>146</v>
      </c>
    </row>
    <row r="147" spans="1:53" s="144" customFormat="1" ht="18.75" customHeight="1" thickBot="1">
      <c r="B147" s="1617" t="s">
        <v>4382</v>
      </c>
      <c r="E147" s="644"/>
      <c r="F147" s="1239"/>
      <c r="G147" s="3433">
        <f>G18+G24+G28+G36+G41+G46+G55+G73+G86+G92+G103+G114+G120+G127+G136+G145</f>
        <v>34718294.853922151</v>
      </c>
      <c r="H147" s="3434"/>
      <c r="J147" s="3433">
        <f>J18+J24+J28+J36+J41+J46+J55+J73+J86+J92+J103+J114+J120+J127+J136+J145</f>
        <v>0</v>
      </c>
      <c r="K147" s="3434"/>
      <c r="M147" s="3433">
        <f>M18+M24+M28+M36+M41+M46+M55+M73+M86+M92+M103+M114+M120+M127+M136+M145</f>
        <v>13050000</v>
      </c>
      <c r="N147" s="3434"/>
      <c r="P147" s="3433">
        <f>P18+P24+P28+P36+P41+P46+P55+P73+P86+P92+P103+P114+P120+P127+P136+P145</f>
        <v>16632735.550000001</v>
      </c>
      <c r="Q147" s="3434"/>
      <c r="S147" s="3433">
        <f>S18+S24+S28+S36+S41+S46+S55+S73+S86+S92+S103+S114+S120+S127+S136+S145</f>
        <v>5035559.3039221512</v>
      </c>
      <c r="T147" s="3434"/>
      <c r="V147" s="838">
        <f>V18+V24+V28+V36+V41+V46+V55+V73+V86+V92+V103+V114+V120+V127+V136+V145</f>
        <v>0</v>
      </c>
      <c r="W147" s="3435"/>
      <c r="X147" s="3421"/>
      <c r="AZ147" s="2515"/>
      <c r="BA147" s="2514">
        <v>147</v>
      </c>
    </row>
    <row r="148" spans="1:53" s="144" customFormat="1" ht="12" customHeight="1">
      <c r="C148" s="246"/>
      <c r="H148" s="288"/>
      <c r="I148" s="288"/>
      <c r="V148" s="835"/>
      <c r="AZ148" s="2515"/>
      <c r="BA148" s="2514">
        <v>148</v>
      </c>
    </row>
    <row r="149" spans="1:53" s="144" customFormat="1" ht="14.1" customHeight="1">
      <c r="B149" s="390" t="s">
        <v>2480</v>
      </c>
      <c r="C149" s="388"/>
      <c r="D149" s="3424">
        <f>IF('Part V-Revenues &amp; Expenses'!$P$76=0,0,G147/'Part V-Revenues &amp; Expenses'!$P$76)</f>
        <v>216989.34283701345</v>
      </c>
      <c r="E149" s="3424"/>
      <c r="F149" s="389" t="s">
        <v>2479</v>
      </c>
      <c r="G149" s="3425">
        <f>IF('Part V-Revenues &amp; Expenses'!$K$197=0,0,G147/'Part V-Revenues &amp; Expenses'!$K$197)</f>
        <v>240.16529367682728</v>
      </c>
      <c r="H149" s="3426"/>
      <c r="I149" s="293"/>
      <c r="V149" s="835"/>
      <c r="AZ149" s="2515"/>
      <c r="BA149" s="2514">
        <v>149</v>
      </c>
    </row>
    <row r="150" spans="1:53" s="144" customFormat="1" ht="21" customHeight="1" thickBot="1">
      <c r="B150" s="1610"/>
      <c r="C150" s="1611"/>
      <c r="D150" s="1612"/>
      <c r="E150" s="1612"/>
      <c r="F150" s="1613"/>
      <c r="G150" s="1413"/>
      <c r="H150" s="1413"/>
      <c r="I150" s="293"/>
      <c r="V150" s="835"/>
      <c r="AZ150" s="2515"/>
      <c r="BA150" s="2514">
        <v>150</v>
      </c>
    </row>
    <row r="151" spans="1:53" s="144" customFormat="1" ht="26.1" customHeight="1">
      <c r="A151" s="342" t="s">
        <v>688</v>
      </c>
      <c r="B151" s="344" t="s">
        <v>1339</v>
      </c>
      <c r="C151" s="374"/>
      <c r="D151" s="811"/>
      <c r="E151" s="811"/>
      <c r="F151" s="811"/>
      <c r="I151" s="295"/>
      <c r="J151" s="3427" t="s">
        <v>259</v>
      </c>
      <c r="K151" s="3428"/>
      <c r="M151" s="3427" t="s">
        <v>94</v>
      </c>
      <c r="N151" s="3428"/>
      <c r="P151" s="3427" t="s">
        <v>260</v>
      </c>
      <c r="Q151" s="3428"/>
      <c r="V151" s="835"/>
      <c r="W151" s="343" t="str">
        <f>B151</f>
        <v>TAX CREDIT CALCULATION - BASIS METHOD</v>
      </c>
      <c r="AZ151" s="2515"/>
      <c r="BA151" s="2514">
        <v>151</v>
      </c>
    </row>
    <row r="152" spans="1:53" s="144" customFormat="1" ht="15" customHeight="1" thickBot="1">
      <c r="B152" s="222" t="s">
        <v>1888</v>
      </c>
      <c r="D152" s="811"/>
      <c r="E152" s="811"/>
      <c r="I152" s="295"/>
      <c r="J152" s="3429"/>
      <c r="K152" s="3430"/>
      <c r="L152" s="374"/>
      <c r="M152" s="3429"/>
      <c r="N152" s="3430"/>
      <c r="P152" s="3429"/>
      <c r="Q152" s="3430"/>
      <c r="V152" s="835"/>
      <c r="W152" s="144" t="str">
        <f>B152</f>
        <v>Subtractions From Eligible Basis</v>
      </c>
      <c r="X152" s="253"/>
      <c r="AZ152" s="2515"/>
      <c r="BA152" s="2514">
        <v>152</v>
      </c>
    </row>
    <row r="153" spans="1:53" s="144" customFormat="1" ht="6" customHeight="1">
      <c r="D153" s="246"/>
      <c r="E153" s="246"/>
      <c r="I153" s="288"/>
      <c r="J153" s="288"/>
      <c r="K153" s="294"/>
      <c r="L153" s="246"/>
      <c r="V153" s="835"/>
      <c r="AZ153" s="2515"/>
      <c r="BA153" s="2514">
        <v>153</v>
      </c>
    </row>
    <row r="154" spans="1:53" s="144" customFormat="1" ht="14.1" customHeight="1">
      <c r="B154" s="246" t="s">
        <v>138</v>
      </c>
      <c r="I154" s="295"/>
      <c r="J154" s="3431"/>
      <c r="K154" s="3432"/>
      <c r="P154" s="3431"/>
      <c r="Q154" s="3432"/>
      <c r="V154" s="832"/>
      <c r="W154" s="3341"/>
      <c r="X154" s="3342"/>
      <c r="AZ154" s="2515"/>
      <c r="BA154" s="2514">
        <v>154</v>
      </c>
    </row>
    <row r="155" spans="1:53" s="144" customFormat="1" ht="14.1" customHeight="1">
      <c r="B155" s="144" t="s">
        <v>1992</v>
      </c>
      <c r="I155" s="295"/>
      <c r="J155" s="3422"/>
      <c r="K155" s="3423"/>
      <c r="P155" s="3422"/>
      <c r="Q155" s="3423"/>
      <c r="V155" s="832"/>
      <c r="W155" s="3341"/>
      <c r="X155" s="3342"/>
      <c r="AZ155" s="2515"/>
      <c r="BA155" s="2514">
        <v>155</v>
      </c>
    </row>
    <row r="156" spans="1:53" s="144" customFormat="1" ht="14.1" customHeight="1">
      <c r="B156" s="144" t="s">
        <v>1721</v>
      </c>
      <c r="I156" s="295"/>
      <c r="J156" s="3422"/>
      <c r="K156" s="3423"/>
      <c r="P156" s="3422"/>
      <c r="Q156" s="3423"/>
      <c r="V156" s="832"/>
      <c r="W156" s="3341"/>
      <c r="X156" s="3342"/>
      <c r="AZ156" s="2515"/>
      <c r="BA156" s="2514">
        <v>156</v>
      </c>
    </row>
    <row r="157" spans="1:53" s="144" customFormat="1" ht="14.1" customHeight="1">
      <c r="B157" s="144" t="s">
        <v>1722</v>
      </c>
      <c r="I157" s="295"/>
      <c r="J157" s="3422"/>
      <c r="K157" s="3423"/>
      <c r="P157" s="3422"/>
      <c r="Q157" s="3423"/>
      <c r="V157" s="832"/>
      <c r="W157" s="3341"/>
      <c r="X157" s="3342"/>
      <c r="AZ157" s="2515"/>
      <c r="BA157" s="2514">
        <v>157</v>
      </c>
    </row>
    <row r="158" spans="1:53" s="144" customFormat="1" ht="14.1" customHeight="1">
      <c r="B158" s="144" t="s">
        <v>243</v>
      </c>
      <c r="I158" s="295"/>
      <c r="J158" s="3422"/>
      <c r="K158" s="3423"/>
      <c r="P158" s="3422"/>
      <c r="Q158" s="3423"/>
      <c r="V158" s="832"/>
      <c r="W158" s="3341"/>
      <c r="X158" s="3342"/>
      <c r="AZ158" s="2515"/>
      <c r="BA158" s="2514">
        <v>158</v>
      </c>
    </row>
    <row r="159" spans="1:53" s="144" customFormat="1" ht="14.1" customHeight="1" thickBot="1">
      <c r="B159" s="144" t="s">
        <v>1494</v>
      </c>
      <c r="C159" s="3416" t="s">
        <v>2217</v>
      </c>
      <c r="D159" s="3416"/>
      <c r="E159" s="3416"/>
      <c r="F159" s="3416"/>
      <c r="G159" s="3416"/>
      <c r="H159" s="3416"/>
      <c r="I159" s="3417"/>
      <c r="J159" s="3418"/>
      <c r="K159" s="3419"/>
      <c r="P159" s="3418"/>
      <c r="Q159" s="3419"/>
      <c r="V159" s="832"/>
      <c r="W159" s="3399"/>
      <c r="X159" s="3400"/>
      <c r="AZ159" s="2515"/>
      <c r="BA159" s="2514">
        <v>159</v>
      </c>
    </row>
    <row r="160" spans="1:53" s="144" customFormat="1" ht="14.1" customHeight="1" thickBot="1">
      <c r="B160" s="243" t="s">
        <v>1723</v>
      </c>
      <c r="C160" s="250"/>
      <c r="J160" s="3210">
        <f>SUM(J154:K159)</f>
        <v>0</v>
      </c>
      <c r="K160" s="3211"/>
      <c r="P160" s="3210">
        <f>SUM(P154:Q159)</f>
        <v>0</v>
      </c>
      <c r="Q160" s="3211"/>
      <c r="V160" s="834">
        <f>SUM(V154:V159)</f>
        <v>0</v>
      </c>
      <c r="W160" s="3420"/>
      <c r="X160" s="3421"/>
      <c r="AZ160" s="2515"/>
      <c r="BA160" s="2514">
        <v>160</v>
      </c>
    </row>
    <row r="161" spans="1:53" s="144" customFormat="1" ht="3" customHeight="1">
      <c r="V161" s="835"/>
      <c r="AZ161" s="2515"/>
      <c r="BA161" s="2514">
        <v>161</v>
      </c>
    </row>
    <row r="162" spans="1:53" s="144" customFormat="1" ht="15" customHeight="1">
      <c r="B162" s="243" t="s">
        <v>2153</v>
      </c>
      <c r="V162" s="835"/>
      <c r="W162" s="144" t="str">
        <f>B162</f>
        <v>Eligible Basis Calculation</v>
      </c>
      <c r="AZ162" s="2515"/>
      <c r="BA162" s="2514">
        <v>162</v>
      </c>
    </row>
    <row r="163" spans="1:53" s="144" customFormat="1" ht="14.1" customHeight="1">
      <c r="B163" s="144" t="s">
        <v>1660</v>
      </c>
      <c r="J163" s="3372">
        <f>J147</f>
        <v>0</v>
      </c>
      <c r="K163" s="3374"/>
      <c r="M163" s="3413">
        <f>M147</f>
        <v>13050000</v>
      </c>
      <c r="N163" s="3414"/>
      <c r="P163" s="3372">
        <f>P147</f>
        <v>16632735.550000001</v>
      </c>
      <c r="Q163" s="3374"/>
      <c r="R163" s="3415" t="s">
        <v>4732</v>
      </c>
      <c r="S163" s="3379"/>
      <c r="T163" s="3379"/>
      <c r="V163" s="832"/>
      <c r="W163" s="3341"/>
      <c r="X163" s="3342"/>
      <c r="AZ163" s="2515"/>
      <c r="BA163" s="2514">
        <v>163</v>
      </c>
    </row>
    <row r="164" spans="1:53" s="144" customFormat="1" ht="14.1" customHeight="1">
      <c r="B164" s="144" t="s">
        <v>2046</v>
      </c>
      <c r="J164" s="3368">
        <f>J160</f>
        <v>0</v>
      </c>
      <c r="K164" s="3369"/>
      <c r="M164" s="3359"/>
      <c r="N164" s="3359"/>
      <c r="P164" s="3368">
        <f>P160</f>
        <v>0</v>
      </c>
      <c r="Q164" s="3369"/>
      <c r="R164" s="3415"/>
      <c r="S164" s="3379"/>
      <c r="T164" s="3379"/>
      <c r="U164" s="1105"/>
      <c r="V164" s="832"/>
      <c r="W164" s="3341"/>
      <c r="X164" s="3342"/>
      <c r="AZ164" s="2515"/>
      <c r="BA164" s="2514">
        <v>164</v>
      </c>
    </row>
    <row r="165" spans="1:53" s="144" customFormat="1" ht="14.1" customHeight="1">
      <c r="B165" s="144" t="s">
        <v>2047</v>
      </c>
      <c r="J165" s="3368">
        <f>J163-J164</f>
        <v>0</v>
      </c>
      <c r="K165" s="3369"/>
      <c r="M165" s="3358">
        <f>M163</f>
        <v>13050000</v>
      </c>
      <c r="N165" s="3360"/>
      <c r="P165" s="3368">
        <f>P163-P164</f>
        <v>16632735.550000001</v>
      </c>
      <c r="Q165" s="3369"/>
      <c r="R165" s="3401" t="s">
        <v>4733</v>
      </c>
      <c r="S165" s="3402"/>
      <c r="T165" s="3403"/>
      <c r="U165" s="1105"/>
      <c r="V165" s="832"/>
      <c r="W165" s="3341"/>
      <c r="X165" s="3342"/>
      <c r="AZ165" s="2515"/>
      <c r="BA165" s="2514">
        <v>165</v>
      </c>
    </row>
    <row r="166" spans="1:53" s="144" customFormat="1" ht="14.1" customHeight="1">
      <c r="B166" s="144" t="s">
        <v>1388</v>
      </c>
      <c r="G166" s="248" t="s">
        <v>1591</v>
      </c>
      <c r="H166" s="3410" t="s">
        <v>5238</v>
      </c>
      <c r="I166" s="3411"/>
      <c r="J166" s="3370"/>
      <c r="K166" s="3371"/>
      <c r="M166" s="3412"/>
      <c r="N166" s="3412"/>
      <c r="P166" s="3370">
        <v>1.3</v>
      </c>
      <c r="Q166" s="3371"/>
      <c r="R166" s="3404"/>
      <c r="S166" s="3405"/>
      <c r="T166" s="3406"/>
      <c r="U166" s="1106"/>
      <c r="V166" s="832"/>
      <c r="W166" s="3341"/>
      <c r="X166" s="3342"/>
      <c r="AZ166" s="2515"/>
      <c r="BA166" s="2514">
        <v>166</v>
      </c>
    </row>
    <row r="167" spans="1:53" s="144" customFormat="1" ht="14.1" customHeight="1">
      <c r="B167" s="144" t="s">
        <v>1897</v>
      </c>
      <c r="J167" s="3368">
        <f>J165*J166</f>
        <v>0</v>
      </c>
      <c r="K167" s="3369"/>
      <c r="M167" s="3372">
        <f>+M165</f>
        <v>13050000</v>
      </c>
      <c r="N167" s="3374"/>
      <c r="P167" s="3368">
        <f>P165*P166</f>
        <v>21622556.215</v>
      </c>
      <c r="Q167" s="3369"/>
      <c r="R167" s="3407"/>
      <c r="S167" s="3408"/>
      <c r="T167" s="3409"/>
      <c r="U167" s="1106"/>
      <c r="V167" s="832"/>
      <c r="W167" s="3341"/>
      <c r="X167" s="3342"/>
      <c r="AZ167" s="2515"/>
      <c r="BA167" s="2514">
        <v>167</v>
      </c>
    </row>
    <row r="168" spans="1:53" s="144" customFormat="1" ht="14.1" customHeight="1">
      <c r="B168" s="144" t="s">
        <v>2332</v>
      </c>
      <c r="J168" s="3392">
        <f>MIN('Part V-Revenues &amp; Expenses'!$P$72/'Part V-Revenues &amp; Expenses'!$P$74,'Part V-Revenues &amp; Expenses'!$P$186/'Part V-Revenues &amp; Expenses'!$P$188)</f>
        <v>1</v>
      </c>
      <c r="K168" s="3393"/>
      <c r="M168" s="3392">
        <f>MIN('Part V-Revenues &amp; Expenses'!$P$72/'Part V-Revenues &amp; Expenses'!$P$74,'Part V-Revenues &amp; Expenses'!$P$186/'Part V-Revenues &amp; Expenses'!$P$188)</f>
        <v>1</v>
      </c>
      <c r="N168" s="3393"/>
      <c r="P168" s="3392">
        <f>MIN('Part V-Revenues &amp; Expenses'!$P$72/'Part V-Revenues &amp; Expenses'!$P$74,'Part V-Revenues &amp; Expenses'!$P$186/'Part V-Revenues &amp; Expenses'!$P$188)</f>
        <v>1</v>
      </c>
      <c r="Q168" s="3393"/>
      <c r="R168" s="3394" t="s">
        <v>4734</v>
      </c>
      <c r="S168" s="3395"/>
      <c r="T168" s="3396"/>
      <c r="V168" s="832"/>
      <c r="W168" s="3341"/>
      <c r="X168" s="3342"/>
      <c r="AZ168" s="2515"/>
      <c r="BA168" s="2514">
        <v>168</v>
      </c>
    </row>
    <row r="169" spans="1:53" s="144" customFormat="1" ht="14.1" customHeight="1">
      <c r="B169" s="144" t="s">
        <v>1889</v>
      </c>
      <c r="J169" s="3368">
        <f>J167*J168</f>
        <v>0</v>
      </c>
      <c r="K169" s="3369"/>
      <c r="M169" s="3368">
        <f>M167*M168</f>
        <v>13050000</v>
      </c>
      <c r="N169" s="3369"/>
      <c r="P169" s="3368">
        <f>P167*P168</f>
        <v>21622556.215</v>
      </c>
      <c r="Q169" s="3369"/>
      <c r="V169" s="832"/>
      <c r="W169" s="3341"/>
      <c r="X169" s="3342"/>
      <c r="AZ169" s="2515"/>
      <c r="BA169" s="2514">
        <v>169</v>
      </c>
    </row>
    <row r="170" spans="1:53" s="144" customFormat="1" ht="14.1" customHeight="1">
      <c r="B170" s="144" t="s">
        <v>1890</v>
      </c>
      <c r="J170" s="3370"/>
      <c r="K170" s="3371"/>
      <c r="M170" s="3370">
        <v>0.04</v>
      </c>
      <c r="N170" s="3371"/>
      <c r="P170" s="3370">
        <v>0.04</v>
      </c>
      <c r="Q170" s="3371"/>
      <c r="V170" s="832"/>
      <c r="W170" s="3341"/>
      <c r="X170" s="3342"/>
      <c r="AZ170" s="2515"/>
      <c r="BA170" s="2514">
        <v>170</v>
      </c>
    </row>
    <row r="171" spans="1:53" s="144" customFormat="1" ht="14.1" customHeight="1" thickBot="1">
      <c r="B171" s="144" t="s">
        <v>2333</v>
      </c>
      <c r="J171" s="3397">
        <f>J169*J170</f>
        <v>0</v>
      </c>
      <c r="K171" s="3398"/>
      <c r="M171" s="3397">
        <f>M169*M170</f>
        <v>522000</v>
      </c>
      <c r="N171" s="3398"/>
      <c r="P171" s="3397">
        <f>P169*P170</f>
        <v>864902.24860000005</v>
      </c>
      <c r="Q171" s="3398"/>
      <c r="V171" s="839"/>
      <c r="W171" s="3399"/>
      <c r="X171" s="3400"/>
      <c r="AZ171" s="2515"/>
      <c r="BA171" s="2514">
        <v>171</v>
      </c>
    </row>
    <row r="172" spans="1:53" s="144" customFormat="1" ht="14.1" customHeight="1" thickBot="1">
      <c r="B172" s="243" t="s">
        <v>1337</v>
      </c>
      <c r="J172" s="3210">
        <f>ROUNDDOWN(J171+M171+P171,0)</f>
        <v>1386902</v>
      </c>
      <c r="K172" s="3354"/>
      <c r="L172" s="3354"/>
      <c r="M172" s="3354"/>
      <c r="N172" s="3354"/>
      <c r="O172" s="3354"/>
      <c r="P172" s="3354"/>
      <c r="Q172" s="3211"/>
      <c r="V172" s="834"/>
      <c r="W172" s="3366"/>
      <c r="X172" s="3367"/>
      <c r="AZ172" s="2515"/>
      <c r="BA172" s="2514">
        <v>172</v>
      </c>
    </row>
    <row r="173" spans="1:53" s="144" customFormat="1" ht="6" customHeight="1">
      <c r="B173" s="296"/>
      <c r="L173" s="297"/>
      <c r="M173" s="297"/>
      <c r="N173" s="297"/>
      <c r="O173" s="297"/>
      <c r="V173" s="835"/>
      <c r="AZ173" s="2515"/>
      <c r="BA173" s="2514">
        <v>173</v>
      </c>
    </row>
    <row r="174" spans="1:53" s="144" customFormat="1" ht="14.1" customHeight="1">
      <c r="A174" s="343" t="s">
        <v>690</v>
      </c>
      <c r="B174" s="343" t="s">
        <v>1340</v>
      </c>
      <c r="H174" s="288"/>
      <c r="I174" s="288"/>
      <c r="M174" s="370"/>
      <c r="V174" s="835"/>
      <c r="AZ174" s="2515"/>
      <c r="BA174" s="2514">
        <v>174</v>
      </c>
    </row>
    <row r="175" spans="1:53" s="144" customFormat="1" ht="3" customHeight="1">
      <c r="H175" s="288"/>
      <c r="I175" s="288"/>
      <c r="M175" s="370"/>
      <c r="O175" s="1148"/>
      <c r="P175" s="1148"/>
      <c r="Q175" s="1148"/>
      <c r="R175" s="1148"/>
      <c r="S175" s="1148"/>
      <c r="T175" s="1148"/>
      <c r="U175" s="1148"/>
      <c r="V175" s="1148"/>
      <c r="AZ175" s="2515"/>
      <c r="BA175" s="2514">
        <v>175</v>
      </c>
    </row>
    <row r="176" spans="1:53" s="144" customFormat="1" ht="15" customHeight="1" thickBot="1">
      <c r="B176" s="243" t="s">
        <v>167</v>
      </c>
      <c r="V176" s="835"/>
      <c r="W176" s="343" t="str">
        <f>B174</f>
        <v>TAX CREDIT CALCULATION - GAP METHOD</v>
      </c>
      <c r="AZ176" s="2515"/>
      <c r="BA176" s="2514">
        <v>176</v>
      </c>
    </row>
    <row r="177" spans="1:53" s="144" customFormat="1" ht="15" customHeight="1">
      <c r="B177" s="144" t="s">
        <v>3806</v>
      </c>
      <c r="J177" s="3372">
        <f>G147</f>
        <v>34718294.853922151</v>
      </c>
      <c r="K177" s="3373"/>
      <c r="L177" s="3374"/>
      <c r="N177" s="3375" t="s">
        <v>4598</v>
      </c>
      <c r="O177" s="3376"/>
      <c r="P177" s="3376"/>
      <c r="Q177" s="3377"/>
      <c r="S177" s="3384" t="s">
        <v>3101</v>
      </c>
      <c r="T177" s="3385"/>
      <c r="V177" s="832"/>
      <c r="W177" s="3341"/>
      <c r="X177" s="3342"/>
      <c r="AZ177" s="2515"/>
      <c r="BA177" s="2514">
        <v>177</v>
      </c>
    </row>
    <row r="178" spans="1:53" s="144" customFormat="1" ht="14.1" customHeight="1">
      <c r="B178" s="144" t="s">
        <v>252</v>
      </c>
      <c r="J178" s="3368">
        <f>'Part II-Sources of Funds'!$I$62-'Part II-Sources of Funds'!$I$46-'Part II-Sources of Funds'!$I$47-'Part II-Sources of Funds'!$I$53-'Part II-Sources of Funds'!$I$54</f>
        <v>14500000.000000002</v>
      </c>
      <c r="K178" s="3388"/>
      <c r="L178" s="3369"/>
      <c r="M178" s="1858"/>
      <c r="N178" s="3378"/>
      <c r="O178" s="3379"/>
      <c r="P178" s="3379"/>
      <c r="Q178" s="3380"/>
      <c r="S178" s="3386"/>
      <c r="T178" s="3387"/>
      <c r="V178" s="832"/>
      <c r="W178" s="3341"/>
      <c r="X178" s="3342"/>
      <c r="AZ178" s="2515"/>
      <c r="BA178" s="2514">
        <v>178</v>
      </c>
    </row>
    <row r="179" spans="1:53" s="144" customFormat="1" ht="14.1" customHeight="1">
      <c r="B179" s="144" t="s">
        <v>2058</v>
      </c>
      <c r="J179" s="3389">
        <f>+J177-J178</f>
        <v>20218294.853922151</v>
      </c>
      <c r="K179" s="3390"/>
      <c r="L179" s="3391"/>
      <c r="M179" s="1858"/>
      <c r="N179" s="3381"/>
      <c r="O179" s="3382"/>
      <c r="P179" s="3382"/>
      <c r="Q179" s="3383"/>
      <c r="S179" s="3386"/>
      <c r="T179" s="3387"/>
      <c r="V179" s="832"/>
      <c r="W179" s="3341"/>
      <c r="X179" s="3342"/>
      <c r="AZ179" s="2515"/>
      <c r="BA179" s="2514">
        <v>179</v>
      </c>
    </row>
    <row r="180" spans="1:53" s="144" customFormat="1" ht="14.1" customHeight="1" thickBot="1">
      <c r="B180" s="144" t="s">
        <v>1207</v>
      </c>
      <c r="J180" s="3253" t="str">
        <f>"/ 10"</f>
        <v>/ 10</v>
      </c>
      <c r="K180" s="3253"/>
      <c r="L180" s="3253"/>
      <c r="M180" s="223"/>
      <c r="N180" s="3355">
        <f>'Part II-Sources of Funds'!$I$46</f>
        <v>0</v>
      </c>
      <c r="O180" s="3356"/>
      <c r="P180" s="3356"/>
      <c r="Q180" s="3357"/>
      <c r="S180" s="328" t="s">
        <v>1546</v>
      </c>
      <c r="T180" s="329"/>
      <c r="V180" s="832"/>
      <c r="W180" s="3341"/>
      <c r="X180" s="3342"/>
      <c r="AZ180" s="2515"/>
      <c r="BA180" s="2514">
        <v>180</v>
      </c>
    </row>
    <row r="181" spans="1:53" s="144" customFormat="1" ht="14.1" customHeight="1">
      <c r="B181" s="144" t="s">
        <v>1208</v>
      </c>
      <c r="J181" s="3358">
        <f>J179/10</f>
        <v>2021829.4853922152</v>
      </c>
      <c r="K181" s="3359"/>
      <c r="L181" s="3360"/>
      <c r="N181" s="368"/>
      <c r="O181" s="368"/>
      <c r="P181" s="368"/>
      <c r="Q181" s="368"/>
      <c r="R181" s="368"/>
      <c r="V181" s="832"/>
      <c r="W181" s="3341"/>
      <c r="X181" s="3342"/>
      <c r="AZ181" s="2515"/>
      <c r="BA181" s="2514">
        <v>181</v>
      </c>
    </row>
    <row r="182" spans="1:53" s="144" customFormat="1" ht="14.1" customHeight="1">
      <c r="M182" s="145"/>
      <c r="N182" s="3265" t="s">
        <v>1209</v>
      </c>
      <c r="O182" s="3265"/>
      <c r="Q182" s="3265" t="s">
        <v>1666</v>
      </c>
      <c r="R182" s="3265"/>
      <c r="V182" s="832"/>
      <c r="W182" s="3341"/>
      <c r="X182" s="3342"/>
      <c r="Z182" s="1711" t="s">
        <v>1641</v>
      </c>
      <c r="AZ182" s="2515"/>
      <c r="BA182" s="2514">
        <v>182</v>
      </c>
    </row>
    <row r="183" spans="1:53" s="144" customFormat="1" ht="14.1" customHeight="1" thickBot="1">
      <c r="B183" s="144" t="s">
        <v>1387</v>
      </c>
      <c r="J183" s="3361">
        <f>N183+Q183</f>
        <v>1.4</v>
      </c>
      <c r="K183" s="3362"/>
      <c r="L183" s="3363"/>
      <c r="M183" s="248" t="s">
        <v>1210</v>
      </c>
      <c r="N183" s="3364">
        <v>0.87</v>
      </c>
      <c r="O183" s="3365"/>
      <c r="P183" s="248" t="s">
        <v>569</v>
      </c>
      <c r="Q183" s="3364">
        <v>0.53</v>
      </c>
      <c r="R183" s="3365"/>
      <c r="V183" s="832"/>
      <c r="W183" s="3341"/>
      <c r="X183" s="3342"/>
      <c r="Z183" s="1712">
        <f>'DCA Underwriting Assumptions'!Q135</f>
        <v>0</v>
      </c>
      <c r="AZ183" s="2515"/>
      <c r="BA183" s="2514">
        <v>183</v>
      </c>
    </row>
    <row r="184" spans="1:53" s="144" customFormat="1" ht="14.1" customHeight="1" thickBot="1">
      <c r="B184" s="243" t="s">
        <v>1338</v>
      </c>
      <c r="J184" s="3210">
        <f>ROUNDDOWN(IF(J183=0,"",J181/J183),0)</f>
        <v>1444163</v>
      </c>
      <c r="K184" s="3354"/>
      <c r="L184" s="3211"/>
      <c r="M184" s="145"/>
      <c r="V184" s="832"/>
      <c r="W184" s="3341"/>
      <c r="X184" s="3342"/>
      <c r="Z184" s="1712">
        <f>'DCA Underwriting Assumptions'!Q136</f>
        <v>0</v>
      </c>
      <c r="AZ184" s="2515"/>
      <c r="BA184" s="2514">
        <v>184</v>
      </c>
    </row>
    <row r="185" spans="1:53" s="144" customFormat="1" ht="6" customHeight="1">
      <c r="J185" s="298"/>
      <c r="K185" s="298"/>
      <c r="L185" s="298"/>
      <c r="M185" s="145"/>
      <c r="N185" s="248"/>
      <c r="O185" s="248"/>
      <c r="V185" s="835"/>
      <c r="W185" s="1553"/>
      <c r="X185" s="1553"/>
      <c r="AZ185" s="2515"/>
      <c r="BA185" s="2514">
        <v>185</v>
      </c>
    </row>
    <row r="186" spans="1:53" s="144" customFormat="1" ht="14.1" customHeight="1">
      <c r="A186" s="343" t="s">
        <v>1661</v>
      </c>
      <c r="B186" s="343" t="s">
        <v>3805</v>
      </c>
      <c r="H186" s="288"/>
      <c r="I186" s="288"/>
      <c r="V186" s="835"/>
      <c r="AZ186" s="2515"/>
      <c r="BA186" s="2514">
        <v>186</v>
      </c>
    </row>
    <row r="187" spans="1:53" s="144" customFormat="1" ht="3" customHeight="1">
      <c r="H187" s="288"/>
      <c r="I187" s="288"/>
      <c r="Q187" s="429"/>
      <c r="R187" s="429"/>
      <c r="S187" s="850"/>
      <c r="T187" s="850"/>
      <c r="U187" s="392"/>
      <c r="V187" s="392"/>
      <c r="AZ187" s="2513"/>
      <c r="BA187" s="2514">
        <v>187</v>
      </c>
    </row>
    <row r="188" spans="1:53" s="144" customFormat="1" ht="16.350000000000001" customHeight="1">
      <c r="B188" s="243" t="s">
        <v>4597</v>
      </c>
      <c r="J188" s="3345">
        <v>1386902</v>
      </c>
      <c r="K188" s="3346"/>
      <c r="L188" s="3347"/>
      <c r="Q188" s="147" t="s">
        <v>4139</v>
      </c>
      <c r="R188" s="147"/>
      <c r="S188" s="3348" t="str">
        <f>'Part VIII Scoring Criteria'!$L$11</f>
        <v>Atlanta Metro</v>
      </c>
      <c r="T188" s="3349"/>
      <c r="U188" s="1524" t="str">
        <f>IF(OR(S188="Atlanta Metro", "Other Metro"), "Metro", IF(S188="Rural","Rural",""))</f>
        <v>Metro</v>
      </c>
      <c r="V188" s="832"/>
      <c r="W188" s="3341"/>
      <c r="X188" s="3342"/>
      <c r="AZ188" s="2513"/>
      <c r="BA188" s="2514">
        <v>188</v>
      </c>
    </row>
    <row r="189" spans="1:53" s="144" customFormat="1" ht="3" customHeight="1">
      <c r="J189" s="298"/>
      <c r="K189" s="298"/>
      <c r="L189" s="298"/>
      <c r="M189" s="145"/>
      <c r="N189" s="248"/>
      <c r="O189" s="248"/>
      <c r="Q189" s="147"/>
      <c r="R189" s="147"/>
      <c r="S189" s="241"/>
      <c r="T189" s="241"/>
      <c r="V189" s="835"/>
      <c r="W189" s="830"/>
      <c r="X189" s="831"/>
      <c r="AZ189" s="2513"/>
      <c r="BA189" s="2514">
        <v>189</v>
      </c>
    </row>
    <row r="190" spans="1:53" s="144" customFormat="1" ht="16.350000000000001" customHeight="1">
      <c r="B190" s="243" t="s">
        <v>3939</v>
      </c>
      <c r="J190" s="3345">
        <v>1386902</v>
      </c>
      <c r="K190" s="3346"/>
      <c r="L190" s="3347"/>
      <c r="M190" s="3350" t="str">
        <f>IF(J188=0,"",IF(J190&gt;J188,"Request can't exceed Maximum - REVISE (Try Round Down)!",""))</f>
        <v/>
      </c>
      <c r="N190" s="3350"/>
      <c r="O190" s="3350"/>
      <c r="P190" s="3350"/>
      <c r="Q190" s="241" t="s">
        <v>4432</v>
      </c>
      <c r="R190" s="147"/>
      <c r="S190" s="3348" t="str">
        <f>'Part VIII Scoring Criteria'!$H$11</f>
        <v>Preservation</v>
      </c>
      <c r="T190" s="3349"/>
      <c r="V190" s="832"/>
      <c r="W190" s="3341"/>
      <c r="X190" s="3342"/>
      <c r="AZ190" s="2513"/>
      <c r="BA190" s="2514">
        <v>190</v>
      </c>
    </row>
    <row r="191" spans="1:53" s="144" customFormat="1" ht="3" customHeight="1">
      <c r="J191" s="298"/>
      <c r="K191" s="298"/>
      <c r="L191" s="298"/>
      <c r="M191" s="3350"/>
      <c r="N191" s="3350"/>
      <c r="O191" s="3350"/>
      <c r="P191" s="3350"/>
      <c r="Q191" s="147"/>
      <c r="R191" s="147"/>
      <c r="S191" s="241"/>
      <c r="T191" s="241"/>
      <c r="V191" s="835"/>
      <c r="W191" s="830"/>
      <c r="X191" s="831"/>
      <c r="AZ191" s="2513"/>
      <c r="BA191" s="2514">
        <v>191</v>
      </c>
    </row>
    <row r="192" spans="1:53" s="144" customFormat="1" ht="16.350000000000001" customHeight="1">
      <c r="A192" s="343"/>
      <c r="B192" s="343" t="s">
        <v>3940</v>
      </c>
      <c r="D192" s="145"/>
      <c r="E192" s="145"/>
      <c r="F192" s="246"/>
      <c r="J192" s="3351">
        <f>IF(J190="",0,+MIN(J188,J190))</f>
        <v>1386902</v>
      </c>
      <c r="K192" s="3352"/>
      <c r="L192" s="3353"/>
      <c r="M192" s="3350"/>
      <c r="N192" s="3350"/>
      <c r="O192" s="3350"/>
      <c r="P192" s="3350"/>
      <c r="Q192" s="236" t="s">
        <v>3797</v>
      </c>
      <c r="R192" s="236"/>
      <c r="S192" s="15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2" s="1118"/>
      <c r="V192" s="832"/>
      <c r="W192" s="3341"/>
      <c r="X192" s="3342"/>
      <c r="AZ192" s="2513"/>
      <c r="BA192" s="2514">
        <v>192</v>
      </c>
    </row>
    <row r="193" spans="1:53" ht="3" customHeight="1">
      <c r="BA193" s="2514">
        <v>193</v>
      </c>
    </row>
    <row r="194" spans="1:53" ht="6" customHeight="1">
      <c r="BA194" s="2514">
        <v>194</v>
      </c>
    </row>
    <row r="195" spans="1:53" ht="12" customHeight="1">
      <c r="A195" s="243" t="s">
        <v>1663</v>
      </c>
      <c r="B195" s="253" t="s">
        <v>529</v>
      </c>
      <c r="N195" s="243" t="s">
        <v>495</v>
      </c>
      <c r="O195" s="243" t="s">
        <v>74</v>
      </c>
      <c r="AZ195" s="2515"/>
      <c r="BA195" s="2514">
        <v>195</v>
      </c>
    </row>
    <row r="196" spans="1:53" ht="268.5" customHeight="1">
      <c r="A196" s="3343" t="s">
        <v>5250</v>
      </c>
      <c r="B196" s="3343"/>
      <c r="C196" s="3343"/>
      <c r="D196" s="3343"/>
      <c r="E196" s="3343"/>
      <c r="F196" s="3343"/>
      <c r="G196" s="3343"/>
      <c r="H196" s="3343"/>
      <c r="I196" s="3343"/>
      <c r="J196" s="3343"/>
      <c r="K196" s="3343"/>
      <c r="L196" s="3343"/>
      <c r="M196" s="3343"/>
      <c r="N196" s="3344"/>
      <c r="O196" s="3344"/>
      <c r="P196" s="3344"/>
      <c r="Q196" s="3344"/>
      <c r="R196" s="3344"/>
      <c r="S196" s="3344"/>
      <c r="T196" s="3344"/>
      <c r="V196" s="736"/>
      <c r="W196" s="3200" t="s">
        <v>2444</v>
      </c>
      <c r="X196" s="3200"/>
      <c r="AZ196" s="2515"/>
      <c r="BA196" s="2514">
        <v>196</v>
      </c>
    </row>
    <row r="197" spans="1:53" ht="11.25" customHeight="1">
      <c r="AZ197" s="2515"/>
      <c r="BA197" s="2514">
        <v>197</v>
      </c>
    </row>
    <row r="198" spans="1:53" ht="12" customHeight="1">
      <c r="BA198" s="2514">
        <v>198</v>
      </c>
    </row>
    <row r="199" spans="1:53" ht="12" customHeight="1">
      <c r="AZ199" s="2515"/>
      <c r="BA199" s="2514">
        <v>199</v>
      </c>
    </row>
    <row r="200" spans="1:53" ht="14.7" customHeight="1">
      <c r="BA200" s="2514">
        <v>200</v>
      </c>
    </row>
    <row r="201" spans="1:53" s="144" customFormat="1" ht="14.7" customHeight="1">
      <c r="AZ201" s="2515"/>
      <c r="BA201" s="2514">
        <v>201</v>
      </c>
    </row>
    <row r="202" spans="1:53" s="144" customFormat="1" ht="14.7" customHeight="1">
      <c r="AZ202" s="2515"/>
      <c r="BA202" s="2514">
        <v>202</v>
      </c>
    </row>
    <row r="203" spans="1:53" s="144" customFormat="1" ht="14.7" customHeight="1">
      <c r="AZ203" s="2515"/>
      <c r="BA203" s="2514">
        <v>203</v>
      </c>
    </row>
    <row r="204" spans="1:53" ht="14.7" customHeight="1">
      <c r="AZ204" s="2515"/>
      <c r="BA204" s="2514">
        <v>204</v>
      </c>
    </row>
    <row r="205" spans="1:53" s="144" customFormat="1" ht="14.7" customHeight="1">
      <c r="A205" s="222"/>
      <c r="AZ205" s="2515"/>
      <c r="BA205" s="2514">
        <v>205</v>
      </c>
    </row>
    <row r="206" spans="1:53" ht="14.7" customHeight="1">
      <c r="AZ206" s="2515"/>
      <c r="BA206" s="2514">
        <v>206</v>
      </c>
    </row>
    <row r="207" spans="1:53" s="144" customFormat="1" ht="14.7" customHeight="1">
      <c r="AZ207" s="2515"/>
      <c r="BA207" s="2514">
        <v>207</v>
      </c>
    </row>
    <row r="208" spans="1:53" s="144" customFormat="1" ht="14.7" customHeight="1">
      <c r="A208" s="222"/>
      <c r="AZ208" s="2515"/>
      <c r="BA208" s="2514">
        <v>208</v>
      </c>
    </row>
    <row r="209" spans="1:53" s="144" customFormat="1" ht="14.7" customHeight="1">
      <c r="A209" s="374"/>
      <c r="AZ209" s="2515"/>
      <c r="BA209" s="2514">
        <v>209</v>
      </c>
    </row>
    <row r="210" spans="1:53" s="144" customFormat="1" ht="14.7" customHeight="1">
      <c r="AZ210" s="2513"/>
      <c r="BA210" s="2514">
        <v>210</v>
      </c>
    </row>
    <row r="211" spans="1:53" s="144" customFormat="1" ht="14.7" customHeight="1">
      <c r="A211" s="260"/>
      <c r="AZ211" s="2513"/>
      <c r="BA211" s="2514">
        <v>211</v>
      </c>
    </row>
    <row r="212" spans="1:53" s="144" customFormat="1" ht="14.7" customHeight="1">
      <c r="A212" s="260"/>
      <c r="AZ212" s="2513"/>
      <c r="BA212" s="2514">
        <v>212</v>
      </c>
    </row>
    <row r="213" spans="1:53" s="144" customFormat="1" ht="14.7" customHeight="1">
      <c r="A213" s="260"/>
      <c r="AZ213" s="2513"/>
      <c r="BA213" s="2514">
        <v>213</v>
      </c>
    </row>
    <row r="214" spans="1:53" s="144" customFormat="1" ht="14.7" customHeight="1">
      <c r="AZ214" s="2513"/>
      <c r="BA214" s="2514">
        <v>214</v>
      </c>
    </row>
    <row r="215" spans="1:53" s="144" customFormat="1" ht="14.7" customHeight="1">
      <c r="AZ215" s="2513"/>
      <c r="BA215" s="2514">
        <v>215</v>
      </c>
    </row>
    <row r="216" spans="1:53" ht="14.7" customHeight="1">
      <c r="BA216" s="2514">
        <v>216</v>
      </c>
    </row>
    <row r="217" spans="1:53" ht="14.7" customHeight="1">
      <c r="BA217" s="2514">
        <v>217</v>
      </c>
    </row>
    <row r="218" spans="1:53" ht="14.7" customHeight="1">
      <c r="AZ218" s="2515"/>
      <c r="BA218" s="2514">
        <v>218</v>
      </c>
    </row>
    <row r="219" spans="1:53" ht="14.7" customHeight="1">
      <c r="BA219" s="2514">
        <v>219</v>
      </c>
    </row>
    <row r="220" spans="1:53" ht="14.7" customHeight="1">
      <c r="BA220" s="2514">
        <v>220</v>
      </c>
    </row>
    <row r="221" spans="1:53" ht="14.7" customHeight="1">
      <c r="BA221" s="2514">
        <v>221</v>
      </c>
    </row>
    <row r="222" spans="1:53" ht="14.7" customHeight="1">
      <c r="BA222" s="2514">
        <v>222</v>
      </c>
    </row>
    <row r="223" spans="1:53" ht="14.7" customHeight="1">
      <c r="BA223" s="2514">
        <v>223</v>
      </c>
    </row>
    <row r="224" spans="1:53" s="144" customFormat="1" ht="14.7" customHeight="1">
      <c r="AZ224" s="2513"/>
      <c r="BA224" s="2514">
        <v>224</v>
      </c>
    </row>
    <row r="225" spans="11:53" ht="14.7" customHeight="1">
      <c r="BA225" s="2514">
        <v>225</v>
      </c>
    </row>
    <row r="226" spans="11:53" ht="14.7" customHeight="1">
      <c r="BA226" s="2514">
        <v>226</v>
      </c>
    </row>
    <row r="227" spans="11:53" ht="14.7" customHeight="1">
      <c r="BA227" s="2514">
        <v>227</v>
      </c>
    </row>
    <row r="228" spans="11:53" ht="14.7" customHeight="1">
      <c r="BA228" s="2514">
        <v>228</v>
      </c>
    </row>
    <row r="229" spans="11:53" ht="14.7" customHeight="1">
      <c r="BA229" s="2514">
        <v>229</v>
      </c>
    </row>
    <row r="230" spans="11:53" ht="14.7" customHeight="1">
      <c r="BA230" s="2514">
        <v>230</v>
      </c>
    </row>
    <row r="231" spans="11:53" ht="14.7" customHeight="1">
      <c r="BA231" s="2514">
        <v>231</v>
      </c>
    </row>
    <row r="232" spans="11:53" ht="14.7" customHeight="1">
      <c r="BA232" s="2514">
        <v>232</v>
      </c>
    </row>
    <row r="233" spans="11:53" ht="14.7" customHeight="1">
      <c r="BA233" s="2514">
        <v>233</v>
      </c>
    </row>
    <row r="234" spans="11:53" ht="14.7" customHeight="1">
      <c r="BA234" s="2514">
        <v>234</v>
      </c>
    </row>
    <row r="235" spans="11:53" ht="14.7" customHeight="1">
      <c r="BA235" s="2514">
        <v>235</v>
      </c>
    </row>
    <row r="236" spans="11:53" ht="14.7" customHeight="1">
      <c r="BA236" s="2514">
        <v>236</v>
      </c>
    </row>
    <row r="237" spans="11:53" ht="14.7" customHeight="1">
      <c r="BA237" s="2514">
        <v>237</v>
      </c>
    </row>
    <row r="238" spans="11:53" ht="14.7" customHeight="1">
      <c r="K238" s="1582"/>
      <c r="L238" s="144"/>
      <c r="BA238" s="2514">
        <v>238</v>
      </c>
    </row>
    <row r="239" spans="11:53" ht="14.7" customHeight="1">
      <c r="K239" s="1582"/>
      <c r="L239" s="144"/>
      <c r="BA239" s="2514">
        <v>239</v>
      </c>
    </row>
    <row r="240" spans="11:53" ht="12.75" customHeight="1">
      <c r="K240" s="1582"/>
      <c r="L240" s="144"/>
      <c r="BA240" s="2514">
        <v>240</v>
      </c>
    </row>
    <row r="241" spans="11:53">
      <c r="K241" s="1582"/>
      <c r="L241" s="144"/>
      <c r="BA241" s="2514">
        <v>241</v>
      </c>
    </row>
    <row r="242" spans="11:53">
      <c r="K242" s="1582"/>
      <c r="L242" s="144"/>
      <c r="BA242" s="2514">
        <v>242</v>
      </c>
    </row>
    <row r="243" spans="11:53">
      <c r="K243" s="1582"/>
      <c r="L243" s="144"/>
      <c r="BA243" s="2514">
        <v>243</v>
      </c>
    </row>
    <row r="244" spans="11:53">
      <c r="K244" s="1582"/>
      <c r="L244" s="144"/>
    </row>
    <row r="245" spans="11:53">
      <c r="K245" s="1582"/>
      <c r="L245" s="144"/>
    </row>
    <row r="246" spans="11:53" ht="12.75" customHeight="1">
      <c r="K246" s="1582"/>
      <c r="L246" s="144"/>
    </row>
    <row r="247" spans="11:53">
      <c r="K247" s="1582"/>
      <c r="L247" s="144"/>
    </row>
  </sheetData>
  <sheetProtection algorithmName="SHA-512" hashValue="Hu8P/22zDSQ7nbaU9/xA7mGdYsDmRcXHSe15gCMYrfvLW/1wlu27AAsCNG3BWvI34G/4yjUFb9osydxv3433ww==" saltValue="saMjgSkRa/eLC2M7g4s+Ng==" spinCount="100000" sheet="1" objects="1" scenarios="1"/>
  <mergeCells count="719">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3:H133"/>
    <mergeCell ref="S133:T133"/>
    <mergeCell ref="W133:X133"/>
    <mergeCell ref="G134:H134"/>
    <mergeCell ref="J134:K134"/>
    <mergeCell ref="M134:N134"/>
    <mergeCell ref="P134:Q134"/>
    <mergeCell ref="S134:T134"/>
    <mergeCell ref="W134:X134"/>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J163:K163"/>
    <mergeCell ref="M163:N163"/>
    <mergeCell ref="P163:Q163"/>
    <mergeCell ref="R163:T164"/>
    <mergeCell ref="W163:X163"/>
    <mergeCell ref="J164:K164"/>
    <mergeCell ref="M164:N164"/>
    <mergeCell ref="P164:Q164"/>
    <mergeCell ref="W164:X164"/>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8:K168"/>
    <mergeCell ref="M168:N168"/>
    <mergeCell ref="P168:Q168"/>
    <mergeCell ref="R168:T168"/>
    <mergeCell ref="W168:X168"/>
    <mergeCell ref="J171:K171"/>
    <mergeCell ref="M171:N171"/>
    <mergeCell ref="P171:Q171"/>
    <mergeCell ref="W171:X171"/>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topLeftCell="A5" zoomScale="130" zoomScaleNormal="130" workbookViewId="0">
      <selection activeCell="H9" sqref="H9:H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7" style="2512" customWidth="1"/>
    <col min="19" max="16384" width="9.33203125" style="431"/>
  </cols>
  <sheetData>
    <row r="1" spans="1:18" ht="15.6">
      <c r="A1" s="3534" t="str">
        <f>CONCATENATE("PART THREE (B) -  OTHER COSTS","  -  ",'Part I-Project Identification'!$O$7," - ",'Part I-Project Identification'!$F$26,"  -  ",'Part I-Project Identification'!$F$27,"  -  ",'Part I-Project Identification'!$J$27,",  ","County")</f>
        <v>PART THREE (B) -  OTHER COSTS  -  2025-0 - Retreat at Madison Place  -  Decatur  -  DeKalb,  County</v>
      </c>
      <c r="B1" s="3535"/>
      <c r="C1" s="3535"/>
      <c r="D1" s="3535"/>
      <c r="E1" s="3535"/>
      <c r="F1" s="3535"/>
      <c r="G1" s="3535"/>
      <c r="H1" s="3535"/>
      <c r="I1" s="706"/>
      <c r="J1" s="706"/>
      <c r="K1" s="706"/>
      <c r="L1" s="706"/>
      <c r="M1" s="706"/>
      <c r="N1" s="706"/>
      <c r="R1" s="2508">
        <v>1</v>
      </c>
    </row>
    <row r="2" spans="1:18" ht="9" customHeight="1">
      <c r="R2" s="2508">
        <v>2</v>
      </c>
    </row>
    <row r="3" spans="1:18" ht="57" customHeight="1">
      <c r="A3" s="3536" t="s">
        <v>3128</v>
      </c>
      <c r="B3" s="3537"/>
      <c r="C3" s="3537"/>
      <c r="D3" s="3537"/>
      <c r="E3" s="3537"/>
      <c r="F3" s="3537"/>
      <c r="G3" s="3537"/>
      <c r="H3" s="3538"/>
      <c r="R3" s="2508">
        <v>3</v>
      </c>
    </row>
    <row r="4" spans="1:18" ht="6" customHeight="1">
      <c r="R4" s="2508">
        <v>4</v>
      </c>
    </row>
    <row r="5" spans="1:18" ht="38.25" customHeight="1">
      <c r="A5" s="3539" t="s">
        <v>3190</v>
      </c>
      <c r="B5" s="3539"/>
      <c r="C5" s="3539"/>
      <c r="D5" s="3539"/>
      <c r="F5" s="707" t="s">
        <v>3120</v>
      </c>
      <c r="G5" s="438"/>
      <c r="H5" s="707" t="s">
        <v>3121</v>
      </c>
      <c r="R5" s="2508">
        <v>5</v>
      </c>
    </row>
    <row r="6" spans="1:18" ht="6.75" customHeight="1">
      <c r="A6" s="438"/>
      <c r="B6" s="438"/>
      <c r="C6" s="438"/>
      <c r="D6" s="438"/>
      <c r="R6" s="2508">
        <v>6</v>
      </c>
    </row>
    <row r="7" spans="1:18" s="709" customFormat="1" ht="4.5" customHeight="1">
      <c r="A7" s="708"/>
      <c r="B7" s="708"/>
      <c r="C7" s="708"/>
      <c r="D7" s="708"/>
      <c r="E7" s="708"/>
      <c r="F7" s="708"/>
      <c r="G7" s="708"/>
      <c r="R7" s="2509">
        <v>7</v>
      </c>
    </row>
    <row r="8" spans="1:18" s="709" customFormat="1" ht="15.6">
      <c r="A8" s="720" t="s">
        <v>96</v>
      </c>
      <c r="B8" s="710"/>
      <c r="C8" s="710"/>
      <c r="D8" s="710"/>
      <c r="E8" s="710"/>
      <c r="F8" s="710"/>
      <c r="G8" s="710"/>
      <c r="H8" s="710"/>
      <c r="R8" s="2509">
        <v>8</v>
      </c>
    </row>
    <row r="9" spans="1:18" s="709" customFormat="1" ht="41.25" customHeight="1">
      <c r="A9" s="3531" t="str">
        <f>'Part III-A-Uses of Funds'!$C$15</f>
        <v>Physical Needs Assessment</v>
      </c>
      <c r="B9" s="3532"/>
      <c r="C9" s="3532"/>
      <c r="D9" s="3533"/>
      <c r="F9" s="3528" t="s">
        <v>5245</v>
      </c>
      <c r="G9" s="710"/>
      <c r="H9" s="3528" t="s">
        <v>5246</v>
      </c>
      <c r="R9" s="2509">
        <v>9</v>
      </c>
    </row>
    <row r="10" spans="1:18" s="709" customFormat="1" ht="41.25" customHeight="1">
      <c r="A10" s="3522"/>
      <c r="B10" s="3523"/>
      <c r="C10" s="3523"/>
      <c r="D10" s="3524"/>
      <c r="F10" s="3529"/>
      <c r="G10" s="710"/>
      <c r="H10" s="3529"/>
      <c r="R10" s="2508">
        <v>10</v>
      </c>
    </row>
    <row r="11" spans="1:18" s="709" customFormat="1" ht="4.5" customHeight="1">
      <c r="F11" s="3529"/>
      <c r="G11" s="710"/>
      <c r="H11" s="3529"/>
      <c r="R11" s="2508">
        <v>11</v>
      </c>
    </row>
    <row r="12" spans="1:18" s="709" customFormat="1" ht="15" customHeight="1">
      <c r="A12" s="719" t="s">
        <v>3123</v>
      </c>
      <c r="B12" s="718">
        <f>'Part III-A-Uses of Funds'!$G$15</f>
        <v>15000</v>
      </c>
      <c r="C12" s="719" t="s">
        <v>1660</v>
      </c>
      <c r="D12" s="718">
        <f>'Part III-A-Uses of Funds'!$J$15+'Part III-A-Uses of Funds'!$M$15+'Part III-A-Uses of Funds'!$P$15</f>
        <v>15000</v>
      </c>
      <c r="F12" s="3529"/>
      <c r="G12" s="710"/>
      <c r="H12" s="3529"/>
      <c r="R12" s="2508">
        <v>12</v>
      </c>
    </row>
    <row r="13" spans="1:18" s="709" customFormat="1" ht="6" customHeight="1">
      <c r="A13" s="710"/>
      <c r="B13" s="711"/>
      <c r="C13" s="710"/>
      <c r="D13" s="710"/>
      <c r="F13" s="3529"/>
      <c r="G13" s="712"/>
      <c r="H13" s="3529"/>
      <c r="R13" s="2508">
        <v>13</v>
      </c>
    </row>
    <row r="14" spans="1:18" s="709" customFormat="1" ht="41.25" customHeight="1">
      <c r="A14" s="3531" t="str">
        <f>'Part III-A-Uses of Funds'!$C$16</f>
        <v>&lt;&lt; Enter description here; provide detail &amp; justification in tab Part III-b &gt;&gt;</v>
      </c>
      <c r="B14" s="3532"/>
      <c r="C14" s="3532"/>
      <c r="D14" s="3533"/>
      <c r="F14" s="3529"/>
      <c r="G14" s="710"/>
      <c r="H14" s="3529"/>
      <c r="R14" s="2508">
        <v>14</v>
      </c>
    </row>
    <row r="15" spans="1:18" s="709" customFormat="1" ht="41.25" customHeight="1">
      <c r="A15" s="3522"/>
      <c r="B15" s="3523"/>
      <c r="C15" s="3523"/>
      <c r="D15" s="3524"/>
      <c r="F15" s="3529"/>
      <c r="G15" s="710"/>
      <c r="H15" s="3529"/>
      <c r="R15" s="2508">
        <v>15</v>
      </c>
    </row>
    <row r="16" spans="1:18" s="709" customFormat="1" ht="4.5" customHeight="1">
      <c r="F16" s="3529"/>
      <c r="G16" s="710"/>
      <c r="H16" s="3529"/>
      <c r="R16" s="2509">
        <v>16</v>
      </c>
    </row>
    <row r="17" spans="1:18" s="709" customFormat="1" ht="15" customHeight="1">
      <c r="A17" s="719" t="s">
        <v>3123</v>
      </c>
      <c r="B17" s="718">
        <f>'Part III-A-Uses of Funds'!$G$16</f>
        <v>0</v>
      </c>
      <c r="C17" s="719" t="s">
        <v>1660</v>
      </c>
      <c r="D17" s="718">
        <f>'Part III-A-Uses of Funds'!$J$16+'Part III-A-Uses of Funds'!$M$16+'Part III-A-Uses of Funds'!$P$16</f>
        <v>0</v>
      </c>
      <c r="F17" s="3529"/>
      <c r="G17" s="710"/>
      <c r="H17" s="3529"/>
      <c r="R17" s="2509">
        <v>17</v>
      </c>
    </row>
    <row r="18" spans="1:18" s="709" customFormat="1" ht="6" customHeight="1">
      <c r="A18" s="710"/>
      <c r="B18" s="711"/>
      <c r="C18" s="710"/>
      <c r="D18" s="710"/>
      <c r="F18" s="3529"/>
      <c r="G18" s="712"/>
      <c r="H18" s="3529"/>
      <c r="R18" s="2509">
        <v>18</v>
      </c>
    </row>
    <row r="19" spans="1:18" s="709" customFormat="1" ht="41.25" customHeight="1">
      <c r="A19" s="3531" t="str">
        <f>'Part III-A-Uses of Funds'!$C$17</f>
        <v>&lt;&lt; Enter description here; provide detail &amp; justification in tab Part III-b &gt;&gt;</v>
      </c>
      <c r="B19" s="3532"/>
      <c r="C19" s="3532"/>
      <c r="D19" s="3533"/>
      <c r="F19" s="3529"/>
      <c r="G19" s="710"/>
      <c r="H19" s="3529"/>
      <c r="R19" s="2508">
        <v>19</v>
      </c>
    </row>
    <row r="20" spans="1:18" s="709" customFormat="1" ht="41.25" customHeight="1">
      <c r="A20" s="3522"/>
      <c r="B20" s="3523"/>
      <c r="C20" s="3523"/>
      <c r="D20" s="3524"/>
      <c r="F20" s="3529"/>
      <c r="G20" s="710"/>
      <c r="H20" s="3529"/>
      <c r="R20" s="2508">
        <v>20</v>
      </c>
    </row>
    <row r="21" spans="1:18" s="709" customFormat="1" ht="4.5" customHeight="1">
      <c r="F21" s="3529"/>
      <c r="G21" s="710"/>
      <c r="H21" s="3529"/>
      <c r="R21" s="2508">
        <v>21</v>
      </c>
    </row>
    <row r="22" spans="1:18" s="709" customFormat="1" ht="15" customHeight="1">
      <c r="A22" s="719" t="s">
        <v>3123</v>
      </c>
      <c r="B22" s="718">
        <f>'Part III-A-Uses of Funds'!$G$17</f>
        <v>0</v>
      </c>
      <c r="C22" s="719" t="s">
        <v>1660</v>
      </c>
      <c r="D22" s="718">
        <f>'Part III-A-Uses of Funds'!$J$17+'Part III-A-Uses of Funds'!$M$17+'Part III-A-Uses of Funds'!$P$17</f>
        <v>0</v>
      </c>
      <c r="F22" s="3529"/>
      <c r="G22" s="710"/>
      <c r="H22" s="3529"/>
      <c r="R22" s="2508">
        <v>22</v>
      </c>
    </row>
    <row r="23" spans="1:18" s="709" customFormat="1" ht="6" customHeight="1">
      <c r="A23" s="710"/>
      <c r="B23" s="711"/>
      <c r="C23" s="710"/>
      <c r="D23" s="710"/>
      <c r="F23" s="3530"/>
      <c r="G23" s="712"/>
      <c r="H23" s="3530"/>
      <c r="R23" s="2508">
        <v>23</v>
      </c>
    </row>
    <row r="24" spans="1:18" s="709" customFormat="1">
      <c r="A24" s="720" t="s">
        <v>3122</v>
      </c>
      <c r="B24" s="710"/>
      <c r="C24" s="710"/>
      <c r="D24" s="710"/>
      <c r="E24" s="710"/>
      <c r="F24" s="710"/>
      <c r="G24" s="710"/>
      <c r="R24" s="2508">
        <v>24</v>
      </c>
    </row>
    <row r="25" spans="1:18" s="709" customFormat="1" ht="41.25" customHeight="1">
      <c r="A25" s="3531" t="str">
        <f>'Part III-A-Uses of Funds'!$C$46</f>
        <v>&lt;&lt; Enter description here; provide detail &amp; justification in tab Part III-b &gt;&gt;</v>
      </c>
      <c r="B25" s="3532"/>
      <c r="C25" s="3532"/>
      <c r="D25" s="3533"/>
      <c r="E25" s="710"/>
      <c r="F25" s="3525"/>
      <c r="G25" s="710"/>
      <c r="H25" s="3525"/>
      <c r="R25" s="2509">
        <v>25</v>
      </c>
    </row>
    <row r="26" spans="1:18" s="709" customFormat="1" ht="41.25" customHeight="1">
      <c r="A26" s="3522"/>
      <c r="B26" s="3523"/>
      <c r="C26" s="3523"/>
      <c r="D26" s="3524"/>
      <c r="E26" s="710"/>
      <c r="F26" s="3526"/>
      <c r="G26" s="710"/>
      <c r="H26" s="3526"/>
      <c r="R26" s="2509">
        <v>26</v>
      </c>
    </row>
    <row r="27" spans="1:18" s="709" customFormat="1" ht="4.5" customHeight="1">
      <c r="A27" s="710"/>
      <c r="B27" s="710"/>
      <c r="C27" s="710"/>
      <c r="D27" s="710"/>
      <c r="E27" s="710"/>
      <c r="F27" s="3526"/>
      <c r="G27" s="710"/>
      <c r="H27" s="3526"/>
      <c r="R27" s="2509">
        <v>27</v>
      </c>
    </row>
    <row r="28" spans="1:18" s="709" customFormat="1">
      <c r="A28" s="719" t="s">
        <v>3123</v>
      </c>
      <c r="B28" s="718">
        <f>'Part III-A-Uses of Funds'!$G$46</f>
        <v>0</v>
      </c>
      <c r="C28" s="719" t="s">
        <v>1660</v>
      </c>
      <c r="D28" s="718">
        <f>'Part III-A-Uses of Funds'!$J$46+'Part III-A-Uses of Funds'!$M$46+'Part III-A-Uses of Funds'!$P$46</f>
        <v>0</v>
      </c>
      <c r="E28" s="710"/>
      <c r="F28" s="3526"/>
      <c r="G28" s="710"/>
      <c r="H28" s="3526"/>
      <c r="R28" s="2508">
        <v>28</v>
      </c>
    </row>
    <row r="29" spans="1:18" s="709" customFormat="1" ht="6" customHeight="1">
      <c r="A29" s="710"/>
      <c r="B29" s="711"/>
      <c r="C29" s="710"/>
      <c r="D29" s="710"/>
      <c r="E29" s="710"/>
      <c r="F29" s="3527"/>
      <c r="G29" s="712"/>
      <c r="H29" s="3527"/>
      <c r="R29" s="2508">
        <v>29</v>
      </c>
    </row>
    <row r="30" spans="1:18" s="709" customFormat="1">
      <c r="A30" s="720" t="s">
        <v>674</v>
      </c>
      <c r="B30" s="710"/>
      <c r="C30" s="710"/>
      <c r="D30" s="710"/>
      <c r="E30" s="710"/>
      <c r="F30" s="710"/>
      <c r="G30" s="710"/>
      <c r="R30" s="2508">
        <v>30</v>
      </c>
    </row>
    <row r="31" spans="1:18" s="709" customFormat="1" ht="41.25" customHeight="1">
      <c r="A31" s="3519" t="str">
        <f>'Part III-A-Uses of Funds'!$C$71</f>
        <v>&lt;&lt; Enter description here; provide detail &amp; justification in tab Part III-b &gt;&gt;</v>
      </c>
      <c r="B31" s="3520"/>
      <c r="C31" s="3520"/>
      <c r="D31" s="3521"/>
      <c r="E31" s="710"/>
      <c r="F31" s="3528"/>
      <c r="G31" s="710"/>
      <c r="H31" s="3528"/>
      <c r="R31" s="2508">
        <v>31</v>
      </c>
    </row>
    <row r="32" spans="1:18" s="709" customFormat="1" ht="41.25" customHeight="1">
      <c r="A32" s="3522"/>
      <c r="B32" s="3523"/>
      <c r="C32" s="3523"/>
      <c r="D32" s="3524"/>
      <c r="E32" s="710"/>
      <c r="F32" s="3529"/>
      <c r="G32" s="710"/>
      <c r="H32" s="3529"/>
      <c r="R32" s="2508">
        <v>32</v>
      </c>
    </row>
    <row r="33" spans="1:18" s="709" customFormat="1" ht="4.5" customHeight="1">
      <c r="A33" s="710"/>
      <c r="B33" s="710"/>
      <c r="C33" s="710"/>
      <c r="D33" s="710"/>
      <c r="E33" s="710"/>
      <c r="F33" s="3529"/>
      <c r="G33" s="710"/>
      <c r="H33" s="3529"/>
      <c r="R33" s="2508">
        <v>33</v>
      </c>
    </row>
    <row r="34" spans="1:18" s="709" customFormat="1" ht="14.25" customHeight="1">
      <c r="A34" s="719" t="s">
        <v>3123</v>
      </c>
      <c r="B34" s="718">
        <f>'Part III-A-Uses of Funds'!$G$71</f>
        <v>0</v>
      </c>
      <c r="C34" s="719" t="s">
        <v>1660</v>
      </c>
      <c r="D34" s="718">
        <f>'Part III-A-Uses of Funds'!$J$71+'Part III-A-Uses of Funds'!$M$71+'Part III-A-Uses of Funds'!$P$71</f>
        <v>0</v>
      </c>
      <c r="E34" s="710"/>
      <c r="F34" s="3529"/>
      <c r="G34" s="710"/>
      <c r="H34" s="3529"/>
      <c r="R34" s="2509">
        <v>34</v>
      </c>
    </row>
    <row r="35" spans="1:18" s="709" customFormat="1" ht="6" customHeight="1">
      <c r="D35" s="710"/>
      <c r="E35" s="710"/>
      <c r="F35" s="3529"/>
      <c r="G35" s="712"/>
      <c r="H35" s="3529"/>
      <c r="R35" s="2509">
        <v>35</v>
      </c>
    </row>
    <row r="36" spans="1:18" s="709" customFormat="1" ht="41.25" customHeight="1">
      <c r="A36" s="3519" t="str">
        <f>'Part III-A-Uses of Funds'!$C$72</f>
        <v>&lt;&lt; Enter description here; provide detail &amp; justification in tab Part III-b &gt;&gt;</v>
      </c>
      <c r="B36" s="3520"/>
      <c r="C36" s="3520"/>
      <c r="D36" s="3521"/>
      <c r="E36" s="710"/>
      <c r="F36" s="3529"/>
      <c r="G36" s="710"/>
      <c r="H36" s="3529"/>
      <c r="R36" s="2509">
        <v>36</v>
      </c>
    </row>
    <row r="37" spans="1:18" s="709" customFormat="1" ht="41.25" customHeight="1">
      <c r="A37" s="3522"/>
      <c r="B37" s="3523"/>
      <c r="C37" s="3523"/>
      <c r="D37" s="3524"/>
      <c r="E37" s="710"/>
      <c r="F37" s="3529"/>
      <c r="G37" s="710"/>
      <c r="H37" s="3529"/>
      <c r="R37" s="2508">
        <v>37</v>
      </c>
    </row>
    <row r="38" spans="1:18" s="709" customFormat="1" ht="4.5" customHeight="1">
      <c r="A38" s="710"/>
      <c r="B38" s="710"/>
      <c r="C38" s="710"/>
      <c r="D38" s="710"/>
      <c r="E38" s="710"/>
      <c r="F38" s="3529"/>
      <c r="G38" s="710"/>
      <c r="H38" s="3529"/>
      <c r="R38" s="2508">
        <v>38</v>
      </c>
    </row>
    <row r="39" spans="1:18" s="709" customFormat="1" ht="14.25" customHeight="1">
      <c r="A39" s="719" t="s">
        <v>3123</v>
      </c>
      <c r="B39" s="718">
        <f>'Part III-A-Uses of Funds'!$G$72</f>
        <v>0</v>
      </c>
      <c r="C39" s="719" t="s">
        <v>1660</v>
      </c>
      <c r="D39" s="718">
        <f>'Part III-A-Uses of Funds'!$J$72+'Part III-A-Uses of Funds'!$M$72+'Part III-A-Uses of Funds'!$P$72</f>
        <v>0</v>
      </c>
      <c r="E39" s="710"/>
      <c r="F39" s="3529"/>
      <c r="G39" s="710"/>
      <c r="H39" s="3529"/>
      <c r="R39" s="2508">
        <v>39</v>
      </c>
    </row>
    <row r="40" spans="1:18" s="709" customFormat="1" ht="6" customHeight="1">
      <c r="D40" s="710"/>
      <c r="E40" s="710"/>
      <c r="F40" s="3530"/>
      <c r="G40" s="712"/>
      <c r="H40" s="3530"/>
      <c r="R40" s="2508">
        <v>40</v>
      </c>
    </row>
    <row r="41" spans="1:18" s="709" customFormat="1">
      <c r="A41" s="720" t="s">
        <v>448</v>
      </c>
      <c r="B41" s="710"/>
      <c r="C41" s="710"/>
      <c r="D41" s="710"/>
      <c r="E41" s="714"/>
      <c r="F41" s="714"/>
      <c r="G41" s="710"/>
      <c r="R41" s="2508">
        <v>41</v>
      </c>
    </row>
    <row r="42" spans="1:18" s="709" customFormat="1" ht="41.25" customHeight="1">
      <c r="A42" s="3519" t="str">
        <f>'Part III-A-Uses of Funds'!$C$85</f>
        <v>&lt;&lt; Enter description here; provide detail &amp; justification in tab Part III-b &gt;&gt;</v>
      </c>
      <c r="B42" s="3520"/>
      <c r="C42" s="3520"/>
      <c r="D42" s="3521"/>
      <c r="F42" s="3525"/>
      <c r="G42" s="710"/>
      <c r="H42" s="3525"/>
      <c r="R42" s="2508">
        <v>42</v>
      </c>
    </row>
    <row r="43" spans="1:18" s="709" customFormat="1" ht="41.25" customHeight="1">
      <c r="A43" s="3522"/>
      <c r="B43" s="3523"/>
      <c r="C43" s="3523"/>
      <c r="D43" s="3524"/>
      <c r="E43" s="710"/>
      <c r="F43" s="3526"/>
      <c r="G43" s="710"/>
      <c r="H43" s="3526"/>
      <c r="R43" s="2509">
        <v>43</v>
      </c>
    </row>
    <row r="44" spans="1:18" s="709" customFormat="1" ht="4.5" customHeight="1">
      <c r="A44" s="710"/>
      <c r="B44" s="710"/>
      <c r="C44" s="710"/>
      <c r="D44" s="710"/>
      <c r="E44" s="710"/>
      <c r="F44" s="3526"/>
      <c r="G44" s="710"/>
      <c r="H44" s="3526"/>
      <c r="R44" s="2509">
        <v>44</v>
      </c>
    </row>
    <row r="45" spans="1:18" s="709" customFormat="1" ht="13.5" customHeight="1">
      <c r="A45" s="719" t="s">
        <v>3123</v>
      </c>
      <c r="B45" s="718">
        <f>'Part III-A-Uses of Funds'!$G$85</f>
        <v>0</v>
      </c>
      <c r="C45" s="719" t="s">
        <v>1660</v>
      </c>
      <c r="D45" s="718">
        <f>'Part III-A-Uses of Funds'!$J$85+'Part III-A-Uses of Funds'!$M$85+'Part III-A-Uses of Funds'!$P$85</f>
        <v>0</v>
      </c>
      <c r="E45" s="710"/>
      <c r="F45" s="3526"/>
      <c r="G45" s="710"/>
      <c r="H45" s="3526"/>
      <c r="R45" s="2509">
        <v>45</v>
      </c>
    </row>
    <row r="46" spans="1:18" s="709" customFormat="1" ht="6" customHeight="1">
      <c r="A46" s="710"/>
      <c r="B46" s="711"/>
      <c r="C46" s="710"/>
      <c r="D46" s="710"/>
      <c r="E46" s="710"/>
      <c r="F46" s="3527"/>
      <c r="G46" s="712"/>
      <c r="H46" s="3527"/>
      <c r="R46" s="2508">
        <v>46</v>
      </c>
    </row>
    <row r="47" spans="1:18" s="709" customFormat="1">
      <c r="A47" s="720" t="s">
        <v>676</v>
      </c>
      <c r="B47" s="710"/>
      <c r="C47" s="710"/>
      <c r="D47" s="710"/>
      <c r="E47" s="710"/>
      <c r="F47" s="710"/>
      <c r="G47" s="710"/>
      <c r="R47" s="2508">
        <v>47</v>
      </c>
    </row>
    <row r="48" spans="1:18" s="709" customFormat="1" ht="41.25" customHeight="1">
      <c r="A48" s="3519" t="str">
        <f>'Part III-A-Uses of Funds'!$C$102</f>
        <v>&lt;&lt; Enter description here; provide detail &amp; justification in tab Part III-b &gt;&gt;</v>
      </c>
      <c r="B48" s="3520"/>
      <c r="C48" s="3520"/>
      <c r="D48" s="3521"/>
      <c r="F48" s="3525"/>
      <c r="G48" s="710"/>
      <c r="R48" s="2508">
        <v>48</v>
      </c>
    </row>
    <row r="49" spans="1:18" s="709" customFormat="1" ht="41.25" customHeight="1">
      <c r="A49" s="3522"/>
      <c r="B49" s="3523"/>
      <c r="C49" s="3523"/>
      <c r="D49" s="3524"/>
      <c r="E49" s="710"/>
      <c r="F49" s="3526"/>
      <c r="G49" s="710"/>
      <c r="R49" s="2508">
        <v>49</v>
      </c>
    </row>
    <row r="50" spans="1:18" s="709" customFormat="1" ht="3" customHeight="1">
      <c r="A50" s="710"/>
      <c r="B50" s="710"/>
      <c r="C50" s="710"/>
      <c r="D50" s="710"/>
      <c r="E50" s="710"/>
      <c r="F50" s="3526"/>
      <c r="G50" s="710"/>
      <c r="R50" s="2508">
        <v>50</v>
      </c>
    </row>
    <row r="51" spans="1:18" s="709" customFormat="1" ht="13.5" customHeight="1">
      <c r="A51" s="719" t="s">
        <v>3123</v>
      </c>
      <c r="B51" s="718">
        <f>'Part III-A-Uses of Funds'!$G$102</f>
        <v>0</v>
      </c>
      <c r="C51" s="713"/>
      <c r="D51" s="713"/>
      <c r="E51" s="710"/>
      <c r="F51" s="3526"/>
      <c r="G51" s="710"/>
      <c r="R51" s="2508">
        <v>51</v>
      </c>
    </row>
    <row r="52" spans="1:18" s="709" customFormat="1" ht="3.75" customHeight="1">
      <c r="A52" s="710"/>
      <c r="B52" s="710"/>
      <c r="C52" s="710"/>
      <c r="D52" s="710"/>
      <c r="E52" s="710"/>
      <c r="F52" s="3527"/>
      <c r="G52" s="712"/>
      <c r="R52" s="2509">
        <v>52</v>
      </c>
    </row>
    <row r="53" spans="1:18" s="709" customFormat="1" ht="15.6">
      <c r="A53" s="720" t="s">
        <v>3124</v>
      </c>
      <c r="B53" s="710"/>
      <c r="C53" s="710"/>
      <c r="D53" s="710"/>
      <c r="E53" s="710"/>
      <c r="F53" s="710"/>
      <c r="G53" s="710"/>
      <c r="R53" s="2509">
        <v>53</v>
      </c>
    </row>
    <row r="54" spans="1:18" s="709" customFormat="1" ht="41.25" customHeight="1">
      <c r="A54" s="3519" t="str">
        <f>'Part III-A-Uses of Funds'!$C$112</f>
        <v>&lt;&lt; Enter description here; provide detail &amp; justification in tab Part III-b &gt;&gt;</v>
      </c>
      <c r="B54" s="3520"/>
      <c r="C54" s="3520"/>
      <c r="D54" s="3521"/>
      <c r="F54" s="3528"/>
      <c r="G54" s="710"/>
      <c r="R54" s="2509">
        <v>54</v>
      </c>
    </row>
    <row r="55" spans="1:18" s="709" customFormat="1" ht="41.25" customHeight="1">
      <c r="A55" s="3522"/>
      <c r="B55" s="3523"/>
      <c r="C55" s="3523"/>
      <c r="D55" s="3524"/>
      <c r="E55" s="710"/>
      <c r="F55" s="3529"/>
      <c r="G55" s="710"/>
      <c r="R55" s="2508">
        <v>55</v>
      </c>
    </row>
    <row r="56" spans="1:18" s="709" customFormat="1" ht="3" customHeight="1">
      <c r="A56" s="710"/>
      <c r="B56" s="710"/>
      <c r="C56" s="710"/>
      <c r="D56" s="710"/>
      <c r="E56" s="710"/>
      <c r="F56" s="3529"/>
      <c r="G56" s="710"/>
      <c r="R56" s="2508">
        <v>56</v>
      </c>
    </row>
    <row r="57" spans="1:18" s="709" customFormat="1">
      <c r="A57" s="719" t="s">
        <v>3123</v>
      </c>
      <c r="B57" s="718">
        <f>'Part III-A-Uses of Funds'!$G$112</f>
        <v>0</v>
      </c>
      <c r="C57" s="713"/>
      <c r="D57" s="713"/>
      <c r="E57" s="710"/>
      <c r="F57" s="3529"/>
      <c r="G57" s="710"/>
      <c r="R57" s="2508">
        <v>57</v>
      </c>
    </row>
    <row r="58" spans="1:18" s="709" customFormat="1" ht="3.75" customHeight="1">
      <c r="A58" s="708"/>
      <c r="B58" s="708"/>
      <c r="C58" s="708"/>
      <c r="D58" s="708"/>
      <c r="E58" s="708"/>
      <c r="F58" s="3529"/>
      <c r="G58" s="712"/>
      <c r="R58" s="2508">
        <v>58</v>
      </c>
    </row>
    <row r="59" spans="1:18" s="709" customFormat="1" ht="41.25" customHeight="1">
      <c r="A59" s="3519" t="str">
        <f>'Part III-A-Uses of Funds'!$C$113</f>
        <v>&lt;&lt; Enter description here; provide detail &amp; justification in tab Part III-b &gt;&gt;</v>
      </c>
      <c r="B59" s="3520"/>
      <c r="C59" s="3520"/>
      <c r="D59" s="3521"/>
      <c r="F59" s="3529"/>
      <c r="G59" s="710"/>
      <c r="R59" s="2508">
        <v>59</v>
      </c>
    </row>
    <row r="60" spans="1:18" s="709" customFormat="1" ht="41.25" customHeight="1">
      <c r="A60" s="3522"/>
      <c r="B60" s="3523"/>
      <c r="C60" s="3523"/>
      <c r="D60" s="3524"/>
      <c r="E60" s="710"/>
      <c r="F60" s="3529"/>
      <c r="G60" s="710"/>
      <c r="R60" s="2508">
        <v>60</v>
      </c>
    </row>
    <row r="61" spans="1:18" s="709" customFormat="1" ht="3" customHeight="1">
      <c r="A61" s="710"/>
      <c r="B61" s="710"/>
      <c r="C61" s="710"/>
      <c r="D61" s="710"/>
      <c r="E61" s="710"/>
      <c r="F61" s="3529"/>
      <c r="G61" s="710"/>
      <c r="R61" s="2509">
        <v>61</v>
      </c>
    </row>
    <row r="62" spans="1:18" s="709" customFormat="1" ht="15.6">
      <c r="A62" s="719" t="s">
        <v>3123</v>
      </c>
      <c r="B62" s="718">
        <f>'Part III-A-Uses of Funds'!$G$113</f>
        <v>0</v>
      </c>
      <c r="C62" s="713"/>
      <c r="D62" s="713"/>
      <c r="E62" s="710"/>
      <c r="F62" s="3529"/>
      <c r="G62" s="710"/>
      <c r="R62" s="2509">
        <v>62</v>
      </c>
    </row>
    <row r="63" spans="1:18" s="709" customFormat="1" ht="3.75" customHeight="1">
      <c r="A63" s="708"/>
      <c r="B63" s="708"/>
      <c r="C63" s="708"/>
      <c r="D63" s="708"/>
      <c r="E63" s="708"/>
      <c r="F63" s="3530"/>
      <c r="G63" s="712"/>
      <c r="R63" s="2509">
        <v>63</v>
      </c>
    </row>
    <row r="64" spans="1:18" s="709" customFormat="1">
      <c r="A64" s="720" t="s">
        <v>3125</v>
      </c>
      <c r="B64" s="710"/>
      <c r="C64" s="710"/>
      <c r="D64" s="710"/>
      <c r="E64" s="710"/>
      <c r="F64" s="710"/>
      <c r="G64" s="710"/>
      <c r="R64" s="2508">
        <v>64</v>
      </c>
    </row>
    <row r="65" spans="1:18" s="709" customFormat="1" ht="41.25" customHeight="1">
      <c r="A65" s="3519" t="str">
        <f>'Part III-A-Uses of Funds'!$C$119</f>
        <v>&lt;&lt; Enter description here; provide detail &amp; justification in tab Part III-b &gt;&gt;</v>
      </c>
      <c r="B65" s="3520"/>
      <c r="C65" s="3520"/>
      <c r="D65" s="3521"/>
      <c r="F65" s="3525"/>
      <c r="G65" s="710"/>
      <c r="R65" s="2508">
        <v>65</v>
      </c>
    </row>
    <row r="66" spans="1:18" s="709" customFormat="1" ht="41.25" customHeight="1">
      <c r="A66" s="3522"/>
      <c r="B66" s="3523"/>
      <c r="C66" s="3523"/>
      <c r="D66" s="3524"/>
      <c r="E66" s="710"/>
      <c r="F66" s="3526"/>
      <c r="G66" s="710"/>
      <c r="R66" s="2508">
        <v>66</v>
      </c>
    </row>
    <row r="67" spans="1:18" s="709" customFormat="1" ht="3" customHeight="1">
      <c r="A67" s="710"/>
      <c r="B67" s="710"/>
      <c r="C67" s="710"/>
      <c r="D67" s="710"/>
      <c r="E67" s="710"/>
      <c r="F67" s="3526"/>
      <c r="G67" s="710"/>
      <c r="R67" s="2508">
        <v>67</v>
      </c>
    </row>
    <row r="68" spans="1:18" s="709" customFormat="1">
      <c r="A68" s="719" t="s">
        <v>3123</v>
      </c>
      <c r="B68" s="718">
        <f>'Part III-A-Uses of Funds'!$G$119</f>
        <v>0</v>
      </c>
      <c r="C68" s="713"/>
      <c r="D68" s="713"/>
      <c r="E68" s="710"/>
      <c r="F68" s="3526"/>
      <c r="G68" s="710"/>
      <c r="R68" s="2508">
        <v>68</v>
      </c>
    </row>
    <row r="69" spans="1:18" s="709" customFormat="1" ht="3.75" customHeight="1">
      <c r="A69" s="710"/>
      <c r="B69" s="711"/>
      <c r="C69" s="710"/>
      <c r="D69" s="710"/>
      <c r="E69" s="710"/>
      <c r="F69" s="3527"/>
      <c r="G69" s="712"/>
      <c r="R69" s="2508">
        <v>69</v>
      </c>
    </row>
    <row r="70" spans="1:18" s="709" customFormat="1" ht="15.6">
      <c r="A70" s="720" t="s">
        <v>1229</v>
      </c>
      <c r="B70" s="710"/>
      <c r="C70" s="710"/>
      <c r="D70" s="710"/>
      <c r="E70" s="710"/>
      <c r="F70" s="710"/>
      <c r="G70" s="710"/>
      <c r="R70" s="2509">
        <v>70</v>
      </c>
    </row>
    <row r="71" spans="1:18" s="709" customFormat="1" ht="41.25" customHeight="1">
      <c r="A71" s="3519" t="str">
        <f>'Part III-A-Uses of Funds'!$C$135</f>
        <v>&lt;&lt; Enter description here; provide detail &amp; justification in tab Part III-b &gt;&gt;</v>
      </c>
      <c r="B71" s="3520"/>
      <c r="C71" s="3520"/>
      <c r="D71" s="3521"/>
      <c r="F71" s="3525"/>
      <c r="G71" s="710"/>
      <c r="H71" s="3525"/>
      <c r="R71" s="2509">
        <v>71</v>
      </c>
    </row>
    <row r="72" spans="1:18" s="709" customFormat="1" ht="41.25" customHeight="1">
      <c r="A72" s="3522"/>
      <c r="B72" s="3523"/>
      <c r="C72" s="3523"/>
      <c r="D72" s="3524"/>
      <c r="E72" s="710"/>
      <c r="F72" s="3526"/>
      <c r="G72" s="710"/>
      <c r="H72" s="3526"/>
      <c r="R72" s="2509">
        <v>72</v>
      </c>
    </row>
    <row r="73" spans="1:18" s="709" customFormat="1" ht="4.5" customHeight="1">
      <c r="A73" s="710"/>
      <c r="B73" s="710"/>
      <c r="C73" s="710"/>
      <c r="D73" s="710"/>
      <c r="E73" s="710"/>
      <c r="F73" s="3526"/>
      <c r="G73" s="710"/>
      <c r="H73" s="3526"/>
      <c r="R73" s="2508">
        <v>73</v>
      </c>
    </row>
    <row r="74" spans="1:18" s="709" customFormat="1" ht="12.75" customHeight="1">
      <c r="A74" s="719" t="s">
        <v>3123</v>
      </c>
      <c r="B74" s="718">
        <f>'Part III-A-Uses of Funds'!$G$135</f>
        <v>0</v>
      </c>
      <c r="C74" s="719" t="s">
        <v>1660</v>
      </c>
      <c r="D74" s="718">
        <f>'Part III-A-Uses of Funds'!$J$135+'Part III-A-Uses of Funds'!$M$135+'Part III-A-Uses of Funds'!$P$135</f>
        <v>0</v>
      </c>
      <c r="E74" s="710"/>
      <c r="F74" s="3526"/>
      <c r="G74" s="710"/>
      <c r="H74" s="3526"/>
      <c r="R74" s="2508">
        <v>74</v>
      </c>
    </row>
    <row r="75" spans="1:18" s="709" customFormat="1" ht="6" customHeight="1">
      <c r="A75" s="710"/>
      <c r="B75" s="711"/>
      <c r="C75" s="710"/>
      <c r="D75" s="710"/>
      <c r="E75" s="710"/>
      <c r="F75" s="3527"/>
      <c r="G75" s="712"/>
      <c r="H75" s="3527"/>
      <c r="R75" s="2508">
        <v>75</v>
      </c>
    </row>
    <row r="76" spans="1:18" s="709" customFormat="1">
      <c r="A76" s="720" t="s">
        <v>3126</v>
      </c>
      <c r="B76" s="711"/>
      <c r="C76" s="710"/>
      <c r="D76" s="710"/>
      <c r="E76" s="710"/>
      <c r="F76" s="710"/>
      <c r="G76" s="712"/>
      <c r="R76" s="2508">
        <v>76</v>
      </c>
    </row>
    <row r="77" spans="1:18" s="709" customFormat="1" ht="41.25" customHeight="1">
      <c r="A77" s="3519" t="str">
        <f>'Part III-A-Uses of Funds'!$C$144</f>
        <v>&lt;&lt; Enter description here; provide detail &amp; justification in tab Part III-b &gt;&gt;</v>
      </c>
      <c r="B77" s="3520"/>
      <c r="C77" s="3520"/>
      <c r="D77" s="3521"/>
      <c r="F77" s="3525"/>
      <c r="G77" s="710"/>
      <c r="H77" s="3525"/>
      <c r="R77" s="2508">
        <v>77</v>
      </c>
    </row>
    <row r="78" spans="1:18" s="709" customFormat="1" ht="41.25" customHeight="1">
      <c r="A78" s="3522"/>
      <c r="B78" s="3523"/>
      <c r="C78" s="3523"/>
      <c r="D78" s="3524"/>
      <c r="E78" s="710"/>
      <c r="F78" s="3526"/>
      <c r="G78" s="710"/>
      <c r="H78" s="3526"/>
      <c r="R78" s="2508">
        <v>78</v>
      </c>
    </row>
    <row r="79" spans="1:18" s="709" customFormat="1" ht="4.5" customHeight="1">
      <c r="A79" s="710"/>
      <c r="B79" s="710"/>
      <c r="C79" s="710"/>
      <c r="D79" s="710"/>
      <c r="E79" s="710"/>
      <c r="F79" s="3526"/>
      <c r="G79" s="710"/>
      <c r="H79" s="3526"/>
      <c r="R79" s="2509">
        <v>79</v>
      </c>
    </row>
    <row r="80" spans="1:18" s="709" customFormat="1" ht="12.75" customHeight="1">
      <c r="A80" s="719" t="s">
        <v>3123</v>
      </c>
      <c r="B80" s="718">
        <f>'Part III-A-Uses of Funds'!$G$144</f>
        <v>0</v>
      </c>
      <c r="C80" s="719" t="s">
        <v>1660</v>
      </c>
      <c r="D80" s="718">
        <f>'Part III-A-Uses of Funds'!$J$144+'Part III-A-Uses of Funds'!$M$144+'Part III-A-Uses of Funds'!$P$144</f>
        <v>0</v>
      </c>
      <c r="E80" s="715"/>
      <c r="F80" s="3526"/>
      <c r="G80" s="710"/>
      <c r="H80" s="3526"/>
      <c r="R80" s="2509">
        <v>80</v>
      </c>
    </row>
    <row r="81" spans="4:18" s="709" customFormat="1" ht="6" customHeight="1">
      <c r="D81" s="716"/>
      <c r="E81" s="717"/>
      <c r="F81" s="3527"/>
      <c r="G81" s="712"/>
      <c r="H81" s="3527"/>
      <c r="R81" s="2509">
        <v>81</v>
      </c>
    </row>
    <row r="82" spans="4:18" s="709" customFormat="1">
      <c r="R82" s="2510"/>
    </row>
    <row r="83" spans="4:18" s="709" customFormat="1">
      <c r="R83" s="2510"/>
    </row>
    <row r="84" spans="4:18" s="709" customFormat="1" ht="15.6">
      <c r="R84" s="2511"/>
    </row>
    <row r="85" spans="4:18" s="709" customFormat="1" ht="15.6">
      <c r="R85" s="2511"/>
    </row>
    <row r="86" spans="4:18" s="709" customFormat="1" ht="15.6">
      <c r="R86" s="2511"/>
    </row>
    <row r="87" spans="4:18" s="709" customFormat="1" ht="15.6">
      <c r="R87" s="2511"/>
    </row>
    <row r="88" spans="4:18" s="709" customFormat="1" ht="15.6">
      <c r="R88" s="2511"/>
    </row>
    <row r="89" spans="4:18" s="709" customFormat="1" ht="15.6">
      <c r="R89" s="2511"/>
    </row>
    <row r="90" spans="4:18" s="709" customFormat="1" ht="15.6">
      <c r="R90" s="2511"/>
    </row>
    <row r="91" spans="4:18" s="709" customFormat="1" ht="15.6">
      <c r="R91" s="2511"/>
    </row>
    <row r="92" spans="4:18" s="709" customFormat="1" ht="15.6">
      <c r="R92" s="2511"/>
    </row>
  </sheetData>
  <sheetProtection algorithmName="SHA-512" hashValue="4+b1JapcN2lOxJflVibh5aBQs2b9Cm15aX0dMLLU+hGZfbfKDDi3iU+WxzbKLiMAMCWPukq3JqrFJsahnzGR5g==" saltValue="0I0+poAj8QyyS3zN62u30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topLeftCell="A32" workbookViewId="0">
      <selection activeCell="O28" sqref="O28"/>
    </sheetView>
  </sheetViews>
  <sheetFormatPr defaultColWidth="8.6640625" defaultRowHeight="13.2"/>
  <cols>
    <col min="1" max="1" width="2.33203125" customWidth="1"/>
    <col min="3" max="3" width="12.441406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14"/>
  </cols>
  <sheetData>
    <row r="1" spans="1:27" s="6" customFormat="1" ht="14.1" customHeight="1">
      <c r="A1" s="3562" t="str">
        <f>CONCATENATE("PART FOUR - UTILITY ALLOWANCES","  -  ",'Part I-Project Identification'!$O$7," ",'Part I-Project Identification'!$F$26,", ",'Part I-Project Identification'!F27,", ",'Part I-Project Identification'!J27," County")</f>
        <v>PART FOUR - UTILITY ALLOWANCES  -  2025-0 Retreat at Madison Place, Decatur, DeKalb County</v>
      </c>
      <c r="B1" s="3563"/>
      <c r="C1" s="3563"/>
      <c r="D1" s="3563"/>
      <c r="E1" s="3563"/>
      <c r="F1" s="3563"/>
      <c r="G1" s="3563"/>
      <c r="H1" s="3563"/>
      <c r="I1" s="3563"/>
      <c r="J1" s="3563"/>
      <c r="K1" s="3563"/>
      <c r="L1" s="3563"/>
      <c r="M1" s="3563"/>
      <c r="N1" s="4"/>
      <c r="O1" s="4"/>
      <c r="P1" s="4"/>
      <c r="Q1" s="4"/>
      <c r="AA1" s="2503">
        <v>1</v>
      </c>
    </row>
    <row r="2" spans="1:27" s="6" customFormat="1" ht="7.5" customHeight="1">
      <c r="AA2" s="2503">
        <v>2</v>
      </c>
    </row>
    <row r="3" spans="1:27" s="6" customFormat="1" ht="12.75" customHeight="1">
      <c r="B3" s="3564" t="str">
        <f>'Part I-Project Identification'!$A$6</f>
        <v>May 31, 2025</v>
      </c>
      <c r="C3" s="3564"/>
      <c r="D3" s="3564"/>
      <c r="E3" s="3564"/>
      <c r="F3" s="4" t="s">
        <v>4618</v>
      </c>
      <c r="I3" s="3565" t="s">
        <v>1231</v>
      </c>
      <c r="J3" s="3566"/>
      <c r="AA3" s="2503">
        <v>3</v>
      </c>
    </row>
    <row r="4" spans="1:27" s="6" customFormat="1" ht="6" customHeight="1">
      <c r="AA4" s="2503">
        <v>4</v>
      </c>
    </row>
    <row r="5" spans="1:27" ht="13.8">
      <c r="A5" s="206" t="s">
        <v>4389</v>
      </c>
      <c r="O5" s="822"/>
      <c r="P5" s="822"/>
      <c r="Q5" s="822"/>
      <c r="R5" s="822"/>
      <c r="S5" s="822"/>
      <c r="T5" s="822"/>
      <c r="U5" s="822"/>
      <c r="V5" s="392"/>
      <c r="W5" s="392"/>
      <c r="X5" s="392"/>
      <c r="Y5" s="392"/>
      <c r="AA5" s="2503">
        <v>5</v>
      </c>
    </row>
    <row r="6" spans="1:27" ht="6" customHeight="1">
      <c r="A6" s="6"/>
      <c r="O6" s="822"/>
      <c r="P6" s="822"/>
      <c r="Q6" s="822"/>
      <c r="R6" s="822"/>
      <c r="S6" s="822"/>
      <c r="T6" s="822"/>
      <c r="U6" s="822"/>
      <c r="V6" s="392"/>
      <c r="W6" s="392"/>
      <c r="X6" s="392"/>
      <c r="Y6" s="392"/>
      <c r="AA6" s="2503">
        <v>6</v>
      </c>
    </row>
    <row r="7" spans="1:27" s="6" customFormat="1" ht="13.5" customHeight="1">
      <c r="A7" s="10" t="s">
        <v>572</v>
      </c>
      <c r="B7" s="10" t="s">
        <v>2053</v>
      </c>
      <c r="F7" s="1" t="s">
        <v>2310</v>
      </c>
      <c r="G7" s="1"/>
      <c r="H7" s="1"/>
      <c r="I7" s="3567" t="s">
        <v>5241</v>
      </c>
      <c r="J7" s="3556"/>
      <c r="K7" s="3556"/>
      <c r="L7" s="3556"/>
      <c r="M7" s="3557"/>
      <c r="O7" s="822"/>
      <c r="P7" s="822"/>
      <c r="Q7" s="822"/>
      <c r="R7" s="822"/>
      <c r="S7" s="822"/>
      <c r="T7" s="822"/>
      <c r="U7" s="822"/>
      <c r="V7" s="392"/>
      <c r="W7" s="392"/>
      <c r="X7" s="392"/>
      <c r="Y7" s="392"/>
      <c r="AA7" s="2503">
        <v>7</v>
      </c>
    </row>
    <row r="8" spans="1:27" s="6" customFormat="1" ht="13.35" customHeight="1">
      <c r="A8" s="10"/>
      <c r="F8" s="1" t="s">
        <v>592</v>
      </c>
      <c r="G8" s="1"/>
      <c r="H8" s="26"/>
      <c r="I8" s="3558">
        <v>45658</v>
      </c>
      <c r="J8" s="3559"/>
      <c r="K8" s="5" t="s">
        <v>504</v>
      </c>
      <c r="L8" s="3560" t="s">
        <v>5240</v>
      </c>
      <c r="M8" s="3561"/>
      <c r="O8" s="822"/>
      <c r="P8" s="822"/>
      <c r="Q8" s="822"/>
      <c r="R8" s="822"/>
      <c r="S8" s="822"/>
      <c r="T8" s="822"/>
      <c r="U8" s="822"/>
      <c r="V8" s="392"/>
      <c r="W8" s="392"/>
      <c r="X8" s="392"/>
      <c r="Y8" s="392"/>
      <c r="AA8" s="2503">
        <v>8</v>
      </c>
    </row>
    <row r="9" spans="1:27" s="6" customFormat="1" ht="4.5" customHeight="1">
      <c r="A9" s="10"/>
      <c r="O9" s="822"/>
      <c r="P9" s="822"/>
      <c r="Q9" s="822"/>
      <c r="R9" s="822"/>
      <c r="S9" s="822"/>
      <c r="T9" s="822"/>
      <c r="U9" s="822"/>
      <c r="V9" s="392"/>
      <c r="W9" s="392"/>
      <c r="X9" s="392"/>
      <c r="Y9" s="392"/>
      <c r="AA9" s="2503">
        <v>9</v>
      </c>
    </row>
    <row r="10" spans="1:27" s="10" customFormat="1" ht="13.5" customHeight="1">
      <c r="F10" s="3554" t="s">
        <v>566</v>
      </c>
      <c r="G10" s="3554"/>
      <c r="I10" s="3554" t="s">
        <v>193</v>
      </c>
      <c r="J10" s="3554"/>
      <c r="K10" s="3554"/>
      <c r="L10" s="3554"/>
      <c r="M10" s="3554"/>
      <c r="O10" s="822"/>
      <c r="P10" s="822"/>
      <c r="Q10" s="822"/>
      <c r="R10" s="822"/>
      <c r="S10" s="822"/>
      <c r="T10" s="822"/>
      <c r="U10" s="822"/>
      <c r="AA10" s="2503">
        <v>10</v>
      </c>
    </row>
    <row r="11" spans="1:27" s="10" customFormat="1" ht="13.5" customHeight="1">
      <c r="B11" s="10" t="s">
        <v>741</v>
      </c>
      <c r="D11" s="10" t="s">
        <v>1492</v>
      </c>
      <c r="F11" s="24" t="s">
        <v>595</v>
      </c>
      <c r="G11" s="24" t="s">
        <v>1708</v>
      </c>
      <c r="I11" s="202" t="s">
        <v>525</v>
      </c>
      <c r="J11" s="202">
        <v>1</v>
      </c>
      <c r="K11" s="202">
        <v>2</v>
      </c>
      <c r="L11" s="202">
        <v>3</v>
      </c>
      <c r="M11" s="202">
        <v>4</v>
      </c>
      <c r="O11" s="822"/>
      <c r="P11" s="822"/>
      <c r="Q11" s="822"/>
      <c r="R11" s="822"/>
      <c r="S11" s="822"/>
      <c r="T11" s="822"/>
      <c r="U11" s="822"/>
      <c r="AA11" s="2503">
        <v>11</v>
      </c>
    </row>
    <row r="12" spans="1:27" s="6" customFormat="1" ht="12" customHeight="1">
      <c r="B12" s="1200" t="s">
        <v>1710</v>
      </c>
      <c r="C12" s="1201"/>
      <c r="D12" s="3552" t="s">
        <v>1489</v>
      </c>
      <c r="E12" s="3553"/>
      <c r="F12" s="207" t="s">
        <v>415</v>
      </c>
      <c r="G12" s="207"/>
      <c r="H12" s="787"/>
      <c r="I12" s="1195"/>
      <c r="J12" s="1195">
        <v>11</v>
      </c>
      <c r="K12" s="1195">
        <v>14</v>
      </c>
      <c r="L12" s="1195"/>
      <c r="M12" s="1195"/>
      <c r="O12" s="822"/>
      <c r="P12" s="822"/>
      <c r="Q12" s="822"/>
      <c r="R12" s="822"/>
      <c r="S12" s="822"/>
      <c r="T12" s="822"/>
      <c r="U12" s="822"/>
      <c r="AA12" s="2503">
        <v>12</v>
      </c>
    </row>
    <row r="13" spans="1:27" s="6" customFormat="1" ht="12" customHeight="1">
      <c r="B13" s="1202" t="s">
        <v>1490</v>
      </c>
      <c r="C13" s="1203"/>
      <c r="D13" s="3540" t="s">
        <v>1489</v>
      </c>
      <c r="E13" s="3541"/>
      <c r="F13" s="208" t="s">
        <v>415</v>
      </c>
      <c r="G13" s="208"/>
      <c r="H13" s="786"/>
      <c r="I13" s="1196"/>
      <c r="J13" s="1196">
        <v>4</v>
      </c>
      <c r="K13" s="1196">
        <v>6</v>
      </c>
      <c r="L13" s="1197"/>
      <c r="M13" s="1197"/>
      <c r="O13" s="3551" t="s">
        <v>5106</v>
      </c>
      <c r="P13" s="3551"/>
      <c r="Q13" s="3551"/>
      <c r="R13" s="3551"/>
      <c r="S13" s="3551"/>
      <c r="AA13" s="2503">
        <v>13</v>
      </c>
    </row>
    <row r="14" spans="1:27" s="6" customFormat="1" ht="12" customHeight="1">
      <c r="B14" s="1204" t="s">
        <v>1491</v>
      </c>
      <c r="C14" s="1205"/>
      <c r="D14" s="3540" t="s">
        <v>1489</v>
      </c>
      <c r="E14" s="3541"/>
      <c r="F14" s="208" t="s">
        <v>415</v>
      </c>
      <c r="G14" s="208"/>
      <c r="H14" s="203"/>
      <c r="I14" s="1196"/>
      <c r="J14" s="1196">
        <v>10</v>
      </c>
      <c r="K14" s="1196">
        <v>13</v>
      </c>
      <c r="L14" s="1197"/>
      <c r="M14" s="1197"/>
      <c r="O14" s="3551"/>
      <c r="P14" s="3551"/>
      <c r="Q14" s="3551"/>
      <c r="R14" s="3551"/>
      <c r="S14" s="3551"/>
      <c r="AA14" s="2503">
        <v>14</v>
      </c>
    </row>
    <row r="15" spans="1:27" s="6" customFormat="1" ht="12" customHeight="1">
      <c r="B15" s="1206" t="s">
        <v>439</v>
      </c>
      <c r="C15" s="1207"/>
      <c r="D15" s="1206" t="s">
        <v>1489</v>
      </c>
      <c r="E15" s="204"/>
      <c r="F15" s="208" t="s">
        <v>415</v>
      </c>
      <c r="G15" s="208"/>
      <c r="H15" s="785"/>
      <c r="I15" s="1196"/>
      <c r="J15" s="1196">
        <v>7</v>
      </c>
      <c r="K15" s="1196">
        <v>10</v>
      </c>
      <c r="L15" s="1197"/>
      <c r="M15" s="1197"/>
      <c r="O15" s="3551"/>
      <c r="P15" s="3551"/>
      <c r="Q15" s="3551"/>
      <c r="R15" s="3551"/>
      <c r="S15" s="3551"/>
      <c r="AA15" s="2503">
        <v>15</v>
      </c>
    </row>
    <row r="16" spans="1:27" s="6" customFormat="1" ht="12" customHeight="1">
      <c r="B16" s="1208" t="s">
        <v>3184</v>
      </c>
      <c r="C16" s="1203"/>
      <c r="D16" s="1202" t="s">
        <v>1489</v>
      </c>
      <c r="E16" s="784"/>
      <c r="F16" s="208"/>
      <c r="G16" s="208"/>
      <c r="H16" s="786"/>
      <c r="I16" s="1196"/>
      <c r="J16" s="1196"/>
      <c r="K16" s="1196"/>
      <c r="L16" s="1197"/>
      <c r="M16" s="1197"/>
      <c r="O16" s="3551"/>
      <c r="P16" s="3551"/>
      <c r="Q16" s="3551"/>
      <c r="R16" s="3551"/>
      <c r="S16" s="3551"/>
      <c r="AA16" s="2503">
        <v>16</v>
      </c>
    </row>
    <row r="17" spans="1:27" s="6" customFormat="1" ht="12" customHeight="1">
      <c r="B17" s="1208" t="s">
        <v>3185</v>
      </c>
      <c r="C17" s="1203"/>
      <c r="D17" s="1202" t="s">
        <v>1489</v>
      </c>
      <c r="E17" s="784"/>
      <c r="F17" s="208"/>
      <c r="G17" s="208"/>
      <c r="H17" s="786"/>
      <c r="I17" s="1196"/>
      <c r="J17" s="1196"/>
      <c r="K17" s="1196"/>
      <c r="L17" s="1197"/>
      <c r="M17" s="1197"/>
      <c r="O17" s="3551"/>
      <c r="P17" s="3551"/>
      <c r="Q17" s="3551"/>
      <c r="R17" s="3551"/>
      <c r="S17" s="3551"/>
      <c r="AA17" s="2503">
        <v>17</v>
      </c>
    </row>
    <row r="18" spans="1:27" s="6" customFormat="1" ht="12" customHeight="1">
      <c r="B18" s="1209" t="s">
        <v>3186</v>
      </c>
      <c r="C18" s="1205"/>
      <c r="D18" s="1204" t="s">
        <v>1489</v>
      </c>
      <c r="E18" s="2485"/>
      <c r="F18" s="208" t="s">
        <v>415</v>
      </c>
      <c r="G18" s="208"/>
      <c r="H18" s="203"/>
      <c r="I18" s="1196"/>
      <c r="J18" s="1196">
        <v>16</v>
      </c>
      <c r="K18" s="1196">
        <v>23</v>
      </c>
      <c r="L18" s="1197"/>
      <c r="M18" s="1197"/>
      <c r="O18" s="3551"/>
      <c r="P18" s="3551"/>
      <c r="Q18" s="3551"/>
      <c r="R18" s="3551"/>
      <c r="S18" s="3551"/>
      <c r="AA18" s="2503">
        <v>18</v>
      </c>
    </row>
    <row r="19" spans="1:27" s="6" customFormat="1" ht="12" customHeight="1">
      <c r="B19" s="1206" t="s">
        <v>1290</v>
      </c>
      <c r="C19" s="1207"/>
      <c r="D19" s="1212" t="s">
        <v>2991</v>
      </c>
      <c r="E19" s="1194" t="s">
        <v>2643</v>
      </c>
      <c r="F19" s="208"/>
      <c r="G19" s="208"/>
      <c r="H19" s="785"/>
      <c r="I19" s="1196"/>
      <c r="J19" s="1196"/>
      <c r="K19" s="1196"/>
      <c r="L19" s="1197"/>
      <c r="M19" s="1197"/>
      <c r="O19" s="3551"/>
      <c r="P19" s="3551"/>
      <c r="Q19" s="3551"/>
      <c r="R19" s="3551"/>
      <c r="S19" s="3551"/>
      <c r="AA19" s="2503">
        <v>19</v>
      </c>
    </row>
    <row r="20" spans="1:27" s="6" customFormat="1" ht="12" customHeight="1">
      <c r="B20" s="1210" t="s">
        <v>1709</v>
      </c>
      <c r="C20" s="1211"/>
      <c r="D20" s="205"/>
      <c r="E20" s="187"/>
      <c r="F20" s="208"/>
      <c r="G20" s="208"/>
      <c r="H20" s="203"/>
      <c r="I20" s="1196"/>
      <c r="J20" s="1196"/>
      <c r="K20" s="1196"/>
      <c r="L20" s="1197"/>
      <c r="M20" s="1197"/>
      <c r="O20" s="3551"/>
      <c r="P20" s="3551"/>
      <c r="Q20" s="3551"/>
      <c r="R20" s="3551"/>
      <c r="S20" s="3551"/>
      <c r="AA20" s="2503">
        <v>20</v>
      </c>
    </row>
    <row r="21" spans="1:27">
      <c r="B21" s="2486" t="s">
        <v>5104</v>
      </c>
      <c r="C21" s="201"/>
      <c r="D21" s="201"/>
      <c r="E21" s="201"/>
      <c r="O21" s="3551"/>
      <c r="P21" s="3551"/>
      <c r="Q21" s="3551"/>
      <c r="R21" s="3551"/>
      <c r="S21" s="3551"/>
      <c r="AA21" s="2503">
        <v>21</v>
      </c>
    </row>
    <row r="22" spans="1:27" s="6" customFormat="1" ht="12" customHeight="1">
      <c r="B22" s="2483" t="s">
        <v>5105</v>
      </c>
      <c r="C22" s="1203"/>
      <c r="D22" s="1202" t="s">
        <v>145</v>
      </c>
      <c r="E22" s="784"/>
      <c r="F22" s="208"/>
      <c r="G22" s="208"/>
      <c r="H22" s="785"/>
      <c r="I22" s="1196"/>
      <c r="J22" s="1196"/>
      <c r="K22" s="1196"/>
      <c r="L22" s="1197"/>
      <c r="M22" s="1197"/>
      <c r="O22" s="3551"/>
      <c r="P22" s="3551"/>
      <c r="Q22" s="3551"/>
      <c r="R22" s="3551"/>
      <c r="S22" s="3551"/>
      <c r="AA22" s="2503">
        <v>22</v>
      </c>
    </row>
    <row r="23" spans="1:27" s="6" customFormat="1" ht="12" customHeight="1">
      <c r="B23" s="2488" t="s">
        <v>5103</v>
      </c>
      <c r="C23" s="1205"/>
      <c r="D23" s="1204" t="s">
        <v>1489</v>
      </c>
      <c r="E23" s="784"/>
      <c r="F23" s="208"/>
      <c r="G23" s="208"/>
      <c r="H23" s="203"/>
      <c r="I23" s="1196"/>
      <c r="J23" s="1196"/>
      <c r="K23" s="1196"/>
      <c r="L23" s="1197"/>
      <c r="M23" s="1197"/>
      <c r="O23" s="3551"/>
      <c r="P23" s="3551"/>
      <c r="Q23" s="3551"/>
      <c r="R23" s="3551"/>
      <c r="S23" s="3551"/>
      <c r="AA23" s="2503">
        <v>23</v>
      </c>
    </row>
    <row r="24" spans="1:27" s="6" customFormat="1" ht="12" customHeight="1">
      <c r="B24" s="1210" t="s">
        <v>689</v>
      </c>
      <c r="C24" s="3542" t="s">
        <v>5242</v>
      </c>
      <c r="D24" s="3543"/>
      <c r="E24" s="3544"/>
      <c r="F24" s="209"/>
      <c r="G24" s="209"/>
      <c r="H24" s="788"/>
      <c r="I24" s="1198"/>
      <c r="J24" s="1198">
        <v>20</v>
      </c>
      <c r="K24" s="1198">
        <v>20</v>
      </c>
      <c r="L24" s="1199"/>
      <c r="M24" s="1199"/>
      <c r="O24" s="3551"/>
      <c r="P24" s="3551"/>
      <c r="Q24" s="3551"/>
      <c r="R24" s="3551"/>
      <c r="S24" s="3551"/>
      <c r="AA24" s="2503">
        <v>24</v>
      </c>
    </row>
    <row r="25" spans="1:27" s="6" customFormat="1">
      <c r="B25" s="10" t="s">
        <v>955</v>
      </c>
      <c r="D25"/>
      <c r="E25"/>
      <c r="F25" s="60"/>
      <c r="G25" s="60"/>
      <c r="I25" s="119">
        <f>IF(SUM(I12:I24)=0,0,IF(OR($D12="&lt;&lt;Select Fuel &gt;&gt;",$D13="&lt;&lt;Select Fuel &gt;&gt;",$D14="&lt;&lt;Select Fuel &gt;&gt;"),"Select Fuel",IF($E19="&lt;Select&gt;","Submeter?",SUM(I12:I24))))</f>
        <v>0</v>
      </c>
      <c r="J25" s="119">
        <f>IF(SUM(J12:J24)=0,0,IF(OR($D12="&lt;&lt;Select Fuel &gt;&gt;",$D13="&lt;&lt;Select Fuel &gt;&gt;",$D14="&lt;&lt;Select Fuel &gt;&gt;"),"Select Fuel",IF($E19="&lt;Select&gt;","Submeter?",SUM(J12:J24))))</f>
        <v>68</v>
      </c>
      <c r="K25" s="119">
        <f>IF(SUM(K12:K24)=0,0,IF(OR($D12="&lt;&lt;Select Fuel &gt;&gt;",$D13="&lt;&lt;Select Fuel &gt;&gt;",$D14="&lt;&lt;Select Fuel &gt;&gt;"),"Select Fuel",IF($E19="&lt;Select&gt;","Submeter?",SUM(K12:K24))))</f>
        <v>86</v>
      </c>
      <c r="L25" s="119">
        <f>IF(SUM(L12:L24)=0,0,IF(OR($D12="&lt;&lt;Select Fuel &gt;&gt;",$D13="&lt;&lt;Select Fuel &gt;&gt;",$D14="&lt;&lt;Select Fuel &gt;&gt;"),"Select Fuel",IF($E19="&lt;Select&gt;","Submeter?",SUM(L12:L24))))</f>
        <v>0</v>
      </c>
      <c r="M25" s="119">
        <f>IF(SUM(M12:M24)=0,0,IF(OR($D12="&lt;&lt;Select Fuel &gt;&gt;",$D13="&lt;&lt;Select Fuel &gt;&gt;",$D14="&lt;&lt;Select Fuel &gt;&gt;"),"Select Fuel",IF($E19="&lt;Select&gt;","Submeter?",SUM(M12:M24))))</f>
        <v>0</v>
      </c>
      <c r="AA25" s="2503">
        <v>25</v>
      </c>
    </row>
    <row r="26" spans="1:27" s="6" customFormat="1" ht="7.5" customHeight="1">
      <c r="M26"/>
      <c r="N26"/>
      <c r="O26" s="822"/>
      <c r="P26" s="822"/>
      <c r="Q26" s="822"/>
      <c r="R26" s="822"/>
      <c r="S26" s="822"/>
      <c r="T26" s="822"/>
      <c r="U26" s="822"/>
      <c r="V26" s="392"/>
      <c r="W26" s="392"/>
      <c r="X26" s="392"/>
      <c r="Y26" s="392"/>
      <c r="AA26" s="2503">
        <v>26</v>
      </c>
    </row>
    <row r="27" spans="1:27" s="6" customFormat="1" ht="12.75" customHeight="1">
      <c r="A27" s="10" t="s">
        <v>688</v>
      </c>
      <c r="B27" s="10" t="s">
        <v>2054</v>
      </c>
      <c r="F27" s="1" t="s">
        <v>2310</v>
      </c>
      <c r="G27" s="1"/>
      <c r="H27" s="1"/>
      <c r="I27" s="3555" t="s">
        <v>5241</v>
      </c>
      <c r="J27" s="3556"/>
      <c r="K27" s="3556"/>
      <c r="L27" s="3556"/>
      <c r="M27" s="3557"/>
      <c r="O27" s="822"/>
      <c r="P27" s="822"/>
      <c r="Q27" s="822"/>
      <c r="R27" s="822"/>
      <c r="S27" s="822"/>
      <c r="T27" s="822"/>
      <c r="U27" s="822"/>
      <c r="V27" s="392"/>
      <c r="W27" s="392"/>
      <c r="X27" s="392"/>
      <c r="Y27" s="392"/>
      <c r="AA27" s="2503">
        <v>27</v>
      </c>
    </row>
    <row r="28" spans="1:27" s="6" customFormat="1" ht="13.35" customHeight="1">
      <c r="A28" s="10"/>
      <c r="B28" s="10"/>
      <c r="F28" s="1" t="s">
        <v>592</v>
      </c>
      <c r="G28" s="1"/>
      <c r="H28" s="26"/>
      <c r="I28" s="3558"/>
      <c r="J28" s="3559"/>
      <c r="K28" s="5" t="s">
        <v>504</v>
      </c>
      <c r="L28" s="3560" t="s">
        <v>5240</v>
      </c>
      <c r="M28" s="3561"/>
      <c r="O28" s="822"/>
      <c r="P28" s="822"/>
      <c r="Q28" s="822"/>
      <c r="R28" s="822"/>
      <c r="S28" s="822"/>
      <c r="T28" s="822"/>
      <c r="U28" s="822"/>
      <c r="V28" s="392"/>
      <c r="W28" s="392"/>
      <c r="X28" s="392"/>
      <c r="Y28" s="392"/>
      <c r="AA28" s="2503">
        <v>28</v>
      </c>
    </row>
    <row r="29" spans="1:27" s="6" customFormat="1" ht="4.5" customHeight="1">
      <c r="A29" s="10"/>
      <c r="O29" s="822"/>
      <c r="P29" s="822"/>
      <c r="Q29" s="822"/>
      <c r="R29" s="822"/>
      <c r="S29" s="822"/>
      <c r="T29" s="822"/>
      <c r="U29" s="822"/>
      <c r="V29" s="392"/>
      <c r="W29" s="392"/>
      <c r="X29" s="392"/>
      <c r="Y29" s="392"/>
      <c r="AA29" s="2503">
        <v>29</v>
      </c>
    </row>
    <row r="30" spans="1:27" s="10" customFormat="1" ht="13.8">
      <c r="F30" s="3554" t="s">
        <v>566</v>
      </c>
      <c r="G30" s="3554"/>
      <c r="I30" s="3554" t="s">
        <v>193</v>
      </c>
      <c r="J30" s="3554"/>
      <c r="K30" s="3554"/>
      <c r="L30" s="3554"/>
      <c r="M30" s="3554"/>
      <c r="O30" s="822"/>
      <c r="P30" s="822"/>
      <c r="Q30" s="822"/>
      <c r="R30" s="822"/>
      <c r="S30" s="822"/>
      <c r="T30" s="822"/>
      <c r="U30" s="822"/>
      <c r="V30" s="392"/>
      <c r="W30" s="392"/>
      <c r="X30" s="392"/>
      <c r="Y30" s="392"/>
      <c r="AA30" s="2503">
        <v>30</v>
      </c>
    </row>
    <row r="31" spans="1:27" s="10" customFormat="1" ht="13.8">
      <c r="B31" s="10" t="s">
        <v>741</v>
      </c>
      <c r="D31" s="10" t="s">
        <v>1492</v>
      </c>
      <c r="F31" s="24" t="s">
        <v>595</v>
      </c>
      <c r="G31" s="24" t="s">
        <v>1708</v>
      </c>
      <c r="I31" s="202" t="s">
        <v>525</v>
      </c>
      <c r="J31" s="202">
        <v>1</v>
      </c>
      <c r="K31" s="202">
        <v>2</v>
      </c>
      <c r="L31" s="202">
        <v>3</v>
      </c>
      <c r="M31" s="202">
        <v>4</v>
      </c>
      <c r="O31" s="822"/>
      <c r="P31" s="822"/>
      <c r="Q31" s="822"/>
      <c r="R31" s="822"/>
      <c r="S31" s="822"/>
      <c r="T31" s="822"/>
      <c r="U31" s="822"/>
      <c r="AA31" s="2503">
        <v>31</v>
      </c>
    </row>
    <row r="32" spans="1:27" s="6" customFormat="1" ht="12" customHeight="1">
      <c r="B32" s="1200" t="s">
        <v>1710</v>
      </c>
      <c r="C32" s="1201"/>
      <c r="D32" s="3552" t="s">
        <v>1489</v>
      </c>
      <c r="E32" s="3553"/>
      <c r="F32" s="207"/>
      <c r="G32" s="207"/>
      <c r="H32" s="787"/>
      <c r="I32" s="1195"/>
      <c r="J32" s="1195"/>
      <c r="K32" s="1195"/>
      <c r="L32" s="1195"/>
      <c r="M32" s="1195"/>
      <c r="O32" s="822"/>
      <c r="P32" s="822"/>
      <c r="Q32" s="822"/>
      <c r="R32" s="822"/>
      <c r="S32" s="822"/>
      <c r="T32" s="822"/>
      <c r="U32" s="822"/>
      <c r="V32" s="10"/>
      <c r="W32" s="10"/>
      <c r="X32" s="10"/>
      <c r="Y32" s="10"/>
      <c r="AA32" s="2503">
        <v>32</v>
      </c>
    </row>
    <row r="33" spans="1:27" s="6" customFormat="1" ht="12" customHeight="1">
      <c r="B33" s="1202" t="s">
        <v>1490</v>
      </c>
      <c r="C33" s="1203"/>
      <c r="D33" s="3540" t="s">
        <v>1489</v>
      </c>
      <c r="E33" s="3541"/>
      <c r="F33" s="208"/>
      <c r="G33" s="208"/>
      <c r="H33" s="786"/>
      <c r="I33" s="1196"/>
      <c r="J33" s="1196"/>
      <c r="K33" s="1196"/>
      <c r="L33" s="1197"/>
      <c r="M33" s="1197"/>
      <c r="O33" s="822"/>
      <c r="P33" s="822"/>
      <c r="Q33" s="822"/>
      <c r="R33" s="822"/>
      <c r="S33" s="822"/>
      <c r="T33" s="822"/>
      <c r="U33" s="822"/>
      <c r="AA33" s="2503">
        <v>33</v>
      </c>
    </row>
    <row r="34" spans="1:27" s="6" customFormat="1" ht="12" customHeight="1">
      <c r="B34" s="1204" t="s">
        <v>1491</v>
      </c>
      <c r="C34" s="1205"/>
      <c r="D34" s="3540" t="s">
        <v>1489</v>
      </c>
      <c r="E34" s="3541"/>
      <c r="F34" s="208"/>
      <c r="G34" s="208"/>
      <c r="H34" s="203"/>
      <c r="I34" s="1196"/>
      <c r="J34" s="1196"/>
      <c r="K34" s="1196"/>
      <c r="L34" s="1197"/>
      <c r="M34" s="1197"/>
      <c r="O34" s="3551" t="s">
        <v>5106</v>
      </c>
      <c r="P34" s="3551"/>
      <c r="Q34" s="3551"/>
      <c r="R34" s="3551"/>
      <c r="S34" s="3551"/>
      <c r="AA34" s="2503">
        <v>34</v>
      </c>
    </row>
    <row r="35" spans="1:27" s="6" customFormat="1" ht="12" customHeight="1">
      <c r="B35" s="1206" t="s">
        <v>439</v>
      </c>
      <c r="C35" s="1207"/>
      <c r="D35" s="1206" t="s">
        <v>1489</v>
      </c>
      <c r="E35" s="204"/>
      <c r="F35" s="208"/>
      <c r="G35" s="208"/>
      <c r="H35" s="785"/>
      <c r="I35" s="1196"/>
      <c r="J35" s="1196"/>
      <c r="K35" s="1196"/>
      <c r="L35" s="1197"/>
      <c r="M35" s="1197"/>
      <c r="O35" s="3551"/>
      <c r="P35" s="3551"/>
      <c r="Q35" s="3551"/>
      <c r="R35" s="3551"/>
      <c r="S35" s="3551"/>
      <c r="AA35" s="2503">
        <v>35</v>
      </c>
    </row>
    <row r="36" spans="1:27" s="6" customFormat="1" ht="12" customHeight="1">
      <c r="B36" s="1208" t="s">
        <v>3184</v>
      </c>
      <c r="C36" s="1203"/>
      <c r="D36" s="1202" t="s">
        <v>1489</v>
      </c>
      <c r="E36" s="784"/>
      <c r="F36" s="208"/>
      <c r="G36" s="208"/>
      <c r="H36" s="786"/>
      <c r="I36" s="1196"/>
      <c r="J36" s="1196"/>
      <c r="K36" s="1196"/>
      <c r="L36" s="1197"/>
      <c r="M36" s="1197"/>
      <c r="O36" s="3551"/>
      <c r="P36" s="3551"/>
      <c r="Q36" s="3551"/>
      <c r="R36" s="3551"/>
      <c r="S36" s="3551"/>
      <c r="AA36" s="2503">
        <v>36</v>
      </c>
    </row>
    <row r="37" spans="1:27" s="6" customFormat="1" ht="12" customHeight="1">
      <c r="B37" s="1208" t="s">
        <v>3185</v>
      </c>
      <c r="C37" s="1203"/>
      <c r="D37" s="1202" t="s">
        <v>1489</v>
      </c>
      <c r="E37" s="784"/>
      <c r="F37" s="208"/>
      <c r="G37" s="208"/>
      <c r="H37" s="786"/>
      <c r="I37" s="1196"/>
      <c r="J37" s="1196"/>
      <c r="K37" s="1196"/>
      <c r="L37" s="1197"/>
      <c r="M37" s="1197"/>
      <c r="O37" s="3551"/>
      <c r="P37" s="3551"/>
      <c r="Q37" s="3551"/>
      <c r="R37" s="3551"/>
      <c r="S37" s="3551"/>
      <c r="AA37" s="2503">
        <v>37</v>
      </c>
    </row>
    <row r="38" spans="1:27" s="6" customFormat="1" ht="12" customHeight="1">
      <c r="B38" s="1209" t="s">
        <v>3186</v>
      </c>
      <c r="C38" s="1205"/>
      <c r="D38" s="1204" t="s">
        <v>1489</v>
      </c>
      <c r="E38" s="784"/>
      <c r="F38" s="208"/>
      <c r="G38" s="208"/>
      <c r="H38" s="203"/>
      <c r="I38" s="1196"/>
      <c r="J38" s="1196"/>
      <c r="K38" s="1196"/>
      <c r="L38" s="1197"/>
      <c r="M38" s="1197"/>
      <c r="O38" s="3551"/>
      <c r="P38" s="3551"/>
      <c r="Q38" s="3551"/>
      <c r="R38" s="3551"/>
      <c r="S38" s="3551"/>
      <c r="AA38" s="2503">
        <v>38</v>
      </c>
    </row>
    <row r="39" spans="1:27" s="6" customFormat="1" ht="12" customHeight="1">
      <c r="B39" s="1206" t="s">
        <v>1290</v>
      </c>
      <c r="C39" s="1207"/>
      <c r="D39" s="1212" t="s">
        <v>2991</v>
      </c>
      <c r="E39" s="1194" t="s">
        <v>2643</v>
      </c>
      <c r="F39" s="208"/>
      <c r="G39" s="208"/>
      <c r="H39" s="785"/>
      <c r="I39" s="1196"/>
      <c r="J39" s="1196"/>
      <c r="K39" s="1196"/>
      <c r="L39" s="1197"/>
      <c r="M39" s="1197"/>
      <c r="O39" s="3551"/>
      <c r="P39" s="3551"/>
      <c r="Q39" s="3551"/>
      <c r="R39" s="3551"/>
      <c r="S39" s="3551"/>
      <c r="AA39" s="2503">
        <v>39</v>
      </c>
    </row>
    <row r="40" spans="1:27" s="6" customFormat="1" ht="12" customHeight="1">
      <c r="B40" s="1210" t="s">
        <v>1709</v>
      </c>
      <c r="C40" s="1211"/>
      <c r="D40" s="205"/>
      <c r="E40" s="187"/>
      <c r="F40" s="208"/>
      <c r="G40" s="208"/>
      <c r="H40" s="203"/>
      <c r="I40" s="1196"/>
      <c r="J40" s="1196"/>
      <c r="K40" s="1196"/>
      <c r="L40" s="1197"/>
      <c r="M40" s="1197"/>
      <c r="O40" s="3551"/>
      <c r="P40" s="3551"/>
      <c r="Q40" s="3551"/>
      <c r="R40" s="3551"/>
      <c r="S40" s="3551"/>
      <c r="AA40" s="2503">
        <v>40</v>
      </c>
    </row>
    <row r="41" spans="1:27">
      <c r="B41" s="2486" t="s">
        <v>5104</v>
      </c>
      <c r="C41" s="201"/>
      <c r="D41" s="201"/>
      <c r="E41" s="201"/>
      <c r="O41" s="3551"/>
      <c r="P41" s="3551"/>
      <c r="Q41" s="3551"/>
      <c r="R41" s="3551"/>
      <c r="S41" s="3551"/>
      <c r="AA41" s="2503">
        <v>41</v>
      </c>
    </row>
    <row r="42" spans="1:27" s="6" customFormat="1" ht="12" customHeight="1">
      <c r="B42" s="2483" t="s">
        <v>5102</v>
      </c>
      <c r="C42" s="1203"/>
      <c r="D42" s="1202" t="s">
        <v>145</v>
      </c>
      <c r="E42" s="204"/>
      <c r="F42" s="208"/>
      <c r="G42" s="208"/>
      <c r="H42" s="785"/>
      <c r="I42" s="1196"/>
      <c r="J42" s="1196"/>
      <c r="K42" s="1196"/>
      <c r="L42" s="1197"/>
      <c r="M42" s="1197"/>
      <c r="O42" s="3551"/>
      <c r="P42" s="3551"/>
      <c r="Q42" s="3551"/>
      <c r="R42" s="3551"/>
      <c r="S42" s="3551"/>
      <c r="AA42" s="2503">
        <v>42</v>
      </c>
    </row>
    <row r="43" spans="1:27" s="6" customFormat="1" ht="12" customHeight="1">
      <c r="B43" s="2484" t="s">
        <v>5103</v>
      </c>
      <c r="C43" s="1205"/>
      <c r="D43" s="1204" t="s">
        <v>1489</v>
      </c>
      <c r="E43" s="784"/>
      <c r="F43" s="208"/>
      <c r="G43" s="208"/>
      <c r="H43" s="203"/>
      <c r="I43" s="1196"/>
      <c r="J43" s="1196"/>
      <c r="K43" s="1196"/>
      <c r="L43" s="1197"/>
      <c r="M43" s="1197"/>
      <c r="O43" s="3551"/>
      <c r="P43" s="3551"/>
      <c r="Q43" s="3551"/>
      <c r="R43" s="3551"/>
      <c r="S43" s="3551"/>
      <c r="AA43" s="2503">
        <v>43</v>
      </c>
    </row>
    <row r="44" spans="1:27" s="6" customFormat="1" ht="12" customHeight="1">
      <c r="B44" s="2489" t="s">
        <v>689</v>
      </c>
      <c r="C44" s="3542" t="s">
        <v>5242</v>
      </c>
      <c r="D44" s="3543"/>
      <c r="E44" s="3544"/>
      <c r="F44" s="209"/>
      <c r="G44" s="209"/>
      <c r="H44" s="788"/>
      <c r="I44" s="1198"/>
      <c r="J44" s="1198"/>
      <c r="K44" s="1198"/>
      <c r="L44" s="1199"/>
      <c r="M44" s="1199"/>
      <c r="O44" s="3551"/>
      <c r="P44" s="3551"/>
      <c r="Q44" s="3551"/>
      <c r="R44" s="3551"/>
      <c r="S44" s="3551"/>
      <c r="AA44" s="2503">
        <v>44</v>
      </c>
    </row>
    <row r="45" spans="1:27" s="6" customFormat="1">
      <c r="B45" s="10" t="s">
        <v>955</v>
      </c>
      <c r="D45"/>
      <c r="E45"/>
      <c r="F45" s="60"/>
      <c r="G45" s="60"/>
      <c r="I45" s="119">
        <f>IF(SUM(I32:I44)=0,0,IF(OR($D32="&lt;&lt;Select Fuel &gt;&gt;",$D34="&lt;&lt;Select Fuel &gt;&gt;",$D35="&lt;&lt;Select Fuel &gt;&gt;"),"Select Fuel",IF($E39="&lt;Select&gt;","Submeter?",SUM(I32:I44))))</f>
        <v>0</v>
      </c>
      <c r="J45" s="119">
        <f>IF(SUM(J32:J44)=0,0,IF(OR($D32="&lt;&lt;Select Fuel &gt;&gt;",$D34="&lt;&lt;Select Fuel &gt;&gt;",$D35="&lt;&lt;Select Fuel &gt;&gt;"),"Select Fuel",IF($E39="&lt;Select&gt;","Submeter?",SUM(J32:J44))))</f>
        <v>0</v>
      </c>
      <c r="K45" s="119">
        <f>IF(SUM(K32:K44)=0,0,IF(OR($D32="&lt;&lt;Select Fuel &gt;&gt;",$D34="&lt;&lt;Select Fuel &gt;&gt;",$D35="&lt;&lt;Select Fuel &gt;&gt;"),"Select Fuel",IF($E39="&lt;Select&gt;","Submeter?",SUM(K32:K44))))</f>
        <v>0</v>
      </c>
      <c r="L45" s="119">
        <f>IF(SUM(L32:L44)=0,0,IF(OR($D32="&lt;&lt;Select Fuel &gt;&gt;",$D34="&lt;&lt;Select Fuel &gt;&gt;",$D35="&lt;&lt;Select Fuel &gt;&gt;"),"Select Fuel",IF($E39="&lt;Select&gt;","Submeter?",SUM(L32:L44))))</f>
        <v>0</v>
      </c>
      <c r="M45" s="119">
        <f>IF(SUM(M32:M44)=0,0,IF(OR($D32="&lt;&lt;Select Fuel &gt;&gt;",$D34="&lt;&lt;Select Fuel &gt;&gt;",$D35="&lt;&lt;Select Fuel &gt;&gt;"),"Select Fuel",IF($E39="&lt;Select&gt;","Submeter?",SUM(M32:M44))))</f>
        <v>0</v>
      </c>
      <c r="O45" s="2487"/>
      <c r="P45" s="2487"/>
      <c r="Q45" s="2487"/>
      <c r="AA45" s="2503">
        <v>45</v>
      </c>
    </row>
    <row r="46" spans="1:27" ht="6" customHeight="1">
      <c r="A46" s="6"/>
      <c r="AA46" s="2503">
        <v>46</v>
      </c>
    </row>
    <row r="47" spans="1:27" s="6" customFormat="1">
      <c r="B47" s="44" t="s">
        <v>2992</v>
      </c>
      <c r="D47"/>
      <c r="E47"/>
      <c r="F47" s="60"/>
      <c r="G47" s="60"/>
      <c r="I47" s="24"/>
      <c r="J47" s="24"/>
      <c r="K47" s="24"/>
      <c r="L47" s="24"/>
      <c r="M47" s="24"/>
      <c r="AA47" s="2503">
        <v>47</v>
      </c>
    </row>
    <row r="48" spans="1:27" s="6" customFormat="1" ht="12" customHeight="1">
      <c r="A48" s="10"/>
      <c r="B48" s="10" t="s">
        <v>529</v>
      </c>
      <c r="M48"/>
      <c r="N48"/>
      <c r="O48"/>
      <c r="P48"/>
      <c r="Q48"/>
      <c r="R48"/>
      <c r="S48"/>
      <c r="AA48" s="2503">
        <v>48</v>
      </c>
    </row>
    <row r="49" spans="1:27" s="6" customFormat="1" ht="24.75" customHeight="1">
      <c r="B49" s="3545"/>
      <c r="C49" s="3546"/>
      <c r="D49" s="3546"/>
      <c r="E49" s="3546"/>
      <c r="F49" s="3546"/>
      <c r="G49" s="3546"/>
      <c r="H49" s="3546"/>
      <c r="I49" s="3546"/>
      <c r="J49" s="3546"/>
      <c r="K49" s="3546"/>
      <c r="L49" s="3546"/>
      <c r="M49" s="3547"/>
      <c r="N49"/>
      <c r="O49" s="3024" t="s">
        <v>2444</v>
      </c>
      <c r="P49" s="3024"/>
      <c r="Q49" s="3024"/>
      <c r="R49" s="3024"/>
      <c r="S49" s="3024"/>
      <c r="AA49" s="2503">
        <v>49</v>
      </c>
    </row>
    <row r="50" spans="1:27" s="6" customFormat="1" ht="3" customHeight="1">
      <c r="M50"/>
      <c r="N50"/>
      <c r="O50" s="3024"/>
      <c r="P50" s="3024"/>
      <c r="Q50" s="3024"/>
      <c r="R50" s="3024"/>
      <c r="S50" s="3024"/>
      <c r="AA50" s="2503">
        <v>50</v>
      </c>
    </row>
    <row r="51" spans="1:27" s="6" customFormat="1" ht="12" customHeight="1">
      <c r="A51" s="10"/>
      <c r="B51" s="10" t="s">
        <v>1705</v>
      </c>
      <c r="M51"/>
      <c r="N51"/>
      <c r="O51" s="3024"/>
      <c r="P51" s="3024"/>
      <c r="Q51" s="3024"/>
      <c r="R51" s="3024"/>
      <c r="S51" s="3024"/>
      <c r="AA51" s="2503">
        <v>51</v>
      </c>
    </row>
    <row r="52" spans="1:27" s="6" customFormat="1" ht="24.75" customHeight="1">
      <c r="B52" s="3548"/>
      <c r="C52" s="3549"/>
      <c r="D52" s="3549"/>
      <c r="E52" s="3549"/>
      <c r="F52" s="3549"/>
      <c r="G52" s="3549"/>
      <c r="H52" s="3549"/>
      <c r="I52" s="3549"/>
      <c r="J52" s="3549"/>
      <c r="K52" s="3549"/>
      <c r="L52" s="3549"/>
      <c r="M52" s="3550"/>
      <c r="N52"/>
      <c r="O52" s="3024"/>
      <c r="P52" s="3024"/>
      <c r="Q52" s="3024"/>
      <c r="R52" s="3024"/>
      <c r="S52" s="3024"/>
      <c r="AA52" s="2503">
        <v>52</v>
      </c>
    </row>
    <row r="53" spans="1:27">
      <c r="AA53" s="2503">
        <v>53</v>
      </c>
    </row>
    <row r="54" spans="1:27">
      <c r="AA54" s="2503">
        <v>54</v>
      </c>
    </row>
    <row r="55" spans="1:27">
      <c r="AA55" s="2503">
        <v>55</v>
      </c>
    </row>
    <row r="56" spans="1:27">
      <c r="AA56" s="2503">
        <v>56</v>
      </c>
    </row>
  </sheetData>
  <sheetProtection algorithmName="SHA-512" hashValue="Zjyb2xqFAj6Jl/z16FoOj7Xyt9tcAYKdWGFibM3AGxkCkAZJe5plIhXcP60Anq9vSE8p2jjEilQo17s3rzCVgg==" saltValue="665Bat+suO9krVRlsxBFZg==" spinCount="100000" sheet="1" objects="1" scenarios="1" formatRows="0"/>
  <mergeCells count="26">
    <mergeCell ref="O13:S24"/>
    <mergeCell ref="A1:M1"/>
    <mergeCell ref="B3:E3"/>
    <mergeCell ref="I3:J3"/>
    <mergeCell ref="I7:M7"/>
    <mergeCell ref="I8:J8"/>
    <mergeCell ref="L8:M8"/>
    <mergeCell ref="D32:E32"/>
    <mergeCell ref="F10:G10"/>
    <mergeCell ref="I10:M10"/>
    <mergeCell ref="D12:E12"/>
    <mergeCell ref="D13:E13"/>
    <mergeCell ref="I27:M27"/>
    <mergeCell ref="I28:J28"/>
    <mergeCell ref="L28:M28"/>
    <mergeCell ref="F30:G30"/>
    <mergeCell ref="I30:M30"/>
    <mergeCell ref="D14:E14"/>
    <mergeCell ref="C24:E24"/>
    <mergeCell ref="D33:E33"/>
    <mergeCell ref="D34:E34"/>
    <mergeCell ref="C44:E44"/>
    <mergeCell ref="B49:M49"/>
    <mergeCell ref="O49:S52"/>
    <mergeCell ref="B52:M52"/>
    <mergeCell ref="O34:S44"/>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9"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E0AC27D5B07C4C8B7C3833FE42CFAF" ma:contentTypeVersion="12" ma:contentTypeDescription="Create a new document." ma:contentTypeScope="" ma:versionID="8c10147febffea0289acc8339d00763b">
  <xsd:schema xmlns:xsd="http://www.w3.org/2001/XMLSchema" xmlns:xs="http://www.w3.org/2001/XMLSchema" xmlns:p="http://schemas.microsoft.com/office/2006/metadata/properties" xmlns:ns2="ff5d0b4c-205f-4bfb-927d-092b8bd5c7ca" xmlns:ns3="431100d4-4470-42c1-96bc-46686c1829ae" targetNamespace="http://schemas.microsoft.com/office/2006/metadata/properties" ma:root="true" ma:fieldsID="90c1adf86da88703c03ff989b20b7556" ns2:_="" ns3:_="">
    <xsd:import namespace="ff5d0b4c-205f-4bfb-927d-092b8bd5c7ca"/>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d0b4c-205f-4bfb-927d-092b8bd5c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f5d0b4c-205f-4bfb-927d-092b8bd5c7ca">
      <Terms xmlns="http://schemas.microsoft.com/office/infopath/2007/PartnerControls"/>
    </lcf76f155ced4ddcb4097134ff3c332f>
    <TaxCatchAll xmlns="431100d4-4470-42c1-96bc-46686c1829a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C074ECF41D2834FB367A1053CB4B30C" ma:contentTypeVersion="0" ma:contentTypeDescription="Create a new document." ma:contentTypeScope="" ma:versionID="dce47a317545bfe4a2e3efa1cc194bd7">
  <xsd:schema xmlns:xsd="http://www.w3.org/2001/XMLSchema" xmlns:xs="http://www.w3.org/2001/XMLSchema" xmlns:p="http://schemas.microsoft.com/office/2006/metadata/properties" xmlns:ns1="http://schemas.microsoft.com/sharepoint/v3" xmlns:ns2="86500966-c6b3-4729-b655-d87ba9daa3c5" xmlns:ns3="8d1fc431-d2ec-446f-8aaf-a4e7c717dff1" targetNamespace="http://schemas.microsoft.com/office/2006/metadata/properties" ma:root="true" ma:fieldsID="6e0bea923eb96c1bb23cd3b7342de793" ns1:_="" ns2:_="" ns3:_="">
    <xsd:import namespace="http://schemas.microsoft.com/sharepoint/v3"/>
    <xsd:import namespace="86500966-c6b3-4729-b655-d87ba9daa3c5"/>
    <xsd:import namespace="8d1fc431-d2ec-446f-8aaf-a4e7c717dff1"/>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00966-c6b3-4729-b655-d87ba9daa3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d1fc431-d2ec-446f-8aaf-a4e7c717df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4EC72A-66DF-4DC6-9380-1A9C99ABB700}"/>
</file>

<file path=customXml/itemProps2.xml><?xml version="1.0" encoding="utf-8"?>
<ds:datastoreItem xmlns:ds="http://schemas.openxmlformats.org/officeDocument/2006/customXml" ds:itemID="{46D1A4F4-F844-4F2D-8E98-BF5CE5B8F805}">
  <ds:schemaRefs>
    <ds:schemaRef ds:uri="http://schemas.microsoft.com/sharepoint/v3/contenttype/forms"/>
  </ds:schemaRefs>
</ds:datastoreItem>
</file>

<file path=customXml/itemProps3.xml><?xml version="1.0" encoding="utf-8"?>
<ds:datastoreItem xmlns:ds="http://schemas.openxmlformats.org/officeDocument/2006/customXml" ds:itemID="{D669320F-3A59-4D8D-8C84-1B6A894A6E91}">
  <ds:schemaRefs>
    <ds:schemaRef ds:uri="http://schemas.microsoft.com/office/2006/metadata/properties"/>
    <ds:schemaRef ds:uri="http://schemas.microsoft.com/office/infopath/2007/PartnerControls"/>
    <ds:schemaRef ds:uri="http://schemas.microsoft.com/sharepoint/v3"/>
    <ds:schemaRef ds:uri="86500966-c6b3-4729-b655-d87ba9daa3c5"/>
    <ds:schemaRef ds:uri="aec3e41f-5919-4e75-8b32-4c95ff91d8df"/>
  </ds:schemaRefs>
</ds:datastoreItem>
</file>

<file path=customXml/itemProps4.xml><?xml version="1.0" encoding="utf-8"?>
<ds:datastoreItem xmlns:ds="http://schemas.openxmlformats.org/officeDocument/2006/customXml" ds:itemID="{226E5931-7C00-4BB7-9152-F4D85C6BA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500966-c6b3-4729-b655-d87ba9daa3c5"/>
    <ds:schemaRef ds:uri="8d1fc431-d2ec-446f-8aaf-a4e7c717df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DCA_SB_ONLY</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Thomas Dannemann</cp:lastModifiedBy>
  <cp:lastPrinted>2025-03-21T22:53:43Z</cp:lastPrinted>
  <dcterms:created xsi:type="dcterms:W3CDTF">2005-09-15T20:51:37Z</dcterms:created>
  <dcterms:modified xsi:type="dcterms:W3CDTF">2025-10-03T18:12:51Z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0x0101002EE0AC27D5B07C4C8B7C3833FE42CFAF</vt:lpwstr>
  </property>
  <property fmtid="{D5CDD505-2E9C-101B-9397-08002B2CF9AE}" pid="3" name="MediaServiceImageTags">
    <vt:lpwstr/>
  </property>
</Properties>
</file>